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9-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Report!$A$1:$H$980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4" i="1" l="1"/>
  <c r="H104" i="1"/>
  <c r="D116" i="1" l="1"/>
  <c r="D112" i="1"/>
  <c r="D108" i="1"/>
  <c r="J107" i="1"/>
  <c r="D107" i="1" s="1"/>
  <c r="D115" i="1"/>
  <c r="E107" i="1"/>
  <c r="D114" i="1"/>
  <c r="D111" i="1"/>
  <c r="D110" i="1"/>
  <c r="J106" i="1"/>
  <c r="J103" i="1"/>
  <c r="J105" i="1" s="1"/>
  <c r="D113" i="1"/>
  <c r="J108" i="1"/>
  <c r="D109" i="1"/>
  <c r="J112" i="1"/>
  <c r="J109" i="1"/>
  <c r="J110" i="1" s="1"/>
  <c r="J115" i="1" s="1"/>
  <c r="J116" i="1" s="1"/>
  <c r="J113" i="1"/>
  <c r="J114" i="1"/>
  <c r="J111" i="1"/>
  <c r="I104" i="1" l="1"/>
  <c r="I105" i="1" s="1"/>
  <c r="G107" i="1"/>
  <c r="J104" i="1"/>
  <c r="B272" i="1"/>
  <c r="H272" i="1"/>
  <c r="I103" i="1" l="1"/>
  <c r="C105" i="1" s="1"/>
  <c r="J276" i="1"/>
  <c r="C275" i="1" s="1"/>
  <c r="D275" i="1" s="1"/>
  <c r="J275" i="1"/>
  <c r="D283" i="1"/>
  <c r="D282" i="1"/>
  <c r="D278" i="1"/>
  <c r="D284" i="1"/>
  <c r="D280" i="1"/>
  <c r="D276" i="1"/>
  <c r="D279" i="1"/>
  <c r="E275" i="1"/>
  <c r="D281" i="1"/>
  <c r="D277" i="1"/>
  <c r="J274" i="1"/>
  <c r="J271" i="1"/>
  <c r="J273" i="1" s="1"/>
  <c r="J282" i="1"/>
  <c r="J277" i="1"/>
  <c r="J278" i="1" s="1"/>
  <c r="J283" i="1" s="1"/>
  <c r="J284" i="1" s="1"/>
  <c r="J281" i="1"/>
  <c r="J279" i="1"/>
  <c r="J280" i="1"/>
  <c r="B118" i="1"/>
  <c r="D857" i="1"/>
  <c r="I272" i="1" l="1"/>
  <c r="I273" i="1" s="1"/>
  <c r="G275" i="1"/>
  <c r="J272" i="1"/>
  <c r="J126" i="1"/>
  <c r="J125" i="1"/>
  <c r="J127" i="1"/>
  <c r="J128" i="1"/>
  <c r="H118" i="1"/>
  <c r="I271" i="1" l="1"/>
  <c r="C273" i="1" s="1"/>
  <c r="J122" i="1"/>
  <c r="C121" i="1" s="1"/>
  <c r="D130" i="1"/>
  <c r="D126" i="1"/>
  <c r="D129" i="1"/>
  <c r="D124" i="1"/>
  <c r="D127" i="1"/>
  <c r="J121" i="1"/>
  <c r="D125" i="1"/>
  <c r="J117" i="1"/>
  <c r="J119" i="1" s="1"/>
  <c r="D123" i="1"/>
  <c r="D128" i="1"/>
  <c r="J120" i="1"/>
  <c r="J123" i="1"/>
  <c r="J124" i="1" s="1"/>
  <c r="B90" i="1"/>
  <c r="E759" i="1"/>
  <c r="D759" i="1"/>
  <c r="E758" i="1"/>
  <c r="D758" i="1"/>
  <c r="E757" i="1"/>
  <c r="D757" i="1"/>
  <c r="E756" i="1"/>
  <c r="D756" i="1"/>
  <c r="F756" i="1" s="1"/>
  <c r="H756" i="1" s="1"/>
  <c r="E755" i="1"/>
  <c r="D755" i="1"/>
  <c r="E754" i="1"/>
  <c r="D754" i="1"/>
  <c r="E753" i="1"/>
  <c r="D753" i="1"/>
  <c r="A753" i="1"/>
  <c r="A754" i="1" s="1"/>
  <c r="A755" i="1" s="1"/>
  <c r="A756" i="1" s="1"/>
  <c r="A757" i="1" s="1"/>
  <c r="A758" i="1" s="1"/>
  <c r="A759" i="1" s="1"/>
  <c r="E752" i="1"/>
  <c r="D752" i="1"/>
  <c r="E749" i="1"/>
  <c r="E750" i="1"/>
  <c r="D749" i="1"/>
  <c r="D750" i="1"/>
  <c r="E748" i="1"/>
  <c r="D748" i="1"/>
  <c r="F764" i="1"/>
  <c r="H764" i="1" s="1"/>
  <c r="F763" i="1"/>
  <c r="H763" i="1" s="1"/>
  <c r="F762" i="1"/>
  <c r="H762" i="1" s="1"/>
  <c r="A762" i="1"/>
  <c r="A763" i="1" s="1"/>
  <c r="A764" i="1" s="1"/>
  <c r="F761" i="1"/>
  <c r="H761" i="1" s="1"/>
  <c r="E737" i="1"/>
  <c r="E738" i="1"/>
  <c r="E739" i="1"/>
  <c r="E740" i="1"/>
  <c r="E741" i="1"/>
  <c r="E742" i="1"/>
  <c r="E743" i="1"/>
  <c r="E744" i="1"/>
  <c r="E745" i="1"/>
  <c r="D737" i="1"/>
  <c r="D738" i="1"/>
  <c r="D739" i="1"/>
  <c r="D740" i="1"/>
  <c r="D741" i="1"/>
  <c r="D742" i="1"/>
  <c r="D743" i="1"/>
  <c r="D744" i="1"/>
  <c r="D745" i="1"/>
  <c r="E736" i="1"/>
  <c r="D736" i="1"/>
  <c r="A749" i="1"/>
  <c r="A750" i="1" s="1"/>
  <c r="G731" i="1"/>
  <c r="G730" i="1"/>
  <c r="E726" i="1"/>
  <c r="E727" i="1"/>
  <c r="E728" i="1"/>
  <c r="E729" i="1"/>
  <c r="E730" i="1"/>
  <c r="E731" i="1"/>
  <c r="E732" i="1"/>
  <c r="E733" i="1"/>
  <c r="E734" i="1"/>
  <c r="D726" i="1"/>
  <c r="D727" i="1"/>
  <c r="D728" i="1"/>
  <c r="D729" i="1"/>
  <c r="D730" i="1"/>
  <c r="D731" i="1"/>
  <c r="D732" i="1"/>
  <c r="D733" i="1"/>
  <c r="D734" i="1"/>
  <c r="E725" i="1"/>
  <c r="D725" i="1"/>
  <c r="E722" i="1"/>
  <c r="E723" i="1"/>
  <c r="D722" i="1"/>
  <c r="D723" i="1"/>
  <c r="E721" i="1"/>
  <c r="D721" i="1"/>
  <c r="A737" i="1"/>
  <c r="A738" i="1" s="1"/>
  <c r="A739" i="1" s="1"/>
  <c r="A740" i="1" s="1"/>
  <c r="A741" i="1" s="1"/>
  <c r="A742" i="1" s="1"/>
  <c r="A743" i="1" s="1"/>
  <c r="A744" i="1" s="1"/>
  <c r="A745" i="1" s="1"/>
  <c r="A726" i="1"/>
  <c r="A727" i="1" s="1"/>
  <c r="A728" i="1" s="1"/>
  <c r="A729" i="1" s="1"/>
  <c r="A730" i="1" s="1"/>
  <c r="A731" i="1" s="1"/>
  <c r="A732" i="1" s="1"/>
  <c r="A733" i="1" s="1"/>
  <c r="A734" i="1" s="1"/>
  <c r="D446" i="1"/>
  <c r="F446" i="1" s="1"/>
  <c r="H446" i="1" s="1"/>
  <c r="D445" i="1"/>
  <c r="F445" i="1" s="1"/>
  <c r="H445" i="1" s="1"/>
  <c r="D444" i="1"/>
  <c r="D443" i="1"/>
  <c r="D442" i="1"/>
  <c r="D441" i="1"/>
  <c r="E718" i="1"/>
  <c r="D718" i="1"/>
  <c r="E717" i="1"/>
  <c r="D717" i="1"/>
  <c r="E716" i="1"/>
  <c r="D716" i="1"/>
  <c r="E715" i="1"/>
  <c r="D715" i="1"/>
  <c r="E714" i="1"/>
  <c r="D714" i="1"/>
  <c r="E713" i="1"/>
  <c r="D713" i="1"/>
  <c r="E712" i="1"/>
  <c r="D712" i="1"/>
  <c r="A712" i="1"/>
  <c r="A713" i="1" s="1"/>
  <c r="A714" i="1" s="1"/>
  <c r="A715" i="1" s="1"/>
  <c r="A716" i="1" s="1"/>
  <c r="A717" i="1" s="1"/>
  <c r="A718" i="1" s="1"/>
  <c r="E711" i="1"/>
  <c r="D711" i="1"/>
  <c r="E709" i="1"/>
  <c r="D709" i="1"/>
  <c r="E708" i="1"/>
  <c r="D708" i="1"/>
  <c r="G707" i="1"/>
  <c r="E707" i="1"/>
  <c r="D707" i="1"/>
  <c r="G706" i="1"/>
  <c r="E706" i="1"/>
  <c r="D706" i="1"/>
  <c r="G705" i="1"/>
  <c r="E705" i="1"/>
  <c r="D705" i="1"/>
  <c r="G704" i="1"/>
  <c r="E704" i="1"/>
  <c r="D704" i="1"/>
  <c r="E703" i="1"/>
  <c r="D703" i="1"/>
  <c r="A703" i="1"/>
  <c r="A704" i="1" s="1"/>
  <c r="A705" i="1" s="1"/>
  <c r="A706" i="1" s="1"/>
  <c r="A707" i="1" s="1"/>
  <c r="A708" i="1" s="1"/>
  <c r="A709" i="1" s="1"/>
  <c r="E702" i="1"/>
  <c r="D702" i="1"/>
  <c r="D700" i="1"/>
  <c r="F700" i="1" s="1"/>
  <c r="H700" i="1" s="1"/>
  <c r="E699" i="1"/>
  <c r="D699" i="1"/>
  <c r="E698" i="1"/>
  <c r="D698" i="1"/>
  <c r="A698" i="1"/>
  <c r="A699" i="1" s="1"/>
  <c r="A700" i="1" s="1"/>
  <c r="E697" i="1"/>
  <c r="D697" i="1"/>
  <c r="D438" i="1"/>
  <c r="F438" i="1" s="1"/>
  <c r="H438" i="1" s="1"/>
  <c r="D437" i="1"/>
  <c r="F437" i="1" s="1"/>
  <c r="H437" i="1" s="1"/>
  <c r="D436" i="1"/>
  <c r="F436" i="1" s="1"/>
  <c r="H436" i="1" s="1"/>
  <c r="D435" i="1"/>
  <c r="F435" i="1" s="1"/>
  <c r="H435" i="1" s="1"/>
  <c r="D434" i="1"/>
  <c r="F434" i="1" s="1"/>
  <c r="H434" i="1" s="1"/>
  <c r="I433" i="1"/>
  <c r="D433" i="1"/>
  <c r="F433" i="1" s="1"/>
  <c r="H433" i="1" s="1"/>
  <c r="A433" i="1"/>
  <c r="A434" i="1" s="1"/>
  <c r="A435" i="1" s="1"/>
  <c r="A436" i="1" s="1"/>
  <c r="A437" i="1" s="1"/>
  <c r="A438" i="1" s="1"/>
  <c r="I432" i="1"/>
  <c r="D432" i="1"/>
  <c r="F432" i="1" s="1"/>
  <c r="H432" i="1" s="1"/>
  <c r="E694" i="1"/>
  <c r="D694" i="1"/>
  <c r="E693" i="1"/>
  <c r="D693" i="1"/>
  <c r="E692" i="1"/>
  <c r="D692" i="1"/>
  <c r="E691" i="1"/>
  <c r="D691" i="1"/>
  <c r="E690" i="1"/>
  <c r="D690" i="1"/>
  <c r="E689" i="1"/>
  <c r="D689" i="1"/>
  <c r="E688" i="1"/>
  <c r="D688" i="1"/>
  <c r="A688" i="1"/>
  <c r="A689" i="1" s="1"/>
  <c r="A690" i="1" s="1"/>
  <c r="A691" i="1" s="1"/>
  <c r="A692" i="1" s="1"/>
  <c r="A693" i="1" s="1"/>
  <c r="A694" i="1" s="1"/>
  <c r="E687" i="1"/>
  <c r="D687" i="1"/>
  <c r="E684" i="1"/>
  <c r="D684" i="1"/>
  <c r="E683" i="1"/>
  <c r="D683" i="1"/>
  <c r="A683" i="1"/>
  <c r="A684" i="1" s="1"/>
  <c r="E682" i="1"/>
  <c r="D682" i="1"/>
  <c r="H90" i="1"/>
  <c r="F743" i="1" l="1"/>
  <c r="H743" i="1" s="1"/>
  <c r="F749" i="1"/>
  <c r="H749" i="1" s="1"/>
  <c r="F754" i="1"/>
  <c r="H754" i="1" s="1"/>
  <c r="J129" i="1"/>
  <c r="J130" i="1" s="1"/>
  <c r="C122" i="1" s="1"/>
  <c r="G121" i="1" s="1"/>
  <c r="F750" i="1"/>
  <c r="H750" i="1" s="1"/>
  <c r="D121" i="1"/>
  <c r="F714" i="1"/>
  <c r="H714" i="1" s="1"/>
  <c r="F715" i="1"/>
  <c r="H715" i="1" s="1"/>
  <c r="C363" i="1"/>
  <c r="F688" i="1"/>
  <c r="H688" i="1" s="1"/>
  <c r="F713" i="1"/>
  <c r="H713" i="1" s="1"/>
  <c r="F682" i="1"/>
  <c r="H682" i="1" s="1"/>
  <c r="F698" i="1"/>
  <c r="H698" i="1" s="1"/>
  <c r="F727" i="1"/>
  <c r="H727" i="1" s="1"/>
  <c r="F741" i="1"/>
  <c r="H741" i="1" s="1"/>
  <c r="F737" i="1"/>
  <c r="H737" i="1" s="1"/>
  <c r="F738" i="1"/>
  <c r="H738" i="1" s="1"/>
  <c r="F757" i="1"/>
  <c r="H757" i="1" s="1"/>
  <c r="F759" i="1"/>
  <c r="H759" i="1" s="1"/>
  <c r="F730" i="1"/>
  <c r="H730" i="1" s="1"/>
  <c r="F752" i="1"/>
  <c r="H752" i="1" s="1"/>
  <c r="C380" i="1"/>
  <c r="F739" i="1"/>
  <c r="H739" i="1" s="1"/>
  <c r="F758" i="1"/>
  <c r="H758" i="1" s="1"/>
  <c r="F736" i="1"/>
  <c r="H736" i="1" s="1"/>
  <c r="F744" i="1"/>
  <c r="H744" i="1" s="1"/>
  <c r="F734" i="1"/>
  <c r="H734" i="1" s="1"/>
  <c r="F745" i="1"/>
  <c r="H745" i="1" s="1"/>
  <c r="F748" i="1"/>
  <c r="H748" i="1" s="1"/>
  <c r="F702" i="1"/>
  <c r="H702" i="1" s="1"/>
  <c r="F712" i="1"/>
  <c r="H712" i="1" s="1"/>
  <c r="F755" i="1"/>
  <c r="H755" i="1" s="1"/>
  <c r="J94" i="1"/>
  <c r="J92" i="1"/>
  <c r="J89" i="1"/>
  <c r="J91" i="1" s="1"/>
  <c r="D102" i="1"/>
  <c r="D101" i="1"/>
  <c r="D100" i="1"/>
  <c r="D99" i="1"/>
  <c r="D98" i="1"/>
  <c r="D97" i="1"/>
  <c r="D96" i="1"/>
  <c r="D95" i="1"/>
  <c r="J93" i="1"/>
  <c r="C93" i="1" s="1"/>
  <c r="D93" i="1" s="1"/>
  <c r="J95" i="1"/>
  <c r="E93" i="1" s="1"/>
  <c r="J97" i="1"/>
  <c r="J98" i="1"/>
  <c r="J99" i="1"/>
  <c r="J100" i="1"/>
  <c r="C381" i="1"/>
  <c r="F725" i="1"/>
  <c r="H725" i="1" s="1"/>
  <c r="F733" i="1"/>
  <c r="H733" i="1" s="1"/>
  <c r="F732" i="1"/>
  <c r="H732" i="1" s="1"/>
  <c r="F728" i="1"/>
  <c r="H728" i="1" s="1"/>
  <c r="F726" i="1"/>
  <c r="H726" i="1" s="1"/>
  <c r="F753" i="1"/>
  <c r="H753" i="1" s="1"/>
  <c r="F704" i="1"/>
  <c r="H704" i="1" s="1"/>
  <c r="F706" i="1"/>
  <c r="H706" i="1" s="1"/>
  <c r="F708" i="1"/>
  <c r="H708" i="1" s="1"/>
  <c r="F709" i="1"/>
  <c r="H709" i="1" s="1"/>
  <c r="F717" i="1"/>
  <c r="H717" i="1" s="1"/>
  <c r="F718" i="1"/>
  <c r="H718" i="1" s="1"/>
  <c r="F731" i="1"/>
  <c r="H731" i="1" s="1"/>
  <c r="F742" i="1"/>
  <c r="H742" i="1" s="1"/>
  <c r="F740" i="1"/>
  <c r="H740" i="1" s="1"/>
  <c r="F729" i="1"/>
  <c r="H729" i="1" s="1"/>
  <c r="G362" i="1"/>
  <c r="C362" i="1"/>
  <c r="C379" i="1"/>
  <c r="F683" i="1"/>
  <c r="H683" i="1" s="1"/>
  <c r="F684" i="1"/>
  <c r="H684" i="1" s="1"/>
  <c r="F687" i="1"/>
  <c r="H687" i="1" s="1"/>
  <c r="F689" i="1"/>
  <c r="H689" i="1" s="1"/>
  <c r="F690" i="1"/>
  <c r="H690" i="1" s="1"/>
  <c r="F691" i="1"/>
  <c r="H691" i="1" s="1"/>
  <c r="F692" i="1"/>
  <c r="H692" i="1" s="1"/>
  <c r="F693" i="1"/>
  <c r="H693" i="1" s="1"/>
  <c r="F694" i="1"/>
  <c r="H694" i="1" s="1"/>
  <c r="C378" i="1"/>
  <c r="F697" i="1"/>
  <c r="F699" i="1"/>
  <c r="H699" i="1" s="1"/>
  <c r="F703" i="1"/>
  <c r="H703" i="1" s="1"/>
  <c r="F705" i="1"/>
  <c r="H705" i="1" s="1"/>
  <c r="F707" i="1"/>
  <c r="H707" i="1" s="1"/>
  <c r="F711" i="1"/>
  <c r="H711" i="1" s="1"/>
  <c r="F716" i="1"/>
  <c r="H716" i="1" s="1"/>
  <c r="E362" i="1"/>
  <c r="E679" i="1"/>
  <c r="D679" i="1"/>
  <c r="E678" i="1"/>
  <c r="D678" i="1"/>
  <c r="E677" i="1"/>
  <c r="D677" i="1"/>
  <c r="E676" i="1"/>
  <c r="D676" i="1"/>
  <c r="E675" i="1"/>
  <c r="D675" i="1"/>
  <c r="E674" i="1"/>
  <c r="D674" i="1"/>
  <c r="E673" i="1"/>
  <c r="D673" i="1"/>
  <c r="A673" i="1"/>
  <c r="A674" i="1" s="1"/>
  <c r="A675" i="1" s="1"/>
  <c r="A676" i="1" s="1"/>
  <c r="A677" i="1" s="1"/>
  <c r="A678" i="1" s="1"/>
  <c r="A679" i="1" s="1"/>
  <c r="E672" i="1"/>
  <c r="D672" i="1"/>
  <c r="E670" i="1"/>
  <c r="D670" i="1"/>
  <c r="E669" i="1"/>
  <c r="D669" i="1"/>
  <c r="E668" i="1"/>
  <c r="D668" i="1"/>
  <c r="E667" i="1"/>
  <c r="D667" i="1"/>
  <c r="E666" i="1"/>
  <c r="D666" i="1"/>
  <c r="E665" i="1"/>
  <c r="D665" i="1"/>
  <c r="A665" i="1"/>
  <c r="A666" i="1" s="1"/>
  <c r="A667" i="1" s="1"/>
  <c r="A668" i="1" s="1"/>
  <c r="A669" i="1" s="1"/>
  <c r="A670" i="1" s="1"/>
  <c r="E664" i="1"/>
  <c r="D664" i="1"/>
  <c r="E657" i="1"/>
  <c r="E658" i="1"/>
  <c r="E659" i="1"/>
  <c r="E660" i="1"/>
  <c r="E661" i="1"/>
  <c r="E656" i="1"/>
  <c r="D657" i="1"/>
  <c r="D658" i="1"/>
  <c r="D659" i="1"/>
  <c r="D660" i="1"/>
  <c r="D661" i="1"/>
  <c r="D656" i="1"/>
  <c r="G653" i="1"/>
  <c r="G652" i="1"/>
  <c r="E650" i="1"/>
  <c r="E651" i="1"/>
  <c r="E652" i="1"/>
  <c r="E653" i="1"/>
  <c r="E654" i="1"/>
  <c r="D650" i="1"/>
  <c r="D651" i="1"/>
  <c r="D652" i="1"/>
  <c r="D653" i="1"/>
  <c r="D654" i="1"/>
  <c r="E649" i="1"/>
  <c r="D649" i="1"/>
  <c r="A650" i="1"/>
  <c r="A651" i="1" s="1"/>
  <c r="A652" i="1" s="1"/>
  <c r="A653" i="1" s="1"/>
  <c r="A654" i="1" s="1"/>
  <c r="E646" i="1"/>
  <c r="E647" i="1"/>
  <c r="D646" i="1"/>
  <c r="D647" i="1"/>
  <c r="E645" i="1"/>
  <c r="D645" i="1"/>
  <c r="A646" i="1"/>
  <c r="A647" i="1" s="1"/>
  <c r="D429" i="1"/>
  <c r="F429" i="1" s="1"/>
  <c r="H429" i="1" s="1"/>
  <c r="D428" i="1"/>
  <c r="F428" i="1" s="1"/>
  <c r="H428" i="1" s="1"/>
  <c r="D427" i="1"/>
  <c r="D426" i="1"/>
  <c r="D425" i="1"/>
  <c r="D424" i="1"/>
  <c r="E642" i="1"/>
  <c r="D642" i="1"/>
  <c r="E641" i="1"/>
  <c r="D641" i="1"/>
  <c r="E640" i="1"/>
  <c r="D640" i="1"/>
  <c r="E639" i="1"/>
  <c r="D639" i="1"/>
  <c r="E638" i="1"/>
  <c r="D638" i="1"/>
  <c r="E637" i="1"/>
  <c r="D637" i="1"/>
  <c r="E636" i="1"/>
  <c r="D636" i="1"/>
  <c r="A636" i="1"/>
  <c r="A637" i="1" s="1"/>
  <c r="A638" i="1" s="1"/>
  <c r="A639" i="1" s="1"/>
  <c r="A640" i="1" s="1"/>
  <c r="A641" i="1" s="1"/>
  <c r="A642" i="1" s="1"/>
  <c r="E635" i="1"/>
  <c r="D635" i="1"/>
  <c r="E633" i="1"/>
  <c r="D633" i="1"/>
  <c r="E632" i="1"/>
  <c r="D632" i="1"/>
  <c r="E631" i="1"/>
  <c r="D631" i="1"/>
  <c r="E630" i="1"/>
  <c r="D630" i="1"/>
  <c r="E629" i="1"/>
  <c r="D629" i="1"/>
  <c r="E628" i="1"/>
  <c r="D628" i="1"/>
  <c r="A628" i="1"/>
  <c r="A629" i="1" s="1"/>
  <c r="A630" i="1" s="1"/>
  <c r="A631" i="1" s="1"/>
  <c r="A632" i="1" s="1"/>
  <c r="A633" i="1" s="1"/>
  <c r="E627" i="1"/>
  <c r="D627" i="1"/>
  <c r="E624" i="1"/>
  <c r="D624" i="1"/>
  <c r="E623" i="1"/>
  <c r="D623" i="1"/>
  <c r="E622" i="1"/>
  <c r="D622" i="1"/>
  <c r="E621" i="1"/>
  <c r="D621" i="1"/>
  <c r="E620" i="1"/>
  <c r="D620" i="1"/>
  <c r="E619" i="1"/>
  <c r="D619" i="1"/>
  <c r="E618" i="1"/>
  <c r="D618" i="1"/>
  <c r="A618" i="1"/>
  <c r="A619" i="1" s="1"/>
  <c r="A620" i="1" s="1"/>
  <c r="A621" i="1" s="1"/>
  <c r="A622" i="1" s="1"/>
  <c r="A623" i="1" s="1"/>
  <c r="A624" i="1" s="1"/>
  <c r="E617" i="1"/>
  <c r="D617" i="1"/>
  <c r="E615" i="1"/>
  <c r="D615" i="1"/>
  <c r="E614" i="1"/>
  <c r="D614" i="1"/>
  <c r="E613" i="1"/>
  <c r="D613" i="1"/>
  <c r="E612" i="1"/>
  <c r="D612" i="1"/>
  <c r="E611" i="1"/>
  <c r="D611" i="1"/>
  <c r="E610" i="1"/>
  <c r="D610" i="1"/>
  <c r="A610" i="1"/>
  <c r="A611" i="1" s="1"/>
  <c r="A612" i="1" s="1"/>
  <c r="A613" i="1" s="1"/>
  <c r="A614" i="1" s="1"/>
  <c r="A615" i="1" s="1"/>
  <c r="E609" i="1"/>
  <c r="D609" i="1"/>
  <c r="E591" i="1"/>
  <c r="D591" i="1"/>
  <c r="E590" i="1"/>
  <c r="D590" i="1"/>
  <c r="E589" i="1"/>
  <c r="D589" i="1"/>
  <c r="E588" i="1"/>
  <c r="D588" i="1"/>
  <c r="E587" i="1"/>
  <c r="D587" i="1"/>
  <c r="E586" i="1"/>
  <c r="D586" i="1"/>
  <c r="E585" i="1"/>
  <c r="D585" i="1"/>
  <c r="A585" i="1"/>
  <c r="A586" i="1" s="1"/>
  <c r="A587" i="1" s="1"/>
  <c r="A588" i="1" s="1"/>
  <c r="A589" i="1" s="1"/>
  <c r="A590" i="1" s="1"/>
  <c r="A591" i="1" s="1"/>
  <c r="E584" i="1"/>
  <c r="D584" i="1"/>
  <c r="E582" i="1"/>
  <c r="D582" i="1"/>
  <c r="E581" i="1"/>
  <c r="D581" i="1"/>
  <c r="G580" i="1"/>
  <c r="E580" i="1"/>
  <c r="D580" i="1"/>
  <c r="G579" i="1"/>
  <c r="E579" i="1"/>
  <c r="D579" i="1"/>
  <c r="G578" i="1"/>
  <c r="E578" i="1"/>
  <c r="D578" i="1"/>
  <c r="G577" i="1"/>
  <c r="E577" i="1"/>
  <c r="D577" i="1"/>
  <c r="E576" i="1"/>
  <c r="D576" i="1"/>
  <c r="A576" i="1"/>
  <c r="A577" i="1" s="1"/>
  <c r="A578" i="1" s="1"/>
  <c r="A579" i="1" s="1"/>
  <c r="A580" i="1" s="1"/>
  <c r="A581" i="1" s="1"/>
  <c r="A582" i="1" s="1"/>
  <c r="E575" i="1"/>
  <c r="D575" i="1"/>
  <c r="D573" i="1"/>
  <c r="F573" i="1" s="1"/>
  <c r="H573" i="1" s="1"/>
  <c r="E572" i="1"/>
  <c r="D572" i="1"/>
  <c r="E571" i="1"/>
  <c r="D571" i="1"/>
  <c r="A571" i="1"/>
  <c r="A572" i="1" s="1"/>
  <c r="A573" i="1" s="1"/>
  <c r="E570" i="1"/>
  <c r="D570" i="1"/>
  <c r="E606" i="1"/>
  <c r="D606" i="1"/>
  <c r="E605" i="1"/>
  <c r="D605" i="1"/>
  <c r="E604" i="1"/>
  <c r="D604" i="1"/>
  <c r="E603" i="1"/>
  <c r="D603" i="1"/>
  <c r="E602" i="1"/>
  <c r="D602" i="1"/>
  <c r="E601" i="1"/>
  <c r="D601" i="1"/>
  <c r="E600" i="1"/>
  <c r="D600" i="1"/>
  <c r="A600" i="1"/>
  <c r="A601" i="1" s="1"/>
  <c r="A602" i="1" s="1"/>
  <c r="A603" i="1" s="1"/>
  <c r="A604" i="1" s="1"/>
  <c r="A605" i="1" s="1"/>
  <c r="A606" i="1" s="1"/>
  <c r="E599" i="1"/>
  <c r="D599" i="1"/>
  <c r="E596" i="1"/>
  <c r="D596" i="1"/>
  <c r="E595" i="1"/>
  <c r="D595" i="1"/>
  <c r="A595" i="1"/>
  <c r="A596" i="1" s="1"/>
  <c r="E594" i="1"/>
  <c r="D594" i="1"/>
  <c r="J118" i="1" l="1"/>
  <c r="E121" i="1"/>
  <c r="D122" i="1"/>
  <c r="I118" i="1" s="1"/>
  <c r="I119" i="1" s="1"/>
  <c r="G381" i="1"/>
  <c r="F647" i="1"/>
  <c r="H647" i="1" s="1"/>
  <c r="F661" i="1"/>
  <c r="H661" i="1" s="1"/>
  <c r="F646" i="1"/>
  <c r="H646" i="1" s="1"/>
  <c r="F660" i="1"/>
  <c r="H660" i="1" s="1"/>
  <c r="J96" i="1"/>
  <c r="J101" i="1" s="1"/>
  <c r="J102" i="1" s="1"/>
  <c r="D94" i="1"/>
  <c r="I90" i="1" s="1"/>
  <c r="I91" i="1" s="1"/>
  <c r="G93" i="1"/>
  <c r="J90" i="1"/>
  <c r="E381" i="1"/>
  <c r="G378" i="1"/>
  <c r="F654" i="1"/>
  <c r="H654" i="1" s="1"/>
  <c r="F665" i="1"/>
  <c r="H665" i="1" s="1"/>
  <c r="F673" i="1"/>
  <c r="H673" i="1" s="1"/>
  <c r="H697" i="1"/>
  <c r="G379" i="1" s="1"/>
  <c r="E379" i="1"/>
  <c r="E378" i="1"/>
  <c r="F590" i="1"/>
  <c r="H590" i="1" s="1"/>
  <c r="F591" i="1"/>
  <c r="H591" i="1" s="1"/>
  <c r="F609" i="1"/>
  <c r="H609" i="1" s="1"/>
  <c r="F618" i="1"/>
  <c r="H618" i="1" s="1"/>
  <c r="F628" i="1"/>
  <c r="H628" i="1" s="1"/>
  <c r="F636" i="1"/>
  <c r="H636" i="1" s="1"/>
  <c r="F649" i="1"/>
  <c r="H649" i="1" s="1"/>
  <c r="F653" i="1"/>
  <c r="H653" i="1" s="1"/>
  <c r="F652" i="1"/>
  <c r="H652" i="1" s="1"/>
  <c r="F650" i="1"/>
  <c r="H650" i="1" s="1"/>
  <c r="F664" i="1"/>
  <c r="F666" i="1"/>
  <c r="H666" i="1" s="1"/>
  <c r="F667" i="1"/>
  <c r="H667" i="1" s="1"/>
  <c r="F668" i="1"/>
  <c r="H668" i="1" s="1"/>
  <c r="F669" i="1"/>
  <c r="H669" i="1" s="1"/>
  <c r="F670" i="1"/>
  <c r="H670" i="1" s="1"/>
  <c r="F672" i="1"/>
  <c r="H672" i="1" s="1"/>
  <c r="F674" i="1"/>
  <c r="H674" i="1" s="1"/>
  <c r="F675" i="1"/>
  <c r="H675" i="1" s="1"/>
  <c r="F676" i="1"/>
  <c r="H676" i="1" s="1"/>
  <c r="F677" i="1"/>
  <c r="H677" i="1" s="1"/>
  <c r="F678" i="1"/>
  <c r="H678" i="1" s="1"/>
  <c r="F679" i="1"/>
  <c r="H679" i="1" s="1"/>
  <c r="C377" i="1"/>
  <c r="C361" i="1"/>
  <c r="F645" i="1"/>
  <c r="F651" i="1"/>
  <c r="H651" i="1" s="1"/>
  <c r="C376" i="1"/>
  <c r="C375" i="1"/>
  <c r="F610" i="1"/>
  <c r="H610" i="1" s="1"/>
  <c r="F611" i="1"/>
  <c r="H611" i="1" s="1"/>
  <c r="F612" i="1"/>
  <c r="H612" i="1" s="1"/>
  <c r="F613" i="1"/>
  <c r="H613" i="1" s="1"/>
  <c r="F614" i="1"/>
  <c r="H614" i="1" s="1"/>
  <c r="F615" i="1"/>
  <c r="H615" i="1" s="1"/>
  <c r="F617" i="1"/>
  <c r="H617" i="1" s="1"/>
  <c r="F619" i="1"/>
  <c r="H619" i="1" s="1"/>
  <c r="F620" i="1"/>
  <c r="H620" i="1" s="1"/>
  <c r="F621" i="1"/>
  <c r="H621" i="1" s="1"/>
  <c r="F622" i="1"/>
  <c r="H622" i="1" s="1"/>
  <c r="F623" i="1"/>
  <c r="H623" i="1" s="1"/>
  <c r="F624" i="1"/>
  <c r="H624" i="1" s="1"/>
  <c r="F627" i="1"/>
  <c r="F629" i="1"/>
  <c r="H629" i="1" s="1"/>
  <c r="F630" i="1"/>
  <c r="H630" i="1" s="1"/>
  <c r="F631" i="1"/>
  <c r="H631" i="1" s="1"/>
  <c r="F632" i="1"/>
  <c r="H632" i="1" s="1"/>
  <c r="F633" i="1"/>
  <c r="H633" i="1" s="1"/>
  <c r="F635" i="1"/>
  <c r="H635" i="1" s="1"/>
  <c r="F637" i="1"/>
  <c r="H637" i="1" s="1"/>
  <c r="F638" i="1"/>
  <c r="H638" i="1" s="1"/>
  <c r="F639" i="1"/>
  <c r="H639" i="1" s="1"/>
  <c r="F640" i="1"/>
  <c r="H640" i="1" s="1"/>
  <c r="F641" i="1"/>
  <c r="H641" i="1" s="1"/>
  <c r="F642" i="1"/>
  <c r="H642" i="1" s="1"/>
  <c r="C374" i="1"/>
  <c r="F594" i="1"/>
  <c r="H594" i="1" s="1"/>
  <c r="F601" i="1"/>
  <c r="H601" i="1" s="1"/>
  <c r="F602" i="1"/>
  <c r="H602" i="1" s="1"/>
  <c r="F603" i="1"/>
  <c r="H603" i="1" s="1"/>
  <c r="F604" i="1"/>
  <c r="H604" i="1" s="1"/>
  <c r="F605" i="1"/>
  <c r="H605" i="1" s="1"/>
  <c r="F606" i="1"/>
  <c r="H606" i="1" s="1"/>
  <c r="F570" i="1"/>
  <c r="H570" i="1" s="1"/>
  <c r="C372" i="1"/>
  <c r="F596" i="1"/>
  <c r="H596" i="1" s="1"/>
  <c r="F599" i="1"/>
  <c r="H599" i="1" s="1"/>
  <c r="F572" i="1"/>
  <c r="H572" i="1" s="1"/>
  <c r="F576" i="1"/>
  <c r="H576" i="1" s="1"/>
  <c r="F578" i="1"/>
  <c r="H578" i="1" s="1"/>
  <c r="F580" i="1"/>
  <c r="H580" i="1" s="1"/>
  <c r="F585" i="1"/>
  <c r="H585" i="1" s="1"/>
  <c r="F586" i="1"/>
  <c r="H586" i="1" s="1"/>
  <c r="F587" i="1"/>
  <c r="H587" i="1" s="1"/>
  <c r="F588" i="1"/>
  <c r="H588" i="1" s="1"/>
  <c r="C373" i="1"/>
  <c r="F595" i="1"/>
  <c r="H595" i="1" s="1"/>
  <c r="F600" i="1"/>
  <c r="H600" i="1" s="1"/>
  <c r="F571" i="1"/>
  <c r="H571" i="1" s="1"/>
  <c r="F575" i="1"/>
  <c r="H575" i="1" s="1"/>
  <c r="F577" i="1"/>
  <c r="H577" i="1" s="1"/>
  <c r="F579" i="1"/>
  <c r="H579" i="1" s="1"/>
  <c r="F581" i="1"/>
  <c r="H581" i="1" s="1"/>
  <c r="F582" i="1"/>
  <c r="H582" i="1" s="1"/>
  <c r="F584" i="1"/>
  <c r="H584" i="1" s="1"/>
  <c r="F589" i="1"/>
  <c r="H589" i="1" s="1"/>
  <c r="E567" i="1"/>
  <c r="D567" i="1"/>
  <c r="E566" i="1"/>
  <c r="D566" i="1"/>
  <c r="E565" i="1"/>
  <c r="D565" i="1"/>
  <c r="E564" i="1"/>
  <c r="D564" i="1"/>
  <c r="E563" i="1"/>
  <c r="D563" i="1"/>
  <c r="E562" i="1"/>
  <c r="D562" i="1"/>
  <c r="E561" i="1"/>
  <c r="D561" i="1"/>
  <c r="A561" i="1"/>
  <c r="A562" i="1" s="1"/>
  <c r="A563" i="1" s="1"/>
  <c r="A564" i="1" s="1"/>
  <c r="A565" i="1" s="1"/>
  <c r="A566" i="1" s="1"/>
  <c r="A567" i="1" s="1"/>
  <c r="E560" i="1"/>
  <c r="D560" i="1"/>
  <c r="F656" i="1"/>
  <c r="H656" i="1" s="1"/>
  <c r="A657" i="1"/>
  <c r="A658" i="1" s="1"/>
  <c r="A659" i="1" s="1"/>
  <c r="A660" i="1" s="1"/>
  <c r="A661" i="1" s="1"/>
  <c r="F657" i="1"/>
  <c r="H657" i="1" s="1"/>
  <c r="F658" i="1"/>
  <c r="H658" i="1" s="1"/>
  <c r="F659" i="1"/>
  <c r="H659" i="1" s="1"/>
  <c r="F721" i="1"/>
  <c r="A722" i="1"/>
  <c r="A723" i="1" s="1"/>
  <c r="F722" i="1"/>
  <c r="H722" i="1" s="1"/>
  <c r="F723" i="1"/>
  <c r="H723" i="1" s="1"/>
  <c r="G557" i="1"/>
  <c r="G556" i="1"/>
  <c r="E558" i="1"/>
  <c r="D558" i="1"/>
  <c r="E557" i="1"/>
  <c r="D557" i="1"/>
  <c r="E556" i="1"/>
  <c r="D556" i="1"/>
  <c r="E555" i="1"/>
  <c r="D555" i="1"/>
  <c r="E554" i="1"/>
  <c r="D554" i="1"/>
  <c r="E553" i="1"/>
  <c r="D553" i="1"/>
  <c r="E552" i="1"/>
  <c r="D552" i="1"/>
  <c r="A552" i="1"/>
  <c r="A553" i="1" s="1"/>
  <c r="A554" i="1" s="1"/>
  <c r="A555" i="1" s="1"/>
  <c r="A556" i="1" s="1"/>
  <c r="A557" i="1" s="1"/>
  <c r="A558" i="1" s="1"/>
  <c r="E551" i="1"/>
  <c r="D551" i="1"/>
  <c r="E546" i="1"/>
  <c r="E547" i="1"/>
  <c r="E548" i="1"/>
  <c r="E549" i="1"/>
  <c r="D546" i="1"/>
  <c r="D547" i="1"/>
  <c r="D548" i="1"/>
  <c r="D549" i="1"/>
  <c r="E545" i="1"/>
  <c r="D545" i="1"/>
  <c r="D412" i="1"/>
  <c r="F412" i="1" s="1"/>
  <c r="H412" i="1" s="1"/>
  <c r="D411" i="1"/>
  <c r="F411" i="1" s="1"/>
  <c r="H411" i="1" s="1"/>
  <c r="D410" i="1"/>
  <c r="F410" i="1" s="1"/>
  <c r="H410" i="1" s="1"/>
  <c r="D409" i="1"/>
  <c r="F409" i="1" s="1"/>
  <c r="H409" i="1" s="1"/>
  <c r="D408" i="1"/>
  <c r="F408" i="1" s="1"/>
  <c r="H408" i="1" s="1"/>
  <c r="D407" i="1"/>
  <c r="F407" i="1" s="1"/>
  <c r="H407" i="1" s="1"/>
  <c r="I409" i="1"/>
  <c r="I407" i="1"/>
  <c r="E528" i="1"/>
  <c r="E529" i="1"/>
  <c r="E530" i="1"/>
  <c r="E531" i="1"/>
  <c r="E532" i="1"/>
  <c r="E533" i="1"/>
  <c r="D528" i="1"/>
  <c r="D529" i="1"/>
  <c r="D530" i="1"/>
  <c r="D531" i="1"/>
  <c r="D532" i="1"/>
  <c r="D533" i="1"/>
  <c r="E527" i="1"/>
  <c r="D527" i="1"/>
  <c r="E542" i="1"/>
  <c r="D542" i="1"/>
  <c r="E541" i="1"/>
  <c r="D541" i="1"/>
  <c r="E540" i="1"/>
  <c r="D540" i="1"/>
  <c r="E539" i="1"/>
  <c r="D539" i="1"/>
  <c r="E538" i="1"/>
  <c r="D538" i="1"/>
  <c r="E537" i="1"/>
  <c r="D537" i="1"/>
  <c r="E536" i="1"/>
  <c r="D536" i="1"/>
  <c r="A536" i="1"/>
  <c r="A537" i="1" s="1"/>
  <c r="A538" i="1" s="1"/>
  <c r="A539" i="1" s="1"/>
  <c r="A540" i="1" s="1"/>
  <c r="A541" i="1" s="1"/>
  <c r="A542" i="1" s="1"/>
  <c r="E535" i="1"/>
  <c r="D535" i="1"/>
  <c r="A546" i="1"/>
  <c r="A547" i="1" s="1"/>
  <c r="A548" i="1" s="1"/>
  <c r="A549" i="1" s="1"/>
  <c r="E518" i="1"/>
  <c r="E519" i="1"/>
  <c r="E520" i="1"/>
  <c r="E521" i="1"/>
  <c r="E522" i="1"/>
  <c r="E523" i="1"/>
  <c r="E524" i="1"/>
  <c r="D518" i="1"/>
  <c r="D519" i="1"/>
  <c r="D520" i="1"/>
  <c r="D521" i="1"/>
  <c r="D522" i="1"/>
  <c r="D523" i="1"/>
  <c r="D524" i="1"/>
  <c r="E517" i="1"/>
  <c r="D517" i="1"/>
  <c r="E513" i="1"/>
  <c r="E514" i="1"/>
  <c r="E512" i="1"/>
  <c r="D513" i="1"/>
  <c r="D514" i="1"/>
  <c r="D512" i="1"/>
  <c r="A513" i="1"/>
  <c r="A514" i="1" s="1"/>
  <c r="A528" i="1"/>
  <c r="A529" i="1" s="1"/>
  <c r="A530" i="1" s="1"/>
  <c r="A531" i="1" s="1"/>
  <c r="A532" i="1" s="1"/>
  <c r="A533" i="1" s="1"/>
  <c r="D421" i="1"/>
  <c r="F421" i="1" s="1"/>
  <c r="H421" i="1" s="1"/>
  <c r="D420" i="1"/>
  <c r="F420" i="1" s="1"/>
  <c r="H420" i="1" s="1"/>
  <c r="D419" i="1"/>
  <c r="F419" i="1" s="1"/>
  <c r="H419" i="1" s="1"/>
  <c r="D418" i="1"/>
  <c r="F418" i="1" s="1"/>
  <c r="H418" i="1" s="1"/>
  <c r="D417" i="1"/>
  <c r="F417" i="1" s="1"/>
  <c r="H417" i="1" s="1"/>
  <c r="I416" i="1"/>
  <c r="D416" i="1"/>
  <c r="F416" i="1" s="1"/>
  <c r="H416" i="1" s="1"/>
  <c r="A416" i="1"/>
  <c r="A417" i="1" s="1"/>
  <c r="A418" i="1" s="1"/>
  <c r="A419" i="1" s="1"/>
  <c r="A420" i="1" s="1"/>
  <c r="A421" i="1" s="1"/>
  <c r="I415" i="1"/>
  <c r="D415" i="1"/>
  <c r="F415" i="1" s="1"/>
  <c r="H415" i="1" s="1"/>
  <c r="F444" i="1"/>
  <c r="H444" i="1" s="1"/>
  <c r="F443" i="1"/>
  <c r="H443" i="1" s="1"/>
  <c r="F442" i="1"/>
  <c r="H442" i="1" s="1"/>
  <c r="A442" i="1"/>
  <c r="A443" i="1" s="1"/>
  <c r="A444" i="1" s="1"/>
  <c r="A445" i="1" s="1"/>
  <c r="A446" i="1" s="1"/>
  <c r="F441" i="1"/>
  <c r="E509" i="1"/>
  <c r="E508" i="1"/>
  <c r="E507" i="1"/>
  <c r="E506" i="1"/>
  <c r="E505" i="1"/>
  <c r="E504" i="1"/>
  <c r="E503" i="1"/>
  <c r="E502" i="1"/>
  <c r="D509" i="1"/>
  <c r="F509" i="1" s="1"/>
  <c r="H509" i="1" s="1"/>
  <c r="D508" i="1"/>
  <c r="D507" i="1"/>
  <c r="D506" i="1"/>
  <c r="D505" i="1"/>
  <c r="D504" i="1"/>
  <c r="D503" i="1"/>
  <c r="D502" i="1"/>
  <c r="A518" i="1"/>
  <c r="A519" i="1" s="1"/>
  <c r="A520" i="1" s="1"/>
  <c r="A521" i="1" s="1"/>
  <c r="A522" i="1" s="1"/>
  <c r="A523" i="1" s="1"/>
  <c r="A524" i="1" s="1"/>
  <c r="E494" i="1"/>
  <c r="E495" i="1"/>
  <c r="E496" i="1"/>
  <c r="E497" i="1"/>
  <c r="E498" i="1"/>
  <c r="E499" i="1"/>
  <c r="E500" i="1"/>
  <c r="E489" i="1"/>
  <c r="E490" i="1"/>
  <c r="E493" i="1"/>
  <c r="E488" i="1"/>
  <c r="E453" i="1"/>
  <c r="E454" i="1"/>
  <c r="E455" i="1"/>
  <c r="E456" i="1"/>
  <c r="E457" i="1"/>
  <c r="E458" i="1"/>
  <c r="E459" i="1"/>
  <c r="E452" i="1"/>
  <c r="E461" i="1"/>
  <c r="E462" i="1"/>
  <c r="E463" i="1"/>
  <c r="E464" i="1"/>
  <c r="E465" i="1"/>
  <c r="E466" i="1"/>
  <c r="E467" i="1"/>
  <c r="E468" i="1"/>
  <c r="E475" i="1"/>
  <c r="E476" i="1"/>
  <c r="E477" i="1"/>
  <c r="E478" i="1"/>
  <c r="E479" i="1"/>
  <c r="E480" i="1"/>
  <c r="E481" i="1"/>
  <c r="E482" i="1"/>
  <c r="E483" i="1"/>
  <c r="E484" i="1"/>
  <c r="E485" i="1"/>
  <c r="E474" i="1"/>
  <c r="E470" i="1"/>
  <c r="E471" i="1"/>
  <c r="E472" i="1"/>
  <c r="E469" i="1"/>
  <c r="G498" i="1"/>
  <c r="G497" i="1"/>
  <c r="G496" i="1"/>
  <c r="G495" i="1"/>
  <c r="D489" i="1"/>
  <c r="D490" i="1"/>
  <c r="D491" i="1"/>
  <c r="F491" i="1" s="1"/>
  <c r="H491" i="1" s="1"/>
  <c r="D494" i="1"/>
  <c r="D495" i="1"/>
  <c r="D496" i="1"/>
  <c r="D497" i="1"/>
  <c r="D498" i="1"/>
  <c r="D499" i="1"/>
  <c r="D500" i="1"/>
  <c r="D493" i="1"/>
  <c r="D488" i="1"/>
  <c r="F427" i="1"/>
  <c r="H427" i="1" s="1"/>
  <c r="F426" i="1"/>
  <c r="H426" i="1" s="1"/>
  <c r="F425" i="1"/>
  <c r="H425" i="1" s="1"/>
  <c r="A425" i="1"/>
  <c r="A426" i="1" s="1"/>
  <c r="A427" i="1" s="1"/>
  <c r="A428" i="1" s="1"/>
  <c r="A429" i="1" s="1"/>
  <c r="F424" i="1"/>
  <c r="D404" i="1"/>
  <c r="F404" i="1" s="1"/>
  <c r="H404" i="1" s="1"/>
  <c r="D403" i="1"/>
  <c r="D402" i="1"/>
  <c r="D401" i="1"/>
  <c r="F401" i="1" s="1"/>
  <c r="H401" i="1" s="1"/>
  <c r="D400" i="1"/>
  <c r="F400" i="1" s="1"/>
  <c r="H400" i="1" s="1"/>
  <c r="D399" i="1"/>
  <c r="F399" i="1" s="1"/>
  <c r="H399" i="1" s="1"/>
  <c r="D398" i="1"/>
  <c r="F398" i="1" s="1"/>
  <c r="H398" i="1" s="1"/>
  <c r="I399" i="1"/>
  <c r="I398" i="1"/>
  <c r="F403" i="1"/>
  <c r="H403" i="1" s="1"/>
  <c r="F402" i="1"/>
  <c r="H402" i="1" s="1"/>
  <c r="A489" i="1"/>
  <c r="A490" i="1" s="1"/>
  <c r="A491" i="1" s="1"/>
  <c r="A408" i="1"/>
  <c r="A409" i="1" s="1"/>
  <c r="A410" i="1" s="1"/>
  <c r="A411" i="1" s="1"/>
  <c r="A412" i="1" s="1"/>
  <c r="A503" i="1"/>
  <c r="A504" i="1" s="1"/>
  <c r="A505" i="1" s="1"/>
  <c r="A506" i="1" s="1"/>
  <c r="A507" i="1" s="1"/>
  <c r="A508" i="1" s="1"/>
  <c r="A509" i="1" s="1"/>
  <c r="D485" i="1"/>
  <c r="D484" i="1"/>
  <c r="D483" i="1"/>
  <c r="D482" i="1"/>
  <c r="D481" i="1"/>
  <c r="D480" i="1"/>
  <c r="D479" i="1"/>
  <c r="D478" i="1"/>
  <c r="D477" i="1"/>
  <c r="D476" i="1"/>
  <c r="D475" i="1"/>
  <c r="A475" i="1"/>
  <c r="A476" i="1" s="1"/>
  <c r="A477" i="1" s="1"/>
  <c r="A478" i="1" s="1"/>
  <c r="A479" i="1" s="1"/>
  <c r="A480" i="1" s="1"/>
  <c r="A481" i="1" s="1"/>
  <c r="A482" i="1" s="1"/>
  <c r="A483" i="1" s="1"/>
  <c r="A484" i="1" s="1"/>
  <c r="A485" i="1" s="1"/>
  <c r="D474" i="1"/>
  <c r="G469" i="1"/>
  <c r="G468" i="1"/>
  <c r="D462" i="1"/>
  <c r="D463" i="1"/>
  <c r="D464" i="1"/>
  <c r="D465" i="1"/>
  <c r="D466" i="1"/>
  <c r="D467" i="1"/>
  <c r="D468" i="1"/>
  <c r="D469" i="1"/>
  <c r="D470" i="1"/>
  <c r="D471" i="1"/>
  <c r="D472" i="1"/>
  <c r="D461" i="1"/>
  <c r="A494" i="1"/>
  <c r="A495" i="1" s="1"/>
  <c r="A496" i="1" s="1"/>
  <c r="A497" i="1" s="1"/>
  <c r="A498" i="1" s="1"/>
  <c r="A499" i="1" s="1"/>
  <c r="A500" i="1" s="1"/>
  <c r="D459" i="1"/>
  <c r="D458" i="1"/>
  <c r="D457" i="1"/>
  <c r="D456" i="1"/>
  <c r="D455" i="1"/>
  <c r="D454" i="1"/>
  <c r="D453" i="1"/>
  <c r="D452" i="1"/>
  <c r="I452" i="1"/>
  <c r="A453" i="1"/>
  <c r="A454" i="1" s="1"/>
  <c r="A455" i="1" s="1"/>
  <c r="A456" i="1" s="1"/>
  <c r="A457" i="1" s="1"/>
  <c r="A458" i="1" s="1"/>
  <c r="A459" i="1" s="1"/>
  <c r="D395" i="1"/>
  <c r="D394" i="1"/>
  <c r="D393" i="1"/>
  <c r="D392" i="1"/>
  <c r="D391" i="1"/>
  <c r="D390" i="1"/>
  <c r="I394" i="1"/>
  <c r="I390" i="1"/>
  <c r="F395" i="1"/>
  <c r="H395" i="1" s="1"/>
  <c r="F394" i="1"/>
  <c r="H394" i="1" s="1"/>
  <c r="A399" i="1"/>
  <c r="A400" i="1" s="1"/>
  <c r="A401" i="1" s="1"/>
  <c r="A402" i="1" s="1"/>
  <c r="A403" i="1" s="1"/>
  <c r="A404" i="1" s="1"/>
  <c r="C327" i="1"/>
  <c r="C313" i="1"/>
  <c r="C299" i="1"/>
  <c r="C285" i="1"/>
  <c r="C243" i="1"/>
  <c r="C229" i="1"/>
  <c r="C215" i="1"/>
  <c r="C201" i="1"/>
  <c r="C187" i="1"/>
  <c r="F503" i="1" l="1"/>
  <c r="H503" i="1" s="1"/>
  <c r="F532" i="1"/>
  <c r="H532" i="1" s="1"/>
  <c r="F499" i="1"/>
  <c r="H499" i="1" s="1"/>
  <c r="I117" i="1"/>
  <c r="C119" i="1" s="1"/>
  <c r="F548" i="1"/>
  <c r="H548" i="1" s="1"/>
  <c r="F546" i="1"/>
  <c r="H546" i="1" s="1"/>
  <c r="F533" i="1"/>
  <c r="H533" i="1" s="1"/>
  <c r="F531" i="1"/>
  <c r="H531" i="1" s="1"/>
  <c r="F530" i="1"/>
  <c r="H530" i="1" s="1"/>
  <c r="F529" i="1"/>
  <c r="H529" i="1" s="1"/>
  <c r="F489" i="1"/>
  <c r="H489" i="1" s="1"/>
  <c r="F528" i="1"/>
  <c r="H528" i="1" s="1"/>
  <c r="I89" i="1"/>
  <c r="C91" i="1" s="1"/>
  <c r="H441" i="1"/>
  <c r="G363" i="1" s="1"/>
  <c r="E363" i="1"/>
  <c r="H721" i="1"/>
  <c r="G380" i="1" s="1"/>
  <c r="E380" i="1"/>
  <c r="F470" i="1"/>
  <c r="H470" i="1" s="1"/>
  <c r="H664" i="1"/>
  <c r="G377" i="1" s="1"/>
  <c r="E377" i="1"/>
  <c r="F523" i="1"/>
  <c r="H523" i="1" s="1"/>
  <c r="C371" i="1"/>
  <c r="G374" i="1"/>
  <c r="H645" i="1"/>
  <c r="G376" i="1" s="1"/>
  <c r="E376" i="1"/>
  <c r="E374" i="1"/>
  <c r="H424" i="1"/>
  <c r="G361" i="1" s="1"/>
  <c r="E361" i="1"/>
  <c r="H627" i="1"/>
  <c r="G375" i="1" s="1"/>
  <c r="E375" i="1"/>
  <c r="G372" i="1"/>
  <c r="G373" i="1"/>
  <c r="E373" i="1"/>
  <c r="E372" i="1"/>
  <c r="F560" i="1"/>
  <c r="H560" i="1" s="1"/>
  <c r="F565" i="1"/>
  <c r="H565" i="1" s="1"/>
  <c r="F467" i="1"/>
  <c r="H467" i="1" s="1"/>
  <c r="F477" i="1"/>
  <c r="H477" i="1" s="1"/>
  <c r="F479" i="1"/>
  <c r="H479" i="1" s="1"/>
  <c r="F481" i="1"/>
  <c r="H481" i="1" s="1"/>
  <c r="F483" i="1"/>
  <c r="H483" i="1" s="1"/>
  <c r="F485" i="1"/>
  <c r="H485" i="1" s="1"/>
  <c r="G360" i="1"/>
  <c r="C369" i="1"/>
  <c r="F536" i="1"/>
  <c r="H536" i="1" s="1"/>
  <c r="F537" i="1"/>
  <c r="H537" i="1" s="1"/>
  <c r="F538" i="1"/>
  <c r="H538" i="1" s="1"/>
  <c r="F539" i="1"/>
  <c r="H539" i="1" s="1"/>
  <c r="F540" i="1"/>
  <c r="H540" i="1" s="1"/>
  <c r="F541" i="1"/>
  <c r="H541" i="1" s="1"/>
  <c r="F542" i="1"/>
  <c r="H542" i="1" s="1"/>
  <c r="F561" i="1"/>
  <c r="H561" i="1" s="1"/>
  <c r="F562" i="1"/>
  <c r="H562" i="1" s="1"/>
  <c r="F563" i="1"/>
  <c r="H563" i="1" s="1"/>
  <c r="F564" i="1"/>
  <c r="H564" i="1" s="1"/>
  <c r="F566" i="1"/>
  <c r="H566" i="1" s="1"/>
  <c r="F567" i="1"/>
  <c r="H567" i="1" s="1"/>
  <c r="F553" i="1"/>
  <c r="H553" i="1" s="1"/>
  <c r="F554" i="1"/>
  <c r="H554" i="1" s="1"/>
  <c r="F555" i="1"/>
  <c r="H555" i="1" s="1"/>
  <c r="F556" i="1"/>
  <c r="H556" i="1" s="1"/>
  <c r="F558" i="1"/>
  <c r="H558" i="1" s="1"/>
  <c r="F545" i="1"/>
  <c r="F551" i="1"/>
  <c r="H551" i="1" s="1"/>
  <c r="F488" i="1"/>
  <c r="H488" i="1" s="1"/>
  <c r="G359" i="1"/>
  <c r="C360" i="1"/>
  <c r="F476" i="1"/>
  <c r="H476" i="1" s="1"/>
  <c r="F478" i="1"/>
  <c r="H478" i="1" s="1"/>
  <c r="F480" i="1"/>
  <c r="H480" i="1" s="1"/>
  <c r="F482" i="1"/>
  <c r="H482" i="1" s="1"/>
  <c r="F484" i="1"/>
  <c r="H484" i="1" s="1"/>
  <c r="E360" i="1"/>
  <c r="F552" i="1"/>
  <c r="H552" i="1" s="1"/>
  <c r="F557" i="1"/>
  <c r="H557" i="1" s="1"/>
  <c r="F549" i="1"/>
  <c r="H549" i="1" s="1"/>
  <c r="F547" i="1"/>
  <c r="H547" i="1" s="1"/>
  <c r="E359" i="1"/>
  <c r="C357" i="1"/>
  <c r="F452" i="1"/>
  <c r="H452" i="1" s="1"/>
  <c r="F456" i="1"/>
  <c r="H456" i="1" s="1"/>
  <c r="F471" i="1"/>
  <c r="H471" i="1" s="1"/>
  <c r="F469" i="1"/>
  <c r="H469" i="1" s="1"/>
  <c r="F474" i="1"/>
  <c r="H474" i="1" s="1"/>
  <c r="C358" i="1"/>
  <c r="C368" i="1"/>
  <c r="F457" i="1"/>
  <c r="H457" i="1" s="1"/>
  <c r="F453" i="1"/>
  <c r="H453" i="1" s="1"/>
  <c r="F493" i="1"/>
  <c r="H493" i="1" s="1"/>
  <c r="F505" i="1"/>
  <c r="H505" i="1" s="1"/>
  <c r="F507" i="1"/>
  <c r="H507" i="1" s="1"/>
  <c r="F535" i="1"/>
  <c r="H535" i="1" s="1"/>
  <c r="F527" i="1"/>
  <c r="C370" i="1"/>
  <c r="C359" i="1"/>
  <c r="F500" i="1"/>
  <c r="H500" i="1" s="1"/>
  <c r="F472" i="1"/>
  <c r="H472" i="1" s="1"/>
  <c r="F512" i="1"/>
  <c r="F513" i="1"/>
  <c r="H513" i="1" s="1"/>
  <c r="F517" i="1"/>
  <c r="H517" i="1" s="1"/>
  <c r="F524" i="1"/>
  <c r="H524" i="1" s="1"/>
  <c r="F522" i="1"/>
  <c r="H522" i="1" s="1"/>
  <c r="F520" i="1"/>
  <c r="H520" i="1" s="1"/>
  <c r="F518" i="1"/>
  <c r="H518" i="1" s="1"/>
  <c r="C367" i="1"/>
  <c r="F502" i="1"/>
  <c r="H502" i="1" s="1"/>
  <c r="F506" i="1"/>
  <c r="H506" i="1" s="1"/>
  <c r="F455" i="1"/>
  <c r="H455" i="1" s="1"/>
  <c r="F459" i="1"/>
  <c r="H459" i="1" s="1"/>
  <c r="F465" i="1"/>
  <c r="H465" i="1" s="1"/>
  <c r="F475" i="1"/>
  <c r="H475" i="1" s="1"/>
  <c r="F468" i="1"/>
  <c r="H468" i="1" s="1"/>
  <c r="F466" i="1"/>
  <c r="H466" i="1" s="1"/>
  <c r="F458" i="1"/>
  <c r="H458" i="1" s="1"/>
  <c r="F490" i="1"/>
  <c r="H490" i="1" s="1"/>
  <c r="F498" i="1"/>
  <c r="H498" i="1" s="1"/>
  <c r="F496" i="1"/>
  <c r="H496" i="1" s="1"/>
  <c r="F494" i="1"/>
  <c r="H494" i="1" s="1"/>
  <c r="F521" i="1"/>
  <c r="H521" i="1" s="1"/>
  <c r="F519" i="1"/>
  <c r="H519" i="1" s="1"/>
  <c r="F514" i="1"/>
  <c r="H514" i="1" s="1"/>
  <c r="G358" i="1"/>
  <c r="F504" i="1"/>
  <c r="H504" i="1" s="1"/>
  <c r="F508" i="1"/>
  <c r="H508" i="1" s="1"/>
  <c r="F497" i="1"/>
  <c r="H497" i="1" s="1"/>
  <c r="F495" i="1"/>
  <c r="H495" i="1" s="1"/>
  <c r="F454" i="1"/>
  <c r="H454" i="1" s="1"/>
  <c r="E358" i="1"/>
  <c r="H545" i="1" l="1"/>
  <c r="G371" i="1" s="1"/>
  <c r="E371" i="1"/>
  <c r="C382" i="1"/>
  <c r="H527" i="1"/>
  <c r="G370" i="1" s="1"/>
  <c r="E370" i="1"/>
  <c r="C364" i="1"/>
  <c r="H512" i="1"/>
  <c r="G369" i="1" s="1"/>
  <c r="E369" i="1"/>
  <c r="G368" i="1"/>
  <c r="E368" i="1"/>
  <c r="F390" i="1" l="1"/>
  <c r="H390" i="1" s="1"/>
  <c r="E31" i="1" l="1"/>
  <c r="E26" i="1"/>
  <c r="F461" i="1" l="1"/>
  <c r="H461"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I42" i="7" s="1"/>
  <c r="H42" i="7" s="1"/>
  <c r="E6" i="7"/>
  <c r="L42" i="7" l="1"/>
  <c r="K42" i="7" s="1"/>
  <c r="E42" i="7"/>
  <c r="D42" i="7"/>
  <c r="D44" i="7" s="1"/>
  <c r="E44" i="7"/>
  <c r="B791" i="1" l="1"/>
  <c r="F391" i="1" l="1"/>
  <c r="F392" i="1"/>
  <c r="H392" i="1" s="1"/>
  <c r="F393" i="1"/>
  <c r="H393" i="1" s="1"/>
  <c r="H391" i="1" l="1"/>
  <c r="G357" i="1" s="1"/>
  <c r="G364" i="1" s="1"/>
  <c r="E357" i="1"/>
  <c r="E364" i="1" s="1"/>
  <c r="G60" i="1"/>
  <c r="C60" i="1"/>
  <c r="S33" i="1" l="1"/>
  <c r="F11" i="5" l="1"/>
  <c r="G11" i="5" s="1"/>
  <c r="F10" i="5"/>
  <c r="G10" i="5" s="1"/>
  <c r="F9" i="5"/>
  <c r="G9" i="5" s="1"/>
  <c r="F8" i="5"/>
  <c r="G8" i="5" s="1"/>
  <c r="F7" i="5"/>
  <c r="G7" i="5" s="1"/>
  <c r="F6" i="5"/>
  <c r="G6" i="5" s="1"/>
  <c r="F5" i="5"/>
  <c r="G5" i="5" s="1"/>
  <c r="G12" i="5" s="1"/>
  <c r="D814" i="1"/>
  <c r="B792" i="1"/>
  <c r="F788" i="1"/>
  <c r="H788" i="1" s="1"/>
  <c r="F787" i="1"/>
  <c r="H787" i="1" s="1"/>
  <c r="F786" i="1"/>
  <c r="H786" i="1" s="1"/>
  <c r="F785" i="1"/>
  <c r="H785" i="1" s="1"/>
  <c r="F784" i="1"/>
  <c r="H784" i="1" s="1"/>
  <c r="F782" i="1"/>
  <c r="H782" i="1" s="1"/>
  <c r="F781" i="1"/>
  <c r="H781" i="1" s="1"/>
  <c r="F780" i="1"/>
  <c r="H780" i="1" s="1"/>
  <c r="F779" i="1"/>
  <c r="H779" i="1" s="1"/>
  <c r="F778" i="1"/>
  <c r="H778" i="1" s="1"/>
  <c r="F776" i="1"/>
  <c r="H776" i="1" s="1"/>
  <c r="F775" i="1"/>
  <c r="H775" i="1" s="1"/>
  <c r="F774" i="1"/>
  <c r="H774" i="1" s="1"/>
  <c r="F773" i="1"/>
  <c r="H773" i="1" s="1"/>
  <c r="F772" i="1"/>
  <c r="H772" i="1" s="1"/>
  <c r="F770" i="1"/>
  <c r="H770" i="1" s="1"/>
  <c r="F769" i="1"/>
  <c r="H769" i="1" s="1"/>
  <c r="F768" i="1"/>
  <c r="H768" i="1" s="1"/>
  <c r="F767" i="1"/>
  <c r="H767" i="1" s="1"/>
  <c r="F766" i="1"/>
  <c r="H766" i="1" s="1"/>
  <c r="A766" i="1"/>
  <c r="A767" i="1" s="1"/>
  <c r="A768" i="1" s="1"/>
  <c r="A769" i="1" s="1"/>
  <c r="A770" i="1" s="1"/>
  <c r="F464" i="1"/>
  <c r="H464" i="1" s="1"/>
  <c r="F463" i="1"/>
  <c r="H463" i="1" s="1"/>
  <c r="F462" i="1"/>
  <c r="A462" i="1"/>
  <c r="A463" i="1" s="1"/>
  <c r="A464" i="1" s="1"/>
  <c r="A465" i="1" s="1"/>
  <c r="A466" i="1" s="1"/>
  <c r="A467" i="1" s="1"/>
  <c r="A468" i="1" s="1"/>
  <c r="A469" i="1" s="1"/>
  <c r="A470" i="1" s="1"/>
  <c r="A471" i="1" s="1"/>
  <c r="A472" i="1" s="1"/>
  <c r="A391" i="1"/>
  <c r="A392" i="1" s="1"/>
  <c r="A393" i="1" s="1"/>
  <c r="A394" i="1" s="1"/>
  <c r="A395" i="1" s="1"/>
  <c r="C383" i="1"/>
  <c r="F354" i="1"/>
  <c r="C131" i="1"/>
  <c r="B132" i="1" s="1"/>
  <c r="G51" i="1"/>
  <c r="C51" i="1"/>
  <c r="E44" i="1"/>
  <c r="E45" i="1" s="1"/>
  <c r="E28" i="1"/>
  <c r="C16" i="1"/>
  <c r="I15" i="1"/>
  <c r="Z13" i="1"/>
  <c r="E8" i="1"/>
  <c r="E3" i="1"/>
  <c r="D83" i="1" s="1"/>
  <c r="H132" i="1"/>
  <c r="A778" i="1"/>
  <c r="A784" i="1"/>
  <c r="A772" i="1"/>
  <c r="H462" i="1" l="1"/>
  <c r="G367" i="1" s="1"/>
  <c r="G382" i="1" s="1"/>
  <c r="G383" i="1" s="1"/>
  <c r="E367" i="1"/>
  <c r="E382" i="1" s="1"/>
  <c r="E383" i="1" s="1"/>
  <c r="J131" i="1"/>
  <c r="J133" i="1" s="1"/>
  <c r="J134" i="1"/>
  <c r="J135" i="1"/>
  <c r="J136" i="1"/>
  <c r="C135" i="1" s="1"/>
  <c r="D139" i="1"/>
  <c r="D141" i="1"/>
  <c r="D140" i="1"/>
  <c r="D144" i="1"/>
  <c r="D138" i="1"/>
  <c r="D143" i="1"/>
  <c r="D137" i="1"/>
  <c r="D142" i="1"/>
  <c r="J137" i="1"/>
  <c r="A773" i="1"/>
  <c r="A785" i="1"/>
  <c r="A779" i="1"/>
  <c r="D135" i="1" l="1"/>
  <c r="J141" i="1"/>
  <c r="J139" i="1"/>
  <c r="J140" i="1"/>
  <c r="J138" i="1"/>
  <c r="J143" i="1" s="1"/>
  <c r="J142" i="1"/>
  <c r="A780" i="1"/>
  <c r="A774" i="1"/>
  <c r="A786" i="1"/>
  <c r="J144" i="1" l="1"/>
  <c r="C136" i="1" s="1"/>
  <c r="G135" i="1" s="1"/>
  <c r="D87" i="1" s="1"/>
  <c r="B146" i="1"/>
  <c r="A781" i="1"/>
  <c r="H146" i="1"/>
  <c r="A775" i="1"/>
  <c r="A787" i="1"/>
  <c r="D136" i="1" l="1"/>
  <c r="I132" i="1" s="1"/>
  <c r="I133" i="1" s="1"/>
  <c r="E135" i="1"/>
  <c r="J132" i="1"/>
  <c r="J148" i="1"/>
  <c r="D158" i="1"/>
  <c r="D152" i="1"/>
  <c r="J150" i="1"/>
  <c r="C149" i="1" s="1"/>
  <c r="D156" i="1"/>
  <c r="J145" i="1"/>
  <c r="J147" i="1" s="1"/>
  <c r="D153" i="1"/>
  <c r="D157" i="1"/>
  <c r="D151" i="1"/>
  <c r="D155" i="1"/>
  <c r="J149" i="1"/>
  <c r="D154" i="1"/>
  <c r="J151" i="1"/>
  <c r="J156" i="1"/>
  <c r="J155" i="1"/>
  <c r="J154" i="1"/>
  <c r="J153" i="1"/>
  <c r="F88" i="1"/>
  <c r="D88" i="1"/>
  <c r="A782" i="1"/>
  <c r="A776" i="1"/>
  <c r="A788" i="1"/>
  <c r="J152" i="1" l="1"/>
  <c r="J157" i="1" s="1"/>
  <c r="J158" i="1" s="1"/>
  <c r="C150" i="1" s="1"/>
  <c r="D150" i="1" s="1"/>
  <c r="I131" i="1"/>
  <c r="C133" i="1" s="1"/>
  <c r="B174" i="1"/>
  <c r="B188" i="1"/>
  <c r="B202" i="1"/>
  <c r="B160" i="1"/>
  <c r="D149" i="1"/>
  <c r="H174" i="1"/>
  <c r="H188" i="1"/>
  <c r="H202" i="1"/>
  <c r="H160" i="1"/>
  <c r="E149" i="1" l="1"/>
  <c r="G149" i="1"/>
  <c r="D200" i="1"/>
  <c r="D199" i="1"/>
  <c r="D198" i="1"/>
  <c r="D197" i="1"/>
  <c r="D196" i="1"/>
  <c r="D195" i="1"/>
  <c r="D194" i="1"/>
  <c r="D193" i="1"/>
  <c r="J191" i="1"/>
  <c r="J192" i="1"/>
  <c r="C191" i="1" s="1"/>
  <c r="D191" i="1" s="1"/>
  <c r="J190" i="1"/>
  <c r="J187" i="1"/>
  <c r="J189" i="1" s="1"/>
  <c r="J206" i="1"/>
  <c r="C205" i="1" s="1"/>
  <c r="D205" i="1" s="1"/>
  <c r="J204" i="1"/>
  <c r="J201" i="1"/>
  <c r="J203" i="1" s="1"/>
  <c r="D214" i="1"/>
  <c r="D213" i="1"/>
  <c r="D212" i="1"/>
  <c r="D211" i="1"/>
  <c r="D210" i="1"/>
  <c r="D209" i="1"/>
  <c r="D208" i="1"/>
  <c r="D207" i="1"/>
  <c r="J205" i="1"/>
  <c r="J178" i="1"/>
  <c r="J176" i="1"/>
  <c r="J173" i="1"/>
  <c r="J175" i="1" s="1"/>
  <c r="D185" i="1"/>
  <c r="D183" i="1"/>
  <c r="D181" i="1"/>
  <c r="D179" i="1"/>
  <c r="J177" i="1"/>
  <c r="D186" i="1"/>
  <c r="D184" i="1"/>
  <c r="D182" i="1"/>
  <c r="D180" i="1"/>
  <c r="J212" i="1"/>
  <c r="J211" i="1"/>
  <c r="J210" i="1"/>
  <c r="J209" i="1"/>
  <c r="J207" i="1"/>
  <c r="J208" i="1" s="1"/>
  <c r="J213" i="1" s="1"/>
  <c r="J214" i="1" s="1"/>
  <c r="C206" i="1" s="1"/>
  <c r="J184" i="1"/>
  <c r="J183" i="1"/>
  <c r="J182" i="1"/>
  <c r="J181" i="1"/>
  <c r="J179" i="1"/>
  <c r="J198" i="1"/>
  <c r="J197" i="1"/>
  <c r="J196" i="1"/>
  <c r="J195" i="1"/>
  <c r="J193" i="1"/>
  <c r="J194" i="1" s="1"/>
  <c r="J199" i="1" s="1"/>
  <c r="J200" i="1" s="1"/>
  <c r="C192" i="1" s="1"/>
  <c r="J162" i="1"/>
  <c r="D171" i="1"/>
  <c r="J164" i="1"/>
  <c r="D170" i="1"/>
  <c r="D169" i="1"/>
  <c r="J163" i="1"/>
  <c r="J159" i="1"/>
  <c r="J161" i="1" s="1"/>
  <c r="D167" i="1"/>
  <c r="D172" i="1"/>
  <c r="D166" i="1"/>
  <c r="D165" i="1"/>
  <c r="D168" i="1"/>
  <c r="I146" i="1"/>
  <c r="I147" i="1" s="1"/>
  <c r="J169" i="1"/>
  <c r="J167" i="1"/>
  <c r="J165" i="1"/>
  <c r="J170" i="1"/>
  <c r="J168" i="1"/>
  <c r="J146" i="1"/>
  <c r="J180" i="1" l="1"/>
  <c r="J185" i="1" s="1"/>
  <c r="J186" i="1" s="1"/>
  <c r="C178" i="1" s="1"/>
  <c r="D178" i="1" s="1"/>
  <c r="J166" i="1"/>
  <c r="J171" i="1" s="1"/>
  <c r="J172" i="1" s="1"/>
  <c r="C164" i="1" s="1"/>
  <c r="E163" i="1" s="1"/>
  <c r="D163" i="1"/>
  <c r="D177" i="1"/>
  <c r="B230" i="1"/>
  <c r="B216" i="1"/>
  <c r="B244" i="1"/>
  <c r="E191" i="1"/>
  <c r="D192" i="1"/>
  <c r="I188" i="1" s="1"/>
  <c r="I189" i="1" s="1"/>
  <c r="E205" i="1"/>
  <c r="D206" i="1"/>
  <c r="I202" i="1" s="1"/>
  <c r="I203" i="1" s="1"/>
  <c r="G205" i="1"/>
  <c r="J202" i="1"/>
  <c r="G191" i="1"/>
  <c r="J188" i="1"/>
  <c r="I145" i="1"/>
  <c r="C147" i="1" s="1"/>
  <c r="H230" i="1"/>
  <c r="H216" i="1"/>
  <c r="H244" i="1"/>
  <c r="J174" i="1" l="1"/>
  <c r="G163" i="1"/>
  <c r="E177" i="1"/>
  <c r="J160" i="1"/>
  <c r="G177" i="1"/>
  <c r="D164" i="1"/>
  <c r="I160" i="1" s="1"/>
  <c r="I161" i="1" s="1"/>
  <c r="I174" i="1"/>
  <c r="I175" i="1" s="1"/>
  <c r="I201" i="1"/>
  <c r="C203" i="1" s="1"/>
  <c r="I187" i="1"/>
  <c r="C189" i="1" s="1"/>
  <c r="D242" i="1"/>
  <c r="D241" i="1"/>
  <c r="D240" i="1"/>
  <c r="D239" i="1"/>
  <c r="D238" i="1"/>
  <c r="D237" i="1"/>
  <c r="D236" i="1"/>
  <c r="D235" i="1"/>
  <c r="J233" i="1"/>
  <c r="J234" i="1"/>
  <c r="C233" i="1" s="1"/>
  <c r="D233" i="1" s="1"/>
  <c r="J232" i="1"/>
  <c r="J229" i="1"/>
  <c r="J231" i="1" s="1"/>
  <c r="J248" i="1"/>
  <c r="C247" i="1" s="1"/>
  <c r="D247" i="1" s="1"/>
  <c r="J246" i="1"/>
  <c r="J243" i="1"/>
  <c r="J245" i="1" s="1"/>
  <c r="D256" i="1"/>
  <c r="D255" i="1"/>
  <c r="D254" i="1"/>
  <c r="D253" i="1"/>
  <c r="D252" i="1"/>
  <c r="D251" i="1"/>
  <c r="D250" i="1"/>
  <c r="D249" i="1"/>
  <c r="J247" i="1"/>
  <c r="J220" i="1"/>
  <c r="C219" i="1" s="1"/>
  <c r="D219" i="1" s="1"/>
  <c r="J218" i="1"/>
  <c r="J215" i="1"/>
  <c r="J217" i="1" s="1"/>
  <c r="D227" i="1"/>
  <c r="D225" i="1"/>
  <c r="D223" i="1"/>
  <c r="D221" i="1"/>
  <c r="J219" i="1"/>
  <c r="D228" i="1"/>
  <c r="D226" i="1"/>
  <c r="D224" i="1"/>
  <c r="D222" i="1"/>
  <c r="J254" i="1"/>
  <c r="J253" i="1"/>
  <c r="J252" i="1"/>
  <c r="J251" i="1"/>
  <c r="J249" i="1"/>
  <c r="J250" i="1" s="1"/>
  <c r="J255" i="1" s="1"/>
  <c r="J256" i="1" s="1"/>
  <c r="C248" i="1" s="1"/>
  <c r="J226" i="1"/>
  <c r="J225" i="1"/>
  <c r="J224" i="1"/>
  <c r="J223" i="1"/>
  <c r="J221" i="1"/>
  <c r="J222" i="1" s="1"/>
  <c r="J227" i="1" s="1"/>
  <c r="J228" i="1" s="1"/>
  <c r="C220" i="1" s="1"/>
  <c r="J240" i="1"/>
  <c r="J239" i="1"/>
  <c r="J238" i="1"/>
  <c r="J237" i="1"/>
  <c r="J235" i="1"/>
  <c r="J236" i="1" s="1"/>
  <c r="J241" i="1" s="1"/>
  <c r="J242" i="1" s="1"/>
  <c r="C234" i="1" s="1"/>
  <c r="I173" i="1" l="1"/>
  <c r="C175" i="1" s="1"/>
  <c r="I159" i="1"/>
  <c r="C161" i="1" s="1"/>
  <c r="B286" i="1"/>
  <c r="B258" i="1"/>
  <c r="B300" i="1"/>
  <c r="E219" i="1"/>
  <c r="D220" i="1"/>
  <c r="I216" i="1" s="1"/>
  <c r="E233" i="1"/>
  <c r="D234" i="1"/>
  <c r="I230" i="1" s="1"/>
  <c r="I231" i="1" s="1"/>
  <c r="E247" i="1"/>
  <c r="D248" i="1"/>
  <c r="I244" i="1" s="1"/>
  <c r="I245" i="1" s="1"/>
  <c r="G219" i="1"/>
  <c r="J216" i="1"/>
  <c r="G247" i="1"/>
  <c r="J244" i="1"/>
  <c r="G233" i="1"/>
  <c r="J230" i="1"/>
  <c r="H258" i="1"/>
  <c r="H286" i="1"/>
  <c r="H300" i="1"/>
  <c r="I243" i="1" l="1"/>
  <c r="C245" i="1" s="1"/>
  <c r="I229" i="1"/>
  <c r="C231" i="1" s="1"/>
  <c r="I217" i="1"/>
  <c r="I215" i="1" s="1"/>
  <c r="C217" i="1" s="1"/>
  <c r="D298" i="1"/>
  <c r="D297" i="1"/>
  <c r="D296" i="1"/>
  <c r="D295" i="1"/>
  <c r="D294" i="1"/>
  <c r="D293" i="1"/>
  <c r="D292" i="1"/>
  <c r="D291" i="1"/>
  <c r="J289" i="1"/>
  <c r="J290" i="1"/>
  <c r="C289" i="1" s="1"/>
  <c r="D289" i="1" s="1"/>
  <c r="J288" i="1"/>
  <c r="J285" i="1"/>
  <c r="J287" i="1" s="1"/>
  <c r="J304" i="1"/>
  <c r="J302" i="1"/>
  <c r="J299" i="1"/>
  <c r="J301" i="1" s="1"/>
  <c r="D312" i="1"/>
  <c r="D311" i="1"/>
  <c r="D310" i="1"/>
  <c r="D309" i="1"/>
  <c r="D308" i="1"/>
  <c r="D307" i="1"/>
  <c r="D306" i="1"/>
  <c r="D305" i="1"/>
  <c r="J303" i="1"/>
  <c r="J262" i="1"/>
  <c r="C261" i="1" s="1"/>
  <c r="D261" i="1" s="1"/>
  <c r="J260" i="1"/>
  <c r="J257" i="1"/>
  <c r="J259" i="1" s="1"/>
  <c r="D270" i="1"/>
  <c r="D269" i="1"/>
  <c r="D268" i="1"/>
  <c r="D267" i="1"/>
  <c r="D266" i="1"/>
  <c r="D265" i="1"/>
  <c r="D264" i="1"/>
  <c r="D263" i="1"/>
  <c r="J261" i="1"/>
  <c r="J310" i="1"/>
  <c r="J309" i="1"/>
  <c r="J308" i="1"/>
  <c r="J307" i="1"/>
  <c r="J305" i="1"/>
  <c r="J306" i="1" s="1"/>
  <c r="J311" i="1" s="1"/>
  <c r="J312" i="1" s="1"/>
  <c r="C304" i="1" s="1"/>
  <c r="J268" i="1"/>
  <c r="J267" i="1"/>
  <c r="J266" i="1"/>
  <c r="J265" i="1"/>
  <c r="J263" i="1"/>
  <c r="J264" i="1" s="1"/>
  <c r="J269" i="1" s="1"/>
  <c r="J296" i="1"/>
  <c r="J295" i="1"/>
  <c r="J294" i="1"/>
  <c r="J293" i="1"/>
  <c r="J291" i="1"/>
  <c r="C303" i="1" l="1"/>
  <c r="D303" i="1" s="1"/>
  <c r="J300" i="1" s="1"/>
  <c r="J292" i="1"/>
  <c r="J297" i="1" s="1"/>
  <c r="J270" i="1"/>
  <c r="E261" i="1"/>
  <c r="B328" i="1"/>
  <c r="B314" i="1"/>
  <c r="E303" i="1"/>
  <c r="D304" i="1"/>
  <c r="H328" i="1"/>
  <c r="H314" i="1"/>
  <c r="G303" i="1" l="1"/>
  <c r="I300" i="1"/>
  <c r="I301" i="1" s="1"/>
  <c r="I299" i="1" s="1"/>
  <c r="C301" i="1" s="1"/>
  <c r="J298" i="1"/>
  <c r="C290" i="1" s="1"/>
  <c r="E289" i="1" s="1"/>
  <c r="J258" i="1"/>
  <c r="D262" i="1"/>
  <c r="I258" i="1" s="1"/>
  <c r="I259" i="1" s="1"/>
  <c r="G261" i="1"/>
  <c r="D340" i="1"/>
  <c r="D339" i="1"/>
  <c r="D338" i="1"/>
  <c r="D337" i="1"/>
  <c r="D336" i="1"/>
  <c r="D335" i="1"/>
  <c r="D334" i="1"/>
  <c r="D333" i="1"/>
  <c r="J331" i="1"/>
  <c r="J332" i="1"/>
  <c r="D331" i="1" s="1"/>
  <c r="J330" i="1"/>
  <c r="J327" i="1"/>
  <c r="J329" i="1" s="1"/>
  <c r="J318" i="1"/>
  <c r="D317" i="1" s="1"/>
  <c r="J316" i="1"/>
  <c r="J313" i="1"/>
  <c r="J315" i="1" s="1"/>
  <c r="D325" i="1"/>
  <c r="D323" i="1"/>
  <c r="D321" i="1"/>
  <c r="D319" i="1"/>
  <c r="J317" i="1"/>
  <c r="D326" i="1"/>
  <c r="D324" i="1"/>
  <c r="D322" i="1"/>
  <c r="D320" i="1"/>
  <c r="J324" i="1"/>
  <c r="J323" i="1"/>
  <c r="J322" i="1"/>
  <c r="J321" i="1"/>
  <c r="J319" i="1"/>
  <c r="J320" i="1" s="1"/>
  <c r="J325" i="1" s="1"/>
  <c r="J326" i="1" s="1"/>
  <c r="J338" i="1"/>
  <c r="J337" i="1"/>
  <c r="J336" i="1"/>
  <c r="J335" i="1"/>
  <c r="J333" i="1"/>
  <c r="J334" i="1" s="1"/>
  <c r="J339" i="1" s="1"/>
  <c r="J340" i="1" s="1"/>
  <c r="G289" i="1" l="1"/>
  <c r="D290" i="1"/>
  <c r="I286" i="1" s="1"/>
  <c r="I287" i="1" s="1"/>
  <c r="J286" i="1"/>
  <c r="I257" i="1"/>
  <c r="C259" i="1" s="1"/>
  <c r="E317" i="1"/>
  <c r="D318" i="1"/>
  <c r="I314" i="1" s="1"/>
  <c r="I315" i="1" s="1"/>
  <c r="E331" i="1"/>
  <c r="D332" i="1"/>
  <c r="I328" i="1" s="1"/>
  <c r="I329" i="1" s="1"/>
  <c r="G317" i="1"/>
  <c r="J314" i="1"/>
  <c r="G331" i="1"/>
  <c r="J328" i="1"/>
  <c r="I285" i="1" l="1"/>
  <c r="C287" i="1" s="1"/>
  <c r="I327" i="1"/>
  <c r="C329" i="1" s="1"/>
  <c r="I313" i="1"/>
  <c r="C31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Survey Nos.</t>
        </r>
      </text>
    </comment>
    <comment ref="C61" authorId="1" shapeId="0">
      <text>
        <r>
          <rPr>
            <b/>
            <sz val="9"/>
            <color indexed="81"/>
            <rFont val="Tahoma"/>
            <family val="2"/>
          </rPr>
          <t>SACHIN:</t>
        </r>
        <r>
          <rPr>
            <sz val="9"/>
            <color indexed="81"/>
            <rFont val="Tahoma"/>
            <family val="2"/>
          </rPr>
          <t xml:space="preserve">
Height from AMSL</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346"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44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<sst xmlns="http://schemas.openxmlformats.org/spreadsheetml/2006/main" count="1642" uniqueCount="437">
  <si>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</si>
  <si>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</si>
  <si>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</si>
  <si>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</si>
  <si>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</si>
  <si>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</si>
  <si>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</si>
  <si>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</si>
  <si>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</si>
  <si>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</si>
  <si>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</si>
  <si>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</si>
  <si>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</si>
  <si>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</si>
  <si>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</si>
  <si>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</si>
  <si>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</si>
  <si>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</si>
  <si>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</si>
  <si>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</si>
  <si>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</si>
  <si>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</si>
  <si>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</si>
  <si>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</si>
  <si>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</si>
  <si>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</si>
  <si>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</si>
  <si>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</si>
  <si>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</si>
  <si>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</si>
  <si>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</si>
  <si>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</si>
  <si>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</si>
  <si>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</si>
  <si>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</si>
  <si>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</si>
  <si>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</si>
  <si>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</si>
  <si>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</si>
  <si>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</si>
  <si>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</si>
  <si>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</si>
  <si>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</si>
  <si>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</si>
  <si>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</si>
  <si>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</si>
  <si>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</si>
  <si>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</si>
  <si>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</si>
  <si>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</si>
  <si>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</si>
  <si>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</si>
  <si>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</si>
  <si>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</si>
  <si>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</si>
  <si>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</si>
  <si>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</si>
  <si>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</si>
  <si>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</si>
  <si>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</si>
  <si>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</si>
  <si>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</si>
  <si>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</si>
  <si>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</si>
  <si>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</si>
  <si>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</si>
  <si>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</si>
  <si>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</si>
  <si>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</si>
  <si>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</si>
  <si>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</si>
  <si>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</si>
  <si>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</si>
  <si>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</si>
  <si>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</si>
  <si>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</si>
  <si>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</si>
  <si>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</si>
  <si>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</si>
  <si>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</si>
  <si>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</si>
  <si>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</si>
  <si>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</si>
  <si>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</si>
  <si>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</si>
  <si>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</si>
  <si>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</si>
  <si>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</si>
  <si>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</si>
  <si>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</si>
  <si>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</si>
  <si>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</si>
  <si>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</si>
  <si>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</si>
  <si>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</si>
  <si>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</si>
  <si>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</si>
  <si>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</si>
  <si>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</si>
  <si>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</si>
  <si>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</si>
  <si>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</si>
  <si>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</si>
  <si>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</si>
  <si>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</si>
  <si>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</si>
  <si>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</si>
  <si>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</si>
  <si>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</si>
  <si>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</si>
  <si>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</si>
  <si>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</si>
  <si>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</si>
  <si>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</si>
  <si>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</si>
  <si>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</si>
  <si>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</si>
  <si>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</si>
  <si>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</si>
  <si>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</si>
  <si>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</si>
  <si>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</si>
  <si>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</si>
  <si>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</si>
  <si>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</si>
  <si>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</si>
  <si>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</si>
  <si>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</si>
  <si>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</si>
  <si>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</si>
  <si>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</si>
  <si>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</si>
  <si>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</si>
  <si>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</si>
  <si>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</si>
  <si>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</si>
  <si>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</si>
  <si>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</si>
  <si>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</si>
  <si>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</si>
  <si>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</si>
  <si>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</si>
  <si>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</si>
  <si>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</si>
  <si>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</si>
  <si>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</si>
  <si>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</si>
  <si>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</si>
  <si>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</si>
  <si>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</si>
  <si>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</si>
  <si>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</si>
  <si>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</si>
  <si>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</si>
  <si>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</si>
  <si>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</si>
  <si>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</si>
  <si>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</si>
  <si>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</si>
  <si>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</si>
  <si>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</si>
  <si>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</si>
  <si>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</si>
  <si>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</si>
  <si>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</si>
  <si>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</si>
  <si>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</si>
  <si>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</si>
  <si>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</si>
  <si>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</si>
  <si>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</si>
  <si>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</si>
  <si>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</si>
  <si>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</si>
  <si>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</si>
  <si>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</si>
  <si>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</si>
  <si>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</si>
  <si>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</si>
  <si>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</si>
  <si>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</si>
  <si>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</si>
  <si>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</si>
  <si>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</si>
  <si>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</si>
  <si>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</si>
  <si>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</si>
  <si>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</si>
  <si>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</si>
  <si>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</si>
  <si>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</si>
  <si>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</si>
  <si>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</si>
  <si>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</si>
  <si>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</si>
  <si>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</si>
  <si>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</si>
  <si>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</si>
  <si>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</si>
  <si>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</si>
  <si>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</si>
  <si>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</si>
  <si>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</si>
  <si>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</si>
  <si>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</si>
  <si>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</si>
  <si>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</si>
  <si>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</si>
  <si>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</si>
  <si>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</si>
  <si>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</si>
  <si>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</si>
  <si>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</si>
  <si>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</si>
  <si>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</si>
  <si>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</si>
  <si>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</si>
  <si>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</si>
  <si>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</si>
  <si>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</si>
  <si>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</si>
  <si>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</si>
  <si>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</si>
  <si>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</si>
  <si>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</si>
  <si>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</si>
  <si>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</si>
  <si>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</si>
  <si>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</si>
  <si>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</si>
  <si>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</si>
  <si>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</si>
  <si>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</si>
  <si>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</si>
  <si>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</si>
  <si>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</si>
  <si>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</si>
  <si>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</si>
  <si>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</si>
  <si>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</si>
  <si>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</si>
  <si>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</si>
  <si>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</si>
  <si>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</si>
  <si>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</si>
  <si>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</si>
  <si>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</si>
  <si>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</si>
  <si>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</si>
  <si>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</si>
  <si>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</si>
  <si>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</si>
  <si>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</si>
  <si>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</si>
  <si>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</si>
  <si>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</si>
  <si>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</si>
  <si>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</si>
  <si>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</si>
  <si>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</si>
  <si>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</si>
  <si>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</si>
  <si>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</si>
  <si>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</si>
  <si>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</si>
  <si>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</si>
  <si>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</si>
  <si>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</si>
  <si>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</si>
  <si>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</si>
  <si>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</si>
  <si>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</si>
  <si>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</si>
  <si>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</si>
  <si>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</si>
  <si>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</si>
  <si>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</si>
  <si>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</si>
  <si>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</si>
  <si>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</si>
  <si>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</si>
  <si>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</si>
  <si>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</si>
  <si>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</si>
  <si>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</si>
  <si>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</si>
  <si>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</si>
  <si>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</si>
  <si>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</si>
  <si>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</si>
  <si>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</si>
  <si>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</si>
  <si>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</si>
  <si>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</si>
  <si>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</si>
  <si>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</si>
  <si>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</si>
  <si>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</si>
  <si>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</si>
  <si>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</si>
  <si>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</si>
  <si>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</si>
  <si>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</si>
  <si>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</si>
  <si>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</si>
  <si>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</si>
  <si>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</si>
  <si>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</si>
  <si>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</si>
  <si>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</si>
  <si>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</si>
  <si>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</si>
  <si>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</si>
  <si>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</si>
  <si>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</si>
  <si>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</si>
  <si>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</si>
  <si>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</si>
  <si>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</si>
  <si>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</si>
  <si>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</si>
  <si>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</si>
  <si>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</si>
  <si>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</si>
  <si>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</si>
  <si>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</si>
  <si>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</si>
  <si>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</si>
  <si>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</si>
  <si>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</si>
  <si>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</si>
  <si>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</si>
  <si>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</si>
  <si>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</si>
  <si>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</si>
  <si>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</si>
  <si>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</si>
  <si>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</si>
  <si>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P51700056465</t>
  </si>
  <si>
    <t>Sun Home</t>
  </si>
  <si>
    <t>Shubharambh Phase I</t>
  </si>
  <si>
    <t>Pradeep Jaisingh  8600464748</t>
  </si>
  <si>
    <t>Building No.07 to 21</t>
  </si>
  <si>
    <t>S No.125</t>
  </si>
  <si>
    <t>S No.125/6 B / S No.126/1 A</t>
  </si>
  <si>
    <t>Other Plot</t>
  </si>
  <si>
    <t>Open Plot</t>
  </si>
  <si>
    <t>Open Plot/ Internal Road</t>
  </si>
  <si>
    <t>Titwala-Goveli Road</t>
  </si>
  <si>
    <t>Titwala</t>
  </si>
  <si>
    <t>Maharashtra Housing And Area Development Authority</t>
  </si>
  <si>
    <t>EE/BP/PMAY/A/MHADA/875/2023</t>
  </si>
  <si>
    <t>EE/BP/PMAY/A/MHADA/922/2023</t>
  </si>
  <si>
    <t>Survey No</t>
  </si>
  <si>
    <t>As per RERA - 31/12/2026</t>
  </si>
  <si>
    <t>Jogging Track, Garden With Gazebo, Open Gym, Club House, Children Play Area, Temple etc</t>
  </si>
  <si>
    <t>Building No.8 = Gr./Stilt + 1st to 7th Floor</t>
  </si>
  <si>
    <t>Building No.10 = Gr./Stilt + 1st to 7th Floor</t>
  </si>
  <si>
    <t>Building No.11 = Gr./Stilt + 1st to 7th Floor</t>
  </si>
  <si>
    <t>Building No.12 = Gr./Stilt + 1st to 7th Floor</t>
  </si>
  <si>
    <t>Building No.13 = Gr./Stilt + 1st to 7th Floor</t>
  </si>
  <si>
    <t>Building No.14 = Gr./Stilt + 1st to 7th Floor</t>
  </si>
  <si>
    <t>Building No.15 = Gr./Stilt + 1st to 7th Floor</t>
  </si>
  <si>
    <t>Building No.16 = Gr./Stilt + 1st to 7th Floor</t>
  </si>
  <si>
    <t>Building No.18 = Gr./Stilt + 1st to 7th Floor</t>
  </si>
  <si>
    <t>Building No.19 = Gr./Stilt + 1st to 7th Floor</t>
  </si>
  <si>
    <t>Building No.20 = Gr./Stilt + 1st to 7th Floor</t>
  </si>
  <si>
    <t>Building No.21 = Gr./Stilt + 1st to 7th Floor</t>
  </si>
  <si>
    <t>Building No.7</t>
  </si>
  <si>
    <t>Shop</t>
  </si>
  <si>
    <t>Ground Floor For Residential, Commercial, Entrance Lobby &amp; Parking</t>
  </si>
  <si>
    <t>1BHK</t>
  </si>
  <si>
    <t>1st Floor</t>
  </si>
  <si>
    <t>Building No.8</t>
  </si>
  <si>
    <t>Ground Floor For Residential, Commercial, Entrance Lobby, Meter Room &amp; Parking</t>
  </si>
  <si>
    <t>2nd to 7th Floor</t>
  </si>
  <si>
    <t>Building No.9</t>
  </si>
  <si>
    <t>Building No.10</t>
  </si>
  <si>
    <t>Building No.11</t>
  </si>
  <si>
    <t>Building No.12</t>
  </si>
  <si>
    <t>Building No.13</t>
  </si>
  <si>
    <t>Building No.14</t>
  </si>
  <si>
    <t>Building No.15</t>
  </si>
  <si>
    <t>Building No.16</t>
  </si>
  <si>
    <t>Building No.17</t>
  </si>
  <si>
    <t>Building No.18</t>
  </si>
  <si>
    <t>Building No.19</t>
  </si>
  <si>
    <t>Building No.20</t>
  </si>
  <si>
    <t>Building No.21</t>
  </si>
  <si>
    <t>Ground Floor For Residential, Society Office, Driver Room,  Entrance Lobby &amp; Parking</t>
  </si>
  <si>
    <t>-</t>
  </si>
  <si>
    <t>Society Office</t>
  </si>
  <si>
    <t>1st to 7th Floor</t>
  </si>
  <si>
    <t>15 Buildings</t>
  </si>
  <si>
    <t>Ground Floor For Residential, Entrance Lobby &amp; Parking</t>
  </si>
  <si>
    <t>Ground Floor For Commercial, Residential, Entrance Lobby, Meter Room &amp; Parking</t>
  </si>
  <si>
    <t>We considered Gross carpet area = Net carpet + SS Area + F.B Area.</t>
  </si>
  <si>
    <t>Padmavati Royal</t>
  </si>
  <si>
    <t>3.4KM from Titwala Railway Station</t>
  </si>
  <si>
    <t>19.291181,73.228036</t>
  </si>
  <si>
    <t>https://maps.app.goo.gl/dM7UTAf1AcSqWYpn8</t>
  </si>
  <si>
    <t>CC Refered From RERA</t>
  </si>
  <si>
    <t>As per Sale brochure</t>
  </si>
  <si>
    <t>Approved area of 15 buildings (Sq.Mt)</t>
  </si>
  <si>
    <t>Building No.7 to 21 = Gr./Stilt + 1st to 7th Floor</t>
  </si>
  <si>
    <r>
      <t xml:space="preserve">Proposed Amenities :                                                                                                                                                                                                                         </t>
    </r>
    <r>
      <rPr>
        <b/>
        <sz val="12"/>
        <rFont val="Times New Roman"/>
        <family val="1"/>
      </rPr>
      <t xml:space="preserve">                                               </t>
    </r>
  </si>
  <si>
    <t>Balcony Area + FB Area + SS</t>
  </si>
  <si>
    <r>
      <t xml:space="preserve">Shop No.
</t>
    </r>
    <r>
      <rPr>
        <b/>
        <sz val="11"/>
        <rFont val="Times New Roman"/>
        <family val="1"/>
      </rPr>
      <t>(Approved Plan)</t>
    </r>
  </si>
  <si>
    <t>Flats - 936, Shops - 45</t>
  </si>
  <si>
    <t>SIA/MH/INFRA2/451733/2023</t>
  </si>
  <si>
    <t>Building No.1 to 21 = Gr./Stilt +1st to 7th Floor.</t>
  </si>
  <si>
    <t>Approved Plans, CC, Cost Sheet, EC.</t>
  </si>
  <si>
    <t>Building No.9 &amp;19 = Gr./Stilt + 1st to 7th Floor</t>
  </si>
  <si>
    <t>Building No.16 &amp; 17 = Gr./Stilt + 1st to 7th Floor</t>
  </si>
  <si>
    <t>Building No.7, 12 to 15, 20 to 21 = Gr./Stilt + 1st to 7th Floor</t>
  </si>
  <si>
    <t>Building No.7 = Gr./Stilt + 1st to 7th Floor</t>
  </si>
  <si>
    <t>H No.99/2, 98/6, 98/7, 98/8, 126/1B, 126/3, 125/7B, 125/7C, 125/7D, 125/8, 126/2/A &amp; 126/2/B</t>
  </si>
  <si>
    <t xml:space="preserve">125/76D removed as per CC </t>
  </si>
  <si>
    <t>in approved plan 125/76D is mentioned but not in CC &amp; title report</t>
  </si>
  <si>
    <t>Pooja Kawale</t>
  </si>
  <si>
    <t>EE/BP/PMAY/A/MHADA/69/2025</t>
  </si>
  <si>
    <t>Building No.7 to 12, 16 to 19 = Gr./Stilt +1st to 7th Floor</t>
  </si>
  <si>
    <t>We have updated latest CC (On 07/03/2025).</t>
  </si>
  <si>
    <t>This CC upto plinth for zero FSI only.</t>
  </si>
  <si>
    <t>Rate 3300 OC 109000 by Bhargav Verbal for Case Building no.16 Flat 103   on 25/03/2025</t>
  </si>
  <si>
    <t>Other Charges</t>
  </si>
  <si>
    <t>Recommended Rates / Other charges of the Property have been revised on 25/03/2025..</t>
  </si>
  <si>
    <t>Building No. 10 = Gr./Stilt + 1st to 7th Floor</t>
  </si>
  <si>
    <t>Building No. 9 = Gr./Stilt + 1st to 7th Floor</t>
  </si>
  <si>
    <t>Building No. 11 = Gr./Stilt + 1st to 7th Floor</t>
  </si>
  <si>
    <t>Slow Speed</t>
  </si>
  <si>
    <t xml:space="preserve">Same as last visit </t>
  </si>
  <si>
    <t>Building No.17 = Gr./Stilt + 1st to 7th Floor</t>
  </si>
  <si>
    <t>Krishna Kambali</t>
  </si>
  <si>
    <t>Building No. 7, 8, 9, 10, 16, 17 &amp; 19 = Construction work is in process at the time of Visit.
Building No.11 = Construction work is in process (Slow Speed).
Building No.18 = Work is same as last visit (28/05/2025).
Building No. 12, 13, 20 &amp; 21 = Excavation work is in process.
Building No. 14, 15 = Work not yet started.</t>
  </si>
  <si>
    <t>Building No.12, 13, 20 to 21 = Gr./Stilt + 1st to 7th Floor</t>
  </si>
  <si>
    <t>Building No.14 &amp; 15 = Gr./Stilt + 1st to 7th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</si>
</sst>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6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3"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4" fillId="0" borderId="0" xfId="1" applyFont="1" applyAlignment="1">
      <alignment horizontal="center" vertical="center"/>
    </xf>
    <xf numFmtId="0" fontId="11"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24" fillId="2" borderId="15" xfId="0" applyFont="1" applyFill="1" applyBorder="1"/>
    <xf numFmtId="0" fontId="25" fillId="0" borderId="9" xfId="0" applyFont="1" applyBorder="1"/>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wrapText="1"/>
      <protection locked="0"/>
    </xf>
    <xf numFmtId="0" fontId="6" fillId="0" borderId="1" xfId="1" applyFont="1" applyBorder="1" applyAlignment="1" applyProtection="1">
      <alignment horizontal="center" vertical="top" wrapText="1"/>
      <protection locked="0"/>
    </xf>
    <xf numFmtId="9" fontId="6" fillId="0" borderId="1" xfId="8" applyFont="1" applyFill="1" applyBorder="1" applyAlignment="1" applyProtection="1">
      <alignment horizontal="center" vertical="center" wrapText="1"/>
      <protection locked="0"/>
    </xf>
    <xf numFmtId="0" fontId="12" fillId="0" borderId="3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36"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5" xfId="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164" fontId="5" fillId="0" borderId="1" xfId="1" applyNumberFormat="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9" fillId="0" borderId="1" xfId="0" applyFont="1" applyBorder="1" applyAlignment="1" applyProtection="1">
      <alignment horizontal="center"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7" fillId="0" borderId="1" xfId="1" applyFont="1" applyBorder="1" applyAlignment="1" applyProtection="1">
      <alignment horizontal="center" vertical="top"/>
      <protection locked="0"/>
    </xf>
    <xf numFmtId="0" fontId="7" fillId="0" borderId="16" xfId="1" applyFont="1" applyBorder="1" applyAlignment="1" applyProtection="1">
      <alignment horizontal="center" vertical="top"/>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left" vertical="top" wrapText="1"/>
      <protection locked="0"/>
    </xf>
    <xf numFmtId="9" fontId="11" fillId="0" borderId="17"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24"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3"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9" fontId="11" fillId="0" borderId="1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1" fontId="9" fillId="0" borderId="1" xfId="1" applyNumberFormat="1" applyFont="1" applyBorder="1" applyAlignment="1" applyProtection="1">
      <alignment horizontal="center" vertical="center"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12"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1</xdr:col>
      <xdr:colOff>450851</xdr:colOff>
      <xdr:row>900</xdr:row>
      <xdr:rowOff>171450</xdr:rowOff>
    </xdr:from>
    <xdr:to>
      <xdr:col>6</xdr:col>
      <xdr:colOff>80662</xdr:colOff>
      <xdr:row>917</xdr:row>
      <xdr:rowOff>191025</xdr:rowOff>
    </xdr:to>
    <xdr:pic>
      <xdr:nvPicPr>
        <xdr:cNvPr id="31" name="Picture 30"/>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12851" y="167659050"/>
          <a:ext cx="3716036" cy="3420000"/>
        </a:xfrm>
        <a:prstGeom prst="rect">
          <a:avLst/>
        </a:prstGeom>
        <a:ln>
          <a:solidFill>
            <a:schemeClr val="tx1"/>
          </a:solidFill>
        </a:ln>
      </xdr:spPr>
    </xdr:pic>
    <xdr:clientData/>
  </xdr:twoCellAnchor>
  <xdr:twoCellAnchor>
    <xdr:from>
      <xdr:col>0</xdr:col>
      <xdr:colOff>180975</xdr:colOff>
      <xdr:row>919</xdr:row>
      <xdr:rowOff>84669</xdr:rowOff>
    </xdr:from>
    <xdr:to>
      <xdr:col>7</xdr:col>
      <xdr:colOff>552450</xdr:colOff>
      <xdr:row>931</xdr:row>
      <xdr:rowOff>9525</xdr:rowOff>
    </xdr:to>
    <xdr:grpSp>
      <xdr:nvGrpSpPr>
        <xdr:cNvPr id="32" name="Group 31"/>
        <xdr:cNvGrpSpPr/>
      </xdr:nvGrpSpPr>
      <xdr:grpSpPr>
        <a:xfrm>
          <a:off x="180975" y="156027969"/>
          <a:ext cx="6226175" cy="2287056"/>
          <a:chOff x="892401" y="4152071"/>
          <a:chExt cx="5220000" cy="1697471"/>
        </a:xfrm>
      </xdr:grpSpPr>
      <xdr:pic>
        <xdr:nvPicPr>
          <xdr:cNvPr id="33" name="Picture 3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92401" y="4152071"/>
            <a:ext cx="5220000" cy="1697471"/>
          </a:xfrm>
          <a:prstGeom prst="rect">
            <a:avLst/>
          </a:prstGeom>
          <a:ln>
            <a:solidFill>
              <a:schemeClr val="tx1"/>
            </a:solidFill>
          </a:ln>
        </xdr:spPr>
      </xdr:pic>
      <xdr:sp macro="" textlink="">
        <xdr:nvSpPr>
          <xdr:cNvPr id="34" name="Freeform 33"/>
          <xdr:cNvSpPr/>
        </xdr:nvSpPr>
        <xdr:spPr>
          <a:xfrm>
            <a:off x="2224088" y="4210050"/>
            <a:ext cx="1138237" cy="804863"/>
          </a:xfrm>
          <a:custGeom>
            <a:avLst/>
            <a:gdLst>
              <a:gd name="connsiteX0" fmla="*/ 219075 w 1138237"/>
              <a:gd name="connsiteY0" fmla="*/ 0 h 804863"/>
              <a:gd name="connsiteX1" fmla="*/ 1138237 w 1138237"/>
              <a:gd name="connsiteY1" fmla="*/ 252413 h 804863"/>
              <a:gd name="connsiteX2" fmla="*/ 947737 w 1138237"/>
              <a:gd name="connsiteY2" fmla="*/ 804863 h 804863"/>
              <a:gd name="connsiteX3" fmla="*/ 14287 w 1138237"/>
              <a:gd name="connsiteY3" fmla="*/ 785813 h 804863"/>
              <a:gd name="connsiteX4" fmla="*/ 0 w 1138237"/>
              <a:gd name="connsiteY4" fmla="*/ 566738 h 804863"/>
              <a:gd name="connsiteX5" fmla="*/ 219075 w 1138237"/>
              <a:gd name="connsiteY5" fmla="*/ 0 h 8048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38237" h="804863">
                <a:moveTo>
                  <a:pt x="219075" y="0"/>
                </a:moveTo>
                <a:lnTo>
                  <a:pt x="1138237" y="252413"/>
                </a:lnTo>
                <a:lnTo>
                  <a:pt x="947737" y="804863"/>
                </a:lnTo>
                <a:lnTo>
                  <a:pt x="14287" y="785813"/>
                </a:lnTo>
                <a:lnTo>
                  <a:pt x="0" y="566738"/>
                </a:lnTo>
                <a:lnTo>
                  <a:pt x="219075"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5" name="Freeform 34"/>
          <xdr:cNvSpPr/>
        </xdr:nvSpPr>
        <xdr:spPr>
          <a:xfrm>
            <a:off x="1862138" y="5100638"/>
            <a:ext cx="1576387" cy="671512"/>
          </a:xfrm>
          <a:custGeom>
            <a:avLst/>
            <a:gdLst>
              <a:gd name="connsiteX0" fmla="*/ 47625 w 1576387"/>
              <a:gd name="connsiteY0" fmla="*/ 0 h 671512"/>
              <a:gd name="connsiteX1" fmla="*/ 1176337 w 1576387"/>
              <a:gd name="connsiteY1" fmla="*/ 0 h 671512"/>
              <a:gd name="connsiteX2" fmla="*/ 1500187 w 1576387"/>
              <a:gd name="connsiteY2" fmla="*/ 119062 h 671512"/>
              <a:gd name="connsiteX3" fmla="*/ 1562100 w 1576387"/>
              <a:gd name="connsiteY3" fmla="*/ 52387 h 671512"/>
              <a:gd name="connsiteX4" fmla="*/ 1576387 w 1576387"/>
              <a:gd name="connsiteY4" fmla="*/ 581025 h 671512"/>
              <a:gd name="connsiteX5" fmla="*/ 1423987 w 1576387"/>
              <a:gd name="connsiteY5" fmla="*/ 671512 h 671512"/>
              <a:gd name="connsiteX6" fmla="*/ 0 w 1576387"/>
              <a:gd name="connsiteY6" fmla="*/ 666750 h 671512"/>
              <a:gd name="connsiteX7" fmla="*/ 19050 w 1576387"/>
              <a:gd name="connsiteY7" fmla="*/ 90487 h 671512"/>
              <a:gd name="connsiteX8" fmla="*/ 57150 w 1576387"/>
              <a:gd name="connsiteY8" fmla="*/ 100012 h 671512"/>
              <a:gd name="connsiteX9" fmla="*/ 47625 w 1576387"/>
              <a:gd name="connsiteY9" fmla="*/ 0 h 6715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576387" h="671512">
                <a:moveTo>
                  <a:pt x="47625" y="0"/>
                </a:moveTo>
                <a:lnTo>
                  <a:pt x="1176337" y="0"/>
                </a:lnTo>
                <a:lnTo>
                  <a:pt x="1500187" y="119062"/>
                </a:lnTo>
                <a:lnTo>
                  <a:pt x="1562100" y="52387"/>
                </a:lnTo>
                <a:lnTo>
                  <a:pt x="1576387" y="581025"/>
                </a:lnTo>
                <a:lnTo>
                  <a:pt x="1423987" y="671512"/>
                </a:lnTo>
                <a:lnTo>
                  <a:pt x="0" y="666750"/>
                </a:lnTo>
                <a:lnTo>
                  <a:pt x="19050" y="90487"/>
                </a:lnTo>
                <a:lnTo>
                  <a:pt x="57150" y="100012"/>
                </a:lnTo>
                <a:lnTo>
                  <a:pt x="47625"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504825</xdr:colOff>
      <xdr:row>958</xdr:row>
      <xdr:rowOff>19050</xdr:rowOff>
    </xdr:from>
    <xdr:to>
      <xdr:col>7</xdr:col>
      <xdr:colOff>219075</xdr:colOff>
      <xdr:row>972</xdr:row>
      <xdr:rowOff>152400</xdr:rowOff>
    </xdr:to>
    <xdr:grpSp>
      <xdr:nvGrpSpPr>
        <xdr:cNvPr id="39" name="Group 38"/>
        <xdr:cNvGrpSpPr/>
      </xdr:nvGrpSpPr>
      <xdr:grpSpPr>
        <a:xfrm>
          <a:off x="504825" y="163639500"/>
          <a:ext cx="5568950" cy="2889250"/>
          <a:chOff x="590550" y="1812925"/>
          <a:chExt cx="5295900" cy="2933700"/>
        </a:xfrm>
      </xdr:grpSpPr>
      <xdr:pic>
        <xdr:nvPicPr>
          <xdr:cNvPr id="40" name="Picture 39"/>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590550" y="1812925"/>
            <a:ext cx="5295900" cy="2933700"/>
          </a:xfrm>
          <a:prstGeom prst="rect">
            <a:avLst/>
          </a:prstGeom>
          <a:ln>
            <a:solidFill>
              <a:schemeClr val="tx1"/>
            </a:solidFill>
          </a:ln>
        </xdr:spPr>
      </xdr:pic>
      <xdr:sp macro="" textlink="">
        <xdr:nvSpPr>
          <xdr:cNvPr id="41" name="Freeform 40"/>
          <xdr:cNvSpPr/>
        </xdr:nvSpPr>
        <xdr:spPr>
          <a:xfrm>
            <a:off x="692150" y="2738437"/>
            <a:ext cx="3724275" cy="1866900"/>
          </a:xfrm>
          <a:custGeom>
            <a:avLst/>
            <a:gdLst>
              <a:gd name="connsiteX0" fmla="*/ 3676650 w 3724275"/>
              <a:gd name="connsiteY0" fmla="*/ 257175 h 1866900"/>
              <a:gd name="connsiteX1" fmla="*/ 2943225 w 3724275"/>
              <a:gd name="connsiteY1" fmla="*/ 409575 h 1866900"/>
              <a:gd name="connsiteX2" fmla="*/ 2828925 w 3724275"/>
              <a:gd name="connsiteY2" fmla="*/ 95250 h 1866900"/>
              <a:gd name="connsiteX3" fmla="*/ 2533650 w 3724275"/>
              <a:gd name="connsiteY3" fmla="*/ 123825 h 1866900"/>
              <a:gd name="connsiteX4" fmla="*/ 2533650 w 3724275"/>
              <a:gd name="connsiteY4" fmla="*/ 581025 h 1866900"/>
              <a:gd name="connsiteX5" fmla="*/ 2114550 w 3724275"/>
              <a:gd name="connsiteY5" fmla="*/ 619125 h 1866900"/>
              <a:gd name="connsiteX6" fmla="*/ 2133600 w 3724275"/>
              <a:gd name="connsiteY6" fmla="*/ 190500 h 1866900"/>
              <a:gd name="connsiteX7" fmla="*/ 2124075 w 3724275"/>
              <a:gd name="connsiteY7" fmla="*/ 0 h 1866900"/>
              <a:gd name="connsiteX8" fmla="*/ 1695450 w 3724275"/>
              <a:gd name="connsiteY8" fmla="*/ 47625 h 1866900"/>
              <a:gd name="connsiteX9" fmla="*/ 1600200 w 3724275"/>
              <a:gd name="connsiteY9" fmla="*/ 342900 h 1866900"/>
              <a:gd name="connsiteX10" fmla="*/ 590550 w 3724275"/>
              <a:gd name="connsiteY10" fmla="*/ 485775 h 1866900"/>
              <a:gd name="connsiteX11" fmla="*/ 581025 w 3724275"/>
              <a:gd name="connsiteY11" fmla="*/ 1019175 h 1866900"/>
              <a:gd name="connsiteX12" fmla="*/ 0 w 3724275"/>
              <a:gd name="connsiteY12" fmla="*/ 1190625 h 1866900"/>
              <a:gd name="connsiteX13" fmla="*/ 161925 w 3724275"/>
              <a:gd name="connsiteY13" fmla="*/ 1866900 h 1866900"/>
              <a:gd name="connsiteX14" fmla="*/ 561975 w 3724275"/>
              <a:gd name="connsiteY14" fmla="*/ 1771650 h 1866900"/>
              <a:gd name="connsiteX15" fmla="*/ 1943100 w 3724275"/>
              <a:gd name="connsiteY15" fmla="*/ 1257300 h 1866900"/>
              <a:gd name="connsiteX16" fmla="*/ 2133600 w 3724275"/>
              <a:gd name="connsiteY16" fmla="*/ 828675 h 1866900"/>
              <a:gd name="connsiteX17" fmla="*/ 3724275 w 3724275"/>
              <a:gd name="connsiteY17" fmla="*/ 342900 h 1866900"/>
              <a:gd name="connsiteX18" fmla="*/ 3676650 w 3724275"/>
              <a:gd name="connsiteY18" fmla="*/ 257175 h 186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3724275" h="1866900">
                <a:moveTo>
                  <a:pt x="3676650" y="257175"/>
                </a:moveTo>
                <a:lnTo>
                  <a:pt x="2943225" y="409575"/>
                </a:lnTo>
                <a:lnTo>
                  <a:pt x="2828925" y="95250"/>
                </a:lnTo>
                <a:lnTo>
                  <a:pt x="2533650" y="123825"/>
                </a:lnTo>
                <a:lnTo>
                  <a:pt x="2533650" y="581025"/>
                </a:lnTo>
                <a:lnTo>
                  <a:pt x="2114550" y="619125"/>
                </a:lnTo>
                <a:lnTo>
                  <a:pt x="2133600" y="190500"/>
                </a:lnTo>
                <a:lnTo>
                  <a:pt x="2124075" y="0"/>
                </a:lnTo>
                <a:lnTo>
                  <a:pt x="1695450" y="47625"/>
                </a:lnTo>
                <a:lnTo>
                  <a:pt x="1600200" y="342900"/>
                </a:lnTo>
                <a:lnTo>
                  <a:pt x="590550" y="485775"/>
                </a:lnTo>
                <a:lnTo>
                  <a:pt x="581025" y="1019175"/>
                </a:lnTo>
                <a:lnTo>
                  <a:pt x="0" y="1190625"/>
                </a:lnTo>
                <a:lnTo>
                  <a:pt x="161925" y="1866900"/>
                </a:lnTo>
                <a:lnTo>
                  <a:pt x="561975" y="1771650"/>
                </a:lnTo>
                <a:lnTo>
                  <a:pt x="1943100" y="1257300"/>
                </a:lnTo>
                <a:lnTo>
                  <a:pt x="2133600" y="828675"/>
                </a:lnTo>
                <a:lnTo>
                  <a:pt x="3724275" y="342900"/>
                </a:lnTo>
                <a:lnTo>
                  <a:pt x="3676650" y="25717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0</xdr:col>
      <xdr:colOff>447675</xdr:colOff>
      <xdr:row>944</xdr:row>
      <xdr:rowOff>171450</xdr:rowOff>
    </xdr:from>
    <xdr:to>
      <xdr:col>7</xdr:col>
      <xdr:colOff>266025</xdr:colOff>
      <xdr:row>956</xdr:row>
      <xdr:rowOff>163256</xdr:rowOff>
    </xdr:to>
    <xdr:pic>
      <xdr:nvPicPr>
        <xdr:cNvPr id="42" name="Picture 41"/>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447675" y="154028775"/>
          <a:ext cx="5400000" cy="2392106"/>
        </a:xfrm>
        <a:prstGeom prst="rect">
          <a:avLst/>
        </a:prstGeom>
        <a:ln>
          <a:solidFill>
            <a:schemeClr val="tx1"/>
          </a:solidFill>
        </a:ln>
      </xdr:spPr>
    </xdr:pic>
    <xdr:clientData/>
  </xdr:twoCellAnchor>
  <xdr:twoCellAnchor>
    <xdr:from>
      <xdr:col>8</xdr:col>
      <xdr:colOff>294516</xdr:colOff>
      <xdr:row>813</xdr:row>
      <xdr:rowOff>152400</xdr:rowOff>
    </xdr:from>
    <xdr:to>
      <xdr:col>15</xdr:col>
      <xdr:colOff>488480</xdr:colOff>
      <xdr:row>856</xdr:row>
      <xdr:rowOff>0</xdr:rowOff>
    </xdr:to>
    <xdr:grpSp>
      <xdr:nvGrpSpPr>
        <xdr:cNvPr id="2" name="Group 1"/>
        <xdr:cNvGrpSpPr/>
      </xdr:nvGrpSpPr>
      <xdr:grpSpPr>
        <a:xfrm>
          <a:off x="6917566" y="135242300"/>
          <a:ext cx="6467764" cy="8305800"/>
          <a:chOff x="56391" y="124720350"/>
          <a:chExt cx="6185189" cy="8470212"/>
        </a:xfrm>
      </xdr:grpSpPr>
      <xdr:pic>
        <xdr:nvPicPr>
          <xdr:cNvPr id="27" name="Picture 26" descr="https://vsjcllp.vsjadon.com/upload/insp-201918-844.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74053" y="130128237"/>
            <a:ext cx="2397778"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01918-85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27891" y="128296953"/>
            <a:ext cx="2397778"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01918-862.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89216" y="128282147"/>
            <a:ext cx="2397778"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01918-880.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9125" y="130128237"/>
            <a:ext cx="2397778"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01918-151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185709" y="131966562"/>
            <a:ext cx="1630487" cy="1224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503280" y="124720350"/>
            <a:ext cx="2400000" cy="180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297580" y="126576192"/>
            <a:ext cx="2944000" cy="165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7150" y="124720350"/>
            <a:ext cx="3200000" cy="180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6391" y="126576192"/>
            <a:ext cx="2944000" cy="1656000"/>
          </a:xfrm>
          <a:prstGeom prst="rect">
            <a:avLst/>
          </a:prstGeom>
          <a:ln>
            <a:solidFill>
              <a:schemeClr val="tx1"/>
            </a:solidFill>
          </a:ln>
        </xdr:spPr>
      </xdr:pic>
      <xdr:sp macro="" textlink="">
        <xdr:nvSpPr>
          <xdr:cNvPr id="45" name="Rectangle 44"/>
          <xdr:cNvSpPr/>
        </xdr:nvSpPr>
        <xdr:spPr>
          <a:xfrm>
            <a:off x="657844" y="124949321"/>
            <a:ext cx="146867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No.8</a:t>
            </a:r>
          </a:p>
        </xdr:txBody>
      </xdr:sp>
      <xdr:sp macro="" textlink="">
        <xdr:nvSpPr>
          <xdr:cNvPr id="46" name="Rectangle 45"/>
          <xdr:cNvSpPr/>
        </xdr:nvSpPr>
        <xdr:spPr>
          <a:xfrm>
            <a:off x="4328363" y="126123256"/>
            <a:ext cx="146867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No.9</a:t>
            </a:r>
          </a:p>
        </xdr:txBody>
      </xdr:sp>
      <xdr:sp macro="" textlink="">
        <xdr:nvSpPr>
          <xdr:cNvPr id="47" name="Rectangle 46"/>
          <xdr:cNvSpPr/>
        </xdr:nvSpPr>
        <xdr:spPr>
          <a:xfrm>
            <a:off x="540826" y="127771857"/>
            <a:ext cx="158569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No.10</a:t>
            </a:r>
          </a:p>
        </xdr:txBody>
      </xdr:sp>
      <xdr:sp macro="" textlink="">
        <xdr:nvSpPr>
          <xdr:cNvPr id="48" name="Rectangle 47"/>
          <xdr:cNvSpPr/>
        </xdr:nvSpPr>
        <xdr:spPr>
          <a:xfrm>
            <a:off x="3459526" y="126675914"/>
            <a:ext cx="158569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No.11</a:t>
            </a:r>
          </a:p>
        </xdr:txBody>
      </xdr:sp>
      <xdr:sp macro="" textlink="">
        <xdr:nvSpPr>
          <xdr:cNvPr id="49" name="Rectangle 48"/>
          <xdr:cNvSpPr/>
        </xdr:nvSpPr>
        <xdr:spPr>
          <a:xfrm>
            <a:off x="758629" y="130224339"/>
            <a:ext cx="158569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No.18</a:t>
            </a:r>
          </a:p>
        </xdr:txBody>
      </xdr:sp>
      <xdr:sp macro="" textlink="">
        <xdr:nvSpPr>
          <xdr:cNvPr id="50" name="Rectangle 49"/>
          <xdr:cNvSpPr/>
        </xdr:nvSpPr>
        <xdr:spPr>
          <a:xfrm>
            <a:off x="3155987" y="130224339"/>
            <a:ext cx="1585690"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No.19</a:t>
            </a:r>
          </a:p>
        </xdr:txBody>
      </xdr:sp>
    </xdr:grpSp>
    <xdr:clientData/>
  </xdr:twoCellAnchor>
  <xdr:twoCellAnchor editAs="oneCell">
    <xdr:from>
      <xdr:col>12</xdr:col>
      <xdr:colOff>339436</xdr:colOff>
      <xdr:row>845</xdr:row>
      <xdr:rowOff>182999</xdr:rowOff>
    </xdr:from>
    <xdr:to>
      <xdr:col>14</xdr:col>
      <xdr:colOff>255949</xdr:colOff>
      <xdr:row>856</xdr:row>
      <xdr:rowOff>177649</xdr:rowOff>
    </xdr:to>
    <xdr:pic>
      <xdr:nvPicPr>
        <xdr:cNvPr id="51" name="Picture 50"/>
        <xdr:cNvPicPr>
          <a:picLocks noChangeAspect="1"/>
        </xdr:cNvPicPr>
      </xdr:nvPicPr>
      <xdr:blipFill>
        <a:blip xmlns:r="http://schemas.openxmlformats.org/officeDocument/2006/relationships" r:embed="rId14"/>
        <a:stretch>
          <a:fillRect/>
        </a:stretch>
      </xdr:blipFill>
      <xdr:spPr>
        <a:xfrm>
          <a:off x="10683586" y="125881249"/>
          <a:ext cx="1618313" cy="2160000"/>
        </a:xfrm>
        <a:prstGeom prst="rect">
          <a:avLst/>
        </a:prstGeom>
      </xdr:spPr>
    </xdr:pic>
    <xdr:clientData/>
  </xdr:twoCellAnchor>
  <xdr:twoCellAnchor>
    <xdr:from>
      <xdr:col>0</xdr:col>
      <xdr:colOff>114300</xdr:colOff>
      <xdr:row>814</xdr:row>
      <xdr:rowOff>101600</xdr:rowOff>
    </xdr:from>
    <xdr:to>
      <xdr:col>7</xdr:col>
      <xdr:colOff>601077</xdr:colOff>
      <xdr:row>851</xdr:row>
      <xdr:rowOff>52394</xdr:rowOff>
    </xdr:to>
    <xdr:grpSp>
      <xdr:nvGrpSpPr>
        <xdr:cNvPr id="6" name="Group 5"/>
        <xdr:cNvGrpSpPr/>
      </xdr:nvGrpSpPr>
      <xdr:grpSpPr>
        <a:xfrm>
          <a:off x="114300" y="135388350"/>
          <a:ext cx="6341477" cy="7227894"/>
          <a:chOff x="114300" y="132435600"/>
          <a:chExt cx="6341477" cy="7227894"/>
        </a:xfrm>
      </xdr:grpSpPr>
      <xdr:pic>
        <xdr:nvPicPr>
          <xdr:cNvPr id="52" name="Picture 5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14301" y="132435600"/>
            <a:ext cx="3117111" cy="234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338666" y="132435600"/>
            <a:ext cx="3117111" cy="234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14300" y="134880179"/>
            <a:ext cx="3117111" cy="234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338665" y="134879547"/>
            <a:ext cx="3117111" cy="234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14300" y="137323494"/>
            <a:ext cx="3117111" cy="234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338665" y="137323494"/>
            <a:ext cx="3117111" cy="2340000"/>
          </a:xfrm>
          <a:prstGeom prst="rect">
            <a:avLst/>
          </a:prstGeom>
          <a:ln>
            <a:solidFill>
              <a:schemeClr val="tx1"/>
            </a:solidFill>
          </a:ln>
        </xdr:spPr>
      </xdr:pic>
      <xdr:sp macro="" textlink="">
        <xdr:nvSpPr>
          <xdr:cNvPr id="76" name="Rectangle 75"/>
          <xdr:cNvSpPr/>
        </xdr:nvSpPr>
        <xdr:spPr>
          <a:xfrm>
            <a:off x="971551" y="134156450"/>
            <a:ext cx="1535769" cy="36216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rgbClr val="FFFF00"/>
                </a:solidFill>
                <a:effectLst>
                  <a:outerShdw blurRad="38100" dist="25400" dir="5400000" algn="ctr" rotWithShape="0">
                    <a:srgbClr val="6E747A">
                      <a:alpha val="43000"/>
                    </a:srgbClr>
                  </a:outerShdw>
                </a:effectLst>
              </a:rPr>
              <a:t>Building No.7</a:t>
            </a:r>
          </a:p>
        </xdr:txBody>
      </xdr:sp>
      <xdr:sp macro="" textlink="">
        <xdr:nvSpPr>
          <xdr:cNvPr id="77" name="Rectangle 76"/>
          <xdr:cNvSpPr/>
        </xdr:nvSpPr>
        <xdr:spPr>
          <a:xfrm>
            <a:off x="4329266" y="134194550"/>
            <a:ext cx="1535769" cy="36216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rgbClr val="FFFF00"/>
                </a:solidFill>
                <a:effectLst>
                  <a:outerShdw blurRad="38100" dist="25400" dir="5400000" algn="ctr" rotWithShape="0">
                    <a:srgbClr val="6E747A">
                      <a:alpha val="43000"/>
                    </a:srgbClr>
                  </a:outerShdw>
                </a:effectLst>
              </a:rPr>
              <a:t>Building No.8</a:t>
            </a:r>
          </a:p>
        </xdr:txBody>
      </xdr:sp>
      <xdr:sp macro="" textlink="">
        <xdr:nvSpPr>
          <xdr:cNvPr id="78" name="Rectangle 77"/>
          <xdr:cNvSpPr/>
        </xdr:nvSpPr>
        <xdr:spPr>
          <a:xfrm>
            <a:off x="952500" y="136791529"/>
            <a:ext cx="1535769" cy="36216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rgbClr val="FFFF00"/>
                </a:solidFill>
                <a:effectLst>
                  <a:outerShdw blurRad="38100" dist="25400" dir="5400000" algn="ctr" rotWithShape="0">
                    <a:srgbClr val="6E747A">
                      <a:alpha val="43000"/>
                    </a:srgbClr>
                  </a:outerShdw>
                </a:effectLst>
              </a:rPr>
              <a:t>Building No.9</a:t>
            </a:r>
          </a:p>
        </xdr:txBody>
      </xdr:sp>
      <xdr:sp macro="" textlink="">
        <xdr:nvSpPr>
          <xdr:cNvPr id="79" name="Rectangle 78"/>
          <xdr:cNvSpPr/>
        </xdr:nvSpPr>
        <xdr:spPr>
          <a:xfrm>
            <a:off x="4545165" y="136041597"/>
            <a:ext cx="1658785" cy="36216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rgbClr val="FFFF00"/>
                </a:solidFill>
                <a:effectLst>
                  <a:outerShdw blurRad="38100" dist="25400" dir="5400000" algn="ctr" rotWithShape="0">
                    <a:srgbClr val="6E747A">
                      <a:alpha val="43000"/>
                    </a:srgbClr>
                  </a:outerShdw>
                </a:effectLst>
              </a:rPr>
              <a:t>Building No.10</a:t>
            </a:r>
          </a:p>
        </xdr:txBody>
      </xdr:sp>
      <xdr:sp macro="" textlink="">
        <xdr:nvSpPr>
          <xdr:cNvPr id="80" name="Rectangle 79"/>
          <xdr:cNvSpPr/>
        </xdr:nvSpPr>
        <xdr:spPr>
          <a:xfrm>
            <a:off x="819150" y="138466494"/>
            <a:ext cx="1658785" cy="36216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rgbClr val="FFFF00"/>
                </a:solidFill>
                <a:effectLst>
                  <a:outerShdw blurRad="38100" dist="25400" dir="5400000" algn="ctr" rotWithShape="0">
                    <a:srgbClr val="6E747A">
                      <a:alpha val="43000"/>
                    </a:srgbClr>
                  </a:outerShdw>
                </a:effectLst>
              </a:rPr>
              <a:t>Building No.11</a:t>
            </a:r>
          </a:p>
        </xdr:txBody>
      </xdr:sp>
      <xdr:sp macro="" textlink="">
        <xdr:nvSpPr>
          <xdr:cNvPr id="81" name="Rectangle 80"/>
          <xdr:cNvSpPr/>
        </xdr:nvSpPr>
        <xdr:spPr>
          <a:xfrm>
            <a:off x="3827615" y="138098194"/>
            <a:ext cx="1658785" cy="36216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rgbClr val="FFFF00"/>
                </a:solidFill>
                <a:effectLst>
                  <a:outerShdw blurRad="38100" dist="25400" dir="5400000" algn="ctr" rotWithShape="0">
                    <a:srgbClr val="6E747A">
                      <a:alpha val="43000"/>
                    </a:srgbClr>
                  </a:outerShdw>
                </a:effectLst>
              </a:rPr>
              <a:t>Building No.16</a:t>
            </a:r>
          </a:p>
        </xdr:txBody>
      </xdr:sp>
    </xdr:grpSp>
    <xdr:clientData/>
  </xdr:twoCellAnchor>
  <xdr:twoCellAnchor>
    <xdr:from>
      <xdr:col>0</xdr:col>
      <xdr:colOff>241300</xdr:colOff>
      <xdr:row>857</xdr:row>
      <xdr:rowOff>114300</xdr:rowOff>
    </xdr:from>
    <xdr:to>
      <xdr:col>7</xdr:col>
      <xdr:colOff>552884</xdr:colOff>
      <xdr:row>895</xdr:row>
      <xdr:rowOff>133116</xdr:rowOff>
    </xdr:to>
    <xdr:grpSp>
      <xdr:nvGrpSpPr>
        <xdr:cNvPr id="5" name="Group 4"/>
        <xdr:cNvGrpSpPr/>
      </xdr:nvGrpSpPr>
      <xdr:grpSpPr>
        <a:xfrm>
          <a:off x="241300" y="143859250"/>
          <a:ext cx="6166284" cy="7492766"/>
          <a:chOff x="241300" y="140906500"/>
          <a:chExt cx="6166284" cy="7492766"/>
        </a:xfrm>
      </xdr:grpSpPr>
      <xdr:pic>
        <xdr:nvPicPr>
          <xdr:cNvPr id="58" name="Picture 57"/>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373132" y="146239266"/>
            <a:ext cx="2877333" cy="2160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571140" y="140906500"/>
            <a:ext cx="3836444" cy="288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16456" y="143932883"/>
            <a:ext cx="2877333" cy="216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16456" y="146239266"/>
            <a:ext cx="2877333" cy="216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373133" y="143932883"/>
            <a:ext cx="2877333" cy="216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241300" y="140906500"/>
            <a:ext cx="2157751" cy="2880000"/>
          </a:xfrm>
          <a:prstGeom prst="rect">
            <a:avLst/>
          </a:prstGeom>
          <a:ln>
            <a:solidFill>
              <a:schemeClr val="tx1"/>
            </a:solidFill>
          </a:ln>
        </xdr:spPr>
      </xdr:pic>
      <xdr:sp macro="" textlink="">
        <xdr:nvSpPr>
          <xdr:cNvPr id="82" name="Rectangle 81"/>
          <xdr:cNvSpPr/>
        </xdr:nvSpPr>
        <xdr:spPr>
          <a:xfrm>
            <a:off x="444500" y="142862300"/>
            <a:ext cx="1658785" cy="36216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rgbClr val="FFFF00"/>
                </a:solidFill>
                <a:effectLst>
                  <a:outerShdw blurRad="38100" dist="25400" dir="5400000" algn="ctr" rotWithShape="0">
                    <a:srgbClr val="6E747A">
                      <a:alpha val="43000"/>
                    </a:srgbClr>
                  </a:outerShdw>
                </a:effectLst>
              </a:rPr>
              <a:t>Building No.17</a:t>
            </a:r>
          </a:p>
        </xdr:txBody>
      </xdr:sp>
      <xdr:sp macro="" textlink="">
        <xdr:nvSpPr>
          <xdr:cNvPr id="83" name="Rectangle 82"/>
          <xdr:cNvSpPr/>
        </xdr:nvSpPr>
        <xdr:spPr>
          <a:xfrm>
            <a:off x="3460140" y="142386050"/>
            <a:ext cx="1658785" cy="36216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rgbClr val="FFFF00"/>
                </a:solidFill>
                <a:effectLst>
                  <a:outerShdw blurRad="38100" dist="25400" dir="5400000" algn="ctr" rotWithShape="0">
                    <a:srgbClr val="6E747A">
                      <a:alpha val="43000"/>
                    </a:srgbClr>
                  </a:outerShdw>
                </a:effectLst>
              </a:rPr>
              <a:t>Building No.18</a:t>
            </a:r>
          </a:p>
        </xdr:txBody>
      </xdr:sp>
      <xdr:sp macro="" textlink="">
        <xdr:nvSpPr>
          <xdr:cNvPr id="84" name="Rectangle 83"/>
          <xdr:cNvSpPr/>
        </xdr:nvSpPr>
        <xdr:spPr>
          <a:xfrm>
            <a:off x="1014956" y="145387033"/>
            <a:ext cx="1658785" cy="36216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rgbClr val="FFFF00"/>
                </a:solidFill>
                <a:effectLst>
                  <a:outerShdw blurRad="38100" dist="25400" dir="5400000" algn="ctr" rotWithShape="0">
                    <a:srgbClr val="6E747A">
                      <a:alpha val="43000"/>
                    </a:srgbClr>
                  </a:outerShdw>
                </a:effectLst>
              </a:rPr>
              <a:t>Building No.19</a:t>
            </a:r>
          </a:p>
        </xdr:txBody>
      </xdr:sp>
    </xdr:grpSp>
    <xdr:clientData/>
  </xdr:twoCellAnchor>
  <xdr:twoCellAnchor editAs="oneCell">
    <xdr:from>
      <xdr:col>8</xdr:col>
      <xdr:colOff>1117600</xdr:colOff>
      <xdr:row>857</xdr:row>
      <xdr:rowOff>50800</xdr:rowOff>
    </xdr:from>
    <xdr:to>
      <xdr:col>15</xdr:col>
      <xdr:colOff>243800</xdr:colOff>
      <xdr:row>876</xdr:row>
      <xdr:rowOff>70000</xdr:rowOff>
    </xdr:to>
    <xdr:pic>
      <xdr:nvPicPr>
        <xdr:cNvPr id="85" name="Picture 84"/>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7740650" y="143795750"/>
          <a:ext cx="5400000" cy="3753000"/>
        </a:xfrm>
        <a:prstGeom prst="rect">
          <a:avLst/>
        </a:prstGeom>
        <a:ln>
          <a:solidFill>
            <a:schemeClr val="tx1"/>
          </a:solidFill>
        </a:ln>
      </xdr:spPr>
    </xdr:pic>
    <xdr:clientData/>
  </xdr:twoCellAnchor>
  <xdr:twoCellAnchor editAs="oneCell">
    <xdr:from>
      <xdr:col>8</xdr:col>
      <xdr:colOff>1117600</xdr:colOff>
      <xdr:row>877</xdr:row>
      <xdr:rowOff>15856</xdr:rowOff>
    </xdr:from>
    <xdr:to>
      <xdr:col>15</xdr:col>
      <xdr:colOff>243800</xdr:colOff>
      <xdr:row>901</xdr:row>
      <xdr:rowOff>71479</xdr:rowOff>
    </xdr:to>
    <xdr:pic>
      <xdr:nvPicPr>
        <xdr:cNvPr id="86" name="Picture 85"/>
        <xdr:cNvPicPr>
          <a:picLocks noChangeAspect="1"/>
        </xdr:cNvPicPr>
      </xdr:nvPicPr>
      <xdr:blipFill>
        <a:blip xmlns:r="http://schemas.openxmlformats.org/officeDocument/2006/relationships" r:embed="rId28"/>
        <a:stretch>
          <a:fillRect/>
        </a:stretch>
      </xdr:blipFill>
      <xdr:spPr>
        <a:xfrm>
          <a:off x="7740650" y="147691456"/>
          <a:ext cx="5400000" cy="4780023"/>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M7UTAf1AcSqWYpn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943"/>
  <sheetViews>
    <sheetView tabSelected="1" view="pageBreakPreview" topLeftCell="A748" zoomScaleNormal="100" zoomScaleSheetLayoutView="100" zoomScalePageLayoutView="85" workbookViewId="0">
      <selection activeCell="L754" sqref="L754:M754"/>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0" customWidth="1"/>
    <col min="10" max="10" width="11.453125" style="20" customWidth="1"/>
    <col min="11" max="11" width="10.5429687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213" t="s">
        <v>165</v>
      </c>
      <c r="B1" s="213"/>
      <c r="C1" s="213"/>
      <c r="D1" s="213"/>
      <c r="E1" s="213"/>
      <c r="F1" s="213"/>
      <c r="G1" s="213"/>
      <c r="H1" s="213"/>
    </row>
    <row r="2" spans="1:26" ht="16.5" customHeight="1" x14ac:dyDescent="0.35">
      <c r="A2" s="190" t="s">
        <v>0</v>
      </c>
      <c r="B2" s="190"/>
      <c r="C2" s="190"/>
      <c r="D2" s="190"/>
      <c r="E2" s="190"/>
      <c r="F2" s="190"/>
      <c r="G2" s="190"/>
      <c r="H2" s="190"/>
    </row>
    <row r="3" spans="1:26" x14ac:dyDescent="0.35">
      <c r="A3" s="186" t="s">
        <v>1</v>
      </c>
      <c r="B3" s="186"/>
      <c r="C3" s="186"/>
      <c r="D3" s="186"/>
      <c r="E3" s="186" t="str">
        <f ca="1">TEXT(TODAY(),"DD/MM/YYYY")</f>
        <v>19/08/2025</v>
      </c>
      <c r="F3" s="186"/>
      <c r="G3" s="186"/>
      <c r="H3" s="186"/>
      <c r="K3" s="54" t="s">
        <v>237</v>
      </c>
      <c r="L3" s="52" t="s">
        <v>235</v>
      </c>
      <c r="M3" s="52" t="s">
        <v>240</v>
      </c>
      <c r="N3" s="52" t="s">
        <v>238</v>
      </c>
      <c r="O3" s="52" t="s">
        <v>239</v>
      </c>
      <c r="P3" s="52" t="s">
        <v>241</v>
      </c>
    </row>
    <row r="4" spans="1:26" ht="15" customHeight="1" x14ac:dyDescent="0.35">
      <c r="A4" s="186" t="s">
        <v>234</v>
      </c>
      <c r="B4" s="186"/>
      <c r="C4" s="186"/>
      <c r="D4" s="186"/>
      <c r="E4" s="186" t="s">
        <v>235</v>
      </c>
      <c r="F4" s="186"/>
      <c r="G4" s="186"/>
      <c r="H4" s="186"/>
      <c r="K4" s="51" t="s">
        <v>236</v>
      </c>
      <c r="L4" s="52" t="s">
        <v>171</v>
      </c>
      <c r="M4" s="52" t="s">
        <v>245</v>
      </c>
      <c r="N4" s="52" t="s">
        <v>247</v>
      </c>
      <c r="O4" s="52" t="s">
        <v>249</v>
      </c>
      <c r="P4" s="52"/>
    </row>
    <row r="5" spans="1:26" ht="15" customHeight="1" x14ac:dyDescent="0.35">
      <c r="A5" s="186" t="s">
        <v>2</v>
      </c>
      <c r="B5" s="186"/>
      <c r="C5" s="186"/>
      <c r="D5" s="186"/>
      <c r="E5" s="186" t="s">
        <v>244</v>
      </c>
      <c r="F5" s="186"/>
      <c r="G5" s="186"/>
      <c r="H5" s="186"/>
      <c r="K5" s="51"/>
      <c r="L5" s="52" t="s">
        <v>242</v>
      </c>
      <c r="M5" s="52" t="s">
        <v>246</v>
      </c>
      <c r="N5" s="52" t="s">
        <v>248</v>
      </c>
      <c r="O5" s="52" t="s">
        <v>250</v>
      </c>
      <c r="P5" s="52"/>
    </row>
    <row r="6" spans="1:26" x14ac:dyDescent="0.35">
      <c r="A6" s="186" t="s">
        <v>3</v>
      </c>
      <c r="B6" s="186"/>
      <c r="C6" s="186"/>
      <c r="D6" s="186"/>
      <c r="E6" s="214">
        <v>45882</v>
      </c>
      <c r="F6" s="186"/>
      <c r="G6" s="186"/>
      <c r="H6" s="186"/>
      <c r="K6" s="51"/>
      <c r="L6" s="52" t="s">
        <v>243</v>
      </c>
      <c r="M6" s="52"/>
      <c r="N6" s="52"/>
      <c r="O6" s="52" t="s">
        <v>251</v>
      </c>
      <c r="P6" s="52"/>
    </row>
    <row r="7" spans="1:26" ht="16.5" customHeight="1" x14ac:dyDescent="0.35">
      <c r="A7" s="186" t="s">
        <v>4</v>
      </c>
      <c r="B7" s="186"/>
      <c r="C7" s="186"/>
      <c r="D7" s="186"/>
      <c r="E7" s="186" t="s">
        <v>339</v>
      </c>
      <c r="F7" s="186"/>
      <c r="G7" s="186"/>
      <c r="H7" s="186"/>
      <c r="K7" s="51"/>
      <c r="L7" s="52" t="s">
        <v>244</v>
      </c>
      <c r="M7" s="52"/>
      <c r="N7" s="52"/>
      <c r="O7" s="52" t="s">
        <v>251</v>
      </c>
      <c r="P7" s="52"/>
    </row>
    <row r="8" spans="1:26" ht="15" customHeight="1" x14ac:dyDescent="0.35">
      <c r="A8" s="186" t="s">
        <v>5</v>
      </c>
      <c r="B8" s="186"/>
      <c r="C8" s="186"/>
      <c r="D8" s="186"/>
      <c r="E8" s="186" t="str">
        <f>E7</f>
        <v>Sun Home</v>
      </c>
      <c r="F8" s="186"/>
      <c r="G8" s="186"/>
      <c r="H8" s="186"/>
      <c r="K8" s="51"/>
      <c r="L8" s="52"/>
      <c r="M8" s="52"/>
      <c r="N8" s="52"/>
      <c r="O8" s="52" t="s">
        <v>252</v>
      </c>
      <c r="P8" s="52"/>
    </row>
    <row r="9" spans="1:26" x14ac:dyDescent="0.35">
      <c r="A9" s="186" t="s">
        <v>6</v>
      </c>
      <c r="B9" s="186"/>
      <c r="C9" s="186"/>
      <c r="D9" s="186"/>
      <c r="E9" s="114" t="s">
        <v>340</v>
      </c>
      <c r="F9" s="114"/>
      <c r="G9" s="114"/>
      <c r="H9" s="114"/>
      <c r="K9" s="51"/>
      <c r="L9" s="52"/>
      <c r="M9" s="52"/>
      <c r="N9" s="52"/>
      <c r="O9" s="52" t="s">
        <v>253</v>
      </c>
      <c r="P9" s="52"/>
    </row>
    <row r="10" spans="1:26" x14ac:dyDescent="0.35">
      <c r="A10" s="186" t="s">
        <v>168</v>
      </c>
      <c r="B10" s="186"/>
      <c r="C10" s="186"/>
      <c r="D10" s="186"/>
      <c r="E10" s="186" t="s">
        <v>341</v>
      </c>
      <c r="F10" s="186"/>
      <c r="G10" s="186"/>
      <c r="H10" s="186"/>
      <c r="K10" s="51"/>
      <c r="L10" s="52"/>
      <c r="M10" s="52"/>
      <c r="N10" s="52"/>
      <c r="O10" s="52"/>
      <c r="P10" s="52"/>
    </row>
    <row r="11" spans="1:26" x14ac:dyDescent="0.35">
      <c r="A11" s="186" t="s">
        <v>169</v>
      </c>
      <c r="B11" s="186"/>
      <c r="C11" s="186"/>
      <c r="D11" s="186"/>
      <c r="E11" s="186" t="s">
        <v>341</v>
      </c>
      <c r="F11" s="186"/>
      <c r="G11" s="186"/>
      <c r="H11" s="186"/>
    </row>
    <row r="12" spans="1:26" x14ac:dyDescent="0.35">
      <c r="A12" s="186" t="s">
        <v>7</v>
      </c>
      <c r="B12" s="186"/>
      <c r="C12" s="186"/>
      <c r="D12" s="186"/>
      <c r="E12" s="186" t="s">
        <v>342</v>
      </c>
      <c r="F12" s="186"/>
      <c r="G12" s="186"/>
      <c r="H12" s="186"/>
    </row>
    <row r="13" spans="1:26" x14ac:dyDescent="0.35">
      <c r="A13" s="186" t="s">
        <v>172</v>
      </c>
      <c r="B13" s="186"/>
      <c r="C13" s="186"/>
      <c r="D13" s="186"/>
      <c r="E13" s="186" t="s">
        <v>28</v>
      </c>
      <c r="F13" s="186"/>
      <c r="G13" s="186"/>
      <c r="H13" s="186"/>
      <c r="S13" s="52" t="s">
        <v>181</v>
      </c>
      <c r="T13" s="52" t="s">
        <v>190</v>
      </c>
      <c r="U13" s="52" t="s">
        <v>173</v>
      </c>
      <c r="V13" s="52" t="s">
        <v>195</v>
      </c>
      <c r="W13" s="52" t="s">
        <v>213</v>
      </c>
      <c r="X13"/>
      <c r="Y13" t="s">
        <v>195</v>
      </c>
      <c r="Z13" t="e">
        <f ca="1">OFFSET($S$13,1,MATCH($G20,$S$13:$W$13,0)-1,15,1)</f>
        <v>#VALUE!</v>
      </c>
    </row>
    <row r="14" spans="1:26" x14ac:dyDescent="0.35">
      <c r="A14" s="117" t="s">
        <v>280</v>
      </c>
      <c r="B14" s="117"/>
      <c r="C14" s="117"/>
      <c r="D14" s="117"/>
      <c r="E14" s="157" t="s">
        <v>411</v>
      </c>
      <c r="F14" s="157"/>
      <c r="G14" s="157"/>
      <c r="H14" s="157"/>
      <c r="I14" s="20" t="s">
        <v>401</v>
      </c>
      <c r="S14" s="52" t="s">
        <v>181</v>
      </c>
      <c r="T14" s="52" t="s">
        <v>188</v>
      </c>
      <c r="U14" s="52" t="s">
        <v>210</v>
      </c>
      <c r="V14" s="52" t="s">
        <v>196</v>
      </c>
      <c r="W14" s="52" t="s">
        <v>214</v>
      </c>
      <c r="X14"/>
      <c r="Y14"/>
      <c r="Z14"/>
    </row>
    <row r="15" spans="1:26" x14ac:dyDescent="0.35">
      <c r="A15" s="117" t="s">
        <v>8</v>
      </c>
      <c r="B15" s="117"/>
      <c r="C15" s="117"/>
      <c r="D15" s="117"/>
      <c r="E15" s="157" t="s">
        <v>338</v>
      </c>
      <c r="F15" s="186"/>
      <c r="G15" s="186"/>
      <c r="H15" s="186"/>
      <c r="I15" s="149" t="e">
        <f ca="1">OFFSET($D$5,1,MATCH($J13,$D$5:$H$5,0)-1,15,1)</f>
        <v>#N/A</v>
      </c>
      <c r="J15" s="150"/>
      <c r="K15" s="150"/>
      <c r="L15" s="150"/>
      <c r="M15" s="150"/>
      <c r="N15" s="150"/>
      <c r="O15" s="150"/>
      <c r="P15" s="150"/>
      <c r="S15" s="52" t="s">
        <v>182</v>
      </c>
      <c r="T15" s="52" t="s">
        <v>189</v>
      </c>
      <c r="U15" s="52" t="s">
        <v>211</v>
      </c>
      <c r="V15" s="52" t="s">
        <v>197</v>
      </c>
      <c r="W15" s="52" t="s">
        <v>227</v>
      </c>
      <c r="X15"/>
      <c r="Y15"/>
      <c r="Z15"/>
    </row>
    <row r="16" spans="1:26" ht="48.75" customHeight="1" x14ac:dyDescent="0.35">
      <c r="A16" s="156" t="s">
        <v>9</v>
      </c>
      <c r="B16" s="156"/>
      <c r="C16" s="156" t="str">
        <f>CONCATENATE((IF(OR(E9="",E9="NA"),"",E9)),", ",(IF(OR(A17="",A17="NA"),"",A17)),".",(IF(OR(C17="",C17="NA"),"",C17)),", near ",(IF(OR(C22="",C22="NA"),"",C22)),", ",(IF(OR(C19="",C19="NA"),"",C19)),", ",(IF(OR(C18="",C18="NA"),"",C18)),", ",(IF(OR(G19="",G19="NA"),"",G19)),", ",(IF(OR(C20="",C20="NA"),"",C20)),", ",(IF(OR(C21="",C21="NA"),"",C21)),", ",(IF(OR(G20="",G20="NA"),"",G20))," - ",(IF(OR(G21="",G21="NA"),"",G21)),".")</f>
        <v>Shubharambh Phase I, Survey No.H No.99/2, 98/6, 98/7, 98/8, 126/1B, 126/3, 125/7B, 125/7C, 125/7D, 125/8, 126/2/A &amp; 126/2/B, near Padmavati Royal, Titwala-Goveli Road, , Titwala, Titwala, Kalyan, Thane - 421605.</v>
      </c>
      <c r="D16" s="156"/>
      <c r="E16" s="156"/>
      <c r="F16" s="156"/>
      <c r="G16" s="156"/>
      <c r="H16" s="156"/>
      <c r="S16" s="52" t="s">
        <v>183</v>
      </c>
      <c r="T16" s="52" t="s">
        <v>191</v>
      </c>
      <c r="U16" s="52" t="s">
        <v>212</v>
      </c>
      <c r="V16" s="52" t="s">
        <v>198</v>
      </c>
      <c r="W16" s="52" t="s">
        <v>215</v>
      </c>
      <c r="X16"/>
      <c r="Y16"/>
      <c r="Z16"/>
    </row>
    <row r="17" spans="1:26" ht="36" customHeight="1" x14ac:dyDescent="0.35">
      <c r="A17" s="157" t="s">
        <v>353</v>
      </c>
      <c r="B17" s="157"/>
      <c r="C17" s="157" t="s">
        <v>416</v>
      </c>
      <c r="D17" s="157"/>
      <c r="E17" s="157"/>
      <c r="F17" s="157"/>
      <c r="G17" s="157"/>
      <c r="H17" s="157"/>
      <c r="J17" s="20" t="s">
        <v>417</v>
      </c>
      <c r="L17" s="24">
        <v>45626</v>
      </c>
      <c r="S17" s="52" t="s">
        <v>184</v>
      </c>
      <c r="T17" s="52" t="s">
        <v>192</v>
      </c>
      <c r="U17" s="52" t="s">
        <v>173</v>
      </c>
      <c r="V17" s="52" t="s">
        <v>199</v>
      </c>
      <c r="W17" s="52" t="s">
        <v>216</v>
      </c>
      <c r="X17"/>
      <c r="Y17"/>
      <c r="Z17"/>
    </row>
    <row r="18" spans="1:26" ht="15.75" customHeight="1" x14ac:dyDescent="0.35">
      <c r="A18" s="157" t="s">
        <v>163</v>
      </c>
      <c r="B18" s="157"/>
      <c r="C18" s="157" t="s">
        <v>28</v>
      </c>
      <c r="D18" s="157"/>
      <c r="E18" s="157"/>
      <c r="F18" s="157"/>
      <c r="G18" s="157"/>
      <c r="H18" s="157"/>
      <c r="J18" s="20" t="s">
        <v>418</v>
      </c>
      <c r="S18" s="52" t="s">
        <v>185</v>
      </c>
      <c r="T18" s="52" t="s">
        <v>190</v>
      </c>
      <c r="U18" s="52"/>
      <c r="V18" s="52" t="s">
        <v>200</v>
      </c>
      <c r="W18" s="52" t="s">
        <v>217</v>
      </c>
      <c r="X18"/>
      <c r="Y18"/>
      <c r="Z18"/>
    </row>
    <row r="19" spans="1:26" ht="15.75" customHeight="1" x14ac:dyDescent="0.35">
      <c r="A19" s="156" t="s">
        <v>10</v>
      </c>
      <c r="B19" s="156"/>
      <c r="C19" s="186" t="s">
        <v>348</v>
      </c>
      <c r="D19" s="186"/>
      <c r="E19" s="157" t="s">
        <v>70</v>
      </c>
      <c r="F19" s="157"/>
      <c r="G19" s="157" t="s">
        <v>349</v>
      </c>
      <c r="H19" s="157"/>
      <c r="S19" s="52" t="s">
        <v>186</v>
      </c>
      <c r="T19" s="52" t="s">
        <v>193</v>
      </c>
      <c r="U19" s="52"/>
      <c r="V19" s="52" t="s">
        <v>201</v>
      </c>
      <c r="W19" s="52" t="s">
        <v>218</v>
      </c>
      <c r="X19"/>
      <c r="Y19"/>
      <c r="Z19"/>
    </row>
    <row r="20" spans="1:26" x14ac:dyDescent="0.35">
      <c r="A20" s="117" t="s">
        <v>12</v>
      </c>
      <c r="B20" s="117"/>
      <c r="C20" s="157" t="s">
        <v>349</v>
      </c>
      <c r="D20" s="157"/>
      <c r="E20" s="157" t="s">
        <v>11</v>
      </c>
      <c r="F20" s="157"/>
      <c r="G20" s="158" t="s">
        <v>181</v>
      </c>
      <c r="H20" s="158"/>
      <c r="S20" s="52" t="s">
        <v>187</v>
      </c>
      <c r="T20" s="52" t="s">
        <v>194</v>
      </c>
      <c r="U20" s="52"/>
      <c r="V20" s="52" t="s">
        <v>202</v>
      </c>
      <c r="W20" s="52" t="s">
        <v>219</v>
      </c>
      <c r="X20"/>
      <c r="Y20"/>
      <c r="Z20"/>
    </row>
    <row r="21" spans="1:26" x14ac:dyDescent="0.35">
      <c r="A21" s="117" t="s">
        <v>71</v>
      </c>
      <c r="B21" s="117"/>
      <c r="C21" s="157" t="s">
        <v>183</v>
      </c>
      <c r="D21" s="157"/>
      <c r="E21" s="157" t="s">
        <v>13</v>
      </c>
      <c r="F21" s="157"/>
      <c r="G21" s="157">
        <v>421605</v>
      </c>
      <c r="H21" s="157"/>
      <c r="S21" s="52"/>
      <c r="T21" s="52"/>
      <c r="U21" s="52"/>
      <c r="V21" s="52" t="s">
        <v>203</v>
      </c>
      <c r="W21" s="52" t="s">
        <v>220</v>
      </c>
      <c r="X21"/>
      <c r="Y21"/>
      <c r="Z21"/>
    </row>
    <row r="22" spans="1:26" ht="32.25" customHeight="1" x14ac:dyDescent="0.35">
      <c r="A22" s="117" t="s">
        <v>119</v>
      </c>
      <c r="B22" s="117"/>
      <c r="C22" s="157" t="s">
        <v>397</v>
      </c>
      <c r="D22" s="157"/>
      <c r="E22" s="157" t="s">
        <v>14</v>
      </c>
      <c r="F22" s="157"/>
      <c r="G22" s="157" t="s">
        <v>398</v>
      </c>
      <c r="H22" s="157"/>
      <c r="S22" s="52"/>
      <c r="T22" s="52"/>
      <c r="U22" s="52"/>
      <c r="V22" s="52" t="s">
        <v>204</v>
      </c>
      <c r="W22" s="52" t="s">
        <v>221</v>
      </c>
      <c r="X22"/>
      <c r="Y22"/>
      <c r="Z22"/>
    </row>
    <row r="23" spans="1:26" ht="15" customHeight="1" x14ac:dyDescent="0.35">
      <c r="A23" s="156" t="s">
        <v>73</v>
      </c>
      <c r="B23" s="156"/>
      <c r="C23" s="156"/>
      <c r="D23" s="156"/>
      <c r="E23" s="186" t="s">
        <v>15</v>
      </c>
      <c r="F23" s="186"/>
      <c r="G23" s="186"/>
      <c r="H23" s="186"/>
      <c r="S23" s="52"/>
      <c r="T23" s="52"/>
      <c r="U23" s="52"/>
      <c r="V23" s="52" t="s">
        <v>205</v>
      </c>
      <c r="W23" s="52" t="s">
        <v>222</v>
      </c>
      <c r="X23"/>
      <c r="Y23"/>
      <c r="Z23"/>
    </row>
    <row r="24" spans="1:26" ht="18.75" customHeight="1" x14ac:dyDescent="0.35">
      <c r="A24" s="156"/>
      <c r="B24" s="156"/>
      <c r="C24" s="156"/>
      <c r="D24" s="156"/>
      <c r="E24" s="186"/>
      <c r="F24" s="186"/>
      <c r="G24" s="186"/>
      <c r="H24" s="186"/>
      <c r="S24" s="52"/>
      <c r="T24" s="52"/>
      <c r="U24" s="52"/>
      <c r="V24" s="52" t="s">
        <v>206</v>
      </c>
      <c r="W24" s="52" t="s">
        <v>223</v>
      </c>
      <c r="X24"/>
      <c r="Y24"/>
      <c r="Z24"/>
    </row>
    <row r="25" spans="1:26" ht="15" customHeight="1" x14ac:dyDescent="0.35">
      <c r="A25" s="156" t="s">
        <v>16</v>
      </c>
      <c r="B25" s="156"/>
      <c r="C25" s="156"/>
      <c r="D25" s="156"/>
      <c r="E25" s="157" t="s">
        <v>17</v>
      </c>
      <c r="F25" s="157"/>
      <c r="G25" s="157"/>
      <c r="H25" s="157"/>
      <c r="S25" s="52"/>
      <c r="T25" s="52"/>
      <c r="U25" s="52"/>
      <c r="V25" s="52" t="s">
        <v>207</v>
      </c>
      <c r="W25" s="52" t="s">
        <v>224</v>
      </c>
      <c r="X25"/>
      <c r="Y25"/>
      <c r="Z25"/>
    </row>
    <row r="26" spans="1:26" ht="15" customHeight="1" x14ac:dyDescent="0.35">
      <c r="A26" s="117" t="s">
        <v>18</v>
      </c>
      <c r="B26" s="117"/>
      <c r="C26" s="117"/>
      <c r="D26" s="117"/>
      <c r="E26" s="157" t="str">
        <f>IF(AND(G20="Mumbai"),"Upper Class","Middle Class")</f>
        <v>Middle Class</v>
      </c>
      <c r="F26" s="157"/>
      <c r="G26" s="157"/>
      <c r="H26" s="157"/>
      <c r="S26" s="52"/>
      <c r="T26" s="52"/>
      <c r="U26" s="52"/>
      <c r="V26" s="52" t="s">
        <v>208</v>
      </c>
      <c r="W26" s="52" t="s">
        <v>225</v>
      </c>
      <c r="X26"/>
      <c r="Y26"/>
      <c r="Z26"/>
    </row>
    <row r="27" spans="1:26" x14ac:dyDescent="0.35">
      <c r="A27" s="117" t="s">
        <v>19</v>
      </c>
      <c r="B27" s="117"/>
      <c r="C27" s="117"/>
      <c r="D27" s="117"/>
      <c r="E27" s="157" t="s">
        <v>20</v>
      </c>
      <c r="F27" s="157"/>
      <c r="G27" s="157"/>
      <c r="H27" s="157"/>
      <c r="S27" s="52"/>
      <c r="T27" s="52"/>
      <c r="U27" s="52"/>
      <c r="V27" s="52" t="s">
        <v>209</v>
      </c>
      <c r="W27" s="52" t="s">
        <v>226</v>
      </c>
      <c r="X27"/>
      <c r="Y27"/>
      <c r="Z27"/>
    </row>
    <row r="28" spans="1:26" ht="15.75" customHeight="1" x14ac:dyDescent="0.35">
      <c r="A28" s="117" t="s">
        <v>21</v>
      </c>
      <c r="B28" s="117"/>
      <c r="C28" s="117"/>
      <c r="D28" s="117"/>
      <c r="E28" s="157" t="str">
        <f>IF(AND(G20="Mumbai"),"Developed","Developing")</f>
        <v>Developing</v>
      </c>
      <c r="F28" s="157"/>
      <c r="G28" s="157"/>
      <c r="H28" s="157"/>
    </row>
    <row r="29" spans="1:26" x14ac:dyDescent="0.35">
      <c r="A29" s="117" t="s">
        <v>22</v>
      </c>
      <c r="B29" s="117"/>
      <c r="C29" s="117"/>
      <c r="D29" s="117"/>
      <c r="E29" s="157" t="s">
        <v>23</v>
      </c>
      <c r="F29" s="157"/>
      <c r="G29" s="157"/>
      <c r="H29" s="157"/>
    </row>
    <row r="30" spans="1:26" ht="15.75" customHeight="1" x14ac:dyDescent="0.35">
      <c r="A30" s="117" t="s">
        <v>78</v>
      </c>
      <c r="B30" s="117"/>
      <c r="C30" s="117"/>
      <c r="D30" s="117"/>
      <c r="E30" s="157" t="s">
        <v>79</v>
      </c>
      <c r="F30" s="157"/>
      <c r="G30" s="157"/>
      <c r="H30" s="157"/>
    </row>
    <row r="31" spans="1:26" ht="15" customHeight="1" x14ac:dyDescent="0.35">
      <c r="A31" s="117" t="s">
        <v>30</v>
      </c>
      <c r="B31" s="117"/>
      <c r="C31" s="117"/>
      <c r="D31" s="117"/>
      <c r="E31" s="157"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57"/>
      <c r="G31" s="157"/>
      <c r="H31" s="157"/>
    </row>
    <row r="32" spans="1:26" ht="15.75" customHeight="1" x14ac:dyDescent="0.35">
      <c r="A32" s="117" t="s">
        <v>89</v>
      </c>
      <c r="B32" s="117"/>
      <c r="C32" s="117"/>
      <c r="D32" s="117"/>
      <c r="E32" s="157" t="s">
        <v>31</v>
      </c>
      <c r="F32" s="157"/>
      <c r="G32" s="157"/>
      <c r="H32" s="157"/>
    </row>
    <row r="33" spans="1:19" s="21" customFormat="1" x14ac:dyDescent="0.35">
      <c r="A33" s="216" t="s">
        <v>90</v>
      </c>
      <c r="B33" s="216"/>
      <c r="C33" s="173" t="s">
        <v>174</v>
      </c>
      <c r="D33" s="173"/>
      <c r="E33" s="173"/>
      <c r="F33" s="173" t="s">
        <v>29</v>
      </c>
      <c r="G33" s="173"/>
      <c r="H33" s="173"/>
      <c r="S33" s="21" t="e">
        <f ca="1">OFFSET($S$13,1,MATCH($G20,$S$13:$W$13,0)-1,15,1)</f>
        <v>#VALUE!</v>
      </c>
    </row>
    <row r="34" spans="1:19" s="21" customFormat="1" x14ac:dyDescent="0.35">
      <c r="A34" s="215" t="s">
        <v>24</v>
      </c>
      <c r="B34" s="215" t="s">
        <v>28</v>
      </c>
      <c r="C34" s="155" t="s">
        <v>344</v>
      </c>
      <c r="D34" s="155"/>
      <c r="E34" s="155"/>
      <c r="F34" s="155" t="s">
        <v>347</v>
      </c>
      <c r="G34" s="155"/>
      <c r="H34" s="155"/>
    </row>
    <row r="35" spans="1:19" x14ac:dyDescent="0.35">
      <c r="A35" s="215" t="s">
        <v>25</v>
      </c>
      <c r="B35" s="215" t="s">
        <v>28</v>
      </c>
      <c r="C35" s="155" t="s">
        <v>343</v>
      </c>
      <c r="D35" s="155"/>
      <c r="E35" s="155"/>
      <c r="F35" s="155" t="s">
        <v>346</v>
      </c>
      <c r="G35" s="155"/>
      <c r="H35" s="155"/>
    </row>
    <row r="36" spans="1:19" s="21" customFormat="1" x14ac:dyDescent="0.35">
      <c r="A36" s="215" t="s">
        <v>27</v>
      </c>
      <c r="B36" s="215" t="s">
        <v>28</v>
      </c>
      <c r="C36" s="155" t="s">
        <v>343</v>
      </c>
      <c r="D36" s="155"/>
      <c r="E36" s="155"/>
      <c r="F36" s="155" t="s">
        <v>346</v>
      </c>
      <c r="G36" s="155"/>
      <c r="H36" s="155"/>
    </row>
    <row r="37" spans="1:19" x14ac:dyDescent="0.35">
      <c r="A37" s="215" t="s">
        <v>26</v>
      </c>
      <c r="B37" s="215" t="s">
        <v>28</v>
      </c>
      <c r="C37" s="155" t="s">
        <v>345</v>
      </c>
      <c r="D37" s="155"/>
      <c r="E37" s="155"/>
      <c r="F37" s="155" t="s">
        <v>346</v>
      </c>
      <c r="G37" s="155"/>
      <c r="H37" s="155"/>
    </row>
    <row r="38" spans="1:19" x14ac:dyDescent="0.35">
      <c r="A38" s="117" t="s">
        <v>281</v>
      </c>
      <c r="B38" s="117"/>
      <c r="C38" s="117"/>
      <c r="D38" s="117"/>
      <c r="E38" s="117"/>
      <c r="F38" s="117"/>
      <c r="G38" s="117"/>
      <c r="H38" s="117"/>
    </row>
    <row r="39" spans="1:19" ht="15.75" customHeight="1" x14ac:dyDescent="0.35">
      <c r="A39" s="117" t="s">
        <v>166</v>
      </c>
      <c r="B39" s="117"/>
      <c r="C39" s="188" t="s">
        <v>399</v>
      </c>
      <c r="D39" s="188"/>
      <c r="E39" s="188"/>
      <c r="F39" s="188"/>
      <c r="G39" s="188"/>
      <c r="H39" s="188"/>
    </row>
    <row r="40" spans="1:19" x14ac:dyDescent="0.35">
      <c r="A40" s="117" t="s">
        <v>162</v>
      </c>
      <c r="B40" s="117"/>
      <c r="C40" s="230" t="s">
        <v>400</v>
      </c>
      <c r="D40" s="157"/>
      <c r="E40" s="157"/>
      <c r="F40" s="157"/>
      <c r="G40" s="157"/>
      <c r="H40" s="157"/>
    </row>
    <row r="41" spans="1:19" x14ac:dyDescent="0.35">
      <c r="A41" s="188" t="s">
        <v>32</v>
      </c>
      <c r="B41" s="188"/>
      <c r="C41" s="188"/>
      <c r="D41" s="188"/>
      <c r="E41" s="188"/>
      <c r="F41" s="188"/>
      <c r="G41" s="188"/>
      <c r="H41" s="188"/>
    </row>
    <row r="42" spans="1:19" x14ac:dyDescent="0.35">
      <c r="A42" s="117" t="s">
        <v>33</v>
      </c>
      <c r="B42" s="117"/>
      <c r="C42" s="117"/>
      <c r="D42" s="117"/>
      <c r="E42" s="217">
        <v>40708.39</v>
      </c>
      <c r="F42" s="217"/>
      <c r="G42" s="217"/>
      <c r="H42" s="217"/>
    </row>
    <row r="43" spans="1:19" x14ac:dyDescent="0.35">
      <c r="A43" s="117" t="s">
        <v>34</v>
      </c>
      <c r="B43" s="117"/>
      <c r="C43" s="117"/>
      <c r="D43" s="117"/>
      <c r="E43" s="151">
        <v>1</v>
      </c>
      <c r="F43" s="151"/>
      <c r="G43" s="151"/>
      <c r="H43" s="151"/>
    </row>
    <row r="44" spans="1:19" x14ac:dyDescent="0.35">
      <c r="A44" s="117" t="s">
        <v>35</v>
      </c>
      <c r="B44" s="117"/>
      <c r="C44" s="117"/>
      <c r="D44" s="117"/>
      <c r="E44" s="151">
        <f>E46/E42-E43</f>
        <v>0.62513280431871654</v>
      </c>
      <c r="F44" s="151"/>
      <c r="G44" s="151"/>
      <c r="H44" s="151"/>
    </row>
    <row r="45" spans="1:19" x14ac:dyDescent="0.35">
      <c r="A45" s="117" t="s">
        <v>36</v>
      </c>
      <c r="B45" s="117"/>
      <c r="C45" s="117"/>
      <c r="D45" s="117"/>
      <c r="E45" s="151">
        <f>E43+E44</f>
        <v>1.6251328043187165</v>
      </c>
      <c r="F45" s="151"/>
      <c r="G45" s="151"/>
      <c r="H45" s="151"/>
    </row>
    <row r="46" spans="1:19" x14ac:dyDescent="0.35">
      <c r="A46" s="117" t="s">
        <v>88</v>
      </c>
      <c r="B46" s="117"/>
      <c r="C46" s="117"/>
      <c r="D46" s="117"/>
      <c r="E46" s="224">
        <v>66156.539999999994</v>
      </c>
      <c r="F46" s="224"/>
      <c r="G46" s="224"/>
      <c r="H46" s="224"/>
    </row>
    <row r="47" spans="1:19" x14ac:dyDescent="0.35">
      <c r="A47" s="186" t="s">
        <v>37</v>
      </c>
      <c r="B47" s="186"/>
      <c r="C47" s="186"/>
      <c r="D47" s="186"/>
      <c r="E47" s="186" t="s">
        <v>393</v>
      </c>
      <c r="F47" s="186"/>
      <c r="G47" s="186"/>
      <c r="H47" s="186"/>
    </row>
    <row r="48" spans="1:19" x14ac:dyDescent="0.35">
      <c r="A48" s="188" t="s">
        <v>38</v>
      </c>
      <c r="B48" s="188"/>
      <c r="C48" s="188"/>
      <c r="D48" s="188"/>
      <c r="E48" s="188"/>
      <c r="F48" s="188"/>
      <c r="G48" s="188"/>
      <c r="H48" s="188"/>
    </row>
    <row r="49" spans="1:24" ht="33.75" customHeight="1" x14ac:dyDescent="0.35">
      <c r="A49" s="152" t="s">
        <v>151</v>
      </c>
      <c r="B49" s="153"/>
      <c r="C49" s="236" t="s">
        <v>350</v>
      </c>
      <c r="D49" s="237"/>
      <c r="E49" s="237"/>
      <c r="F49" s="237"/>
      <c r="G49" s="237"/>
      <c r="H49" s="238"/>
      <c r="R49" t="s">
        <v>254</v>
      </c>
      <c r="S49" s="55" t="s">
        <v>173</v>
      </c>
      <c r="T49" s="55" t="s">
        <v>181</v>
      </c>
      <c r="U49" s="55" t="s">
        <v>195</v>
      </c>
      <c r="V49" s="55" t="s">
        <v>190</v>
      </c>
    </row>
    <row r="50" spans="1:24" ht="15.75" customHeight="1" x14ac:dyDescent="0.35">
      <c r="A50" s="152" t="s">
        <v>39</v>
      </c>
      <c r="B50" s="153"/>
      <c r="C50" s="218" t="s">
        <v>351</v>
      </c>
      <c r="D50" s="219"/>
      <c r="E50" s="220"/>
      <c r="F50" s="85" t="s">
        <v>40</v>
      </c>
      <c r="G50" s="221">
        <v>45240</v>
      </c>
      <c r="H50" s="220"/>
      <c r="R50"/>
      <c r="S50" s="55" t="s">
        <v>255</v>
      </c>
      <c r="T50" s="55" t="s">
        <v>260</v>
      </c>
      <c r="U50" s="55" t="s">
        <v>271</v>
      </c>
      <c r="V50" s="55" t="s">
        <v>276</v>
      </c>
    </row>
    <row r="51" spans="1:24" x14ac:dyDescent="0.35">
      <c r="A51" s="152" t="s">
        <v>41</v>
      </c>
      <c r="B51" s="153"/>
      <c r="C51" s="218" t="str">
        <f>C50</f>
        <v>EE/BP/PMAY/A/MHADA/875/2023</v>
      </c>
      <c r="D51" s="219"/>
      <c r="E51" s="220"/>
      <c r="F51" s="85" t="s">
        <v>40</v>
      </c>
      <c r="G51" s="221">
        <f>G50</f>
        <v>45240</v>
      </c>
      <c r="H51" s="223"/>
      <c r="R51"/>
      <c r="S51" s="55" t="s">
        <v>256</v>
      </c>
      <c r="T51" s="55" t="s">
        <v>261</v>
      </c>
      <c r="U51" s="55" t="s">
        <v>269</v>
      </c>
      <c r="V51" s="55" t="s">
        <v>277</v>
      </c>
    </row>
    <row r="52" spans="1:24" s="22" customFormat="1" ht="15.75" customHeight="1" x14ac:dyDescent="0.35">
      <c r="A52" s="250" t="s">
        <v>155</v>
      </c>
      <c r="B52" s="251"/>
      <c r="C52" s="218" t="s">
        <v>352</v>
      </c>
      <c r="D52" s="219"/>
      <c r="E52" s="220"/>
      <c r="F52" s="85" t="s">
        <v>40</v>
      </c>
      <c r="G52" s="221">
        <v>45260</v>
      </c>
      <c r="H52" s="223"/>
      <c r="R52"/>
      <c r="S52" s="55" t="s">
        <v>257</v>
      </c>
      <c r="T52" s="55" t="s">
        <v>262</v>
      </c>
      <c r="U52" s="55" t="s">
        <v>259</v>
      </c>
      <c r="V52" s="55" t="s">
        <v>278</v>
      </c>
    </row>
    <row r="53" spans="1:24" s="22" customFormat="1" x14ac:dyDescent="0.35">
      <c r="A53" s="252"/>
      <c r="B53" s="253"/>
      <c r="C53" s="152" t="s">
        <v>423</v>
      </c>
      <c r="D53" s="154"/>
      <c r="E53" s="154"/>
      <c r="F53" s="154"/>
      <c r="G53" s="154"/>
      <c r="H53" s="153"/>
      <c r="R53"/>
      <c r="S53" s="55" t="s">
        <v>258</v>
      </c>
      <c r="T53" s="55" t="s">
        <v>265</v>
      </c>
      <c r="U53" s="55" t="s">
        <v>272</v>
      </c>
      <c r="V53" s="75"/>
    </row>
    <row r="54" spans="1:24" s="22" customFormat="1" ht="15.5" hidden="1" customHeight="1" x14ac:dyDescent="0.35">
      <c r="A54" s="252"/>
      <c r="B54" s="253"/>
      <c r="C54" s="152"/>
      <c r="D54" s="154"/>
      <c r="E54" s="153"/>
      <c r="F54" s="18" t="s">
        <v>40</v>
      </c>
      <c r="G54" s="152"/>
      <c r="H54" s="153"/>
      <c r="R54"/>
      <c r="S54" s="55" t="s">
        <v>257</v>
      </c>
      <c r="T54" s="55" t="s">
        <v>262</v>
      </c>
      <c r="U54" s="55" t="s">
        <v>259</v>
      </c>
      <c r="V54" s="55" t="s">
        <v>278</v>
      </c>
    </row>
    <row r="55" spans="1:24" s="22" customFormat="1" ht="32.25" hidden="1" customHeight="1" x14ac:dyDescent="0.35">
      <c r="A55" s="252"/>
      <c r="B55" s="253"/>
      <c r="C55" s="233"/>
      <c r="D55" s="234"/>
      <c r="E55" s="234"/>
      <c r="F55" s="234"/>
      <c r="G55" s="234"/>
      <c r="H55" s="235"/>
      <c r="R55"/>
      <c r="S55" s="55" t="s">
        <v>259</v>
      </c>
      <c r="T55" s="55" t="s">
        <v>263</v>
      </c>
      <c r="U55" s="55" t="s">
        <v>273</v>
      </c>
      <c r="V55" s="76"/>
      <c r="W55" s="20"/>
      <c r="X55" s="20"/>
    </row>
    <row r="56" spans="1:24" s="22" customFormat="1" ht="15.75" customHeight="1" x14ac:dyDescent="0.35">
      <c r="A56" s="252"/>
      <c r="B56" s="253"/>
      <c r="C56" s="218" t="s">
        <v>420</v>
      </c>
      <c r="D56" s="219"/>
      <c r="E56" s="220"/>
      <c r="F56" s="85" t="s">
        <v>40</v>
      </c>
      <c r="G56" s="221">
        <v>45720</v>
      </c>
      <c r="H56" s="223"/>
      <c r="R56"/>
      <c r="S56" s="55" t="s">
        <v>257</v>
      </c>
      <c r="T56" s="55" t="s">
        <v>262</v>
      </c>
      <c r="U56" s="55" t="s">
        <v>259</v>
      </c>
      <c r="V56" s="55" t="s">
        <v>278</v>
      </c>
    </row>
    <row r="57" spans="1:24" s="22" customFormat="1" x14ac:dyDescent="0.35">
      <c r="A57" s="254"/>
      <c r="B57" s="255"/>
      <c r="C57" s="152" t="s">
        <v>421</v>
      </c>
      <c r="D57" s="154"/>
      <c r="E57" s="154"/>
      <c r="F57" s="154"/>
      <c r="G57" s="154"/>
      <c r="H57" s="153"/>
      <c r="R57"/>
      <c r="S57" s="55" t="s">
        <v>258</v>
      </c>
      <c r="T57" s="55" t="s">
        <v>265</v>
      </c>
      <c r="U57" s="55" t="s">
        <v>272</v>
      </c>
      <c r="V57" s="75"/>
    </row>
    <row r="58" spans="1:24" s="22" customFormat="1" ht="34.5" customHeight="1" x14ac:dyDescent="0.35">
      <c r="A58" s="177" t="s">
        <v>282</v>
      </c>
      <c r="B58" s="178"/>
      <c r="C58" s="152" t="s">
        <v>409</v>
      </c>
      <c r="D58" s="154"/>
      <c r="E58" s="153"/>
      <c r="F58" s="18" t="s">
        <v>40</v>
      </c>
      <c r="G58" s="222">
        <v>45330</v>
      </c>
      <c r="H58" s="153"/>
      <c r="R58"/>
      <c r="S58" s="76"/>
      <c r="T58" s="55" t="s">
        <v>264</v>
      </c>
      <c r="U58" s="55" t="s">
        <v>274</v>
      </c>
      <c r="V58" s="76"/>
      <c r="W58" s="20"/>
      <c r="X58" s="20"/>
    </row>
    <row r="59" spans="1:24" s="22" customFormat="1" x14ac:dyDescent="0.35">
      <c r="A59" s="179"/>
      <c r="B59" s="180"/>
      <c r="C59" s="152" t="s">
        <v>410</v>
      </c>
      <c r="D59" s="154"/>
      <c r="E59" s="154"/>
      <c r="F59" s="154"/>
      <c r="G59" s="154"/>
      <c r="H59" s="153"/>
      <c r="R59"/>
      <c r="S59" s="76"/>
      <c r="T59" s="55" t="s">
        <v>266</v>
      </c>
      <c r="U59" s="55" t="s">
        <v>275</v>
      </c>
      <c r="V59" s="76"/>
      <c r="W59" s="20"/>
      <c r="X59" s="20"/>
    </row>
    <row r="60" spans="1:24" s="22" customFormat="1" ht="15.75" hidden="1" customHeight="1" x14ac:dyDescent="0.35">
      <c r="A60" s="177" t="s">
        <v>283</v>
      </c>
      <c r="B60" s="178"/>
      <c r="C60" s="152" t="str">
        <f>C59</f>
        <v>Building No.1 to 21 = Gr./Stilt +1st to 7th Floor.</v>
      </c>
      <c r="D60" s="154"/>
      <c r="E60" s="153"/>
      <c r="F60" s="18" t="s">
        <v>40</v>
      </c>
      <c r="G60" s="152">
        <f>G59</f>
        <v>0</v>
      </c>
      <c r="H60" s="153"/>
      <c r="R60"/>
      <c r="S60" s="76"/>
      <c r="T60" s="55" t="s">
        <v>267</v>
      </c>
      <c r="U60" s="76" t="s">
        <v>297</v>
      </c>
      <c r="V60" s="76"/>
      <c r="W60" s="20"/>
      <c r="X60" s="20"/>
    </row>
    <row r="61" spans="1:24" s="22" customFormat="1" ht="33.75" hidden="1" customHeight="1" x14ac:dyDescent="0.35">
      <c r="A61" s="179"/>
      <c r="B61" s="180"/>
      <c r="C61" s="152"/>
      <c r="D61" s="154"/>
      <c r="E61" s="154"/>
      <c r="F61" s="154"/>
      <c r="G61" s="154"/>
      <c r="H61" s="153"/>
      <c r="R61"/>
      <c r="S61" s="76"/>
      <c r="T61" s="55" t="s">
        <v>268</v>
      </c>
      <c r="U61" s="76"/>
      <c r="V61" s="76"/>
      <c r="W61" s="20"/>
      <c r="X61" s="20"/>
    </row>
    <row r="62" spans="1:24" x14ac:dyDescent="0.35">
      <c r="A62" s="181" t="s">
        <v>42</v>
      </c>
      <c r="B62" s="182"/>
      <c r="C62" s="183" t="s">
        <v>102</v>
      </c>
      <c r="D62" s="184"/>
      <c r="E62" s="185"/>
      <c r="F62" s="42" t="s">
        <v>40</v>
      </c>
      <c r="G62" s="175" t="s">
        <v>28</v>
      </c>
      <c r="H62" s="176"/>
      <c r="R62"/>
      <c r="S62" s="76"/>
      <c r="T62" s="55" t="s">
        <v>270</v>
      </c>
      <c r="U62" s="76"/>
      <c r="V62" s="76"/>
    </row>
    <row r="63" spans="1:24" x14ac:dyDescent="0.35">
      <c r="A63" s="205" t="s">
        <v>44</v>
      </c>
      <c r="B63" s="205"/>
      <c r="C63" s="205"/>
      <c r="D63" s="205"/>
      <c r="E63" s="205"/>
      <c r="F63" s="205"/>
      <c r="G63" s="205"/>
      <c r="H63" s="205"/>
      <c r="S63" s="76"/>
      <c r="T63" s="55" t="s">
        <v>279</v>
      </c>
      <c r="U63" s="76"/>
      <c r="V63" s="76"/>
    </row>
    <row r="64" spans="1:24" x14ac:dyDescent="0.35">
      <c r="A64" s="156" t="s">
        <v>403</v>
      </c>
      <c r="B64" s="156"/>
      <c r="C64" s="156"/>
      <c r="D64" s="117">
        <v>44713.18</v>
      </c>
      <c r="E64" s="117"/>
      <c r="F64" s="117"/>
      <c r="G64" s="117"/>
      <c r="H64" s="117"/>
      <c r="R64"/>
      <c r="T64" s="20" t="s">
        <v>350</v>
      </c>
    </row>
    <row r="65" spans="1:19" x14ac:dyDescent="0.35">
      <c r="A65" s="157" t="s">
        <v>45</v>
      </c>
      <c r="B65" s="186"/>
      <c r="C65" s="186"/>
      <c r="D65" s="186" t="s">
        <v>408</v>
      </c>
      <c r="E65" s="186"/>
      <c r="F65" s="186"/>
      <c r="G65" s="186"/>
      <c r="H65" s="186"/>
      <c r="I65" s="23"/>
      <c r="R65"/>
    </row>
    <row r="66" spans="1:19" x14ac:dyDescent="0.35">
      <c r="A66" s="177" t="s">
        <v>46</v>
      </c>
      <c r="B66" s="229"/>
      <c r="C66" s="178"/>
      <c r="D66" s="227" t="s">
        <v>404</v>
      </c>
      <c r="E66" s="228"/>
      <c r="F66" s="228"/>
      <c r="G66" s="228"/>
      <c r="H66" s="228"/>
      <c r="R66"/>
    </row>
    <row r="67" spans="1:19" ht="15.75" customHeight="1" x14ac:dyDescent="0.35">
      <c r="A67" s="157" t="s">
        <v>86</v>
      </c>
      <c r="B67" s="157"/>
      <c r="C67" s="157"/>
      <c r="D67" s="186" t="s">
        <v>414</v>
      </c>
      <c r="E67" s="186"/>
      <c r="F67" s="186"/>
      <c r="G67" s="186"/>
      <c r="H67" s="186"/>
      <c r="R67"/>
    </row>
    <row r="68" spans="1:19" ht="15.75" customHeight="1" x14ac:dyDescent="0.35">
      <c r="A68" s="157"/>
      <c r="B68" s="157"/>
      <c r="C68" s="157"/>
      <c r="D68" s="186" t="s">
        <v>356</v>
      </c>
      <c r="E68" s="186"/>
      <c r="F68" s="186"/>
      <c r="G68" s="186"/>
      <c r="H68" s="186"/>
      <c r="R68"/>
    </row>
    <row r="69" spans="1:19" ht="15.75" customHeight="1" x14ac:dyDescent="0.35">
      <c r="A69" s="157"/>
      <c r="B69" s="157"/>
      <c r="C69" s="157"/>
      <c r="D69" s="186" t="s">
        <v>412</v>
      </c>
      <c r="E69" s="186"/>
      <c r="F69" s="186"/>
      <c r="G69" s="186"/>
      <c r="H69" s="186"/>
      <c r="R69"/>
    </row>
    <row r="70" spans="1:19" ht="15.75" customHeight="1" x14ac:dyDescent="0.35">
      <c r="A70" s="157"/>
      <c r="B70" s="157"/>
      <c r="C70" s="157"/>
      <c r="D70" s="186" t="s">
        <v>357</v>
      </c>
      <c r="E70" s="186"/>
      <c r="F70" s="186"/>
      <c r="G70" s="186"/>
      <c r="H70" s="186"/>
      <c r="S70"/>
    </row>
    <row r="71" spans="1:19" ht="15.75" customHeight="1" x14ac:dyDescent="0.35">
      <c r="A71" s="157"/>
      <c r="B71" s="157"/>
      <c r="C71" s="157"/>
      <c r="D71" s="186" t="s">
        <v>358</v>
      </c>
      <c r="E71" s="186"/>
      <c r="F71" s="186"/>
      <c r="G71" s="186"/>
      <c r="H71" s="186"/>
      <c r="R71"/>
    </row>
    <row r="72" spans="1:19" ht="15.75" hidden="1" customHeight="1" x14ac:dyDescent="0.35">
      <c r="A72" s="157"/>
      <c r="B72" s="157"/>
      <c r="C72" s="157"/>
      <c r="D72" s="186" t="s">
        <v>359</v>
      </c>
      <c r="E72" s="186"/>
      <c r="F72" s="186"/>
      <c r="G72" s="186"/>
      <c r="H72" s="186"/>
      <c r="S72"/>
    </row>
    <row r="73" spans="1:19" ht="15.75" hidden="1" customHeight="1" x14ac:dyDescent="0.35">
      <c r="A73" s="157"/>
      <c r="B73" s="157"/>
      <c r="C73" s="157"/>
      <c r="D73" s="186" t="s">
        <v>360</v>
      </c>
      <c r="E73" s="186"/>
      <c r="F73" s="186"/>
      <c r="G73" s="186"/>
      <c r="H73" s="186"/>
      <c r="R73"/>
    </row>
    <row r="74" spans="1:19" ht="15.75" hidden="1" customHeight="1" x14ac:dyDescent="0.35">
      <c r="A74" s="157"/>
      <c r="B74" s="157"/>
      <c r="C74" s="157"/>
      <c r="D74" s="186" t="s">
        <v>361</v>
      </c>
      <c r="E74" s="186"/>
      <c r="F74" s="186"/>
      <c r="G74" s="186"/>
      <c r="H74" s="186"/>
      <c r="S74"/>
    </row>
    <row r="75" spans="1:19" ht="15.75" hidden="1" customHeight="1" x14ac:dyDescent="0.35">
      <c r="A75" s="157"/>
      <c r="B75" s="157"/>
      <c r="C75" s="157"/>
      <c r="D75" s="186" t="s">
        <v>362</v>
      </c>
      <c r="E75" s="186"/>
      <c r="F75" s="186"/>
      <c r="G75" s="186"/>
      <c r="H75" s="186"/>
      <c r="R75"/>
    </row>
    <row r="76" spans="1:19" ht="15.75" hidden="1" customHeight="1" x14ac:dyDescent="0.35">
      <c r="A76" s="157"/>
      <c r="B76" s="157"/>
      <c r="C76" s="157"/>
      <c r="D76" s="186" t="s">
        <v>363</v>
      </c>
      <c r="E76" s="186"/>
      <c r="F76" s="186"/>
      <c r="G76" s="186"/>
      <c r="H76" s="186"/>
      <c r="S76"/>
    </row>
    <row r="77" spans="1:19" ht="15.75" customHeight="1" x14ac:dyDescent="0.35">
      <c r="A77" s="157"/>
      <c r="B77" s="157"/>
      <c r="C77" s="157"/>
      <c r="D77" s="186" t="s">
        <v>413</v>
      </c>
      <c r="E77" s="186"/>
      <c r="F77" s="186"/>
      <c r="G77" s="186"/>
      <c r="H77" s="186"/>
      <c r="S77"/>
    </row>
    <row r="78" spans="1:19" ht="15.75" customHeight="1" x14ac:dyDescent="0.35">
      <c r="A78" s="157"/>
      <c r="B78" s="157"/>
      <c r="C78" s="157"/>
      <c r="D78" s="186" t="s">
        <v>364</v>
      </c>
      <c r="E78" s="186"/>
      <c r="F78" s="186"/>
      <c r="G78" s="186"/>
      <c r="H78" s="186"/>
      <c r="R78"/>
    </row>
    <row r="79" spans="1:19" ht="15.75" hidden="1" customHeight="1" x14ac:dyDescent="0.35">
      <c r="A79" s="157"/>
      <c r="B79" s="157"/>
      <c r="C79" s="157"/>
      <c r="D79" s="189" t="s">
        <v>365</v>
      </c>
      <c r="E79" s="189"/>
      <c r="F79" s="189"/>
      <c r="G79" s="189"/>
      <c r="H79" s="189"/>
      <c r="S79"/>
    </row>
    <row r="80" spans="1:19" ht="15.75" hidden="1" customHeight="1" x14ac:dyDescent="0.35">
      <c r="A80" s="157"/>
      <c r="B80" s="157"/>
      <c r="C80" s="157"/>
      <c r="D80" s="189" t="s">
        <v>366</v>
      </c>
      <c r="E80" s="189"/>
      <c r="F80" s="189"/>
      <c r="G80" s="189"/>
      <c r="H80" s="189"/>
      <c r="R80"/>
    </row>
    <row r="81" spans="1:19" ht="15.75" hidden="1" customHeight="1" x14ac:dyDescent="0.35">
      <c r="A81" s="157"/>
      <c r="B81" s="157"/>
      <c r="C81" s="157"/>
      <c r="D81" s="189" t="s">
        <v>367</v>
      </c>
      <c r="E81" s="189"/>
      <c r="F81" s="189"/>
      <c r="G81" s="189"/>
      <c r="H81" s="189"/>
      <c r="S81"/>
    </row>
    <row r="82" spans="1:19" ht="15.75" customHeight="1" x14ac:dyDescent="0.35">
      <c r="A82" s="117" t="s">
        <v>43</v>
      </c>
      <c r="B82" s="117"/>
      <c r="C82" s="117"/>
      <c r="D82" s="156" t="s">
        <v>354</v>
      </c>
      <c r="E82" s="156"/>
      <c r="F82" s="156"/>
      <c r="G82" s="156"/>
      <c r="H82" s="156"/>
      <c r="J82" s="24"/>
      <c r="K82" s="23"/>
      <c r="N82" s="23"/>
      <c r="S82"/>
    </row>
    <row r="83" spans="1:19" ht="15.75" customHeight="1" x14ac:dyDescent="0.35">
      <c r="A83" s="117" t="s">
        <v>84</v>
      </c>
      <c r="B83" s="117"/>
      <c r="C83" s="117"/>
      <c r="D83" s="187" t="str">
        <f>(IF(G62="NA","60 Years After Completion",IF(G62&lt;&gt;"NA",""&amp;60-ROUNDDOWN((E3-G62)/360,0)&amp;" Years"," ")))</f>
        <v>60 Years After Completion</v>
      </c>
      <c r="E83" s="187"/>
      <c r="F83" s="187"/>
      <c r="G83" s="187"/>
      <c r="H83" s="187"/>
      <c r="N83" s="23"/>
      <c r="S83"/>
    </row>
    <row r="84" spans="1:19" ht="15.75" customHeight="1" x14ac:dyDescent="0.35">
      <c r="A84" s="117" t="s">
        <v>85</v>
      </c>
      <c r="B84" s="117"/>
      <c r="C84" s="117"/>
      <c r="D84" s="156" t="s">
        <v>23</v>
      </c>
      <c r="E84" s="156"/>
      <c r="F84" s="156"/>
      <c r="G84" s="156"/>
      <c r="H84" s="156"/>
      <c r="J84" s="25"/>
      <c r="K84" s="25"/>
      <c r="S84"/>
    </row>
    <row r="85" spans="1:19" ht="34" customHeight="1" x14ac:dyDescent="0.35">
      <c r="A85" s="186" t="s">
        <v>405</v>
      </c>
      <c r="B85" s="186"/>
      <c r="C85" s="186"/>
      <c r="D85" s="157" t="s">
        <v>355</v>
      </c>
      <c r="E85" s="157"/>
      <c r="F85" s="157"/>
      <c r="G85" s="157"/>
      <c r="H85" s="157"/>
      <c r="I85" s="20" t="s">
        <v>402</v>
      </c>
      <c r="S85"/>
    </row>
    <row r="86" spans="1:19" x14ac:dyDescent="0.35">
      <c r="A86" s="156" t="s">
        <v>147</v>
      </c>
      <c r="B86" s="156"/>
      <c r="C86" s="156"/>
      <c r="D86" s="156" t="s">
        <v>28</v>
      </c>
      <c r="E86" s="156"/>
      <c r="F86" s="156"/>
      <c r="G86" s="156"/>
      <c r="H86" s="156"/>
      <c r="I86" s="26"/>
      <c r="J86" s="26"/>
      <c r="K86" s="26"/>
      <c r="L86" s="26"/>
      <c r="M86" s="26"/>
      <c r="N86" s="26"/>
    </row>
    <row r="87" spans="1:19" ht="15.75" customHeight="1" x14ac:dyDescent="0.35">
      <c r="A87" s="117" t="s">
        <v>83</v>
      </c>
      <c r="B87" s="117"/>
      <c r="C87" s="117"/>
      <c r="D87" s="157" t="str">
        <f ca="1">(IF(G135&gt;95%,"Nothing",IF(G135&gt;0%,"Cement, Aggregate, Steel, etc",IF(G135=0%,"Work not yet Started"))))</f>
        <v>Cement, Aggregate, Steel, etc</v>
      </c>
      <c r="E87" s="157"/>
      <c r="F87" s="157"/>
      <c r="G87" s="157"/>
      <c r="H87" s="157"/>
      <c r="J87" s="25"/>
      <c r="S87"/>
    </row>
    <row r="88" spans="1:19" ht="33.75" customHeight="1" thickBot="1" x14ac:dyDescent="0.4">
      <c r="A88" s="156" t="s">
        <v>115</v>
      </c>
      <c r="B88" s="156"/>
      <c r="C88" s="156"/>
      <c r="D88" s="157" t="str">
        <f ca="1">(IF(D87="Nothing","Yes",IF(D87="Cement, Aggregate, Steel, etc","Under Construction",IF(D87="Work not yet Started","Work not yet Started"))))</f>
        <v>Under Construction</v>
      </c>
      <c r="E88" s="157"/>
      <c r="F88" s="157" t="str">
        <f ca="1">(IF(D87="Nothing","Yes",IF(D87="Cement, Aggregate, Steel, etc","Under Construction",IF(D87="Work not yet Started","Work not yet Started"))))</f>
        <v>Under Construction</v>
      </c>
      <c r="G88" s="157"/>
      <c r="H88" s="157"/>
      <c r="S88"/>
    </row>
    <row r="89" spans="1:19" ht="15.75" customHeight="1" x14ac:dyDescent="0.35">
      <c r="A89" s="113" t="s">
        <v>137</v>
      </c>
      <c r="B89" s="113"/>
      <c r="C89" s="113" t="s">
        <v>435</v>
      </c>
      <c r="D89" s="113"/>
      <c r="E89" s="113"/>
      <c r="F89" s="113"/>
      <c r="G89" s="113"/>
      <c r="H89" s="113"/>
      <c r="I89" s="100" t="str">
        <f ca="1">IF(D102=100%,"All work Completed. Possession granted to the Building.",IF(D101=100%,"All work Completed, Waiting for OC",I90&amp;""&amp;I91&amp;""&amp;J90&amp;""&amp;J89&amp;" "&amp;J91))</f>
        <v xml:space="preserve">Excavation work in process </v>
      </c>
      <c r="J89" s="46"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x14ac:dyDescent="0.35">
      <c r="A90" s="107" t="s">
        <v>139</v>
      </c>
      <c r="B90" s="107">
        <f>IF(AND(ISNUMBER(SEARCH("1B",C89))),1,IF(AND(ISNUMBER(SEARCH("2B",C89))),2,IF(AND(ISNUMBER(SEARCH("3B",C89))),3,IF(AND(ISNUMBER(SEARCH("4B",C89))),4,IF(ISNUMBER(SEARCH("5B",C89)),5,0)))))</f>
        <v>0</v>
      </c>
      <c r="C90" s="107" t="s">
        <v>69</v>
      </c>
      <c r="D90" s="107">
        <v>1</v>
      </c>
      <c r="E90" s="107" t="s">
        <v>68</v>
      </c>
      <c r="F90" s="107">
        <v>0</v>
      </c>
      <c r="G90" s="107" t="s">
        <v>77</v>
      </c>
      <c r="H90" s="107">
        <f ca="1">--TRIM(RIGHT(SUBSTITUTE(LEFT(C89,_xlfn.AGGREGATE(16,6,FIND({0,1,2,3,4,5,6,7,8,9},C89,ROW(INDIRECT("1:"&amp;LEN(C89)))),1))," ",REPT(" ",LEN(C89))),LEN(C89)))</f>
        <v>7</v>
      </c>
      <c r="I90" s="101" t="str">
        <f ca="1">IF(D93=100%,"Excavation","")&amp;IF(D94=100%,", Plinth","")&amp;IF(D95=100%,", RCC Slab","")&amp;IF(D96=100%,", Brickwork","")&amp;IF(D97=100%,", Internal Plaster","")&amp;IF(D98=100%,", External Plaster","")&amp;IF(D99=100%,", Flooring","")&amp;IF(D100=100%,", Painting","")&amp;IF(D101=100%,", Building common Amenities","")</f>
        <v/>
      </c>
      <c r="J90" s="48"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Excavation work in process</v>
      </c>
      <c r="S90"/>
    </row>
    <row r="91" spans="1:19" x14ac:dyDescent="0.35">
      <c r="A91" s="114" t="s">
        <v>87</v>
      </c>
      <c r="B91" s="114"/>
      <c r="C91" s="113" t="str">
        <f ca="1">I89</f>
        <v xml:space="preserve">Excavation work in process </v>
      </c>
      <c r="D91" s="113"/>
      <c r="E91" s="113"/>
      <c r="F91" s="113"/>
      <c r="G91" s="113"/>
      <c r="H91" s="113"/>
      <c r="I91" s="101" t="str">
        <f ca="1">IF(I90&lt;&gt;""," Completed","")</f>
        <v/>
      </c>
      <c r="J91" s="48" t="str">
        <f ca="1">IF(J89&lt;&gt;"","Completed","")</f>
        <v/>
      </c>
      <c r="S91"/>
    </row>
    <row r="92" spans="1:19" ht="15.75" customHeight="1" x14ac:dyDescent="0.35">
      <c r="A92" s="147" t="s">
        <v>47</v>
      </c>
      <c r="B92" s="115"/>
      <c r="C92" s="86" t="s">
        <v>136</v>
      </c>
      <c r="D92" s="86" t="s">
        <v>80</v>
      </c>
      <c r="E92" s="115" t="s">
        <v>82</v>
      </c>
      <c r="F92" s="115"/>
      <c r="G92" s="115" t="s">
        <v>81</v>
      </c>
      <c r="H92" s="148"/>
      <c r="I92" s="13" t="s">
        <v>138</v>
      </c>
      <c r="J92" s="27">
        <f ca="1">H90*25%</f>
        <v>1.75</v>
      </c>
      <c r="S92"/>
    </row>
    <row r="93" spans="1:19" x14ac:dyDescent="0.35">
      <c r="A93" s="147" t="s">
        <v>125</v>
      </c>
      <c r="B93" s="115"/>
      <c r="C93" s="86">
        <f ca="1">J93</f>
        <v>3.5</v>
      </c>
      <c r="D93" s="87">
        <f ca="1">((100/H90)*C93)/100</f>
        <v>0.5</v>
      </c>
      <c r="E93" s="195">
        <f ca="1">(((C94/H90*10)+(40/(D90+F90+H90)*C95)+(7.5/(H90)*C96)+(7.5/(H90)*C97)+(10/H90*C98)+(10/H90*C99)+(5/H90*C100)+(5/H90*C101)+(5/H90*C102))/100)</f>
        <v>0</v>
      </c>
      <c r="F93" s="246"/>
      <c r="G93" s="195">
        <f ca="1">((((C93/H90)*20)+((C94/H90)*25)+(30/(H90+F90+D90)*C95)+(5/H90*C96)+(5/H90*C97)+(5/H90*C98)+(5/H90*C99)+(0/H90*C100)+(0/H90*C101)+(5/H90*C102))/100)</f>
        <v>0.1</v>
      </c>
      <c r="H93" s="196"/>
      <c r="I93" s="13" t="s">
        <v>97</v>
      </c>
      <c r="J93" s="28">
        <f ca="1">H90*50%</f>
        <v>3.5</v>
      </c>
    </row>
    <row r="94" spans="1:19" x14ac:dyDescent="0.35">
      <c r="A94" s="147" t="s">
        <v>48</v>
      </c>
      <c r="B94" s="115"/>
      <c r="C94" s="88">
        <v>0</v>
      </c>
      <c r="D94" s="87">
        <f ca="1">((100/H90)*C94)/100</f>
        <v>0</v>
      </c>
      <c r="E94" s="197"/>
      <c r="F94" s="247"/>
      <c r="G94" s="197"/>
      <c r="H94" s="198"/>
      <c r="I94" s="13" t="s">
        <v>98</v>
      </c>
      <c r="J94" s="28">
        <f ca="1">H90</f>
        <v>7</v>
      </c>
      <c r="S94"/>
    </row>
    <row r="95" spans="1:19" ht="15.75" customHeight="1" x14ac:dyDescent="0.35">
      <c r="A95" s="147" t="s">
        <v>126</v>
      </c>
      <c r="B95" s="115"/>
      <c r="C95" s="86">
        <v>0</v>
      </c>
      <c r="D95" s="87">
        <f ca="1">((100/(D90+F90+H90))*C95)/100</f>
        <v>0</v>
      </c>
      <c r="E95" s="197"/>
      <c r="F95" s="247"/>
      <c r="G95" s="197"/>
      <c r="H95" s="198"/>
      <c r="I95" s="13" t="s">
        <v>99</v>
      </c>
      <c r="J95" s="29">
        <f ca="1">(IF(B90&gt;1,(H90/(B90+2)),H90/4))</f>
        <v>1.75</v>
      </c>
      <c r="S95"/>
    </row>
    <row r="96" spans="1:19" ht="15.75" customHeight="1" x14ac:dyDescent="0.35">
      <c r="A96" s="147" t="s">
        <v>133</v>
      </c>
      <c r="B96" s="115" t="s">
        <v>127</v>
      </c>
      <c r="C96" s="86">
        <v>0</v>
      </c>
      <c r="D96" s="87">
        <f ca="1">((100/H90)*C96)/100</f>
        <v>0</v>
      </c>
      <c r="E96" s="197"/>
      <c r="F96" s="247"/>
      <c r="G96" s="197"/>
      <c r="H96" s="198"/>
      <c r="I96" s="13" t="s">
        <v>100</v>
      </c>
      <c r="J96" s="29">
        <f ca="1">(IF(B90&gt;1,(H90/(B90+2)+J95),H90/4+J95))</f>
        <v>3.5</v>
      </c>
    </row>
    <row r="97" spans="1:19" ht="15.75" customHeight="1" x14ac:dyDescent="0.35">
      <c r="A97" s="147" t="s">
        <v>134</v>
      </c>
      <c r="B97" s="115" t="s">
        <v>127</v>
      </c>
      <c r="C97" s="86">
        <v>0</v>
      </c>
      <c r="D97" s="87">
        <f ca="1">((100/H90)*C97)/100</f>
        <v>0</v>
      </c>
      <c r="E97" s="197"/>
      <c r="F97" s="247"/>
      <c r="G97" s="197"/>
      <c r="H97" s="198"/>
      <c r="I97" s="13" t="s">
        <v>145</v>
      </c>
      <c r="J97" s="29">
        <f>(IF(B90&gt;1,(H90/(B90+2)+J96),0))</f>
        <v>0</v>
      </c>
    </row>
    <row r="98" spans="1:19" ht="15" customHeight="1" x14ac:dyDescent="0.35">
      <c r="A98" s="147" t="s">
        <v>132</v>
      </c>
      <c r="B98" s="115" t="s">
        <v>129</v>
      </c>
      <c r="C98" s="86">
        <v>0</v>
      </c>
      <c r="D98" s="87">
        <f ca="1">((100/(H90))*C98)/100</f>
        <v>0</v>
      </c>
      <c r="E98" s="197"/>
      <c r="F98" s="247"/>
      <c r="G98" s="197"/>
      <c r="H98" s="198"/>
      <c r="I98" s="13" t="s">
        <v>140</v>
      </c>
      <c r="J98" s="29">
        <f>(IF(B90&gt;2,(H90/(B90+2)+J97),0))</f>
        <v>0</v>
      </c>
    </row>
    <row r="99" spans="1:19" ht="15.75" customHeight="1" x14ac:dyDescent="0.35">
      <c r="A99" s="147" t="s">
        <v>128</v>
      </c>
      <c r="B99" s="115" t="s">
        <v>128</v>
      </c>
      <c r="C99" s="86">
        <v>0</v>
      </c>
      <c r="D99" s="87">
        <f ca="1">((100/H90)*C99)/100</f>
        <v>0</v>
      </c>
      <c r="E99" s="197"/>
      <c r="F99" s="247"/>
      <c r="G99" s="197"/>
      <c r="H99" s="198"/>
      <c r="I99" s="13" t="s">
        <v>141</v>
      </c>
      <c r="J99" s="30">
        <f>(IF(B90&gt;3,(H90/(B90+2)+J98),0))</f>
        <v>0</v>
      </c>
    </row>
    <row r="100" spans="1:19" ht="15.75" customHeight="1" x14ac:dyDescent="0.35">
      <c r="A100" s="147" t="s">
        <v>135</v>
      </c>
      <c r="B100" s="115"/>
      <c r="C100" s="86">
        <v>0</v>
      </c>
      <c r="D100" s="87">
        <f ca="1">((100/H90)*C100)/100</f>
        <v>0</v>
      </c>
      <c r="E100" s="197"/>
      <c r="F100" s="247"/>
      <c r="G100" s="197"/>
      <c r="H100" s="198"/>
      <c r="I100" s="13" t="s">
        <v>142</v>
      </c>
      <c r="J100" s="29">
        <f>(IF(B90&gt;4,(H90/(B90+2)+J99),0))</f>
        <v>0</v>
      </c>
    </row>
    <row r="101" spans="1:19" ht="15.75" customHeight="1" x14ac:dyDescent="0.35">
      <c r="A101" s="147" t="s">
        <v>130</v>
      </c>
      <c r="B101" s="115" t="s">
        <v>130</v>
      </c>
      <c r="C101" s="86">
        <v>0</v>
      </c>
      <c r="D101" s="87">
        <f ca="1">((100/(H90))*C101)/100</f>
        <v>0</v>
      </c>
      <c r="E101" s="197"/>
      <c r="F101" s="247"/>
      <c r="G101" s="197"/>
      <c r="H101" s="198"/>
      <c r="I101" s="13" t="s">
        <v>146</v>
      </c>
      <c r="J101" s="29">
        <f ca="1">(IF(B90=1,(H90/(B90+3)+J96),IF(B90=0,(H90/4+J96),IF(B90&gt;1,0))))</f>
        <v>5.25</v>
      </c>
    </row>
    <row r="102" spans="1:19" ht="16" thickBot="1" x14ac:dyDescent="0.4">
      <c r="A102" s="163" t="s">
        <v>131</v>
      </c>
      <c r="B102" s="164"/>
      <c r="C102" s="89">
        <v>0</v>
      </c>
      <c r="D102" s="90">
        <f ca="1">((100/(H90))*C102)/100</f>
        <v>0</v>
      </c>
      <c r="E102" s="199"/>
      <c r="F102" s="248"/>
      <c r="G102" s="199"/>
      <c r="H102" s="200"/>
      <c r="I102" s="15" t="s">
        <v>101</v>
      </c>
      <c r="J102" s="31">
        <f ca="1">(IF(B90&gt;1.5,(H90/(B90+2)+J96+MAX(0,J97-J96)+MAX(0,J98-J97)+MAX(0,J99-J98)+MAX(0,J100-J99)+MAX(0,J101-J100)),IF(B90=1,(H90/(B90+3)+J101),IF(B90=0,H90/4+J101))))</f>
        <v>7</v>
      </c>
    </row>
    <row r="103" spans="1:19" ht="15.75" customHeight="1" x14ac:dyDescent="0.35">
      <c r="A103" s="113" t="s">
        <v>137</v>
      </c>
      <c r="B103" s="113"/>
      <c r="C103" s="113" t="s">
        <v>436</v>
      </c>
      <c r="D103" s="113"/>
      <c r="E103" s="113"/>
      <c r="F103" s="113"/>
      <c r="G103" s="113"/>
      <c r="H103" s="113"/>
      <c r="I103" s="100" t="str">
        <f ca="1">IF(D116=100%,"All work Completed. Possession granted to the Building.",IF(D115=100%,"All work Completed, Waiting for OC",I104&amp;""&amp;I105&amp;""&amp;J104&amp;""&amp;J103&amp;" "&amp;J105))</f>
        <v xml:space="preserve">Work not yet Started. </v>
      </c>
      <c r="J103" s="46"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x14ac:dyDescent="0.35">
      <c r="A104" s="112" t="s">
        <v>139</v>
      </c>
      <c r="B104" s="112">
        <f>IF(AND(ISNUMBER(SEARCH("1B",C103))),1,IF(AND(ISNUMBER(SEARCH("2B",C103))),2,IF(AND(ISNUMBER(SEARCH("3B",C103))),3,IF(AND(ISNUMBER(SEARCH("4B",C103))),4,IF(ISNUMBER(SEARCH("5B",C103)),5,0)))))</f>
        <v>0</v>
      </c>
      <c r="C104" s="112" t="s">
        <v>69</v>
      </c>
      <c r="D104" s="112">
        <v>1</v>
      </c>
      <c r="E104" s="112" t="s">
        <v>68</v>
      </c>
      <c r="F104" s="112">
        <v>0</v>
      </c>
      <c r="G104" s="112" t="s">
        <v>77</v>
      </c>
      <c r="H104" s="112">
        <f ca="1">--TRIM(RIGHT(SUBSTITUTE(LEFT(C103,_xlfn.AGGREGATE(16,6,FIND({0,1,2,3,4,5,6,7,8,9},C103,ROW(INDIRECT("1:"&amp;LEN(C103)))),1))," ",REPT(" ",LEN(C103))),LEN(C103)))</f>
        <v>7</v>
      </c>
      <c r="I104" s="101" t="str">
        <f ca="1">IF(D107=100%,"Excavation","")&amp;IF(D108=100%,", Plinth","")&amp;IF(D109=100%,", RCC Slab","")&amp;IF(D110=100%,", Brickwork","")&amp;IF(D111=100%,", Internal Plaster","")&amp;IF(D112=100%,", External Plaster","")&amp;IF(D113=100%,", Flooring","")&amp;IF(D114=100%,", Painting","")&amp;IF(D115=100%,", Building common Amenities","")</f>
        <v/>
      </c>
      <c r="J104" s="48" t="str">
        <f>(IF(C107=0,"Work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Work not yet Started.</v>
      </c>
      <c r="S104"/>
    </row>
    <row r="105" spans="1:19" x14ac:dyDescent="0.35">
      <c r="A105" s="114" t="s">
        <v>87</v>
      </c>
      <c r="B105" s="114"/>
      <c r="C105" s="113" t="str">
        <f ca="1">I103</f>
        <v xml:space="preserve">Work not yet Started. </v>
      </c>
      <c r="D105" s="113"/>
      <c r="E105" s="113"/>
      <c r="F105" s="113"/>
      <c r="G105" s="113"/>
      <c r="H105" s="113"/>
      <c r="I105" s="101" t="str">
        <f ca="1">IF(I104&lt;&gt;""," Completed","")</f>
        <v/>
      </c>
      <c r="J105" s="48" t="str">
        <f ca="1">IF(J103&lt;&gt;"","Completed","")</f>
        <v/>
      </c>
      <c r="S105"/>
    </row>
    <row r="106" spans="1:19" ht="15.75" customHeight="1" x14ac:dyDescent="0.35">
      <c r="A106" s="147" t="s">
        <v>47</v>
      </c>
      <c r="B106" s="115"/>
      <c r="C106" s="108" t="s">
        <v>136</v>
      </c>
      <c r="D106" s="108" t="s">
        <v>80</v>
      </c>
      <c r="E106" s="115" t="s">
        <v>82</v>
      </c>
      <c r="F106" s="115"/>
      <c r="G106" s="115" t="s">
        <v>81</v>
      </c>
      <c r="H106" s="148"/>
      <c r="I106" s="13" t="s">
        <v>138</v>
      </c>
      <c r="J106" s="27">
        <f ca="1">H104*25%</f>
        <v>1.75</v>
      </c>
      <c r="S106"/>
    </row>
    <row r="107" spans="1:19" x14ac:dyDescent="0.35">
      <c r="A107" s="147" t="s">
        <v>125</v>
      </c>
      <c r="B107" s="115"/>
      <c r="C107" s="108">
        <v>0</v>
      </c>
      <c r="D107" s="87">
        <f ca="1">((100/H104)*C107)/100</f>
        <v>0</v>
      </c>
      <c r="E107" s="195">
        <f ca="1">(((C108/H104*10)+(40/(D104+F104+H104)*C109)+(7.5/(H104)*C110)+(7.5/(H104)*C111)+(10/H104*C112)+(10/H104*C113)+(5/H104*C114)+(5/H104*C115)+(5/H104*C116))/100)</f>
        <v>0</v>
      </c>
      <c r="F107" s="246"/>
      <c r="G107" s="195">
        <f ca="1">((((C107/H104)*20)+((C108/H104)*25)+(30/(H104+F104+D104)*C109)+(5/H104*C110)+(5/H104*C111)+(5/H104*C112)+(5/H104*C113)+(0/H104*C114)+(0/H104*C115)+(5/H104*C116))/100)</f>
        <v>0</v>
      </c>
      <c r="H107" s="196"/>
      <c r="I107" s="13" t="s">
        <v>97</v>
      </c>
      <c r="J107" s="28">
        <f ca="1">H104*50%</f>
        <v>3.5</v>
      </c>
    </row>
    <row r="108" spans="1:19" x14ac:dyDescent="0.35">
      <c r="A108" s="147" t="s">
        <v>48</v>
      </c>
      <c r="B108" s="115"/>
      <c r="C108" s="88">
        <v>0</v>
      </c>
      <c r="D108" s="87">
        <f ca="1">((100/H104)*C108)/100</f>
        <v>0</v>
      </c>
      <c r="E108" s="197"/>
      <c r="F108" s="247"/>
      <c r="G108" s="197"/>
      <c r="H108" s="198"/>
      <c r="I108" s="13" t="s">
        <v>98</v>
      </c>
      <c r="J108" s="28">
        <f ca="1">H104</f>
        <v>7</v>
      </c>
      <c r="S108"/>
    </row>
    <row r="109" spans="1:19" ht="15.75" customHeight="1" x14ac:dyDescent="0.35">
      <c r="A109" s="147" t="s">
        <v>126</v>
      </c>
      <c r="B109" s="115"/>
      <c r="C109" s="108">
        <v>0</v>
      </c>
      <c r="D109" s="87">
        <f ca="1">((100/(D104+F104+H104))*C109)/100</f>
        <v>0</v>
      </c>
      <c r="E109" s="197"/>
      <c r="F109" s="247"/>
      <c r="G109" s="197"/>
      <c r="H109" s="198"/>
      <c r="I109" s="13" t="s">
        <v>99</v>
      </c>
      <c r="J109" s="29">
        <f ca="1">(IF(B104&gt;1,(H104/(B104+2)),H104/4))</f>
        <v>1.75</v>
      </c>
      <c r="S109"/>
    </row>
    <row r="110" spans="1:19" ht="15.75" customHeight="1" x14ac:dyDescent="0.35">
      <c r="A110" s="147" t="s">
        <v>133</v>
      </c>
      <c r="B110" s="115" t="s">
        <v>127</v>
      </c>
      <c r="C110" s="108">
        <v>0</v>
      </c>
      <c r="D110" s="87">
        <f ca="1">((100/H104)*C110)/100</f>
        <v>0</v>
      </c>
      <c r="E110" s="197"/>
      <c r="F110" s="247"/>
      <c r="G110" s="197"/>
      <c r="H110" s="198"/>
      <c r="I110" s="13" t="s">
        <v>100</v>
      </c>
      <c r="J110" s="29">
        <f ca="1">(IF(B104&gt;1,(H104/(B104+2)+J109),H104/4+J109))</f>
        <v>3.5</v>
      </c>
    </row>
    <row r="111" spans="1:19" ht="15.75" customHeight="1" x14ac:dyDescent="0.35">
      <c r="A111" s="147" t="s">
        <v>134</v>
      </c>
      <c r="B111" s="115" t="s">
        <v>127</v>
      </c>
      <c r="C111" s="108">
        <v>0</v>
      </c>
      <c r="D111" s="87">
        <f ca="1">((100/H104)*C111)/100</f>
        <v>0</v>
      </c>
      <c r="E111" s="197"/>
      <c r="F111" s="247"/>
      <c r="G111" s="197"/>
      <c r="H111" s="198"/>
      <c r="I111" s="13" t="s">
        <v>145</v>
      </c>
      <c r="J111" s="29">
        <f>(IF(B104&gt;1,(H104/(B104+2)+J110),0))</f>
        <v>0</v>
      </c>
    </row>
    <row r="112" spans="1:19" ht="15" customHeight="1" x14ac:dyDescent="0.35">
      <c r="A112" s="147" t="s">
        <v>132</v>
      </c>
      <c r="B112" s="115" t="s">
        <v>129</v>
      </c>
      <c r="C112" s="108">
        <v>0</v>
      </c>
      <c r="D112" s="87">
        <f ca="1">((100/(H104))*C112)/100</f>
        <v>0</v>
      </c>
      <c r="E112" s="197"/>
      <c r="F112" s="247"/>
      <c r="G112" s="197"/>
      <c r="H112" s="198"/>
      <c r="I112" s="13" t="s">
        <v>140</v>
      </c>
      <c r="J112" s="29">
        <f>(IF(B104&gt;2,(H104/(B104+2)+J111),0))</f>
        <v>0</v>
      </c>
    </row>
    <row r="113" spans="1:19" ht="15.75" customHeight="1" x14ac:dyDescent="0.35">
      <c r="A113" s="147" t="s">
        <v>128</v>
      </c>
      <c r="B113" s="115" t="s">
        <v>128</v>
      </c>
      <c r="C113" s="108">
        <v>0</v>
      </c>
      <c r="D113" s="87">
        <f ca="1">((100/H104)*C113)/100</f>
        <v>0</v>
      </c>
      <c r="E113" s="197"/>
      <c r="F113" s="247"/>
      <c r="G113" s="197"/>
      <c r="H113" s="198"/>
      <c r="I113" s="13" t="s">
        <v>141</v>
      </c>
      <c r="J113" s="30">
        <f>(IF(B104&gt;3,(H104/(B104+2)+J112),0))</f>
        <v>0</v>
      </c>
    </row>
    <row r="114" spans="1:19" ht="15.75" customHeight="1" x14ac:dyDescent="0.35">
      <c r="A114" s="147" t="s">
        <v>135</v>
      </c>
      <c r="B114" s="115"/>
      <c r="C114" s="108">
        <v>0</v>
      </c>
      <c r="D114" s="87">
        <f ca="1">((100/H104)*C114)/100</f>
        <v>0</v>
      </c>
      <c r="E114" s="197"/>
      <c r="F114" s="247"/>
      <c r="G114" s="197"/>
      <c r="H114" s="198"/>
      <c r="I114" s="13" t="s">
        <v>142</v>
      </c>
      <c r="J114" s="29">
        <f>(IF(B104&gt;4,(H104/(B104+2)+J113),0))</f>
        <v>0</v>
      </c>
    </row>
    <row r="115" spans="1:19" ht="15.75" customHeight="1" x14ac:dyDescent="0.35">
      <c r="A115" s="147" t="s">
        <v>130</v>
      </c>
      <c r="B115" s="115" t="s">
        <v>130</v>
      </c>
      <c r="C115" s="108">
        <v>0</v>
      </c>
      <c r="D115" s="87">
        <f ca="1">((100/(H104))*C115)/100</f>
        <v>0</v>
      </c>
      <c r="E115" s="197"/>
      <c r="F115" s="247"/>
      <c r="G115" s="197"/>
      <c r="H115" s="198"/>
      <c r="I115" s="13" t="s">
        <v>146</v>
      </c>
      <c r="J115" s="29">
        <f ca="1">(IF(B104=1,(H104/(B104+3)+J110),IF(B104=0,(H104/4+J110),IF(B104&gt;1,0))))</f>
        <v>5.25</v>
      </c>
    </row>
    <row r="116" spans="1:19" ht="16" thickBot="1" x14ac:dyDescent="0.4">
      <c r="A116" s="163" t="s">
        <v>131</v>
      </c>
      <c r="B116" s="164"/>
      <c r="C116" s="109">
        <v>0</v>
      </c>
      <c r="D116" s="90">
        <f ca="1">((100/(H104))*C116)/100</f>
        <v>0</v>
      </c>
      <c r="E116" s="199"/>
      <c r="F116" s="248"/>
      <c r="G116" s="199"/>
      <c r="H116" s="200"/>
      <c r="I116" s="15" t="s">
        <v>101</v>
      </c>
      <c r="J116" s="31">
        <f ca="1">(IF(B104&gt;1.5,(H104/(B104+2)+J110+MAX(0,J111-J110)+MAX(0,J112-J111)+MAX(0,J113-J112)+MAX(0,J114-J113)+MAX(0,J115-J114)),IF(B104=1,(H104/(B104+3)+J115),IF(B104=0,H104/4+J115))))</f>
        <v>7</v>
      </c>
    </row>
    <row r="117" spans="1:19" ht="15.75" customHeight="1" x14ac:dyDescent="0.35">
      <c r="A117" s="168" t="s">
        <v>137</v>
      </c>
      <c r="B117" s="169"/>
      <c r="C117" s="170" t="s">
        <v>415</v>
      </c>
      <c r="D117" s="171"/>
      <c r="E117" s="171"/>
      <c r="F117" s="171"/>
      <c r="G117" s="171"/>
      <c r="H117" s="172"/>
      <c r="I117" s="45" t="str">
        <f ca="1">IF(D130=100%,"All work Completed. Possession granted to the Building.",IF(D129=100%,"All work Completed, Waiting for OC",I118&amp;""&amp;I119&amp;""&amp;J118&amp;""&amp;J117&amp;" "&amp;J119))</f>
        <v>Excavation, Plinth Completed, RCC upto 1 Slab Completed</v>
      </c>
      <c r="J117" s="46" t="str">
        <f ca="1">(IF(C123=(D118+F118+H118),"",IF(C123&gt;0,", RCC upto "&amp;C123&amp;" Slab","")))&amp;(IF(C124=H118,"",IF(C124&gt;0,", Brickwork upto "&amp;C124&amp;" Floor","")))&amp;(IF(C125=H118,"",IF(C125&gt;0,", Internal Plaster upto "&amp;C125&amp;" Floor","")))&amp;(IF(C126=H118,"",IF(C126&gt;0,", External Plaster upto "&amp;C126&amp;" Floor","")))&amp;(IF(C127=H118,"",IF(C127&gt;0,", Flooring upto "&amp;C127&amp;" Floor","")))&amp;(IF(C128=H118,"",IF(C128&gt;0,", Painting upto "&amp;C128&amp;" Floor","")))&amp;(IF(C129=H118,"",IF(C129&gt;0,", Finishing upto "&amp;C129&amp;" Floor","")))&amp;(IF(C130=H118,"",IF(C130&gt;0,", Possession upto "&amp;C130&amp;" Floor","")))</f>
        <v>, RCC upto 1 Slab</v>
      </c>
      <c r="S117"/>
    </row>
    <row r="118" spans="1:19" x14ac:dyDescent="0.35">
      <c r="A118" s="16" t="s">
        <v>139</v>
      </c>
      <c r="B118" s="49">
        <f>IF(AND(ISNUMBER(SEARCH("1B",C117))),1,IF(AND(ISNUMBER(SEARCH("2B",C117))),2,IF(AND(ISNUMBER(SEARCH("3B",C117))),3,IF(AND(ISNUMBER(SEARCH("4B",C117))),4,IF(ISNUMBER(SEARCH("5B",C117)),5,0)))))</f>
        <v>0</v>
      </c>
      <c r="C118" s="49" t="s">
        <v>69</v>
      </c>
      <c r="D118" s="49">
        <v>1</v>
      </c>
      <c r="E118" s="49" t="s">
        <v>68</v>
      </c>
      <c r="F118" s="49">
        <v>0</v>
      </c>
      <c r="G118" s="49" t="s">
        <v>77</v>
      </c>
      <c r="H118" s="17">
        <f ca="1">--TRIM(RIGHT(SUBSTITUTE(LEFT(C117,_xlfn.AGGREGATE(16,6,FIND({0,1,2,3,4,5,6,7,8,9},C117,ROW(INDIRECT("1:"&amp;LEN(C117)))),1))," ",REPT(" ",LEN(C117))),LEN(C117)))</f>
        <v>7</v>
      </c>
      <c r="I118" s="47" t="str">
        <f ca="1">IF(D121=100%,"Excavation","")&amp;IF(D122=100%,", Plinth","")&amp;IF(D123=100%,", RCC Slab","")&amp;IF(D124=100%,", Brickwork","")&amp;IF(D125=100%,", Internal Plaster","")&amp;IF(D126=100%,", External Plaster","")&amp;IF(D127=100%,", Flooring","")&amp;IF(D128=100%,", Painting","")&amp;IF(D129=100%,", Building common Amenities","")</f>
        <v>Excavation, Plinth</v>
      </c>
      <c r="J118" s="48" t="str">
        <f ca="1">(IF(C121=0,"Work not yet Started.",IF(D121=25%,"Piling work in process",IF(D121=50%,"Excavation work in process",IF(D121=100%,"","0")))))&amp;(IF(C122=0%,"",IF(C122=J123,", Footing work is process",IF(C122=J124,", Footing work Completed",IF(C122=J125,", 1st Basement Completed",IF(C122=J126,", 1st &amp; 2nd Basement Completed",IF(C122=J127,", 1st to 3rd Basement Completed",IF(C122=J128,", 1st to 4th Basement Completed",IF(C122=J129,", Plinth work is process",IF(C122=J130,"","0"))))))))))</f>
        <v/>
      </c>
      <c r="S118"/>
    </row>
    <row r="119" spans="1:19" x14ac:dyDescent="0.35">
      <c r="A119" s="145" t="s">
        <v>87</v>
      </c>
      <c r="B119" s="114"/>
      <c r="C119" s="113" t="str">
        <f ca="1">I117</f>
        <v>Excavation, Plinth Completed, RCC upto 1 Slab Completed</v>
      </c>
      <c r="D119" s="113"/>
      <c r="E119" s="113"/>
      <c r="F119" s="113"/>
      <c r="G119" s="113"/>
      <c r="H119" s="146"/>
      <c r="I119" s="47" t="str">
        <f ca="1">IF(I118&lt;&gt;""," Completed","")</f>
        <v xml:space="preserve"> Completed</v>
      </c>
      <c r="J119" s="48" t="str">
        <f ca="1">IF(J117&lt;&gt;"","Completed","")</f>
        <v>Completed</v>
      </c>
      <c r="S119"/>
    </row>
    <row r="120" spans="1:19" ht="15.75" customHeight="1" x14ac:dyDescent="0.35">
      <c r="A120" s="147" t="s">
        <v>47</v>
      </c>
      <c r="B120" s="115"/>
      <c r="C120" s="93" t="s">
        <v>136</v>
      </c>
      <c r="D120" s="93" t="s">
        <v>80</v>
      </c>
      <c r="E120" s="115" t="s">
        <v>82</v>
      </c>
      <c r="F120" s="115"/>
      <c r="G120" s="115" t="s">
        <v>81</v>
      </c>
      <c r="H120" s="148"/>
      <c r="I120" s="13" t="s">
        <v>138</v>
      </c>
      <c r="J120" s="27">
        <f ca="1">H118*25%</f>
        <v>1.75</v>
      </c>
      <c r="S120"/>
    </row>
    <row r="121" spans="1:19" x14ac:dyDescent="0.35">
      <c r="A121" s="147" t="s">
        <v>125</v>
      </c>
      <c r="B121" s="115"/>
      <c r="C121" s="88">
        <f ca="1">J122</f>
        <v>7</v>
      </c>
      <c r="D121" s="87">
        <f ca="1">((100/H118)*C121)/100</f>
        <v>1</v>
      </c>
      <c r="E121" s="195">
        <f ca="1">(((C122/H118*10)+(40/(D118+F118+H118)*C123)+(7.5/(H118)*C124)+(7.5/(H118)*C125)+(10/H118*C126)+(10/H118*C127)+(5/H118*C128)+(5/H118*C129)+(5/H118*C130))/100)</f>
        <v>0.15</v>
      </c>
      <c r="F121" s="246"/>
      <c r="G121" s="195">
        <f ca="1">((((C121/H118)*20)+((C122/H118)*25)+(30/(H118+F118+D118)*C123)+(5/H118*C124)+(5/H118*C125)+(5/H118*C126)+(5/H118*C127)+(0/H118*C128)+(0/H118*C129)+(5/H118*C130))/100)</f>
        <v>0.48749999999999999</v>
      </c>
      <c r="H121" s="196"/>
      <c r="I121" s="13" t="s">
        <v>97</v>
      </c>
      <c r="J121" s="28">
        <f ca="1">H118*50%</f>
        <v>3.5</v>
      </c>
    </row>
    <row r="122" spans="1:19" x14ac:dyDescent="0.35">
      <c r="A122" s="147" t="s">
        <v>48</v>
      </c>
      <c r="B122" s="115"/>
      <c r="C122" s="88">
        <f ca="1">J130</f>
        <v>7</v>
      </c>
      <c r="D122" s="87">
        <f ca="1">((100/H118)*C122)/100</f>
        <v>1</v>
      </c>
      <c r="E122" s="197"/>
      <c r="F122" s="247"/>
      <c r="G122" s="197"/>
      <c r="H122" s="198"/>
      <c r="I122" s="13" t="s">
        <v>98</v>
      </c>
      <c r="J122" s="28">
        <f ca="1">H118</f>
        <v>7</v>
      </c>
      <c r="S122"/>
    </row>
    <row r="123" spans="1:19" ht="15.75" customHeight="1" x14ac:dyDescent="0.35">
      <c r="A123" s="147" t="s">
        <v>126</v>
      </c>
      <c r="B123" s="115"/>
      <c r="C123" s="93">
        <v>1</v>
      </c>
      <c r="D123" s="87">
        <f ca="1">((100/(D118+F118+H118))*C123)/100</f>
        <v>0.125</v>
      </c>
      <c r="E123" s="197"/>
      <c r="F123" s="247"/>
      <c r="G123" s="197"/>
      <c r="H123" s="198"/>
      <c r="I123" s="13" t="s">
        <v>99</v>
      </c>
      <c r="J123" s="29">
        <f ca="1">(IF(B118&gt;1,(H118/(B118+2)),H118/4))</f>
        <v>1.75</v>
      </c>
      <c r="S123"/>
    </row>
    <row r="124" spans="1:19" ht="15.75" customHeight="1" x14ac:dyDescent="0.35">
      <c r="A124" s="147" t="s">
        <v>133</v>
      </c>
      <c r="B124" s="115" t="s">
        <v>127</v>
      </c>
      <c r="C124" s="93">
        <v>0</v>
      </c>
      <c r="D124" s="87">
        <f ca="1">((100/H118)*C124)/100</f>
        <v>0</v>
      </c>
      <c r="E124" s="197"/>
      <c r="F124" s="247"/>
      <c r="G124" s="197"/>
      <c r="H124" s="198"/>
      <c r="I124" s="13" t="s">
        <v>100</v>
      </c>
      <c r="J124" s="29">
        <f ca="1">(IF(B118&gt;1,(H118/(B118+2)+J123),H118/4+J123))</f>
        <v>3.5</v>
      </c>
    </row>
    <row r="125" spans="1:19" ht="15.75" customHeight="1" x14ac:dyDescent="0.35">
      <c r="A125" s="147" t="s">
        <v>134</v>
      </c>
      <c r="B125" s="115" t="s">
        <v>127</v>
      </c>
      <c r="C125" s="93">
        <v>0</v>
      </c>
      <c r="D125" s="87">
        <f ca="1">((100/H118)*C125)/100</f>
        <v>0</v>
      </c>
      <c r="E125" s="197"/>
      <c r="F125" s="247"/>
      <c r="G125" s="197"/>
      <c r="H125" s="198"/>
      <c r="I125" s="13" t="s">
        <v>145</v>
      </c>
      <c r="J125" s="29">
        <f>(IF(B118&gt;1,(H118/(B118+2)+J124),0))</f>
        <v>0</v>
      </c>
    </row>
    <row r="126" spans="1:19" ht="15" customHeight="1" x14ac:dyDescent="0.35">
      <c r="A126" s="147" t="s">
        <v>132</v>
      </c>
      <c r="B126" s="115" t="s">
        <v>129</v>
      </c>
      <c r="C126" s="93">
        <v>0</v>
      </c>
      <c r="D126" s="87">
        <f ca="1">((100/(H118))*C126)/100</f>
        <v>0</v>
      </c>
      <c r="E126" s="197"/>
      <c r="F126" s="247"/>
      <c r="G126" s="197"/>
      <c r="H126" s="198"/>
      <c r="I126" s="13" t="s">
        <v>140</v>
      </c>
      <c r="J126" s="29">
        <f>(IF(B118&gt;2,(H118/(B118+2)+J125),0))</f>
        <v>0</v>
      </c>
    </row>
    <row r="127" spans="1:19" ht="15.75" customHeight="1" x14ac:dyDescent="0.35">
      <c r="A127" s="147" t="s">
        <v>128</v>
      </c>
      <c r="B127" s="115" t="s">
        <v>128</v>
      </c>
      <c r="C127" s="93">
        <v>0</v>
      </c>
      <c r="D127" s="87">
        <f ca="1">((100/H118)*C127)/100</f>
        <v>0</v>
      </c>
      <c r="E127" s="197"/>
      <c r="F127" s="247"/>
      <c r="G127" s="197"/>
      <c r="H127" s="198"/>
      <c r="I127" s="13" t="s">
        <v>141</v>
      </c>
      <c r="J127" s="30">
        <f>(IF(B118&gt;3,(H118/(B118+2)+J126),0))</f>
        <v>0</v>
      </c>
    </row>
    <row r="128" spans="1:19" ht="15.75" customHeight="1" x14ac:dyDescent="0.35">
      <c r="A128" s="147" t="s">
        <v>135</v>
      </c>
      <c r="B128" s="115"/>
      <c r="C128" s="93">
        <v>0</v>
      </c>
      <c r="D128" s="87">
        <f ca="1">((100/H118)*C128)/100</f>
        <v>0</v>
      </c>
      <c r="E128" s="197"/>
      <c r="F128" s="247"/>
      <c r="G128" s="197"/>
      <c r="H128" s="198"/>
      <c r="I128" s="13" t="s">
        <v>142</v>
      </c>
      <c r="J128" s="29">
        <f>(IF(B118&gt;4,(H118/(B118+2)+J127),0))</f>
        <v>0</v>
      </c>
    </row>
    <row r="129" spans="1:19" ht="15.75" customHeight="1" x14ac:dyDescent="0.35">
      <c r="A129" s="147" t="s">
        <v>130</v>
      </c>
      <c r="B129" s="115" t="s">
        <v>130</v>
      </c>
      <c r="C129" s="93">
        <v>0</v>
      </c>
      <c r="D129" s="87">
        <f ca="1">((100/(H118))*C129)/100</f>
        <v>0</v>
      </c>
      <c r="E129" s="197"/>
      <c r="F129" s="247"/>
      <c r="G129" s="197"/>
      <c r="H129" s="198"/>
      <c r="I129" s="13" t="s">
        <v>146</v>
      </c>
      <c r="J129" s="29">
        <f ca="1">(IF(B118=1,(H118/(B118+3)+J124),IF(B118=0,(H118/4+J124),IF(B118&gt;1,0))))</f>
        <v>5.25</v>
      </c>
    </row>
    <row r="130" spans="1:19" ht="16" thickBot="1" x14ac:dyDescent="0.4">
      <c r="A130" s="163" t="s">
        <v>131</v>
      </c>
      <c r="B130" s="164"/>
      <c r="C130" s="94">
        <v>0</v>
      </c>
      <c r="D130" s="90">
        <f ca="1">((100/(H118))*C130)/100</f>
        <v>0</v>
      </c>
      <c r="E130" s="199"/>
      <c r="F130" s="248"/>
      <c r="G130" s="199"/>
      <c r="H130" s="200"/>
      <c r="I130" s="15" t="s">
        <v>101</v>
      </c>
      <c r="J130" s="31">
        <f ca="1">(IF(B118&gt;1.5,(H118/(B118+2)+J124+MAX(0,J125-J124)+MAX(0,J126-J125)+MAX(0,J127-J126)+MAX(0,J128-J127)+MAX(0,J129-J128)),IF(B118=1,(H118/(B118+3)+J129),IF(B118=0,H118/4+J129))))</f>
        <v>7</v>
      </c>
    </row>
    <row r="131" spans="1:19" ht="15.75" customHeight="1" x14ac:dyDescent="0.35">
      <c r="A131" s="168" t="s">
        <v>137</v>
      </c>
      <c r="B131" s="169"/>
      <c r="C131" s="170" t="str">
        <f>D68</f>
        <v>Building No.8 = Gr./Stilt + 1st to 7th Floor</v>
      </c>
      <c r="D131" s="171"/>
      <c r="E131" s="171"/>
      <c r="F131" s="171"/>
      <c r="G131" s="171"/>
      <c r="H131" s="172"/>
      <c r="I131" s="45" t="str">
        <f ca="1">IF(D144=100%,"All work Completed. Possession granted to the Building.",IF(D143=100%,"All work Completed, Waiting for OC",I132&amp;""&amp;I133&amp;""&amp;J132&amp;""&amp;J131&amp;" "&amp;J133))</f>
        <v>Excavation, Plinth Completed, RCC upto 4 Slab Completed</v>
      </c>
      <c r="J131" s="46" t="str">
        <f ca="1">(IF(C137=(D132+F132+H132),"",IF(C137&gt;0,", RCC upto "&amp;C137&amp;" Slab","")))&amp;(IF(C138=H132,"",IF(C138&gt;0,", Brickwork upto "&amp;C138&amp;" Floor","")))&amp;(IF(C139=H132,"",IF(C139&gt;0,", Internal Plaster upto "&amp;C139&amp;" Floor","")))&amp;(IF(C140=H132,"",IF(C140&gt;0,", External Plaster upto "&amp;C140&amp;" Floor","")))&amp;(IF(C141=H132,"",IF(C141&gt;0,", Flooring upto "&amp;C141&amp;" Floor","")))&amp;(IF(C142=H132,"",IF(C142&gt;0,", Painting upto "&amp;C142&amp;" Floor","")))&amp;(IF(C143=H132,"",IF(C143&gt;0,", Finishing upto "&amp;C143&amp;" Floor","")))&amp;(IF(C144=H132,"",IF(C144&gt;0,", Possession upto "&amp;C144&amp;" Floor","")))</f>
        <v>, RCC upto 4 Slab</v>
      </c>
      <c r="S131"/>
    </row>
    <row r="132" spans="1:19" x14ac:dyDescent="0.35">
      <c r="A132" s="16" t="s">
        <v>139</v>
      </c>
      <c r="B132" s="49">
        <f>IF(AND(ISNUMBER(SEARCH("1B",C131))),1,IF(AND(ISNUMBER(SEARCH("2B",C131))),2,IF(AND(ISNUMBER(SEARCH("3B",C131))),3,IF(AND(ISNUMBER(SEARCH("4B",C131))),4,IF(ISNUMBER(SEARCH("5B",C131)),5,0)))))</f>
        <v>0</v>
      </c>
      <c r="C132" s="49" t="s">
        <v>69</v>
      </c>
      <c r="D132" s="49">
        <v>1</v>
      </c>
      <c r="E132" s="49" t="s">
        <v>68</v>
      </c>
      <c r="F132" s="49">
        <v>0</v>
      </c>
      <c r="G132" s="49" t="s">
        <v>77</v>
      </c>
      <c r="H132" s="17">
        <f ca="1">--TRIM(RIGHT(SUBSTITUTE(LEFT(C131,_xlfn.AGGREGATE(16,6,FIND({0,1,2,3,4,5,6,7,8,9},C131,ROW(INDIRECT("1:"&amp;LEN(C131)))),1))," ",REPT(" ",LEN(C131))),LEN(C131)))</f>
        <v>7</v>
      </c>
      <c r="I132" s="47" t="str">
        <f ca="1">IF(D135=100%,"Excavation","")&amp;IF(D136=100%,", Plinth","")&amp;IF(D137=100%,", RCC Slab","")&amp;IF(D138=100%,", Brickwork","")&amp;IF(D139=100%,", Internal Plaster","")&amp;IF(D140=100%,", External Plaster","")&amp;IF(D141=100%,", Flooring","")&amp;IF(D142=100%,", Painting","")&amp;IF(D143=100%,", Building common Amenities","")</f>
        <v>Excavation, Plinth</v>
      </c>
      <c r="J132" s="48" t="str">
        <f ca="1">(IF(C135=0,"Work not yet Started.",IF(D135=25%,"Piling work in process",IF(D135=50%,"Excavation work in process",IF(D135=100%,"","0")))))&amp;(IF(C136=0%,"",IF(C136=J137,", Footing work is process",IF(C136=J138,", Footing work Completed",IF(C136=J139,", 1st Basement Completed",IF(C136=J140,", 1st &amp; 2nd Basement Completed",IF(C136=J141,", 1st to 3rd Basement Completed",IF(C136=J142,", 1st to 4th Basement Completed",IF(C136=J143,", Plinth work is process",IF(C136=J144,"","0"))))))))))</f>
        <v/>
      </c>
      <c r="S132"/>
    </row>
    <row r="133" spans="1:19" x14ac:dyDescent="0.35">
      <c r="A133" s="145" t="s">
        <v>87</v>
      </c>
      <c r="B133" s="114"/>
      <c r="C133" s="113" t="str">
        <f ca="1">I131</f>
        <v>Excavation, Plinth Completed, RCC upto 4 Slab Completed</v>
      </c>
      <c r="D133" s="113"/>
      <c r="E133" s="113"/>
      <c r="F133" s="113"/>
      <c r="G133" s="113"/>
      <c r="H133" s="146"/>
      <c r="I133" s="47" t="str">
        <f ca="1">IF(I132&lt;&gt;""," Completed","")</f>
        <v xml:space="preserve"> Completed</v>
      </c>
      <c r="J133" s="48" t="str">
        <f ca="1">IF(J131&lt;&gt;"","Completed","")</f>
        <v>Completed</v>
      </c>
      <c r="S133"/>
    </row>
    <row r="134" spans="1:19" ht="15.75" customHeight="1" x14ac:dyDescent="0.35">
      <c r="A134" s="147" t="s">
        <v>47</v>
      </c>
      <c r="B134" s="115"/>
      <c r="C134" s="86" t="s">
        <v>136</v>
      </c>
      <c r="D134" s="86" t="s">
        <v>80</v>
      </c>
      <c r="E134" s="115" t="s">
        <v>82</v>
      </c>
      <c r="F134" s="115"/>
      <c r="G134" s="115" t="s">
        <v>81</v>
      </c>
      <c r="H134" s="148"/>
      <c r="I134" s="13" t="s">
        <v>138</v>
      </c>
      <c r="J134" s="27">
        <f ca="1">H132*25%</f>
        <v>1.75</v>
      </c>
      <c r="S134"/>
    </row>
    <row r="135" spans="1:19" x14ac:dyDescent="0.35">
      <c r="A135" s="115" t="s">
        <v>125</v>
      </c>
      <c r="B135" s="115"/>
      <c r="C135" s="103">
        <f ca="1">J136</f>
        <v>7</v>
      </c>
      <c r="D135" s="87">
        <f ca="1">((100/H132)*C135)/100</f>
        <v>1</v>
      </c>
      <c r="E135" s="116">
        <f ca="1">(((C136/H132*10)+(40/(D132+F132+H132)*C137)+(7.5/(H132)*C138)+(7.5/(H132)*C139)+(10/H132*C140)+(10/H132*C141)+(5/H132*C142)+(5/H132*C143)+(5/H132*C144))/100)</f>
        <v>0.3</v>
      </c>
      <c r="F135" s="116"/>
      <c r="G135" s="116">
        <f ca="1">((((C135/H132)*20)+((C136/H132)*25)+(30/(H132+F132+D132)*C137)+(5/H132*C138)+(5/H132*C139)+(5/H132*C140)+(5/H132*C141)+(0/H132*C142)+(0/H132*C143)+(5/H132*C144))/100)</f>
        <v>0.6</v>
      </c>
      <c r="H135" s="116"/>
      <c r="I135" s="13" t="s">
        <v>97</v>
      </c>
      <c r="J135" s="28">
        <f ca="1">H132*50%</f>
        <v>3.5</v>
      </c>
    </row>
    <row r="136" spans="1:19" x14ac:dyDescent="0.35">
      <c r="A136" s="115" t="s">
        <v>48</v>
      </c>
      <c r="B136" s="115"/>
      <c r="C136" s="88">
        <f ca="1">J144</f>
        <v>7</v>
      </c>
      <c r="D136" s="87">
        <f ca="1">((100/H132)*C136)/100</f>
        <v>1</v>
      </c>
      <c r="E136" s="116"/>
      <c r="F136" s="116"/>
      <c r="G136" s="116"/>
      <c r="H136" s="116"/>
      <c r="I136" s="13" t="s">
        <v>98</v>
      </c>
      <c r="J136" s="28">
        <f ca="1">H132</f>
        <v>7</v>
      </c>
      <c r="S136"/>
    </row>
    <row r="137" spans="1:19" ht="15.75" customHeight="1" x14ac:dyDescent="0.35">
      <c r="A137" s="115" t="s">
        <v>126</v>
      </c>
      <c r="B137" s="115"/>
      <c r="C137" s="103">
        <v>4</v>
      </c>
      <c r="D137" s="87">
        <f ca="1">((100/(D132+F132+H132))*C137)/100</f>
        <v>0.5</v>
      </c>
      <c r="E137" s="116"/>
      <c r="F137" s="116"/>
      <c r="G137" s="116"/>
      <c r="H137" s="116"/>
      <c r="I137" s="13" t="s">
        <v>99</v>
      </c>
      <c r="J137" s="29">
        <f ca="1">(IF(B132&gt;1,(H132/(B132+2)),H132/4))</f>
        <v>1.75</v>
      </c>
      <c r="S137"/>
    </row>
    <row r="138" spans="1:19" ht="15.75" customHeight="1" x14ac:dyDescent="0.35">
      <c r="A138" s="115" t="s">
        <v>133</v>
      </c>
      <c r="B138" s="115" t="s">
        <v>127</v>
      </c>
      <c r="C138" s="103">
        <v>0</v>
      </c>
      <c r="D138" s="87">
        <f ca="1">((100/H132)*C138)/100</f>
        <v>0</v>
      </c>
      <c r="E138" s="116"/>
      <c r="F138" s="116"/>
      <c r="G138" s="116"/>
      <c r="H138" s="116"/>
      <c r="I138" s="13" t="s">
        <v>100</v>
      </c>
      <c r="J138" s="29">
        <f ca="1">(IF(B132&gt;1,(H132/(B132+2)+J137),H132/4+J137))</f>
        <v>3.5</v>
      </c>
    </row>
    <row r="139" spans="1:19" ht="15.75" customHeight="1" x14ac:dyDescent="0.35">
      <c r="A139" s="115" t="s">
        <v>134</v>
      </c>
      <c r="B139" s="115" t="s">
        <v>127</v>
      </c>
      <c r="C139" s="103">
        <v>0</v>
      </c>
      <c r="D139" s="87">
        <f ca="1">((100/H132)*C139)/100</f>
        <v>0</v>
      </c>
      <c r="E139" s="116"/>
      <c r="F139" s="116"/>
      <c r="G139" s="116"/>
      <c r="H139" s="116"/>
      <c r="I139" s="13" t="s">
        <v>145</v>
      </c>
      <c r="J139" s="29">
        <f>(IF(B132&gt;1,(H132/(B132+2)+J138),0))</f>
        <v>0</v>
      </c>
    </row>
    <row r="140" spans="1:19" ht="15" customHeight="1" x14ac:dyDescent="0.35">
      <c r="A140" s="115" t="s">
        <v>132</v>
      </c>
      <c r="B140" s="115" t="s">
        <v>129</v>
      </c>
      <c r="C140" s="103">
        <v>0</v>
      </c>
      <c r="D140" s="87">
        <f ca="1">((100/(H132))*C140)/100</f>
        <v>0</v>
      </c>
      <c r="E140" s="116"/>
      <c r="F140" s="116"/>
      <c r="G140" s="116"/>
      <c r="H140" s="116"/>
      <c r="I140" s="13" t="s">
        <v>140</v>
      </c>
      <c r="J140" s="29">
        <f>(IF(B132&gt;2,(H132/(B132+2)+J139),0))</f>
        <v>0</v>
      </c>
    </row>
    <row r="141" spans="1:19" ht="15.75" customHeight="1" x14ac:dyDescent="0.35">
      <c r="A141" s="115" t="s">
        <v>128</v>
      </c>
      <c r="B141" s="115" t="s">
        <v>128</v>
      </c>
      <c r="C141" s="103">
        <v>0</v>
      </c>
      <c r="D141" s="87">
        <f ca="1">((100/H132)*C141)/100</f>
        <v>0</v>
      </c>
      <c r="E141" s="116"/>
      <c r="F141" s="116"/>
      <c r="G141" s="116"/>
      <c r="H141" s="116"/>
      <c r="I141" s="13" t="s">
        <v>141</v>
      </c>
      <c r="J141" s="30">
        <f>(IF(B132&gt;3,(H132/(B132+2)+J140),0))</f>
        <v>0</v>
      </c>
    </row>
    <row r="142" spans="1:19" ht="15.75" customHeight="1" x14ac:dyDescent="0.35">
      <c r="A142" s="115" t="s">
        <v>135</v>
      </c>
      <c r="B142" s="115"/>
      <c r="C142" s="103">
        <v>0</v>
      </c>
      <c r="D142" s="87">
        <f ca="1">((100/H132)*C142)/100</f>
        <v>0</v>
      </c>
      <c r="E142" s="116"/>
      <c r="F142" s="116"/>
      <c r="G142" s="116"/>
      <c r="H142" s="116"/>
      <c r="I142" s="13" t="s">
        <v>142</v>
      </c>
      <c r="J142" s="29">
        <f>(IF(B132&gt;4,(H132/(B132+2)+J141),0))</f>
        <v>0</v>
      </c>
    </row>
    <row r="143" spans="1:19" ht="15.75" customHeight="1" x14ac:dyDescent="0.35">
      <c r="A143" s="115" t="s">
        <v>130</v>
      </c>
      <c r="B143" s="115" t="s">
        <v>130</v>
      </c>
      <c r="C143" s="103">
        <v>0</v>
      </c>
      <c r="D143" s="87">
        <f ca="1">((100/(H132))*C143)/100</f>
        <v>0</v>
      </c>
      <c r="E143" s="116"/>
      <c r="F143" s="116"/>
      <c r="G143" s="116"/>
      <c r="H143" s="116"/>
      <c r="I143" s="13" t="s">
        <v>146</v>
      </c>
      <c r="J143" s="29">
        <f ca="1">(IF(B132=1,(H132/(B132+3)+J138),IF(B132=0,(H132/4+J138),IF(B132&gt;1,0))))</f>
        <v>5.25</v>
      </c>
    </row>
    <row r="144" spans="1:19" ht="16" thickBot="1" x14ac:dyDescent="0.4">
      <c r="A144" s="115" t="s">
        <v>131</v>
      </c>
      <c r="B144" s="115"/>
      <c r="C144" s="103">
        <v>0</v>
      </c>
      <c r="D144" s="87">
        <f ca="1">((100/(H132))*C144)/100</f>
        <v>0</v>
      </c>
      <c r="E144" s="116"/>
      <c r="F144" s="116"/>
      <c r="G144" s="116"/>
      <c r="H144" s="116"/>
      <c r="I144" s="15" t="s">
        <v>101</v>
      </c>
      <c r="J144" s="31">
        <f ca="1">(IF(B132&gt;1.5,(H132/(B132+2)+J138+MAX(0,J139-J138)+MAX(0,J140-J139)+MAX(0,J141-J140)+MAX(0,J142-J141)+MAX(0,J143-J142)),IF(B132=1,(H132/(B132+3)+J143),IF(B132=0,H132/4+J143))))</f>
        <v>7</v>
      </c>
    </row>
    <row r="145" spans="1:19" ht="15.75" customHeight="1" x14ac:dyDescent="0.35">
      <c r="A145" s="113" t="s">
        <v>137</v>
      </c>
      <c r="B145" s="113"/>
      <c r="C145" s="113" t="s">
        <v>428</v>
      </c>
      <c r="D145" s="113"/>
      <c r="E145" s="113"/>
      <c r="F145" s="113"/>
      <c r="G145" s="113"/>
      <c r="H145" s="113"/>
      <c r="I145" s="100" t="str">
        <f ca="1">IF(D158=100%,"All work Completed. Possession granted to the Building.",IF(D157=100%,"All work Completed, Waiting for OC",I146&amp;""&amp;I147&amp;""&amp;J146&amp;""&amp;J145&amp;" "&amp;J147))</f>
        <v>Excavation, Plinth Completed, RCC upto 5 Slab, Brickwork upto 2 Floor Completed</v>
      </c>
      <c r="J145" s="46" t="str">
        <f ca="1">(IF(C151=(D146+F146+H146),"",IF(C151&gt;0,", RCC upto "&amp;C151&amp;" Slab","")))&amp;(IF(C152=H146,"",IF(C152&gt;0,", Brickwork upto "&amp;C152&amp;" Floor","")))&amp;(IF(C153=H146,"",IF(C153&gt;0,", Internal Plaster upto "&amp;C153&amp;" Floor","")))&amp;(IF(C154=H146,"",IF(C154&gt;0,", External Plaster upto "&amp;C154&amp;" Floor","")))&amp;(IF(C155=H146,"",IF(C155&gt;0,", Flooring upto "&amp;C155&amp;" Floor","")))&amp;(IF(C156=H146,"",IF(C156&gt;0,", Painting upto "&amp;C156&amp;" Floor","")))&amp;(IF(C157=H146,"",IF(C157&gt;0,", Finishing upto "&amp;C157&amp;" Floor","")))&amp;(IF(C158=H146,"",IF(C158&gt;0,", Possession upto "&amp;C158&amp;" Floor","")))</f>
        <v>, RCC upto 5 Slab, Brickwork upto 2 Floor</v>
      </c>
      <c r="S145"/>
    </row>
    <row r="146" spans="1:19" x14ac:dyDescent="0.35">
      <c r="A146" s="105" t="s">
        <v>139</v>
      </c>
      <c r="B146" s="105">
        <f>IF(AND(ISNUMBER(SEARCH("1B",C145))),1,IF(AND(ISNUMBER(SEARCH("2B",C145))),2,IF(AND(ISNUMBER(SEARCH("3B",C145))),3,IF(AND(ISNUMBER(SEARCH("4B",C145))),4,IF(ISNUMBER(SEARCH("5B",C145)),5,0)))))</f>
        <v>0</v>
      </c>
      <c r="C146" s="105" t="s">
        <v>69</v>
      </c>
      <c r="D146" s="105">
        <v>1</v>
      </c>
      <c r="E146" s="105" t="s">
        <v>68</v>
      </c>
      <c r="F146" s="105">
        <v>0</v>
      </c>
      <c r="G146" s="105" t="s">
        <v>77</v>
      </c>
      <c r="H146" s="105">
        <f ca="1">--TRIM(RIGHT(SUBSTITUTE(LEFT(C145,_xlfn.AGGREGATE(16,6,FIND({0,1,2,3,4,5,6,7,8,9},C145,ROW(INDIRECT("1:"&amp;LEN(C145)))),1))," ",REPT(" ",LEN(C145))),LEN(C145)))</f>
        <v>7</v>
      </c>
      <c r="I146" s="101" t="str">
        <f ca="1">IF(D149=100%,"Excavation","")&amp;IF(D150=100%,", Plinth","")&amp;IF(D151=100%,", RCC Slab","")&amp;IF(D152=100%,", Brickwork","")&amp;IF(D153=100%,", Internal Plaster","")&amp;IF(D154=100%,", External Plaster","")&amp;IF(D155=100%,", Flooring","")&amp;IF(D156=100%,", Painting","")&amp;IF(D157=100%,", Building common Amenities","")</f>
        <v>Excavation, Plinth</v>
      </c>
      <c r="J146" s="48" t="str">
        <f ca="1">(IF(C149=0,"Work not yet Started.",IF(D149=25%,"Piling work in process",IF(D149=50%,"Excavation work in process",IF(D149=100%,"","0")))))&amp;(IF(C150=0%,"",IF(C150=J151,", Footing work is process",IF(C150=J152,", Footing work Completed",IF(C150=J153,", 1st Basement Completed",IF(C150=J154,", 1st &amp; 2nd Basement Completed",IF(C150=J155,", 1st to 3rd Basement Completed",IF(C150=J156,", 1st to 4th Basement Completed",IF(C150=J157,", Plinth work is process",IF(C150=J158,"","0"))))))))))</f>
        <v/>
      </c>
      <c r="S146"/>
    </row>
    <row r="147" spans="1:19" ht="30.5" customHeight="1" x14ac:dyDescent="0.35">
      <c r="A147" s="114" t="s">
        <v>87</v>
      </c>
      <c r="B147" s="114"/>
      <c r="C147" s="113" t="str">
        <f ca="1">I145</f>
        <v>Excavation, Plinth Completed, RCC upto 5 Slab, Brickwork upto 2 Floor Completed</v>
      </c>
      <c r="D147" s="113"/>
      <c r="E147" s="113"/>
      <c r="F147" s="113"/>
      <c r="G147" s="113"/>
      <c r="H147" s="113"/>
      <c r="I147" s="101" t="str">
        <f ca="1">IF(I146&lt;&gt;""," Completed","")</f>
        <v xml:space="preserve"> Completed</v>
      </c>
      <c r="J147" s="48" t="str">
        <f ca="1">IF(J145&lt;&gt;"","Completed","")</f>
        <v>Completed</v>
      </c>
      <c r="S147"/>
    </row>
    <row r="148" spans="1:19" ht="15.75" customHeight="1" x14ac:dyDescent="0.35">
      <c r="A148" s="147" t="s">
        <v>47</v>
      </c>
      <c r="B148" s="115"/>
      <c r="C148" s="86" t="s">
        <v>136</v>
      </c>
      <c r="D148" s="86" t="s">
        <v>80</v>
      </c>
      <c r="E148" s="115" t="s">
        <v>82</v>
      </c>
      <c r="F148" s="115"/>
      <c r="G148" s="115" t="s">
        <v>81</v>
      </c>
      <c r="H148" s="148"/>
      <c r="I148" s="13" t="s">
        <v>138</v>
      </c>
      <c r="J148" s="27">
        <f ca="1">H146*25%</f>
        <v>1.75</v>
      </c>
      <c r="S148"/>
    </row>
    <row r="149" spans="1:19" x14ac:dyDescent="0.35">
      <c r="A149" s="147" t="s">
        <v>125</v>
      </c>
      <c r="B149" s="115"/>
      <c r="C149" s="86">
        <f ca="1">J150</f>
        <v>7</v>
      </c>
      <c r="D149" s="87">
        <f ca="1">((100/H146)*C149)/100</f>
        <v>1</v>
      </c>
      <c r="E149" s="195">
        <f ca="1">(((C150/H146*10)+(40/(D146+F146+H146)*C151)+(7.5/(H146)*C152)+(7.5/(H146)*C153)+(10/H146*C154)+(10/H146*C155)+(5/H146*C156)+(5/H146*C157)+(5/H146*C158))/100)</f>
        <v>0.37142857142857144</v>
      </c>
      <c r="F149" s="246"/>
      <c r="G149" s="195">
        <f ca="1">((((C149/H146)*20)+((C150/H146)*25)+(30/(H146+F146+D146)*C151)+(5/H146*C152)+(5/H146*C153)+(5/H146*C154)+(5/H146*C155)+(0/H146*C156)+(0/H146*C157)+(5/H146*C158))/100)</f>
        <v>0.6517857142857143</v>
      </c>
      <c r="H149" s="196"/>
      <c r="I149" s="13" t="s">
        <v>97</v>
      </c>
      <c r="J149" s="28">
        <f ca="1">H146*50%</f>
        <v>3.5</v>
      </c>
    </row>
    <row r="150" spans="1:19" x14ac:dyDescent="0.35">
      <c r="A150" s="147" t="s">
        <v>48</v>
      </c>
      <c r="B150" s="115"/>
      <c r="C150" s="88">
        <f ca="1">J158</f>
        <v>7</v>
      </c>
      <c r="D150" s="87">
        <f ca="1">((100/H146)*C150)/100</f>
        <v>1</v>
      </c>
      <c r="E150" s="197"/>
      <c r="F150" s="247"/>
      <c r="G150" s="197"/>
      <c r="H150" s="198"/>
      <c r="I150" s="13" t="s">
        <v>98</v>
      </c>
      <c r="J150" s="28">
        <f ca="1">H146</f>
        <v>7</v>
      </c>
      <c r="S150"/>
    </row>
    <row r="151" spans="1:19" ht="15.75" customHeight="1" x14ac:dyDescent="0.35">
      <c r="A151" s="147" t="s">
        <v>126</v>
      </c>
      <c r="B151" s="115"/>
      <c r="C151" s="86">
        <v>5</v>
      </c>
      <c r="D151" s="87">
        <f ca="1">((100/(D146+F146+H146))*C151)/100</f>
        <v>0.625</v>
      </c>
      <c r="E151" s="197"/>
      <c r="F151" s="247"/>
      <c r="G151" s="197"/>
      <c r="H151" s="198"/>
      <c r="I151" s="13" t="s">
        <v>99</v>
      </c>
      <c r="J151" s="29">
        <f ca="1">(IF(B146&gt;1,(H146/(B146+2)),H146/4))</f>
        <v>1.75</v>
      </c>
      <c r="S151"/>
    </row>
    <row r="152" spans="1:19" ht="15.75" customHeight="1" x14ac:dyDescent="0.35">
      <c r="A152" s="147" t="s">
        <v>133</v>
      </c>
      <c r="B152" s="115" t="s">
        <v>127</v>
      </c>
      <c r="C152" s="86">
        <v>2</v>
      </c>
      <c r="D152" s="87">
        <f ca="1">((100/H146)*C152)/100</f>
        <v>0.28571428571428575</v>
      </c>
      <c r="E152" s="197"/>
      <c r="F152" s="247"/>
      <c r="G152" s="197"/>
      <c r="H152" s="198"/>
      <c r="I152" s="13" t="s">
        <v>100</v>
      </c>
      <c r="J152" s="29">
        <f ca="1">(IF(B146&gt;1,(H146/(B146+2)+J151),H146/4+J151))</f>
        <v>3.5</v>
      </c>
    </row>
    <row r="153" spans="1:19" ht="15.75" customHeight="1" x14ac:dyDescent="0.35">
      <c r="A153" s="147" t="s">
        <v>134</v>
      </c>
      <c r="B153" s="115" t="s">
        <v>127</v>
      </c>
      <c r="C153" s="86">
        <v>0</v>
      </c>
      <c r="D153" s="87">
        <f ca="1">((100/H146)*C153)/100</f>
        <v>0</v>
      </c>
      <c r="E153" s="197"/>
      <c r="F153" s="247"/>
      <c r="G153" s="197"/>
      <c r="H153" s="198"/>
      <c r="I153" s="13" t="s">
        <v>145</v>
      </c>
      <c r="J153" s="29">
        <f>(IF(B146&gt;1,(H146/(B146+2)+J152),0))</f>
        <v>0</v>
      </c>
    </row>
    <row r="154" spans="1:19" ht="15" customHeight="1" x14ac:dyDescent="0.35">
      <c r="A154" s="147" t="s">
        <v>132</v>
      </c>
      <c r="B154" s="115" t="s">
        <v>129</v>
      </c>
      <c r="C154" s="86">
        <v>0</v>
      </c>
      <c r="D154" s="87">
        <f ca="1">((100/(H146))*C154)/100</f>
        <v>0</v>
      </c>
      <c r="E154" s="197"/>
      <c r="F154" s="247"/>
      <c r="G154" s="197"/>
      <c r="H154" s="198"/>
      <c r="I154" s="13" t="s">
        <v>140</v>
      </c>
      <c r="J154" s="29">
        <f>(IF(B146&gt;2,(H146/(B146+2)+J153),0))</f>
        <v>0</v>
      </c>
    </row>
    <row r="155" spans="1:19" ht="15.75" customHeight="1" x14ac:dyDescent="0.35">
      <c r="A155" s="147" t="s">
        <v>128</v>
      </c>
      <c r="B155" s="115" t="s">
        <v>128</v>
      </c>
      <c r="C155" s="86">
        <v>0</v>
      </c>
      <c r="D155" s="87">
        <f ca="1">((100/H146)*C155)/100</f>
        <v>0</v>
      </c>
      <c r="E155" s="197"/>
      <c r="F155" s="247"/>
      <c r="G155" s="197"/>
      <c r="H155" s="198"/>
      <c r="I155" s="13" t="s">
        <v>141</v>
      </c>
      <c r="J155" s="30">
        <f>(IF(B146&gt;3,(H146/(B146+2)+J154),0))</f>
        <v>0</v>
      </c>
    </row>
    <row r="156" spans="1:19" ht="15.75" customHeight="1" x14ac:dyDescent="0.35">
      <c r="A156" s="147" t="s">
        <v>135</v>
      </c>
      <c r="B156" s="115"/>
      <c r="C156" s="86">
        <v>0</v>
      </c>
      <c r="D156" s="87">
        <f ca="1">((100/H146)*C156)/100</f>
        <v>0</v>
      </c>
      <c r="E156" s="197"/>
      <c r="F156" s="247"/>
      <c r="G156" s="197"/>
      <c r="H156" s="198"/>
      <c r="I156" s="13" t="s">
        <v>142</v>
      </c>
      <c r="J156" s="29">
        <f>(IF(B146&gt;4,(H146/(B146+2)+J155),0))</f>
        <v>0</v>
      </c>
    </row>
    <row r="157" spans="1:19" ht="15.75" customHeight="1" x14ac:dyDescent="0.35">
      <c r="A157" s="147" t="s">
        <v>130</v>
      </c>
      <c r="B157" s="115" t="s">
        <v>130</v>
      </c>
      <c r="C157" s="86">
        <v>0</v>
      </c>
      <c r="D157" s="87">
        <f ca="1">((100/(H146))*C157)/100</f>
        <v>0</v>
      </c>
      <c r="E157" s="197"/>
      <c r="F157" s="247"/>
      <c r="G157" s="197"/>
      <c r="H157" s="198"/>
      <c r="I157" s="13" t="s">
        <v>146</v>
      </c>
      <c r="J157" s="29">
        <f ca="1">(IF(B146=1,(H146/(B146+3)+J152),IF(B146=0,(H146/4+J152),IF(B146&gt;1,0))))</f>
        <v>5.25</v>
      </c>
    </row>
    <row r="158" spans="1:19" ht="16" thickBot="1" x14ac:dyDescent="0.4">
      <c r="A158" s="163" t="s">
        <v>131</v>
      </c>
      <c r="B158" s="164"/>
      <c r="C158" s="89">
        <v>0</v>
      </c>
      <c r="D158" s="90">
        <f ca="1">((100/(H146))*C158)/100</f>
        <v>0</v>
      </c>
      <c r="E158" s="199"/>
      <c r="F158" s="248"/>
      <c r="G158" s="199"/>
      <c r="H158" s="200"/>
      <c r="I158" s="15" t="s">
        <v>101</v>
      </c>
      <c r="J158" s="31">
        <f ca="1">(IF(B146&gt;1.5,(H146/(B146+2)+J152+MAX(0,J153-J152)+MAX(0,J154-J153)+MAX(0,J155-J154)+MAX(0,J156-J155)+MAX(0,J157-J156)),IF(B146=1,(H146/(B146+3)+J157),IF(B146=0,H146/4+J157))))</f>
        <v>7</v>
      </c>
    </row>
    <row r="159" spans="1:19" ht="15.75" customHeight="1" x14ac:dyDescent="0.35">
      <c r="A159" s="168" t="s">
        <v>137</v>
      </c>
      <c r="B159" s="169"/>
      <c r="C159" s="170" t="s">
        <v>427</v>
      </c>
      <c r="D159" s="171"/>
      <c r="E159" s="171"/>
      <c r="F159" s="171"/>
      <c r="G159" s="171"/>
      <c r="H159" s="172"/>
      <c r="I159" s="45" t="str">
        <f ca="1">IF(D172=100%,"All work Completed. Possession granted to the Building.",IF(D171=100%,"All work Completed, Waiting for OC",I160&amp;""&amp;I161&amp;""&amp;J160&amp;""&amp;J159&amp;" "&amp;J161))</f>
        <v>Excavation, Plinth Completed, RCC upto 1 Slab Completed</v>
      </c>
      <c r="J159" s="46" t="str">
        <f ca="1">(IF(C165=(D160+F160+H160),"",IF(C165&gt;0,", RCC upto "&amp;C165&amp;" Slab","")))&amp;(IF(C166=H160,"",IF(C166&gt;0,", Brickwork upto "&amp;C166&amp;" Floor","")))&amp;(IF(C167=H160,"",IF(C167&gt;0,", Internal Plaster upto "&amp;C167&amp;" Floor","")))&amp;(IF(C168=H160,"",IF(C168&gt;0,", External Plaster upto "&amp;C168&amp;" Floor","")))&amp;(IF(C169=H160,"",IF(C169&gt;0,", Flooring upto "&amp;C169&amp;" Floor","")))&amp;(IF(C170=H160,"",IF(C170&gt;0,", Painting upto "&amp;C170&amp;" Floor","")))&amp;(IF(C171=H160,"",IF(C171&gt;0,", Finishing upto "&amp;C171&amp;" Floor","")))&amp;(IF(C172=H160,"",IF(C172&gt;0,", Possession upto "&amp;C172&amp;" Floor","")))</f>
        <v>, RCC upto 1 Slab</v>
      </c>
      <c r="S159"/>
    </row>
    <row r="160" spans="1:19" x14ac:dyDescent="0.35">
      <c r="A160" s="16" t="s">
        <v>139</v>
      </c>
      <c r="B160" s="49">
        <f>IF(AND(ISNUMBER(SEARCH("1B",C159))),1,IF(AND(ISNUMBER(SEARCH("2B",C159))),2,IF(AND(ISNUMBER(SEARCH("3B",C159))),3,IF(AND(ISNUMBER(SEARCH("4B",C159))),4,IF(ISNUMBER(SEARCH("5B",C159)),5,0)))))</f>
        <v>0</v>
      </c>
      <c r="C160" s="49" t="s">
        <v>69</v>
      </c>
      <c r="D160" s="49">
        <v>1</v>
      </c>
      <c r="E160" s="49" t="s">
        <v>68</v>
      </c>
      <c r="F160" s="49">
        <v>0</v>
      </c>
      <c r="G160" s="49" t="s">
        <v>77</v>
      </c>
      <c r="H160" s="17">
        <f ca="1">--TRIM(RIGHT(SUBSTITUTE(LEFT(C159,_xlfn.AGGREGATE(16,6,FIND({0,1,2,3,4,5,6,7,8,9},C159,ROW(INDIRECT("1:"&amp;LEN(C159)))),1))," ",REPT(" ",LEN(C159))),LEN(C159)))</f>
        <v>7</v>
      </c>
      <c r="I160" s="47" t="str">
        <f ca="1">IF(D163=100%,"Excavation","")&amp;IF(D164=100%,", Plinth","")&amp;IF(D165=100%,", RCC Slab","")&amp;IF(D166=100%,", Brickwork","")&amp;IF(D167=100%,", Internal Plaster","")&amp;IF(D168=100%,", External Plaster","")&amp;IF(D169=100%,", Flooring","")&amp;IF(D170=100%,", Painting","")&amp;IF(D171=100%,", Building common Amenities","")</f>
        <v>Excavation, Plinth</v>
      </c>
      <c r="J160" s="48" t="str">
        <f ca="1">(IF(C163=0,"Work not yet Started.",IF(D163=25%,"Piling work in process",IF(D163=50%,"Excavation work in process",IF(D163=100%,"","0")))))&amp;(IF(C164=0%,"",IF(C164=J165,", Footing work is process",IF(C164=J166,", Footing work Completed",IF(C164=J167,", 1st Basement Completed",IF(C164=J168,", 1st &amp; 2nd Basement Completed",IF(C164=J169,", 1st to 3rd Basement Completed",IF(C164=J170,", 1st to 4th Basement Completed",IF(C164=J171,", Plinth work is process",IF(C164=J172,"","0"))))))))))</f>
        <v/>
      </c>
      <c r="S160"/>
    </row>
    <row r="161" spans="1:19" x14ac:dyDescent="0.35">
      <c r="A161" s="145" t="s">
        <v>87</v>
      </c>
      <c r="B161" s="114"/>
      <c r="C161" s="113" t="str">
        <f ca="1">I159</f>
        <v>Excavation, Plinth Completed, RCC upto 1 Slab Completed</v>
      </c>
      <c r="D161" s="113"/>
      <c r="E161" s="113"/>
      <c r="F161" s="113"/>
      <c r="G161" s="113"/>
      <c r="H161" s="146"/>
      <c r="I161" s="47" t="str">
        <f ca="1">IF(I160&lt;&gt;""," Completed","")</f>
        <v xml:space="preserve"> Completed</v>
      </c>
      <c r="J161" s="48" t="str">
        <f ca="1">IF(J159&lt;&gt;"","Completed","")</f>
        <v>Completed</v>
      </c>
      <c r="S161"/>
    </row>
    <row r="162" spans="1:19" ht="15.75" customHeight="1" x14ac:dyDescent="0.35">
      <c r="A162" s="147" t="s">
        <v>47</v>
      </c>
      <c r="B162" s="115"/>
      <c r="C162" s="86" t="s">
        <v>136</v>
      </c>
      <c r="D162" s="86" t="s">
        <v>80</v>
      </c>
      <c r="E162" s="115" t="s">
        <v>82</v>
      </c>
      <c r="F162" s="115"/>
      <c r="G162" s="115" t="s">
        <v>81</v>
      </c>
      <c r="H162" s="148"/>
      <c r="I162" s="13" t="s">
        <v>138</v>
      </c>
      <c r="J162" s="27">
        <f ca="1">H160*25%</f>
        <v>1.75</v>
      </c>
      <c r="S162"/>
    </row>
    <row r="163" spans="1:19" x14ac:dyDescent="0.35">
      <c r="A163" s="147" t="s">
        <v>125</v>
      </c>
      <c r="B163" s="115"/>
      <c r="C163" s="86">
        <v>7</v>
      </c>
      <c r="D163" s="87">
        <f ca="1">((100/H160)*C163)/100</f>
        <v>1</v>
      </c>
      <c r="E163" s="195">
        <f ca="1">(((C164/H160*10)+(40/(D160+F160+H160)*C165)+(7.5/(H160)*C166)+(7.5/(H160)*C167)+(10/H160*C168)+(10/H160*C169)+(5/H160*C170)+(5/H160*C171)+(5/H160*C172))/100)</f>
        <v>0.15</v>
      </c>
      <c r="F163" s="246"/>
      <c r="G163" s="195">
        <f ca="1">((((C163/H160)*20)+((C164/H160)*25)+(30/(H160+F160+D160)*C165)+(5/H160*C166)+(5/H160*C167)+(5/H160*C168)+(5/H160*C169)+(0/H160*C170)+(0/H160*C171)+(5/H160*C172))/100)</f>
        <v>0.48749999999999999</v>
      </c>
      <c r="H163" s="196"/>
      <c r="I163" s="13" t="s">
        <v>97</v>
      </c>
      <c r="J163" s="28">
        <f ca="1">H160*50%</f>
        <v>3.5</v>
      </c>
    </row>
    <row r="164" spans="1:19" x14ac:dyDescent="0.35">
      <c r="A164" s="147" t="s">
        <v>48</v>
      </c>
      <c r="B164" s="115"/>
      <c r="C164" s="88">
        <f ca="1">J172</f>
        <v>7</v>
      </c>
      <c r="D164" s="87">
        <f ca="1">((100/H160)*C164)/100</f>
        <v>1</v>
      </c>
      <c r="E164" s="197"/>
      <c r="F164" s="247"/>
      <c r="G164" s="197"/>
      <c r="H164" s="198"/>
      <c r="I164" s="13" t="s">
        <v>98</v>
      </c>
      <c r="J164" s="28">
        <f ca="1">H160</f>
        <v>7</v>
      </c>
      <c r="S164"/>
    </row>
    <row r="165" spans="1:19" ht="15.75" customHeight="1" x14ac:dyDescent="0.35">
      <c r="A165" s="147" t="s">
        <v>126</v>
      </c>
      <c r="B165" s="115"/>
      <c r="C165" s="86">
        <v>1</v>
      </c>
      <c r="D165" s="87">
        <f ca="1">((100/(D160+F160+H160))*C165)/100</f>
        <v>0.125</v>
      </c>
      <c r="E165" s="197"/>
      <c r="F165" s="247"/>
      <c r="G165" s="197"/>
      <c r="H165" s="198"/>
      <c r="I165" s="13" t="s">
        <v>99</v>
      </c>
      <c r="J165" s="29">
        <f ca="1">(IF(B160&gt;1,(H160/(B160+2)),H160/4))</f>
        <v>1.75</v>
      </c>
      <c r="S165"/>
    </row>
    <row r="166" spans="1:19" ht="15.75" customHeight="1" x14ac:dyDescent="0.35">
      <c r="A166" s="147" t="s">
        <v>133</v>
      </c>
      <c r="B166" s="115" t="s">
        <v>127</v>
      </c>
      <c r="C166" s="86">
        <v>0</v>
      </c>
      <c r="D166" s="87">
        <f ca="1">((100/H160)*C166)/100</f>
        <v>0</v>
      </c>
      <c r="E166" s="197"/>
      <c r="F166" s="247"/>
      <c r="G166" s="197"/>
      <c r="H166" s="198"/>
      <c r="I166" s="13" t="s">
        <v>100</v>
      </c>
      <c r="J166" s="29">
        <f ca="1">(IF(B160&gt;1,(H160/(B160+2)+J165),H160/4+J165))</f>
        <v>3.5</v>
      </c>
    </row>
    <row r="167" spans="1:19" ht="15.75" customHeight="1" x14ac:dyDescent="0.35">
      <c r="A167" s="147" t="s">
        <v>134</v>
      </c>
      <c r="B167" s="115" t="s">
        <v>127</v>
      </c>
      <c r="C167" s="86">
        <v>0</v>
      </c>
      <c r="D167" s="87">
        <f ca="1">((100/H160)*C167)/100</f>
        <v>0</v>
      </c>
      <c r="E167" s="197"/>
      <c r="F167" s="247"/>
      <c r="G167" s="197"/>
      <c r="H167" s="198"/>
      <c r="I167" s="13" t="s">
        <v>145</v>
      </c>
      <c r="J167" s="29">
        <f>(IF(B160&gt;1,(H160/(B160+2)+J166),0))</f>
        <v>0</v>
      </c>
    </row>
    <row r="168" spans="1:19" ht="15" customHeight="1" x14ac:dyDescent="0.35">
      <c r="A168" s="147" t="s">
        <v>132</v>
      </c>
      <c r="B168" s="115" t="s">
        <v>129</v>
      </c>
      <c r="C168" s="86">
        <v>0</v>
      </c>
      <c r="D168" s="87">
        <f ca="1">((100/(H160))*C168)/100</f>
        <v>0</v>
      </c>
      <c r="E168" s="197"/>
      <c r="F168" s="247"/>
      <c r="G168" s="197"/>
      <c r="H168" s="198"/>
      <c r="I168" s="13" t="s">
        <v>140</v>
      </c>
      <c r="J168" s="29">
        <f>(IF(B160&gt;2,(H160/(B160+2)+J167),0))</f>
        <v>0</v>
      </c>
    </row>
    <row r="169" spans="1:19" ht="15.75" customHeight="1" x14ac:dyDescent="0.35">
      <c r="A169" s="147" t="s">
        <v>128</v>
      </c>
      <c r="B169" s="115" t="s">
        <v>128</v>
      </c>
      <c r="C169" s="86">
        <v>0</v>
      </c>
      <c r="D169" s="87">
        <f ca="1">((100/H160)*C169)/100</f>
        <v>0</v>
      </c>
      <c r="E169" s="197"/>
      <c r="F169" s="247"/>
      <c r="G169" s="197"/>
      <c r="H169" s="198"/>
      <c r="I169" s="13" t="s">
        <v>141</v>
      </c>
      <c r="J169" s="30">
        <f>(IF(B160&gt;3,(H160/(B160+2)+J168),0))</f>
        <v>0</v>
      </c>
    </row>
    <row r="170" spans="1:19" ht="15.75" customHeight="1" x14ac:dyDescent="0.35">
      <c r="A170" s="147" t="s">
        <v>135</v>
      </c>
      <c r="B170" s="115"/>
      <c r="C170" s="86">
        <v>0</v>
      </c>
      <c r="D170" s="87">
        <f ca="1">((100/H160)*C170)/100</f>
        <v>0</v>
      </c>
      <c r="E170" s="197"/>
      <c r="F170" s="247"/>
      <c r="G170" s="197"/>
      <c r="H170" s="198"/>
      <c r="I170" s="13" t="s">
        <v>142</v>
      </c>
      <c r="J170" s="29">
        <f>(IF(B160&gt;4,(H160/(B160+2)+J169),0))</f>
        <v>0</v>
      </c>
    </row>
    <row r="171" spans="1:19" ht="15.75" customHeight="1" x14ac:dyDescent="0.35">
      <c r="A171" s="147" t="s">
        <v>130</v>
      </c>
      <c r="B171" s="115" t="s">
        <v>130</v>
      </c>
      <c r="C171" s="86">
        <v>0</v>
      </c>
      <c r="D171" s="87">
        <f ca="1">((100/(H160))*C171)/100</f>
        <v>0</v>
      </c>
      <c r="E171" s="197"/>
      <c r="F171" s="247"/>
      <c r="G171" s="197"/>
      <c r="H171" s="198"/>
      <c r="I171" s="13" t="s">
        <v>146</v>
      </c>
      <c r="J171" s="29">
        <f ca="1">(IF(B160=1,(H160/(B160+3)+J166),IF(B160=0,(H160/4+J166),IF(B160&gt;1,0))))</f>
        <v>5.25</v>
      </c>
    </row>
    <row r="172" spans="1:19" ht="16" thickBot="1" x14ac:dyDescent="0.4">
      <c r="A172" s="163" t="s">
        <v>131</v>
      </c>
      <c r="B172" s="164"/>
      <c r="C172" s="89">
        <v>0</v>
      </c>
      <c r="D172" s="90">
        <f ca="1">((100/(H160))*C172)/100</f>
        <v>0</v>
      </c>
      <c r="E172" s="199"/>
      <c r="F172" s="248"/>
      <c r="G172" s="199"/>
      <c r="H172" s="200"/>
      <c r="I172" s="15" t="s">
        <v>101</v>
      </c>
      <c r="J172" s="31">
        <f ca="1">(IF(B160&gt;1.5,(H160/(B160+2)+J166+MAX(0,J167-J166)+MAX(0,J168-J167)+MAX(0,J169-J168)+MAX(0,J170-J169)+MAX(0,J171-J170)),IF(B160=1,(H160/(B160+3)+J171),IF(B160=0,H160/4+J171))))</f>
        <v>7</v>
      </c>
    </row>
    <row r="173" spans="1:19" ht="15.75" customHeight="1" x14ac:dyDescent="0.35">
      <c r="A173" s="168" t="s">
        <v>137</v>
      </c>
      <c r="B173" s="169"/>
      <c r="C173" s="170" t="s">
        <v>429</v>
      </c>
      <c r="D173" s="171"/>
      <c r="E173" s="171"/>
      <c r="F173" s="171"/>
      <c r="G173" s="171"/>
      <c r="H173" s="172"/>
      <c r="I173" s="45" t="str">
        <f ca="1">IF(D186=100%,"All work Completed. Possession granted to the Building.",IF(D185=100%,"All work Completed, Waiting for OC",I174&amp;""&amp;I175&amp;""&amp;J174&amp;""&amp;J173&amp;" "&amp;J175))</f>
        <v>Excavation, Plinth Completed, RCC upto 1 Slab Completed</v>
      </c>
      <c r="J173" s="46" t="str">
        <f ca="1">(IF(C179=(D174+F174+H174),"",IF(C179&gt;0,", RCC upto "&amp;C179&amp;" Slab","")))&amp;(IF(C180=H174,"",IF(C180&gt;0,", Brickwork upto "&amp;C180&amp;" Floor","")))&amp;(IF(C181=H174,"",IF(C181&gt;0,", Internal Plaster upto "&amp;C181&amp;" Floor","")))&amp;(IF(C182=H174,"",IF(C182&gt;0,", External Plaster upto "&amp;C182&amp;" Floor","")))&amp;(IF(C183=H174,"",IF(C183&gt;0,", Flooring upto "&amp;C183&amp;" Floor","")))&amp;(IF(C184=H174,"",IF(C184&gt;0,", Painting upto "&amp;C184&amp;" Floor","")))&amp;(IF(C185=H174,"",IF(C185&gt;0,", Finishing upto "&amp;C185&amp;" Floor","")))&amp;(IF(C186=H174,"",IF(C186&gt;0,", Possession upto "&amp;C186&amp;" Floor","")))</f>
        <v>, RCC upto 1 Slab</v>
      </c>
      <c r="S173"/>
    </row>
    <row r="174" spans="1:19" x14ac:dyDescent="0.35">
      <c r="A174" s="16" t="s">
        <v>139</v>
      </c>
      <c r="B174" s="49">
        <f>IF(AND(ISNUMBER(SEARCH("1B",C173))),1,IF(AND(ISNUMBER(SEARCH("2B",C173))),2,IF(AND(ISNUMBER(SEARCH("3B",C173))),3,IF(AND(ISNUMBER(SEARCH("4B",C173))),4,IF(ISNUMBER(SEARCH("5B",C173)),5,0)))))</f>
        <v>0</v>
      </c>
      <c r="C174" s="49" t="s">
        <v>69</v>
      </c>
      <c r="D174" s="49">
        <v>1</v>
      </c>
      <c r="E174" s="49" t="s">
        <v>68</v>
      </c>
      <c r="F174" s="49">
        <v>0</v>
      </c>
      <c r="G174" s="49" t="s">
        <v>77</v>
      </c>
      <c r="H174" s="17">
        <f ca="1">--TRIM(RIGHT(SUBSTITUTE(LEFT(C173,_xlfn.AGGREGATE(16,6,FIND({0,1,2,3,4,5,6,7,8,9},C173,ROW(INDIRECT("1:"&amp;LEN(C173)))),1))," ",REPT(" ",LEN(C173))),LEN(C173)))</f>
        <v>7</v>
      </c>
      <c r="I174" s="47" t="str">
        <f ca="1">IF(D177=100%,"Excavation","")&amp;IF(D178=100%,", Plinth","")&amp;IF(D179=100%,", RCC Slab","")&amp;IF(D180=100%,", Brickwork","")&amp;IF(D181=100%,", Internal Plaster","")&amp;IF(D182=100%,", External Plaster","")&amp;IF(D183=100%,", Flooring","")&amp;IF(D184=100%,", Painting","")&amp;IF(D185=100%,", Building common Amenities","")</f>
        <v>Excavation, Plinth</v>
      </c>
      <c r="J174" s="48" t="str">
        <f ca="1">(IF(C177=0,"Work not yet Started.",IF(D177=25%,"Piling work in process",IF(D177=50%,"Excavation work in process",IF(D177=100%,"","0")))))&amp;(IF(C178=0%,"",IF(C178=J179,", Footing work is process",IF(C178=J180,", Footing work Completed",IF(C178=J181,", 1st Basement Completed",IF(C178=J182,", 1st &amp; 2nd Basement Completed",IF(C178=J183,", 1st to 3rd Basement Completed",IF(C178=J184,", 1st to 4th Basement Completed",IF(C178=J185,", Plinth work is process",IF(C178=J186,"","0"))))))))))</f>
        <v/>
      </c>
      <c r="S174"/>
    </row>
    <row r="175" spans="1:19" x14ac:dyDescent="0.35">
      <c r="A175" s="145" t="s">
        <v>87</v>
      </c>
      <c r="B175" s="114"/>
      <c r="C175" s="113" t="str">
        <f ca="1">I173</f>
        <v>Excavation, Plinth Completed, RCC upto 1 Slab Completed</v>
      </c>
      <c r="D175" s="113"/>
      <c r="E175" s="113"/>
      <c r="F175" s="113"/>
      <c r="G175" s="113"/>
      <c r="H175" s="146"/>
      <c r="I175" s="47" t="str">
        <f ca="1">IF(I174&lt;&gt;""," Completed","")</f>
        <v xml:space="preserve"> Completed</v>
      </c>
      <c r="J175" s="48" t="str">
        <f ca="1">IF(J173&lt;&gt;"","Completed","")</f>
        <v>Completed</v>
      </c>
      <c r="S175"/>
    </row>
    <row r="176" spans="1:19" ht="15.75" customHeight="1" x14ac:dyDescent="0.35">
      <c r="A176" s="147" t="s">
        <v>47</v>
      </c>
      <c r="B176" s="115"/>
      <c r="C176" s="86" t="s">
        <v>136</v>
      </c>
      <c r="D176" s="86" t="s">
        <v>80</v>
      </c>
      <c r="E176" s="115" t="s">
        <v>82</v>
      </c>
      <c r="F176" s="115"/>
      <c r="G176" s="115" t="s">
        <v>81</v>
      </c>
      <c r="H176" s="148"/>
      <c r="I176" s="13" t="s">
        <v>138</v>
      </c>
      <c r="J176" s="27">
        <f ca="1">H174*25%</f>
        <v>1.75</v>
      </c>
      <c r="S176"/>
    </row>
    <row r="177" spans="1:19" x14ac:dyDescent="0.35">
      <c r="A177" s="115" t="s">
        <v>125</v>
      </c>
      <c r="B177" s="115"/>
      <c r="C177" s="103">
        <v>7</v>
      </c>
      <c r="D177" s="87">
        <f ca="1">((100/H174)*C177)/100</f>
        <v>1</v>
      </c>
      <c r="E177" s="116">
        <f ca="1">(((C178/H174*10)+(40/(D174+F174+H174)*C179)+(7.5/(H174)*C180)+(7.5/(H174)*C181)+(10/H174*C182)+(10/H174*C183)+(5/H174*C184)+(5/H174*C185)+(5/H174*C186))/100)</f>
        <v>0.15</v>
      </c>
      <c r="F177" s="116"/>
      <c r="G177" s="116">
        <f ca="1">((((C177/H174)*20)+((C178/H174)*25)+(30/(H174+F174+D174)*C179)+(5/H174*C180)+(5/H174*C181)+(5/H174*C182)+(5/H174*C183)+(0/H174*C184)+(0/H174*C185)+(5/H174*C186))/100)</f>
        <v>0.48749999999999999</v>
      </c>
      <c r="H177" s="116"/>
      <c r="I177" s="13" t="s">
        <v>97</v>
      </c>
      <c r="J177" s="28">
        <f ca="1">H174*50%</f>
        <v>3.5</v>
      </c>
    </row>
    <row r="178" spans="1:19" x14ac:dyDescent="0.35">
      <c r="A178" s="115" t="s">
        <v>48</v>
      </c>
      <c r="B178" s="115"/>
      <c r="C178" s="88">
        <f ca="1">J186</f>
        <v>7</v>
      </c>
      <c r="D178" s="87">
        <f ca="1">((100/H174)*C178)/100</f>
        <v>1</v>
      </c>
      <c r="E178" s="116"/>
      <c r="F178" s="116"/>
      <c r="G178" s="116"/>
      <c r="H178" s="116"/>
      <c r="I178" s="13" t="s">
        <v>98</v>
      </c>
      <c r="J178" s="28">
        <f ca="1">H174</f>
        <v>7</v>
      </c>
      <c r="K178" s="20" t="s">
        <v>430</v>
      </c>
      <c r="S178"/>
    </row>
    <row r="179" spans="1:19" ht="15.75" customHeight="1" x14ac:dyDescent="0.35">
      <c r="A179" s="115" t="s">
        <v>126</v>
      </c>
      <c r="B179" s="115"/>
      <c r="C179" s="103">
        <v>1</v>
      </c>
      <c r="D179" s="87">
        <f ca="1">((100/(D174+F174+H174))*C179)/100</f>
        <v>0.125</v>
      </c>
      <c r="E179" s="116"/>
      <c r="F179" s="116"/>
      <c r="G179" s="116"/>
      <c r="H179" s="116"/>
      <c r="I179" s="13" t="s">
        <v>99</v>
      </c>
      <c r="J179" s="29">
        <f ca="1">(IF(B174&gt;1,(H174/(B174+2)),H174/4))</f>
        <v>1.75</v>
      </c>
      <c r="S179"/>
    </row>
    <row r="180" spans="1:19" ht="15.75" customHeight="1" x14ac:dyDescent="0.35">
      <c r="A180" s="115" t="s">
        <v>133</v>
      </c>
      <c r="B180" s="115" t="s">
        <v>127</v>
      </c>
      <c r="C180" s="103">
        <v>0</v>
      </c>
      <c r="D180" s="87">
        <f ca="1">((100/H174)*C180)/100</f>
        <v>0</v>
      </c>
      <c r="E180" s="116"/>
      <c r="F180" s="116"/>
      <c r="G180" s="116"/>
      <c r="H180" s="116"/>
      <c r="I180" s="13" t="s">
        <v>100</v>
      </c>
      <c r="J180" s="29">
        <f ca="1">(IF(B174&gt;1,(H174/(B174+2)+J179),H174/4+J179))</f>
        <v>3.5</v>
      </c>
    </row>
    <row r="181" spans="1:19" ht="15.75" customHeight="1" x14ac:dyDescent="0.35">
      <c r="A181" s="115" t="s">
        <v>134</v>
      </c>
      <c r="B181" s="115" t="s">
        <v>127</v>
      </c>
      <c r="C181" s="103">
        <v>0</v>
      </c>
      <c r="D181" s="87">
        <f ca="1">((100/H174)*C181)/100</f>
        <v>0</v>
      </c>
      <c r="E181" s="116"/>
      <c r="F181" s="116"/>
      <c r="G181" s="116"/>
      <c r="H181" s="116"/>
      <c r="I181" s="13" t="s">
        <v>145</v>
      </c>
      <c r="J181" s="29">
        <f>(IF(B174&gt;1,(H174/(B174+2)+J180),0))</f>
        <v>0</v>
      </c>
    </row>
    <row r="182" spans="1:19" ht="15" customHeight="1" x14ac:dyDescent="0.35">
      <c r="A182" s="115" t="s">
        <v>132</v>
      </c>
      <c r="B182" s="115" t="s">
        <v>129</v>
      </c>
      <c r="C182" s="103">
        <v>0</v>
      </c>
      <c r="D182" s="87">
        <f ca="1">((100/(H174))*C182)/100</f>
        <v>0</v>
      </c>
      <c r="E182" s="116"/>
      <c r="F182" s="116"/>
      <c r="G182" s="116"/>
      <c r="H182" s="116"/>
      <c r="I182" s="13" t="s">
        <v>140</v>
      </c>
      <c r="J182" s="29">
        <f>(IF(B174&gt;2,(H174/(B174+2)+J181),0))</f>
        <v>0</v>
      </c>
    </row>
    <row r="183" spans="1:19" ht="15.75" customHeight="1" x14ac:dyDescent="0.35">
      <c r="A183" s="115" t="s">
        <v>128</v>
      </c>
      <c r="B183" s="115" t="s">
        <v>128</v>
      </c>
      <c r="C183" s="103">
        <v>0</v>
      </c>
      <c r="D183" s="87">
        <f ca="1">((100/H174)*C183)/100</f>
        <v>0</v>
      </c>
      <c r="E183" s="116"/>
      <c r="F183" s="116"/>
      <c r="G183" s="116"/>
      <c r="H183" s="116"/>
      <c r="I183" s="13" t="s">
        <v>141</v>
      </c>
      <c r="J183" s="30">
        <f>(IF(B174&gt;3,(H174/(B174+2)+J182),0))</f>
        <v>0</v>
      </c>
    </row>
    <row r="184" spans="1:19" ht="15.75" customHeight="1" x14ac:dyDescent="0.35">
      <c r="A184" s="115" t="s">
        <v>135</v>
      </c>
      <c r="B184" s="115"/>
      <c r="C184" s="103">
        <v>0</v>
      </c>
      <c r="D184" s="87">
        <f ca="1">((100/H174)*C184)/100</f>
        <v>0</v>
      </c>
      <c r="E184" s="116"/>
      <c r="F184" s="116"/>
      <c r="G184" s="116"/>
      <c r="H184" s="116"/>
      <c r="I184" s="13" t="s">
        <v>142</v>
      </c>
      <c r="J184" s="29">
        <f>(IF(B174&gt;4,(H174/(B174+2)+J183),0))</f>
        <v>0</v>
      </c>
    </row>
    <row r="185" spans="1:19" ht="15.75" customHeight="1" x14ac:dyDescent="0.35">
      <c r="A185" s="115" t="s">
        <v>130</v>
      </c>
      <c r="B185" s="115" t="s">
        <v>130</v>
      </c>
      <c r="C185" s="103">
        <v>0</v>
      </c>
      <c r="D185" s="87">
        <f ca="1">((100/(H174))*C185)/100</f>
        <v>0</v>
      </c>
      <c r="E185" s="116"/>
      <c r="F185" s="116"/>
      <c r="G185" s="116"/>
      <c r="H185" s="116"/>
      <c r="I185" s="13" t="s">
        <v>146</v>
      </c>
      <c r="J185" s="29">
        <f ca="1">(IF(B174=1,(H174/(B174+3)+J180),IF(B174=0,(H174/4+J180),IF(B174&gt;1,0))))</f>
        <v>5.25</v>
      </c>
    </row>
    <row r="186" spans="1:19" ht="16" thickBot="1" x14ac:dyDescent="0.4">
      <c r="A186" s="115" t="s">
        <v>131</v>
      </c>
      <c r="B186" s="115"/>
      <c r="C186" s="103">
        <v>0</v>
      </c>
      <c r="D186" s="87">
        <f ca="1">((100/(H174))*C186)/100</f>
        <v>0</v>
      </c>
      <c r="E186" s="116"/>
      <c r="F186" s="116"/>
      <c r="G186" s="116"/>
      <c r="H186" s="116"/>
      <c r="I186" s="15" t="s">
        <v>101</v>
      </c>
      <c r="J186" s="31">
        <f ca="1">(IF(B174&gt;1.5,(H174/(B174+2)+J180+MAX(0,J181-J180)+MAX(0,J182-J181)+MAX(0,J183-J182)+MAX(0,J184-J183)+MAX(0,J185-J184)),IF(B174=1,(H174/(B174+3)+J185),IF(B174=0,H174/4+J185))))</f>
        <v>7</v>
      </c>
    </row>
    <row r="187" spans="1:19" ht="15.75" hidden="1" customHeight="1" x14ac:dyDescent="0.35">
      <c r="A187" s="137" t="s">
        <v>137</v>
      </c>
      <c r="B187" s="137"/>
      <c r="C187" s="137" t="str">
        <f>D72</f>
        <v>Building No.12 = Gr./Stilt + 1st to 7th Floor</v>
      </c>
      <c r="D187" s="137"/>
      <c r="E187" s="137"/>
      <c r="F187" s="137"/>
      <c r="G187" s="137"/>
      <c r="H187" s="137"/>
      <c r="I187" s="100" t="str">
        <f ca="1">IF(D200=100%,"All work Completed. Possession granted to the Building.",IF(D199=100%,"All work Completed, Waiting for OC",I188&amp;""&amp;I189&amp;""&amp;J188&amp;""&amp;J187&amp;" "&amp;J189))</f>
        <v xml:space="preserve">Excavation, Plinth Completed </v>
      </c>
      <c r="J187" s="46" t="str">
        <f ca="1">(IF(C193=(D188+F188+H188),"",IF(C193&gt;0,", RCC upto "&amp;C193&amp;" Slab","")))&amp;(IF(C194=H188,"",IF(C194&gt;0,", Brickwork upto "&amp;C194&amp;" Floor","")))&amp;(IF(C195=H188,"",IF(C195&gt;0,", Internal Plaster upto "&amp;C195&amp;" Floor","")))&amp;(IF(C196=H188,"",IF(C196&gt;0,", External Plaster upto "&amp;C196&amp;" Floor","")))&amp;(IF(C197=H188,"",IF(C197&gt;0,", Flooring upto "&amp;C197&amp;" Floor","")))&amp;(IF(C198=H188,"",IF(C198&gt;0,", Painting upto "&amp;C198&amp;" Floor","")))&amp;(IF(C199=H188,"",IF(C199&gt;0,", Finishing upto "&amp;C199&amp;" Floor","")))&amp;(IF(C200=H188,"",IF(C200&gt;0,", Possession upto "&amp;C200&amp;" Floor","")))</f>
        <v/>
      </c>
      <c r="S187"/>
    </row>
    <row r="188" spans="1:19" ht="16" hidden="1" thickBot="1" x14ac:dyDescent="0.4">
      <c r="A188" s="105" t="s">
        <v>139</v>
      </c>
      <c r="B188" s="105">
        <f>IF(AND(ISNUMBER(SEARCH("1B",C187))),1,IF(AND(ISNUMBER(SEARCH("2B",C187))),2,IF(AND(ISNUMBER(SEARCH("3B",C187))),3,IF(AND(ISNUMBER(SEARCH("4B",C187))),4,IF(ISNUMBER(SEARCH("5B",C187)),5,0)))))</f>
        <v>0</v>
      </c>
      <c r="C188" s="105" t="s">
        <v>69</v>
      </c>
      <c r="D188" s="105">
        <v>1</v>
      </c>
      <c r="E188" s="105" t="s">
        <v>68</v>
      </c>
      <c r="F188" s="14">
        <v>0</v>
      </c>
      <c r="G188" s="44" t="s">
        <v>77</v>
      </c>
      <c r="H188" s="105">
        <f ca="1">--TRIM(RIGHT(SUBSTITUTE(LEFT(C187,_xlfn.AGGREGATE(16,6,FIND({0,1,2,3,4,5,6,7,8,9},C187,ROW(INDIRECT("1:"&amp;LEN(C187)))),1))," ",REPT(" ",LEN(C187))),LEN(C187)))</f>
        <v>7</v>
      </c>
      <c r="I188" s="101" t="str">
        <f ca="1">IF(D191=100%,"Excavation","")&amp;IF(D192=100%,", Plinth","")&amp;IF(D193=100%,", RCC Slab","")&amp;IF(D194=100%,", Brickwork","")&amp;IF(D195=100%,", Internal Plaster","")&amp;IF(D196=100%,", External Plaster","")&amp;IF(D197=100%,", Flooring","")&amp;IF(D198=100%,", Painting","")&amp;IF(D199=100%,", Building common Amenities","")</f>
        <v>Excavation, Plinth</v>
      </c>
      <c r="J188" s="48" t="str">
        <f ca="1">(IF(C191=0,"Work not yet Started.",IF(D191=25%,"Piling work in process",IF(D191=50%,"Excavation work in process",IF(D191=100%,"","0")))))&amp;(IF(C192=0%,"",IF(C192=J193,", Footing work is process",IF(C192=J194,", Footing work Completed",IF(C192=J195,", 1st Basement Completed",IF(C192=J196,", 1st &amp; 2nd Basement Completed",IF(C192=J197,", 1st to 3rd Basement Completed",IF(C192=J198,", 1st to 4th Basement Completed",IF(C192=J199,", Plinth work is process",IF(C192=J200,"","0"))))))))))</f>
        <v/>
      </c>
      <c r="S188"/>
    </row>
    <row r="189" spans="1:19" ht="36.75" hidden="1" customHeight="1" x14ac:dyDescent="0.35">
      <c r="A189" s="114" t="s">
        <v>87</v>
      </c>
      <c r="B189" s="114"/>
      <c r="C189" s="113" t="str">
        <f ca="1">I187</f>
        <v xml:space="preserve">Excavation, Plinth Completed </v>
      </c>
      <c r="D189" s="113"/>
      <c r="E189" s="113"/>
      <c r="F189" s="113"/>
      <c r="G189" s="113"/>
      <c r="H189" s="113"/>
      <c r="I189" s="101" t="str">
        <f ca="1">IF(I188&lt;&gt;""," Completed","")</f>
        <v xml:space="preserve"> Completed</v>
      </c>
      <c r="J189" s="48" t="str">
        <f ca="1">IF(J187&lt;&gt;"","Completed","")</f>
        <v/>
      </c>
      <c r="S189"/>
    </row>
    <row r="190" spans="1:19" ht="15.75" hidden="1" customHeight="1" x14ac:dyDescent="0.35">
      <c r="A190" s="138" t="s">
        <v>47</v>
      </c>
      <c r="B190" s="138"/>
      <c r="C190" s="104" t="s">
        <v>136</v>
      </c>
      <c r="D190" s="104" t="s">
        <v>80</v>
      </c>
      <c r="E190" s="138" t="s">
        <v>82</v>
      </c>
      <c r="F190" s="138"/>
      <c r="G190" s="138" t="s">
        <v>81</v>
      </c>
      <c r="H190" s="138"/>
      <c r="I190" s="13" t="s">
        <v>138</v>
      </c>
      <c r="J190" s="27">
        <f ca="1">H188*25%</f>
        <v>1.75</v>
      </c>
      <c r="S190"/>
    </row>
    <row r="191" spans="1:19" ht="16" hidden="1" thickBot="1" x14ac:dyDescent="0.4">
      <c r="A191" s="138" t="s">
        <v>125</v>
      </c>
      <c r="B191" s="138"/>
      <c r="C191" s="59">
        <f ca="1">J192</f>
        <v>7</v>
      </c>
      <c r="D191" s="19">
        <f ca="1">((100/H188)*C191)/100</f>
        <v>1</v>
      </c>
      <c r="E191" s="139">
        <f ca="1">(((C192/H188*10)+(40/(D188+F188+H188)*C193)+(7.5/(H188)*C194)+(7.5/(H188)*C195)+(10/H188*C196)+(10/H188*C197)+(5/H188*C198)+(5/H188*C199)+(5/H188*C200))/100)</f>
        <v>0.1</v>
      </c>
      <c r="F191" s="139"/>
      <c r="G191" s="139">
        <f ca="1">((((C191/H188)*20)+((C192/H188)*25)+(30/(H188+F188+D188)*C193)+(5/H188*C194)+(5/H188*C195)+(5/H188*C196)+(5/H188*C197)+(0/H188*C198)+(0/H188*C199)+(5/H188*C200))/100)</f>
        <v>0.45</v>
      </c>
      <c r="H191" s="139"/>
      <c r="I191" s="13" t="s">
        <v>97</v>
      </c>
      <c r="J191" s="28">
        <f ca="1">H188*50%</f>
        <v>3.5</v>
      </c>
    </row>
    <row r="192" spans="1:19" ht="16" hidden="1" thickBot="1" x14ac:dyDescent="0.4">
      <c r="A192" s="138" t="s">
        <v>48</v>
      </c>
      <c r="B192" s="138"/>
      <c r="C192" s="104">
        <f ca="1">J200</f>
        <v>7</v>
      </c>
      <c r="D192" s="19">
        <f ca="1">((100/H188)*C192)/100</f>
        <v>1</v>
      </c>
      <c r="E192" s="139"/>
      <c r="F192" s="139"/>
      <c r="G192" s="139"/>
      <c r="H192" s="139"/>
      <c r="I192" s="13" t="s">
        <v>98</v>
      </c>
      <c r="J192" s="28">
        <f ca="1">H188</f>
        <v>7</v>
      </c>
      <c r="S192"/>
    </row>
    <row r="193" spans="1:19" ht="15.75" hidden="1" customHeight="1" x14ac:dyDescent="0.35">
      <c r="A193" s="138" t="s">
        <v>126</v>
      </c>
      <c r="B193" s="138"/>
      <c r="C193" s="104">
        <v>0</v>
      </c>
      <c r="D193" s="19">
        <f ca="1">((100/(D188+F188+H188))*C193)/100</f>
        <v>0</v>
      </c>
      <c r="E193" s="139"/>
      <c r="F193" s="139"/>
      <c r="G193" s="139"/>
      <c r="H193" s="139"/>
      <c r="I193" s="13" t="s">
        <v>99</v>
      </c>
      <c r="J193" s="29">
        <f ca="1">(IF(B188&gt;1,(H188/(B188+2)),H188/4))</f>
        <v>1.75</v>
      </c>
      <c r="S193"/>
    </row>
    <row r="194" spans="1:19" ht="15.75" hidden="1" customHeight="1" x14ac:dyDescent="0.35">
      <c r="A194" s="138" t="s">
        <v>133</v>
      </c>
      <c r="B194" s="138" t="s">
        <v>127</v>
      </c>
      <c r="C194" s="104">
        <v>0</v>
      </c>
      <c r="D194" s="19">
        <f ca="1">((100/H188)*C194)/100</f>
        <v>0</v>
      </c>
      <c r="E194" s="139"/>
      <c r="F194" s="139"/>
      <c r="G194" s="139"/>
      <c r="H194" s="139"/>
      <c r="I194" s="13" t="s">
        <v>100</v>
      </c>
      <c r="J194" s="29">
        <f ca="1">(IF(B188&gt;1,(H188/(B188+2)+J193),H188/4+J193))</f>
        <v>3.5</v>
      </c>
    </row>
    <row r="195" spans="1:19" ht="15.75" hidden="1" customHeight="1" x14ac:dyDescent="0.35">
      <c r="A195" s="138" t="s">
        <v>134</v>
      </c>
      <c r="B195" s="138" t="s">
        <v>127</v>
      </c>
      <c r="C195" s="104">
        <v>0</v>
      </c>
      <c r="D195" s="19">
        <f ca="1">((100/H188)*C195)/100</f>
        <v>0</v>
      </c>
      <c r="E195" s="139"/>
      <c r="F195" s="139"/>
      <c r="G195" s="139"/>
      <c r="H195" s="139"/>
      <c r="I195" s="13" t="s">
        <v>145</v>
      </c>
      <c r="J195" s="29">
        <f>(IF(B188&gt;1,(H188/(B188+2)+J194),0))</f>
        <v>0</v>
      </c>
    </row>
    <row r="196" spans="1:19" ht="15" hidden="1" customHeight="1" x14ac:dyDescent="0.35">
      <c r="A196" s="138" t="s">
        <v>132</v>
      </c>
      <c r="B196" s="138" t="s">
        <v>129</v>
      </c>
      <c r="C196" s="104">
        <v>0</v>
      </c>
      <c r="D196" s="19">
        <f ca="1">((100/(H188))*C196)/100</f>
        <v>0</v>
      </c>
      <c r="E196" s="139"/>
      <c r="F196" s="139"/>
      <c r="G196" s="139"/>
      <c r="H196" s="139"/>
      <c r="I196" s="13" t="s">
        <v>140</v>
      </c>
      <c r="J196" s="29">
        <f>(IF(B188&gt;2,(H188/(B188+2)+J195),0))</f>
        <v>0</v>
      </c>
    </row>
    <row r="197" spans="1:19" ht="15.75" hidden="1" customHeight="1" x14ac:dyDescent="0.35">
      <c r="A197" s="138" t="s">
        <v>128</v>
      </c>
      <c r="B197" s="138" t="s">
        <v>128</v>
      </c>
      <c r="C197" s="104">
        <v>0</v>
      </c>
      <c r="D197" s="19">
        <f ca="1">((100/H188)*C197)/100</f>
        <v>0</v>
      </c>
      <c r="E197" s="139"/>
      <c r="F197" s="139"/>
      <c r="G197" s="139"/>
      <c r="H197" s="139"/>
      <c r="I197" s="13" t="s">
        <v>141</v>
      </c>
      <c r="J197" s="30">
        <f>(IF(B188&gt;3,(H188/(B188+2)+J196),0))</f>
        <v>0</v>
      </c>
    </row>
    <row r="198" spans="1:19" ht="15.75" hidden="1" customHeight="1" x14ac:dyDescent="0.35">
      <c r="A198" s="138" t="s">
        <v>135</v>
      </c>
      <c r="B198" s="138"/>
      <c r="C198" s="104">
        <v>0</v>
      </c>
      <c r="D198" s="19">
        <f ca="1">((100/H188)*C198)/100</f>
        <v>0</v>
      </c>
      <c r="E198" s="139"/>
      <c r="F198" s="139"/>
      <c r="G198" s="139"/>
      <c r="H198" s="139"/>
      <c r="I198" s="13" t="s">
        <v>142</v>
      </c>
      <c r="J198" s="29">
        <f>(IF(B188&gt;4,(H188/(B188+2)+J197),0))</f>
        <v>0</v>
      </c>
    </row>
    <row r="199" spans="1:19" ht="15.75" hidden="1" customHeight="1" x14ac:dyDescent="0.35">
      <c r="A199" s="138" t="s">
        <v>130</v>
      </c>
      <c r="B199" s="138" t="s">
        <v>130</v>
      </c>
      <c r="C199" s="104">
        <v>0</v>
      </c>
      <c r="D199" s="19">
        <f ca="1">((100/(H188))*C199)/100</f>
        <v>0</v>
      </c>
      <c r="E199" s="139"/>
      <c r="F199" s="139"/>
      <c r="G199" s="139"/>
      <c r="H199" s="139"/>
      <c r="I199" s="13" t="s">
        <v>146</v>
      </c>
      <c r="J199" s="29">
        <f ca="1">(IF(B188=1,(H188/(B188+3)+J194),IF(B188=0,(H188/4+J194),IF(B188&gt;1,0))))</f>
        <v>5.25</v>
      </c>
    </row>
    <row r="200" spans="1:19" ht="16" hidden="1" thickBot="1" x14ac:dyDescent="0.4">
      <c r="A200" s="138" t="s">
        <v>131</v>
      </c>
      <c r="B200" s="138"/>
      <c r="C200" s="104">
        <v>0</v>
      </c>
      <c r="D200" s="19">
        <f ca="1">((100/(H188))*C200)/100</f>
        <v>0</v>
      </c>
      <c r="E200" s="139"/>
      <c r="F200" s="139"/>
      <c r="G200" s="139"/>
      <c r="H200" s="139"/>
      <c r="I200" s="15" t="s">
        <v>101</v>
      </c>
      <c r="J200" s="31">
        <f ca="1">(IF(B188&gt;1.5,(H188/(B188+2)+J194+MAX(0,J195-J194)+MAX(0,J196-J195)+MAX(0,J197-J196)+MAX(0,J198-J197)+MAX(0,J199-J198)),IF(B188=1,(H188/(B188+3)+J199),IF(B188=0,H188/4+J199))))</f>
        <v>7</v>
      </c>
    </row>
    <row r="201" spans="1:19" ht="15.75" hidden="1" customHeight="1" x14ac:dyDescent="0.35">
      <c r="A201" s="137" t="s">
        <v>137</v>
      </c>
      <c r="B201" s="137"/>
      <c r="C201" s="137" t="str">
        <f>D73</f>
        <v>Building No.13 = Gr./Stilt + 1st to 7th Floor</v>
      </c>
      <c r="D201" s="137"/>
      <c r="E201" s="137"/>
      <c r="F201" s="137"/>
      <c r="G201" s="137"/>
      <c r="H201" s="137"/>
      <c r="I201" s="100" t="str">
        <f ca="1">IF(D214=100%,"All work Completed. Possession granted to the Building.",IF(D213=100%,"All work Completed, Waiting for OC",I202&amp;""&amp;I203&amp;""&amp;J202&amp;""&amp;J201&amp;" "&amp;J203))</f>
        <v xml:space="preserve">Excavation, Plinth Completed </v>
      </c>
      <c r="J201" s="46" t="str">
        <f ca="1">(IF(C207=(D202+F202+H202),"",IF(C207&gt;0,", RCC upto "&amp;C207&amp;" Slab","")))&amp;(IF(C208=H202,"",IF(C208&gt;0,", Brickwork upto "&amp;C208&amp;" Floor","")))&amp;(IF(C209=H202,"",IF(C209&gt;0,", Internal Plaster upto "&amp;C209&amp;" Floor","")))&amp;(IF(C210=H202,"",IF(C210&gt;0,", External Plaster upto "&amp;C210&amp;" Floor","")))&amp;(IF(C211=H202,"",IF(C211&gt;0,", Flooring upto "&amp;C211&amp;" Floor","")))&amp;(IF(C212=H202,"",IF(C212&gt;0,", Painting upto "&amp;C212&amp;" Floor","")))&amp;(IF(C213=H202,"",IF(C213&gt;0,", Finishing upto "&amp;C213&amp;" Floor","")))&amp;(IF(C214=H202,"",IF(C214&gt;0,", Possession upto "&amp;C214&amp;" Floor","")))</f>
        <v/>
      </c>
      <c r="S201"/>
    </row>
    <row r="202" spans="1:19" ht="16" hidden="1" thickBot="1" x14ac:dyDescent="0.4">
      <c r="A202" s="105" t="s">
        <v>139</v>
      </c>
      <c r="B202" s="105">
        <f>IF(AND(ISNUMBER(SEARCH("1B",C201))),1,IF(AND(ISNUMBER(SEARCH("2B",C201))),2,IF(AND(ISNUMBER(SEARCH("3B",C201))),3,IF(AND(ISNUMBER(SEARCH("4B",C201))),4,IF(ISNUMBER(SEARCH("5B",C201)),5,0)))))</f>
        <v>0</v>
      </c>
      <c r="C202" s="105" t="s">
        <v>69</v>
      </c>
      <c r="D202" s="105">
        <v>1</v>
      </c>
      <c r="E202" s="105" t="s">
        <v>68</v>
      </c>
      <c r="F202" s="14">
        <v>0</v>
      </c>
      <c r="G202" s="44" t="s">
        <v>77</v>
      </c>
      <c r="H202" s="105">
        <f ca="1">--TRIM(RIGHT(SUBSTITUTE(LEFT(C201,_xlfn.AGGREGATE(16,6,FIND({0,1,2,3,4,5,6,7,8,9},C201,ROW(INDIRECT("1:"&amp;LEN(C201)))),1))," ",REPT(" ",LEN(C201))),LEN(C201)))</f>
        <v>7</v>
      </c>
      <c r="I202" s="101" t="str">
        <f ca="1">IF(D205=100%,"Excavation","")&amp;IF(D206=100%,", Plinth","")&amp;IF(D207=100%,", RCC Slab","")&amp;IF(D208=100%,", Brickwork","")&amp;IF(D209=100%,", Internal Plaster","")&amp;IF(D210=100%,", External Plaster","")&amp;IF(D211=100%,", Flooring","")&amp;IF(D212=100%,", Painting","")&amp;IF(D213=100%,", Building common Amenities","")</f>
        <v>Excavation, Plinth</v>
      </c>
      <c r="J202" s="48" t="str">
        <f ca="1">(IF(C205=0,"Work not yet Started.",IF(D205=25%,"Piling work in process",IF(D205=50%,"Excavation work in process",IF(D205=100%,"","0")))))&amp;(IF(C206=0%,"",IF(C206=J207,", Footing work is process",IF(C206=J208,", Footing work Completed",IF(C206=J209,", 1st Basement Completed",IF(C206=J210,", 1st &amp; 2nd Basement Completed",IF(C206=J211,", 1st to 3rd Basement Completed",IF(C206=J212,", 1st to 4th Basement Completed",IF(C206=J213,", Plinth work is process",IF(C206=J214,"","0"))))))))))</f>
        <v/>
      </c>
      <c r="S202"/>
    </row>
    <row r="203" spans="1:19" ht="36.75" hidden="1" customHeight="1" x14ac:dyDescent="0.35">
      <c r="A203" s="114" t="s">
        <v>87</v>
      </c>
      <c r="B203" s="114"/>
      <c r="C203" s="113" t="str">
        <f ca="1">I201</f>
        <v xml:space="preserve">Excavation, Plinth Completed </v>
      </c>
      <c r="D203" s="113"/>
      <c r="E203" s="113"/>
      <c r="F203" s="113"/>
      <c r="G203" s="113"/>
      <c r="H203" s="113"/>
      <c r="I203" s="101" t="str">
        <f ca="1">IF(I202&lt;&gt;""," Completed","")</f>
        <v xml:space="preserve"> Completed</v>
      </c>
      <c r="J203" s="48" t="str">
        <f ca="1">IF(J201&lt;&gt;"","Completed","")</f>
        <v/>
      </c>
      <c r="S203"/>
    </row>
    <row r="204" spans="1:19" ht="15.75" hidden="1" customHeight="1" x14ac:dyDescent="0.35">
      <c r="A204" s="138" t="s">
        <v>47</v>
      </c>
      <c r="B204" s="138"/>
      <c r="C204" s="104" t="s">
        <v>136</v>
      </c>
      <c r="D204" s="104" t="s">
        <v>80</v>
      </c>
      <c r="E204" s="138" t="s">
        <v>82</v>
      </c>
      <c r="F204" s="138"/>
      <c r="G204" s="138" t="s">
        <v>81</v>
      </c>
      <c r="H204" s="138"/>
      <c r="I204" s="13" t="s">
        <v>138</v>
      </c>
      <c r="J204" s="27">
        <f ca="1">H202*25%</f>
        <v>1.75</v>
      </c>
      <c r="S204"/>
    </row>
    <row r="205" spans="1:19" ht="16" hidden="1" thickBot="1" x14ac:dyDescent="0.4">
      <c r="A205" s="138" t="s">
        <v>125</v>
      </c>
      <c r="B205" s="138"/>
      <c r="C205" s="59">
        <f ca="1">J206</f>
        <v>7</v>
      </c>
      <c r="D205" s="19">
        <f ca="1">((100/H202)*C205)/100</f>
        <v>1</v>
      </c>
      <c r="E205" s="139">
        <f ca="1">(((C206/H202*10)+(40/(D202+F202+H202)*C207)+(7.5/(H202)*C208)+(7.5/(H202)*C209)+(10/H202*C210)+(10/H202*C211)+(5/H202*C212)+(5/H202*C213)+(5/H202*C214))/100)</f>
        <v>0.1</v>
      </c>
      <c r="F205" s="139"/>
      <c r="G205" s="139">
        <f ca="1">((((C205/H202)*20)+((C206/H202)*25)+(30/(H202+F202+D202)*C207)+(5/H202*C208)+(5/H202*C209)+(5/H202*C210)+(5/H202*C211)+(0/H202*C212)+(0/H202*C213)+(5/H202*C214))/100)</f>
        <v>0.45</v>
      </c>
      <c r="H205" s="139"/>
      <c r="I205" s="13" t="s">
        <v>97</v>
      </c>
      <c r="J205" s="28">
        <f ca="1">H202*50%</f>
        <v>3.5</v>
      </c>
    </row>
    <row r="206" spans="1:19" ht="16" hidden="1" thickBot="1" x14ac:dyDescent="0.4">
      <c r="A206" s="138" t="s">
        <v>48</v>
      </c>
      <c r="B206" s="138"/>
      <c r="C206" s="104">
        <f ca="1">J214</f>
        <v>7</v>
      </c>
      <c r="D206" s="19">
        <f ca="1">((100/H202)*C206)/100</f>
        <v>1</v>
      </c>
      <c r="E206" s="139"/>
      <c r="F206" s="139"/>
      <c r="G206" s="139"/>
      <c r="H206" s="139"/>
      <c r="I206" s="13" t="s">
        <v>98</v>
      </c>
      <c r="J206" s="28">
        <f ca="1">H202</f>
        <v>7</v>
      </c>
      <c r="S206"/>
    </row>
    <row r="207" spans="1:19" ht="15.75" hidden="1" customHeight="1" x14ac:dyDescent="0.35">
      <c r="A207" s="138" t="s">
        <v>126</v>
      </c>
      <c r="B207" s="138"/>
      <c r="C207" s="104">
        <v>0</v>
      </c>
      <c r="D207" s="19">
        <f ca="1">((100/(D202+F202+H202))*C207)/100</f>
        <v>0</v>
      </c>
      <c r="E207" s="139"/>
      <c r="F207" s="139"/>
      <c r="G207" s="139"/>
      <c r="H207" s="139"/>
      <c r="I207" s="13" t="s">
        <v>99</v>
      </c>
      <c r="J207" s="29">
        <f ca="1">(IF(B202&gt;1,(H202/(B202+2)),H202/4))</f>
        <v>1.75</v>
      </c>
      <c r="S207"/>
    </row>
    <row r="208" spans="1:19" ht="15.75" hidden="1" customHeight="1" x14ac:dyDescent="0.35">
      <c r="A208" s="138" t="s">
        <v>133</v>
      </c>
      <c r="B208" s="138" t="s">
        <v>127</v>
      </c>
      <c r="C208" s="104">
        <v>0</v>
      </c>
      <c r="D208" s="19">
        <f ca="1">((100/H202)*C208)/100</f>
        <v>0</v>
      </c>
      <c r="E208" s="139"/>
      <c r="F208" s="139"/>
      <c r="G208" s="139"/>
      <c r="H208" s="139"/>
      <c r="I208" s="13" t="s">
        <v>100</v>
      </c>
      <c r="J208" s="29">
        <f ca="1">(IF(B202&gt;1,(H202/(B202+2)+J207),H202/4+J207))</f>
        <v>3.5</v>
      </c>
    </row>
    <row r="209" spans="1:19" ht="15.75" hidden="1" customHeight="1" x14ac:dyDescent="0.35">
      <c r="A209" s="138" t="s">
        <v>134</v>
      </c>
      <c r="B209" s="138" t="s">
        <v>127</v>
      </c>
      <c r="C209" s="104">
        <v>0</v>
      </c>
      <c r="D209" s="19">
        <f ca="1">((100/H202)*C209)/100</f>
        <v>0</v>
      </c>
      <c r="E209" s="139"/>
      <c r="F209" s="139"/>
      <c r="G209" s="139"/>
      <c r="H209" s="139"/>
      <c r="I209" s="13" t="s">
        <v>145</v>
      </c>
      <c r="J209" s="29">
        <f>(IF(B202&gt;1,(H202/(B202+2)+J208),0))</f>
        <v>0</v>
      </c>
    </row>
    <row r="210" spans="1:19" ht="15" hidden="1" customHeight="1" x14ac:dyDescent="0.35">
      <c r="A210" s="138" t="s">
        <v>132</v>
      </c>
      <c r="B210" s="138" t="s">
        <v>129</v>
      </c>
      <c r="C210" s="104">
        <v>0</v>
      </c>
      <c r="D210" s="19">
        <f ca="1">((100/(H202))*C210)/100</f>
        <v>0</v>
      </c>
      <c r="E210" s="139"/>
      <c r="F210" s="139"/>
      <c r="G210" s="139"/>
      <c r="H210" s="139"/>
      <c r="I210" s="13" t="s">
        <v>140</v>
      </c>
      <c r="J210" s="29">
        <f>(IF(B202&gt;2,(H202/(B202+2)+J209),0))</f>
        <v>0</v>
      </c>
    </row>
    <row r="211" spans="1:19" ht="15.75" hidden="1" customHeight="1" x14ac:dyDescent="0.35">
      <c r="A211" s="138" t="s">
        <v>128</v>
      </c>
      <c r="B211" s="138" t="s">
        <v>128</v>
      </c>
      <c r="C211" s="104">
        <v>0</v>
      </c>
      <c r="D211" s="19">
        <f ca="1">((100/H202)*C211)/100</f>
        <v>0</v>
      </c>
      <c r="E211" s="139"/>
      <c r="F211" s="139"/>
      <c r="G211" s="139"/>
      <c r="H211" s="139"/>
      <c r="I211" s="13" t="s">
        <v>141</v>
      </c>
      <c r="J211" s="30">
        <f>(IF(B202&gt;3,(H202/(B202+2)+J210),0))</f>
        <v>0</v>
      </c>
    </row>
    <row r="212" spans="1:19" ht="15.75" hidden="1" customHeight="1" x14ac:dyDescent="0.35">
      <c r="A212" s="138" t="s">
        <v>135</v>
      </c>
      <c r="B212" s="138"/>
      <c r="C212" s="104">
        <v>0</v>
      </c>
      <c r="D212" s="19">
        <f ca="1">((100/H202)*C212)/100</f>
        <v>0</v>
      </c>
      <c r="E212" s="139"/>
      <c r="F212" s="139"/>
      <c r="G212" s="139"/>
      <c r="H212" s="139"/>
      <c r="I212" s="13" t="s">
        <v>142</v>
      </c>
      <c r="J212" s="29">
        <f>(IF(B202&gt;4,(H202/(B202+2)+J211),0))</f>
        <v>0</v>
      </c>
    </row>
    <row r="213" spans="1:19" ht="15.75" hidden="1" customHeight="1" x14ac:dyDescent="0.35">
      <c r="A213" s="138" t="s">
        <v>130</v>
      </c>
      <c r="B213" s="138" t="s">
        <v>130</v>
      </c>
      <c r="C213" s="104">
        <v>0</v>
      </c>
      <c r="D213" s="19">
        <f ca="1">((100/(H202))*C213)/100</f>
        <v>0</v>
      </c>
      <c r="E213" s="139"/>
      <c r="F213" s="139"/>
      <c r="G213" s="139"/>
      <c r="H213" s="139"/>
      <c r="I213" s="13" t="s">
        <v>146</v>
      </c>
      <c r="J213" s="29">
        <f ca="1">(IF(B202=1,(H202/(B202+3)+J208),IF(B202=0,(H202/4+J208),IF(B202&gt;1,0))))</f>
        <v>5.25</v>
      </c>
    </row>
    <row r="214" spans="1:19" ht="16" hidden="1" thickBot="1" x14ac:dyDescent="0.4">
      <c r="A214" s="138" t="s">
        <v>131</v>
      </c>
      <c r="B214" s="138"/>
      <c r="C214" s="104">
        <v>0</v>
      </c>
      <c r="D214" s="19">
        <f ca="1">((100/(H202))*C214)/100</f>
        <v>0</v>
      </c>
      <c r="E214" s="139"/>
      <c r="F214" s="139"/>
      <c r="G214" s="139"/>
      <c r="H214" s="139"/>
      <c r="I214" s="15" t="s">
        <v>101</v>
      </c>
      <c r="J214" s="31">
        <f ca="1">(IF(B202&gt;1.5,(H202/(B202+2)+J208+MAX(0,J209-J208)+MAX(0,J210-J209)+MAX(0,J211-J210)+MAX(0,J212-J211)+MAX(0,J213-J212)),IF(B202=1,(H202/(B202+3)+J213),IF(B202=0,H202/4+J213))))</f>
        <v>7</v>
      </c>
    </row>
    <row r="215" spans="1:19" ht="15.75" hidden="1" customHeight="1" x14ac:dyDescent="0.35">
      <c r="A215" s="137" t="s">
        <v>137</v>
      </c>
      <c r="B215" s="137"/>
      <c r="C215" s="137" t="str">
        <f>D74</f>
        <v>Building No.14 = Gr./Stilt + 1st to 7th Floor</v>
      </c>
      <c r="D215" s="137"/>
      <c r="E215" s="137"/>
      <c r="F215" s="137"/>
      <c r="G215" s="137"/>
      <c r="H215" s="137"/>
      <c r="I215" s="100" t="str">
        <f ca="1">IF(D228=100%,"All work Completed. Possession granted to the Building.",IF(D227=100%,"All work Completed, Waiting for OC",I216&amp;""&amp;I217&amp;""&amp;J216&amp;""&amp;J215&amp;" "&amp;J217))</f>
        <v xml:space="preserve">Excavation, Plinth Completed </v>
      </c>
      <c r="J215" s="46" t="str">
        <f ca="1">(IF(C221=(D216+F216+H216),"",IF(C221&gt;0,", RCC upto "&amp;C221&amp;" Slab","")))&amp;(IF(C222=H216,"",IF(C222&gt;0,", Brickwork upto "&amp;C222&amp;" Floor","")))&amp;(IF(C223=H216,"",IF(C223&gt;0,", Internal Plaster upto "&amp;C223&amp;" Floor","")))&amp;(IF(C224=H216,"",IF(C224&gt;0,", External Plaster upto "&amp;C224&amp;" Floor","")))&amp;(IF(C225=H216,"",IF(C225&gt;0,", Flooring upto "&amp;C225&amp;" Floor","")))&amp;(IF(C226=H216,"",IF(C226&gt;0,", Painting upto "&amp;C226&amp;" Floor","")))&amp;(IF(C227=H216,"",IF(C227&gt;0,", Finishing upto "&amp;C227&amp;" Floor","")))&amp;(IF(C228=H216,"",IF(C228&gt;0,", Possession upto "&amp;C228&amp;" Floor","")))</f>
        <v/>
      </c>
      <c r="S215"/>
    </row>
    <row r="216" spans="1:19" ht="16" hidden="1" thickBot="1" x14ac:dyDescent="0.4">
      <c r="A216" s="105" t="s">
        <v>139</v>
      </c>
      <c r="B216" s="105">
        <f>IF(AND(ISNUMBER(SEARCH("1B",C215))),1,IF(AND(ISNUMBER(SEARCH("2B",C215))),2,IF(AND(ISNUMBER(SEARCH("3B",C215))),3,IF(AND(ISNUMBER(SEARCH("4B",C215))),4,IF(ISNUMBER(SEARCH("5B",C215)),5,0)))))</f>
        <v>0</v>
      </c>
      <c r="C216" s="105" t="s">
        <v>69</v>
      </c>
      <c r="D216" s="105">
        <v>1</v>
      </c>
      <c r="E216" s="105" t="s">
        <v>68</v>
      </c>
      <c r="F216" s="14">
        <v>0</v>
      </c>
      <c r="G216" s="44" t="s">
        <v>77</v>
      </c>
      <c r="H216" s="105">
        <f ca="1">--TRIM(RIGHT(SUBSTITUTE(LEFT(C215,_xlfn.AGGREGATE(16,6,FIND({0,1,2,3,4,5,6,7,8,9},C215,ROW(INDIRECT("1:"&amp;LEN(C215)))),1))," ",REPT(" ",LEN(C215))),LEN(C215)))</f>
        <v>7</v>
      </c>
      <c r="I216" s="101" t="str">
        <f ca="1">IF(D219=100%,"Excavation","")&amp;IF(D220=100%,", Plinth","")&amp;IF(D221=100%,", RCC Slab","")&amp;IF(D222=100%,", Brickwork","")&amp;IF(D223=100%,", Internal Plaster","")&amp;IF(D224=100%,", External Plaster","")&amp;IF(D225=100%,", Flooring","")&amp;IF(D226=100%,", Painting","")&amp;IF(D227=100%,", Building common Amenities","")</f>
        <v>Excavation, Plinth</v>
      </c>
      <c r="J216" s="48" t="str">
        <f ca="1">(IF(C219=0,"Work not yet Started.",IF(D219=25%,"Piling work in process",IF(D219=50%,"Excavation work in process",IF(D219=100%,"","0")))))&amp;(IF(C220=0%,"",IF(C220=J221,", Footing work is process",IF(C220=J222,", Footing work Completed",IF(C220=J223,", 1st Basement Completed",IF(C220=J224,", 1st &amp; 2nd Basement Completed",IF(C220=J225,", 1st to 3rd Basement Completed",IF(C220=J226,", 1st to 4th Basement Completed",IF(C220=J227,", Plinth work is process",IF(C220=J228,"","0"))))))))))</f>
        <v/>
      </c>
      <c r="S216"/>
    </row>
    <row r="217" spans="1:19" ht="36.75" hidden="1" customHeight="1" x14ac:dyDescent="0.35">
      <c r="A217" s="114" t="s">
        <v>87</v>
      </c>
      <c r="B217" s="114"/>
      <c r="C217" s="113" t="str">
        <f ca="1">I215</f>
        <v xml:space="preserve">Excavation, Plinth Completed </v>
      </c>
      <c r="D217" s="113"/>
      <c r="E217" s="113"/>
      <c r="F217" s="113"/>
      <c r="G217" s="113"/>
      <c r="H217" s="113"/>
      <c r="I217" s="101" t="str">
        <f ca="1">IF(I216&lt;&gt;""," Completed","")</f>
        <v xml:space="preserve"> Completed</v>
      </c>
      <c r="J217" s="48" t="str">
        <f ca="1">IF(J215&lt;&gt;"","Completed","")</f>
        <v/>
      </c>
      <c r="S217"/>
    </row>
    <row r="218" spans="1:19" ht="15.75" hidden="1" customHeight="1" x14ac:dyDescent="0.35">
      <c r="A218" s="138" t="s">
        <v>47</v>
      </c>
      <c r="B218" s="138"/>
      <c r="C218" s="104" t="s">
        <v>136</v>
      </c>
      <c r="D218" s="104" t="s">
        <v>80</v>
      </c>
      <c r="E218" s="138" t="s">
        <v>82</v>
      </c>
      <c r="F218" s="138"/>
      <c r="G218" s="138" t="s">
        <v>81</v>
      </c>
      <c r="H218" s="138"/>
      <c r="I218" s="13" t="s">
        <v>138</v>
      </c>
      <c r="J218" s="27">
        <f ca="1">H216*25%</f>
        <v>1.75</v>
      </c>
      <c r="S218"/>
    </row>
    <row r="219" spans="1:19" ht="16" hidden="1" thickBot="1" x14ac:dyDescent="0.4">
      <c r="A219" s="138" t="s">
        <v>125</v>
      </c>
      <c r="B219" s="138"/>
      <c r="C219" s="59">
        <f ca="1">J220</f>
        <v>7</v>
      </c>
      <c r="D219" s="19">
        <f ca="1">((100/H216)*C219)/100</f>
        <v>1</v>
      </c>
      <c r="E219" s="139">
        <f ca="1">(((C220/H216*10)+(40/(D216+F216+H216)*C221)+(7.5/(H216)*C222)+(7.5/(H216)*C223)+(10/H216*C224)+(10/H216*C225)+(5/H216*C226)+(5/H216*C227)+(5/H216*C228))/100)</f>
        <v>0.1</v>
      </c>
      <c r="F219" s="139"/>
      <c r="G219" s="139">
        <f ca="1">((((C219/H216)*20)+((C220/H216)*25)+(30/(H216+F216+D216)*C221)+(5/H216*C222)+(5/H216*C223)+(5/H216*C224)+(5/H216*C225)+(0/H216*C226)+(0/H216*C227)+(5/H216*C228))/100)</f>
        <v>0.45</v>
      </c>
      <c r="H219" s="139"/>
      <c r="I219" s="13" t="s">
        <v>97</v>
      </c>
      <c r="J219" s="28">
        <f ca="1">H216*50%</f>
        <v>3.5</v>
      </c>
    </row>
    <row r="220" spans="1:19" ht="16" hidden="1" thickBot="1" x14ac:dyDescent="0.4">
      <c r="A220" s="138" t="s">
        <v>48</v>
      </c>
      <c r="B220" s="138"/>
      <c r="C220" s="104">
        <f ca="1">J228</f>
        <v>7</v>
      </c>
      <c r="D220" s="19">
        <f ca="1">((100/H216)*C220)/100</f>
        <v>1</v>
      </c>
      <c r="E220" s="139"/>
      <c r="F220" s="139"/>
      <c r="G220" s="139"/>
      <c r="H220" s="139"/>
      <c r="I220" s="13" t="s">
        <v>98</v>
      </c>
      <c r="J220" s="28">
        <f ca="1">H216</f>
        <v>7</v>
      </c>
      <c r="S220"/>
    </row>
    <row r="221" spans="1:19" ht="15.75" hidden="1" customHeight="1" x14ac:dyDescent="0.35">
      <c r="A221" s="138" t="s">
        <v>126</v>
      </c>
      <c r="B221" s="138"/>
      <c r="C221" s="104">
        <v>0</v>
      </c>
      <c r="D221" s="19">
        <f ca="1">((100/(D216+F216+H216))*C221)/100</f>
        <v>0</v>
      </c>
      <c r="E221" s="139"/>
      <c r="F221" s="139"/>
      <c r="G221" s="139"/>
      <c r="H221" s="139"/>
      <c r="I221" s="13" t="s">
        <v>99</v>
      </c>
      <c r="J221" s="29">
        <f ca="1">(IF(B216&gt;1,(H216/(B216+2)),H216/4))</f>
        <v>1.75</v>
      </c>
      <c r="S221"/>
    </row>
    <row r="222" spans="1:19" ht="15.75" hidden="1" customHeight="1" x14ac:dyDescent="0.35">
      <c r="A222" s="138" t="s">
        <v>133</v>
      </c>
      <c r="B222" s="138" t="s">
        <v>127</v>
      </c>
      <c r="C222" s="104">
        <v>0</v>
      </c>
      <c r="D222" s="19">
        <f ca="1">((100/H216)*C222)/100</f>
        <v>0</v>
      </c>
      <c r="E222" s="139"/>
      <c r="F222" s="139"/>
      <c r="G222" s="139"/>
      <c r="H222" s="139"/>
      <c r="I222" s="13" t="s">
        <v>100</v>
      </c>
      <c r="J222" s="29">
        <f ca="1">(IF(B216&gt;1,(H216/(B216+2)+J221),H216/4+J221))</f>
        <v>3.5</v>
      </c>
    </row>
    <row r="223" spans="1:19" ht="15.75" hidden="1" customHeight="1" x14ac:dyDescent="0.35">
      <c r="A223" s="138" t="s">
        <v>134</v>
      </c>
      <c r="B223" s="138" t="s">
        <v>127</v>
      </c>
      <c r="C223" s="104">
        <v>0</v>
      </c>
      <c r="D223" s="19">
        <f ca="1">((100/H216)*C223)/100</f>
        <v>0</v>
      </c>
      <c r="E223" s="139"/>
      <c r="F223" s="139"/>
      <c r="G223" s="139"/>
      <c r="H223" s="139"/>
      <c r="I223" s="13" t="s">
        <v>145</v>
      </c>
      <c r="J223" s="29">
        <f>(IF(B216&gt;1,(H216/(B216+2)+J222),0))</f>
        <v>0</v>
      </c>
    </row>
    <row r="224" spans="1:19" ht="15" hidden="1" customHeight="1" x14ac:dyDescent="0.35">
      <c r="A224" s="138" t="s">
        <v>132</v>
      </c>
      <c r="B224" s="138" t="s">
        <v>129</v>
      </c>
      <c r="C224" s="104">
        <v>0</v>
      </c>
      <c r="D224" s="19">
        <f ca="1">((100/(H216))*C224)/100</f>
        <v>0</v>
      </c>
      <c r="E224" s="139"/>
      <c r="F224" s="139"/>
      <c r="G224" s="139"/>
      <c r="H224" s="139"/>
      <c r="I224" s="13" t="s">
        <v>140</v>
      </c>
      <c r="J224" s="29">
        <f>(IF(B216&gt;2,(H216/(B216+2)+J223),0))</f>
        <v>0</v>
      </c>
    </row>
    <row r="225" spans="1:19" ht="15.75" hidden="1" customHeight="1" x14ac:dyDescent="0.35">
      <c r="A225" s="138" t="s">
        <v>128</v>
      </c>
      <c r="B225" s="138" t="s">
        <v>128</v>
      </c>
      <c r="C225" s="104">
        <v>0</v>
      </c>
      <c r="D225" s="19">
        <f ca="1">((100/H216)*C225)/100</f>
        <v>0</v>
      </c>
      <c r="E225" s="139"/>
      <c r="F225" s="139"/>
      <c r="G225" s="139"/>
      <c r="H225" s="139"/>
      <c r="I225" s="13" t="s">
        <v>141</v>
      </c>
      <c r="J225" s="30">
        <f>(IF(B216&gt;3,(H216/(B216+2)+J224),0))</f>
        <v>0</v>
      </c>
    </row>
    <row r="226" spans="1:19" ht="15.75" hidden="1" customHeight="1" x14ac:dyDescent="0.35">
      <c r="A226" s="138" t="s">
        <v>135</v>
      </c>
      <c r="B226" s="138"/>
      <c r="C226" s="104">
        <v>0</v>
      </c>
      <c r="D226" s="19">
        <f ca="1">((100/H216)*C226)/100</f>
        <v>0</v>
      </c>
      <c r="E226" s="139"/>
      <c r="F226" s="139"/>
      <c r="G226" s="139"/>
      <c r="H226" s="139"/>
      <c r="I226" s="13" t="s">
        <v>142</v>
      </c>
      <c r="J226" s="29">
        <f>(IF(B216&gt;4,(H216/(B216+2)+J225),0))</f>
        <v>0</v>
      </c>
    </row>
    <row r="227" spans="1:19" ht="15.75" hidden="1" customHeight="1" x14ac:dyDescent="0.35">
      <c r="A227" s="138" t="s">
        <v>130</v>
      </c>
      <c r="B227" s="138" t="s">
        <v>130</v>
      </c>
      <c r="C227" s="104">
        <v>0</v>
      </c>
      <c r="D227" s="19">
        <f ca="1">((100/(H216))*C227)/100</f>
        <v>0</v>
      </c>
      <c r="E227" s="139"/>
      <c r="F227" s="139"/>
      <c r="G227" s="139"/>
      <c r="H227" s="139"/>
      <c r="I227" s="13" t="s">
        <v>146</v>
      </c>
      <c r="J227" s="29">
        <f ca="1">(IF(B216=1,(H216/(B216+3)+J222),IF(B216=0,(H216/4+J222),IF(B216&gt;1,0))))</f>
        <v>5.25</v>
      </c>
    </row>
    <row r="228" spans="1:19" ht="16" hidden="1" thickBot="1" x14ac:dyDescent="0.4">
      <c r="A228" s="138" t="s">
        <v>131</v>
      </c>
      <c r="B228" s="138"/>
      <c r="C228" s="104">
        <v>0</v>
      </c>
      <c r="D228" s="19">
        <f ca="1">((100/(H216))*C228)/100</f>
        <v>0</v>
      </c>
      <c r="E228" s="139"/>
      <c r="F228" s="139"/>
      <c r="G228" s="139"/>
      <c r="H228" s="139"/>
      <c r="I228" s="15" t="s">
        <v>101</v>
      </c>
      <c r="J228" s="31">
        <f ca="1">(IF(B216&gt;1.5,(H216/(B216+2)+J222+MAX(0,J223-J222)+MAX(0,J224-J223)+MAX(0,J225-J224)+MAX(0,J226-J225)+MAX(0,J227-J226)),IF(B216=1,(H216/(B216+3)+J227),IF(B216=0,H216/4+J227))))</f>
        <v>7</v>
      </c>
    </row>
    <row r="229" spans="1:19" ht="15.75" hidden="1" customHeight="1" x14ac:dyDescent="0.35">
      <c r="A229" s="137" t="s">
        <v>137</v>
      </c>
      <c r="B229" s="137"/>
      <c r="C229" s="137" t="str">
        <f>D75</f>
        <v>Building No.15 = Gr./Stilt + 1st to 7th Floor</v>
      </c>
      <c r="D229" s="137"/>
      <c r="E229" s="137"/>
      <c r="F229" s="137"/>
      <c r="G229" s="137"/>
      <c r="H229" s="137"/>
      <c r="I229" s="100" t="str">
        <f ca="1">IF(D242=100%,"All work Completed. Possession granted to the Building.",IF(D241=100%,"All work Completed, Waiting for OC",I230&amp;""&amp;I231&amp;""&amp;J230&amp;""&amp;J229&amp;" "&amp;J231))</f>
        <v xml:space="preserve">Excavation, Plinth Completed </v>
      </c>
      <c r="J229" s="46" t="str">
        <f ca="1">(IF(C235=(D230+F230+H230),"",IF(C235&gt;0,", RCC upto "&amp;C235&amp;" Slab","")))&amp;(IF(C236=H230,"",IF(C236&gt;0,", Brickwork upto "&amp;C236&amp;" Floor","")))&amp;(IF(C237=H230,"",IF(C237&gt;0,", Internal Plaster upto "&amp;C237&amp;" Floor","")))&amp;(IF(C238=H230,"",IF(C238&gt;0,", External Plaster upto "&amp;C238&amp;" Floor","")))&amp;(IF(C239=H230,"",IF(C239&gt;0,", Flooring upto "&amp;C239&amp;" Floor","")))&amp;(IF(C240=H230,"",IF(C240&gt;0,", Painting upto "&amp;C240&amp;" Floor","")))&amp;(IF(C241=H230,"",IF(C241&gt;0,", Finishing upto "&amp;C241&amp;" Floor","")))&amp;(IF(C242=H230,"",IF(C242&gt;0,", Possession upto "&amp;C242&amp;" Floor","")))</f>
        <v/>
      </c>
      <c r="S229"/>
    </row>
    <row r="230" spans="1:19" ht="16" hidden="1" thickBot="1" x14ac:dyDescent="0.4">
      <c r="A230" s="105" t="s">
        <v>139</v>
      </c>
      <c r="B230" s="105">
        <f>IF(AND(ISNUMBER(SEARCH("1B",C229))),1,IF(AND(ISNUMBER(SEARCH("2B",C229))),2,IF(AND(ISNUMBER(SEARCH("3B",C229))),3,IF(AND(ISNUMBER(SEARCH("4B",C229))),4,IF(ISNUMBER(SEARCH("5B",C229)),5,0)))))</f>
        <v>0</v>
      </c>
      <c r="C230" s="105" t="s">
        <v>69</v>
      </c>
      <c r="D230" s="105">
        <v>1</v>
      </c>
      <c r="E230" s="105" t="s">
        <v>68</v>
      </c>
      <c r="F230" s="14">
        <v>0</v>
      </c>
      <c r="G230" s="44" t="s">
        <v>77</v>
      </c>
      <c r="H230" s="105">
        <f ca="1">--TRIM(RIGHT(SUBSTITUTE(LEFT(C229,_xlfn.AGGREGATE(16,6,FIND({0,1,2,3,4,5,6,7,8,9},C229,ROW(INDIRECT("1:"&amp;LEN(C229)))),1))," ",REPT(" ",LEN(C229))),LEN(C229)))</f>
        <v>7</v>
      </c>
      <c r="I230" s="101" t="str">
        <f ca="1">IF(D233=100%,"Excavation","")&amp;IF(D234=100%,", Plinth","")&amp;IF(D235=100%,", RCC Slab","")&amp;IF(D236=100%,", Brickwork","")&amp;IF(D237=100%,", Internal Plaster","")&amp;IF(D238=100%,", External Plaster","")&amp;IF(D239=100%,", Flooring","")&amp;IF(D240=100%,", Painting","")&amp;IF(D241=100%,", Building common Amenities","")</f>
        <v>Excavation, Plinth</v>
      </c>
      <c r="J230" s="48" t="str">
        <f ca="1">(IF(C233=0,"Work not yet Started.",IF(D233=25%,"Piling work in process",IF(D233=50%,"Excavation work in process",IF(D233=100%,"","0")))))&amp;(IF(C234=0%,"",IF(C234=J235,", Footing work is process",IF(C234=J236,", Footing work Completed",IF(C234=J237,", 1st Basement Completed",IF(C234=J238,", 1st &amp; 2nd Basement Completed",IF(C234=J239,", 1st to 3rd Basement Completed",IF(C234=J240,", 1st to 4th Basement Completed",IF(C234=J241,", Plinth work is process",IF(C234=J242,"","0"))))))))))</f>
        <v/>
      </c>
      <c r="S230"/>
    </row>
    <row r="231" spans="1:19" ht="36.75" hidden="1" customHeight="1" x14ac:dyDescent="0.35">
      <c r="A231" s="114" t="s">
        <v>87</v>
      </c>
      <c r="B231" s="114"/>
      <c r="C231" s="113" t="str">
        <f ca="1">I229</f>
        <v xml:space="preserve">Excavation, Plinth Completed </v>
      </c>
      <c r="D231" s="113"/>
      <c r="E231" s="113"/>
      <c r="F231" s="113"/>
      <c r="G231" s="113"/>
      <c r="H231" s="113"/>
      <c r="I231" s="101" t="str">
        <f ca="1">IF(I230&lt;&gt;""," Completed","")</f>
        <v xml:space="preserve"> Completed</v>
      </c>
      <c r="J231" s="48" t="str">
        <f ca="1">IF(J229&lt;&gt;"","Completed","")</f>
        <v/>
      </c>
      <c r="S231"/>
    </row>
    <row r="232" spans="1:19" ht="15.75" hidden="1" customHeight="1" x14ac:dyDescent="0.35">
      <c r="A232" s="138" t="s">
        <v>47</v>
      </c>
      <c r="B232" s="138"/>
      <c r="C232" s="104" t="s">
        <v>136</v>
      </c>
      <c r="D232" s="104" t="s">
        <v>80</v>
      </c>
      <c r="E232" s="138" t="s">
        <v>82</v>
      </c>
      <c r="F232" s="138"/>
      <c r="G232" s="138" t="s">
        <v>81</v>
      </c>
      <c r="H232" s="138"/>
      <c r="I232" s="13" t="s">
        <v>138</v>
      </c>
      <c r="J232" s="27">
        <f ca="1">H230*25%</f>
        <v>1.75</v>
      </c>
      <c r="S232"/>
    </row>
    <row r="233" spans="1:19" ht="16" hidden="1" thickBot="1" x14ac:dyDescent="0.4">
      <c r="A233" s="138" t="s">
        <v>125</v>
      </c>
      <c r="B233" s="138"/>
      <c r="C233" s="59">
        <f ca="1">J234</f>
        <v>7</v>
      </c>
      <c r="D233" s="19">
        <f ca="1">((100/H230)*C233)/100</f>
        <v>1</v>
      </c>
      <c r="E233" s="139">
        <f ca="1">(((C234/H230*10)+(40/(D230+F230+H230)*C235)+(7.5/(H230)*C236)+(7.5/(H230)*C237)+(10/H230*C238)+(10/H230*C239)+(5/H230*C240)+(5/H230*C241)+(5/H230*C242))/100)</f>
        <v>0.1</v>
      </c>
      <c r="F233" s="139"/>
      <c r="G233" s="139">
        <f ca="1">((((C233/H230)*20)+((C234/H230)*25)+(30/(H230+F230+D230)*C235)+(5/H230*C236)+(5/H230*C237)+(5/H230*C238)+(5/H230*C239)+(0/H230*C240)+(0/H230*C241)+(5/H230*C242))/100)</f>
        <v>0.45</v>
      </c>
      <c r="H233" s="139"/>
      <c r="I233" s="13" t="s">
        <v>97</v>
      </c>
      <c r="J233" s="28">
        <f ca="1">H230*50%</f>
        <v>3.5</v>
      </c>
    </row>
    <row r="234" spans="1:19" ht="16" hidden="1" thickBot="1" x14ac:dyDescent="0.4">
      <c r="A234" s="138" t="s">
        <v>48</v>
      </c>
      <c r="B234" s="138"/>
      <c r="C234" s="104">
        <f ca="1">J242</f>
        <v>7</v>
      </c>
      <c r="D234" s="19">
        <f ca="1">((100/H230)*C234)/100</f>
        <v>1</v>
      </c>
      <c r="E234" s="139"/>
      <c r="F234" s="139"/>
      <c r="G234" s="139"/>
      <c r="H234" s="139"/>
      <c r="I234" s="13" t="s">
        <v>98</v>
      </c>
      <c r="J234" s="28">
        <f ca="1">H230</f>
        <v>7</v>
      </c>
      <c r="S234"/>
    </row>
    <row r="235" spans="1:19" ht="15.75" hidden="1" customHeight="1" x14ac:dyDescent="0.35">
      <c r="A235" s="138" t="s">
        <v>126</v>
      </c>
      <c r="B235" s="138"/>
      <c r="C235" s="104">
        <v>0</v>
      </c>
      <c r="D235" s="19">
        <f ca="1">((100/(D230+F230+H230))*C235)/100</f>
        <v>0</v>
      </c>
      <c r="E235" s="139"/>
      <c r="F235" s="139"/>
      <c r="G235" s="139"/>
      <c r="H235" s="139"/>
      <c r="I235" s="13" t="s">
        <v>99</v>
      </c>
      <c r="J235" s="29">
        <f ca="1">(IF(B230&gt;1,(H230/(B230+2)),H230/4))</f>
        <v>1.75</v>
      </c>
      <c r="S235"/>
    </row>
    <row r="236" spans="1:19" ht="15.75" hidden="1" customHeight="1" x14ac:dyDescent="0.35">
      <c r="A236" s="138" t="s">
        <v>133</v>
      </c>
      <c r="B236" s="138" t="s">
        <v>127</v>
      </c>
      <c r="C236" s="104">
        <v>0</v>
      </c>
      <c r="D236" s="19">
        <f ca="1">((100/H230)*C236)/100</f>
        <v>0</v>
      </c>
      <c r="E236" s="139"/>
      <c r="F236" s="139"/>
      <c r="G236" s="139"/>
      <c r="H236" s="139"/>
      <c r="I236" s="13" t="s">
        <v>100</v>
      </c>
      <c r="J236" s="29">
        <f ca="1">(IF(B230&gt;1,(H230/(B230+2)+J235),H230/4+J235))</f>
        <v>3.5</v>
      </c>
    </row>
    <row r="237" spans="1:19" ht="15.75" hidden="1" customHeight="1" x14ac:dyDescent="0.35">
      <c r="A237" s="138" t="s">
        <v>134</v>
      </c>
      <c r="B237" s="138" t="s">
        <v>127</v>
      </c>
      <c r="C237" s="104">
        <v>0</v>
      </c>
      <c r="D237" s="19">
        <f ca="1">((100/H230)*C237)/100</f>
        <v>0</v>
      </c>
      <c r="E237" s="139"/>
      <c r="F237" s="139"/>
      <c r="G237" s="139"/>
      <c r="H237" s="139"/>
      <c r="I237" s="13" t="s">
        <v>145</v>
      </c>
      <c r="J237" s="29">
        <f>(IF(B230&gt;1,(H230/(B230+2)+J236),0))</f>
        <v>0</v>
      </c>
    </row>
    <row r="238" spans="1:19" ht="15" hidden="1" customHeight="1" x14ac:dyDescent="0.35">
      <c r="A238" s="138" t="s">
        <v>132</v>
      </c>
      <c r="B238" s="138" t="s">
        <v>129</v>
      </c>
      <c r="C238" s="104">
        <v>0</v>
      </c>
      <c r="D238" s="19">
        <f ca="1">((100/(H230))*C238)/100</f>
        <v>0</v>
      </c>
      <c r="E238" s="139"/>
      <c r="F238" s="139"/>
      <c r="G238" s="139"/>
      <c r="H238" s="139"/>
      <c r="I238" s="13" t="s">
        <v>140</v>
      </c>
      <c r="J238" s="29">
        <f>(IF(B230&gt;2,(H230/(B230+2)+J237),0))</f>
        <v>0</v>
      </c>
    </row>
    <row r="239" spans="1:19" ht="15.75" hidden="1" customHeight="1" x14ac:dyDescent="0.35">
      <c r="A239" s="138" t="s">
        <v>128</v>
      </c>
      <c r="B239" s="138" t="s">
        <v>128</v>
      </c>
      <c r="C239" s="104">
        <v>0</v>
      </c>
      <c r="D239" s="19">
        <f ca="1">((100/H230)*C239)/100</f>
        <v>0</v>
      </c>
      <c r="E239" s="139"/>
      <c r="F239" s="139"/>
      <c r="G239" s="139"/>
      <c r="H239" s="139"/>
      <c r="I239" s="13" t="s">
        <v>141</v>
      </c>
      <c r="J239" s="30">
        <f>(IF(B230&gt;3,(H230/(B230+2)+J238),0))</f>
        <v>0</v>
      </c>
    </row>
    <row r="240" spans="1:19" ht="15.75" hidden="1" customHeight="1" x14ac:dyDescent="0.35">
      <c r="A240" s="138" t="s">
        <v>135</v>
      </c>
      <c r="B240" s="138"/>
      <c r="C240" s="104">
        <v>0</v>
      </c>
      <c r="D240" s="19">
        <f ca="1">((100/H230)*C240)/100</f>
        <v>0</v>
      </c>
      <c r="E240" s="139"/>
      <c r="F240" s="139"/>
      <c r="G240" s="139"/>
      <c r="H240" s="139"/>
      <c r="I240" s="13" t="s">
        <v>142</v>
      </c>
      <c r="J240" s="29">
        <f>(IF(B230&gt;4,(H230/(B230+2)+J239),0))</f>
        <v>0</v>
      </c>
    </row>
    <row r="241" spans="1:19" ht="15.75" hidden="1" customHeight="1" x14ac:dyDescent="0.35">
      <c r="A241" s="138" t="s">
        <v>130</v>
      </c>
      <c r="B241" s="138" t="s">
        <v>130</v>
      </c>
      <c r="C241" s="104">
        <v>0</v>
      </c>
      <c r="D241" s="19">
        <f ca="1">((100/(H230))*C241)/100</f>
        <v>0</v>
      </c>
      <c r="E241" s="139"/>
      <c r="F241" s="139"/>
      <c r="G241" s="139"/>
      <c r="H241" s="139"/>
      <c r="I241" s="13" t="s">
        <v>146</v>
      </c>
      <c r="J241" s="29">
        <f ca="1">(IF(B230=1,(H230/(B230+3)+J236),IF(B230=0,(H230/4+J236),IF(B230&gt;1,0))))</f>
        <v>5.25</v>
      </c>
    </row>
    <row r="242" spans="1:19" ht="16" hidden="1" thickBot="1" x14ac:dyDescent="0.4">
      <c r="A242" s="138" t="s">
        <v>131</v>
      </c>
      <c r="B242" s="138"/>
      <c r="C242" s="104">
        <v>0</v>
      </c>
      <c r="D242" s="19">
        <f ca="1">((100/(H230))*C242)/100</f>
        <v>0</v>
      </c>
      <c r="E242" s="139"/>
      <c r="F242" s="139"/>
      <c r="G242" s="139"/>
      <c r="H242" s="139"/>
      <c r="I242" s="15" t="s">
        <v>101</v>
      </c>
      <c r="J242" s="31">
        <f ca="1">(IF(B230&gt;1.5,(H230/(B230+2)+J236+MAX(0,J237-J236)+MAX(0,J238-J237)+MAX(0,J239-J238)+MAX(0,J240-J239)+MAX(0,J241-J240)),IF(B230=1,(H230/(B230+3)+J241),IF(B230=0,H230/4+J241))))</f>
        <v>7</v>
      </c>
    </row>
    <row r="243" spans="1:19" ht="15.75" hidden="1" customHeight="1" x14ac:dyDescent="0.35">
      <c r="A243" s="137" t="s">
        <v>137</v>
      </c>
      <c r="B243" s="137"/>
      <c r="C243" s="137" t="str">
        <f>D76</f>
        <v>Building No.16 = Gr./Stilt + 1st to 7th Floor</v>
      </c>
      <c r="D243" s="137"/>
      <c r="E243" s="137"/>
      <c r="F243" s="137"/>
      <c r="G243" s="137"/>
      <c r="H243" s="137"/>
      <c r="I243" s="100" t="str">
        <f ca="1">IF(D256=100%,"All work Completed. Possession granted to the Building.",IF(D255=100%,"All work Completed, Waiting for OC",I244&amp;""&amp;I245&amp;""&amp;J244&amp;""&amp;J243&amp;" "&amp;J245))</f>
        <v xml:space="preserve">Excavation, Plinth Completed </v>
      </c>
      <c r="J243" s="46" t="str">
        <f ca="1">(IF(C249=(D244+F244+H244),"",IF(C249&gt;0,", RCC upto "&amp;C249&amp;" Slab","")))&amp;(IF(C250=H244,"",IF(C250&gt;0,", Brickwork upto "&amp;C250&amp;" Floor","")))&amp;(IF(C251=H244,"",IF(C251&gt;0,", Internal Plaster upto "&amp;C251&amp;" Floor","")))&amp;(IF(C252=H244,"",IF(C252&gt;0,", External Plaster upto "&amp;C252&amp;" Floor","")))&amp;(IF(C253=H244,"",IF(C253&gt;0,", Flooring upto "&amp;C253&amp;" Floor","")))&amp;(IF(C254=H244,"",IF(C254&gt;0,", Painting upto "&amp;C254&amp;" Floor","")))&amp;(IF(C255=H244,"",IF(C255&gt;0,", Finishing upto "&amp;C255&amp;" Floor","")))&amp;(IF(C256=H244,"",IF(C256&gt;0,", Possession upto "&amp;C256&amp;" Floor","")))</f>
        <v/>
      </c>
      <c r="S243"/>
    </row>
    <row r="244" spans="1:19" ht="16" hidden="1" thickBot="1" x14ac:dyDescent="0.4">
      <c r="A244" s="105" t="s">
        <v>139</v>
      </c>
      <c r="B244" s="105">
        <f>IF(AND(ISNUMBER(SEARCH("1B",C243))),1,IF(AND(ISNUMBER(SEARCH("2B",C243))),2,IF(AND(ISNUMBER(SEARCH("3B",C243))),3,IF(AND(ISNUMBER(SEARCH("4B",C243))),4,IF(ISNUMBER(SEARCH("5B",C243)),5,0)))))</f>
        <v>0</v>
      </c>
      <c r="C244" s="105" t="s">
        <v>69</v>
      </c>
      <c r="D244" s="105">
        <v>1</v>
      </c>
      <c r="E244" s="105" t="s">
        <v>68</v>
      </c>
      <c r="F244" s="14">
        <v>0</v>
      </c>
      <c r="G244" s="44" t="s">
        <v>77</v>
      </c>
      <c r="H244" s="105">
        <f ca="1">--TRIM(RIGHT(SUBSTITUTE(LEFT(C243,_xlfn.AGGREGATE(16,6,FIND({0,1,2,3,4,5,6,7,8,9},C243,ROW(INDIRECT("1:"&amp;LEN(C243)))),1))," ",REPT(" ",LEN(C243))),LEN(C243)))</f>
        <v>7</v>
      </c>
      <c r="I244" s="101" t="str">
        <f ca="1">IF(D247=100%,"Excavation","")&amp;IF(D248=100%,", Plinth","")&amp;IF(D249=100%,", RCC Slab","")&amp;IF(D250=100%,", Brickwork","")&amp;IF(D251=100%,", Internal Plaster","")&amp;IF(D252=100%,", External Plaster","")&amp;IF(D253=100%,", Flooring","")&amp;IF(D254=100%,", Painting","")&amp;IF(D255=100%,", Building common Amenities","")</f>
        <v>Excavation, Plinth</v>
      </c>
      <c r="J244" s="48" t="str">
        <f ca="1">(IF(C247=0,"Work not yet Started.",IF(D247=25%,"Piling work in process",IF(D247=50%,"Excavation work in process",IF(D247=100%,"","0")))))&amp;(IF(C248=0%,"",IF(C248=J249,", Footing work is process",IF(C248=J250,", Footing work Completed",IF(C248=J251,", 1st Basement Completed",IF(C248=J252,", 1st &amp; 2nd Basement Completed",IF(C248=J253,", 1st to 3rd Basement Completed",IF(C248=J254,", 1st to 4th Basement Completed",IF(C248=J255,", Plinth work is process",IF(C248=J256,"","0"))))))))))</f>
        <v/>
      </c>
      <c r="S244"/>
    </row>
    <row r="245" spans="1:19" ht="36.75" hidden="1" customHeight="1" x14ac:dyDescent="0.35">
      <c r="A245" s="114" t="s">
        <v>87</v>
      </c>
      <c r="B245" s="114"/>
      <c r="C245" s="113" t="str">
        <f ca="1">I243</f>
        <v xml:space="preserve">Excavation, Plinth Completed </v>
      </c>
      <c r="D245" s="113"/>
      <c r="E245" s="113"/>
      <c r="F245" s="113"/>
      <c r="G245" s="113"/>
      <c r="H245" s="113"/>
      <c r="I245" s="101" t="str">
        <f ca="1">IF(I244&lt;&gt;""," Completed","")</f>
        <v xml:space="preserve"> Completed</v>
      </c>
      <c r="J245" s="48" t="str">
        <f ca="1">IF(J243&lt;&gt;"","Completed","")</f>
        <v/>
      </c>
      <c r="S245"/>
    </row>
    <row r="246" spans="1:19" ht="15.75" hidden="1" customHeight="1" x14ac:dyDescent="0.35">
      <c r="A246" s="138" t="s">
        <v>47</v>
      </c>
      <c r="B246" s="138"/>
      <c r="C246" s="104" t="s">
        <v>136</v>
      </c>
      <c r="D246" s="104" t="s">
        <v>80</v>
      </c>
      <c r="E246" s="138" t="s">
        <v>82</v>
      </c>
      <c r="F246" s="138"/>
      <c r="G246" s="138" t="s">
        <v>81</v>
      </c>
      <c r="H246" s="138"/>
      <c r="I246" s="13" t="s">
        <v>138</v>
      </c>
      <c r="J246" s="27">
        <f ca="1">H244*25%</f>
        <v>1.75</v>
      </c>
      <c r="S246"/>
    </row>
    <row r="247" spans="1:19" ht="16" hidden="1" thickBot="1" x14ac:dyDescent="0.4">
      <c r="A247" s="138" t="s">
        <v>125</v>
      </c>
      <c r="B247" s="138"/>
      <c r="C247" s="59">
        <f ca="1">J248</f>
        <v>7</v>
      </c>
      <c r="D247" s="19">
        <f ca="1">((100/H244)*C247)/100</f>
        <v>1</v>
      </c>
      <c r="E247" s="139">
        <f ca="1">(((C248/H244*10)+(40/(D244+F244+H244)*C249)+(7.5/(H244)*C250)+(7.5/(H244)*C251)+(10/H244*C252)+(10/H244*C253)+(5/H244*C254)+(5/H244*C255)+(5/H244*C256))/100)</f>
        <v>0.1</v>
      </c>
      <c r="F247" s="139"/>
      <c r="G247" s="139">
        <f ca="1">((((C247/H244)*20)+((C248/H244)*25)+(30/(H244+F244+D244)*C249)+(5/H244*C250)+(5/H244*C251)+(5/H244*C252)+(5/H244*C253)+(0/H244*C254)+(0/H244*C255)+(5/H244*C256))/100)</f>
        <v>0.45</v>
      </c>
      <c r="H247" s="139"/>
      <c r="I247" s="13" t="s">
        <v>97</v>
      </c>
      <c r="J247" s="28">
        <f ca="1">H244*50%</f>
        <v>3.5</v>
      </c>
    </row>
    <row r="248" spans="1:19" ht="16" hidden="1" thickBot="1" x14ac:dyDescent="0.4">
      <c r="A248" s="138" t="s">
        <v>48</v>
      </c>
      <c r="B248" s="138"/>
      <c r="C248" s="104">
        <f ca="1">J256</f>
        <v>7</v>
      </c>
      <c r="D248" s="19">
        <f ca="1">((100/H244)*C248)/100</f>
        <v>1</v>
      </c>
      <c r="E248" s="139"/>
      <c r="F248" s="139"/>
      <c r="G248" s="139"/>
      <c r="H248" s="139"/>
      <c r="I248" s="13" t="s">
        <v>98</v>
      </c>
      <c r="J248" s="28">
        <f ca="1">H244</f>
        <v>7</v>
      </c>
      <c r="S248"/>
    </row>
    <row r="249" spans="1:19" ht="15.75" hidden="1" customHeight="1" x14ac:dyDescent="0.35">
      <c r="A249" s="138" t="s">
        <v>126</v>
      </c>
      <c r="B249" s="138"/>
      <c r="C249" s="104">
        <v>0</v>
      </c>
      <c r="D249" s="19">
        <f ca="1">((100/(D244+F244+H244))*C249)/100</f>
        <v>0</v>
      </c>
      <c r="E249" s="139"/>
      <c r="F249" s="139"/>
      <c r="G249" s="139"/>
      <c r="H249" s="139"/>
      <c r="I249" s="13" t="s">
        <v>99</v>
      </c>
      <c r="J249" s="29">
        <f ca="1">(IF(B244&gt;1,(H244/(B244+2)),H244/4))</f>
        <v>1.75</v>
      </c>
      <c r="S249"/>
    </row>
    <row r="250" spans="1:19" ht="15.75" hidden="1" customHeight="1" x14ac:dyDescent="0.35">
      <c r="A250" s="138" t="s">
        <v>133</v>
      </c>
      <c r="B250" s="138" t="s">
        <v>127</v>
      </c>
      <c r="C250" s="104">
        <v>0</v>
      </c>
      <c r="D250" s="19">
        <f ca="1">((100/H244)*C250)/100</f>
        <v>0</v>
      </c>
      <c r="E250" s="139"/>
      <c r="F250" s="139"/>
      <c r="G250" s="139"/>
      <c r="H250" s="139"/>
      <c r="I250" s="13" t="s">
        <v>100</v>
      </c>
      <c r="J250" s="29">
        <f ca="1">(IF(B244&gt;1,(H244/(B244+2)+J249),H244/4+J249))</f>
        <v>3.5</v>
      </c>
    </row>
    <row r="251" spans="1:19" ht="15.75" hidden="1" customHeight="1" x14ac:dyDescent="0.35">
      <c r="A251" s="138" t="s">
        <v>134</v>
      </c>
      <c r="B251" s="138" t="s">
        <v>127</v>
      </c>
      <c r="C251" s="104">
        <v>0</v>
      </c>
      <c r="D251" s="19">
        <f ca="1">((100/H244)*C251)/100</f>
        <v>0</v>
      </c>
      <c r="E251" s="139"/>
      <c r="F251" s="139"/>
      <c r="G251" s="139"/>
      <c r="H251" s="139"/>
      <c r="I251" s="13" t="s">
        <v>145</v>
      </c>
      <c r="J251" s="29">
        <f>(IF(B244&gt;1,(H244/(B244+2)+J250),0))</f>
        <v>0</v>
      </c>
    </row>
    <row r="252" spans="1:19" ht="15" hidden="1" customHeight="1" x14ac:dyDescent="0.35">
      <c r="A252" s="138" t="s">
        <v>132</v>
      </c>
      <c r="B252" s="138" t="s">
        <v>129</v>
      </c>
      <c r="C252" s="104">
        <v>0</v>
      </c>
      <c r="D252" s="19">
        <f ca="1">((100/(H244))*C252)/100</f>
        <v>0</v>
      </c>
      <c r="E252" s="139"/>
      <c r="F252" s="139"/>
      <c r="G252" s="139"/>
      <c r="H252" s="139"/>
      <c r="I252" s="13" t="s">
        <v>140</v>
      </c>
      <c r="J252" s="29">
        <f>(IF(B244&gt;2,(H244/(B244+2)+J251),0))</f>
        <v>0</v>
      </c>
    </row>
    <row r="253" spans="1:19" ht="15.75" hidden="1" customHeight="1" x14ac:dyDescent="0.35">
      <c r="A253" s="138" t="s">
        <v>128</v>
      </c>
      <c r="B253" s="138" t="s">
        <v>128</v>
      </c>
      <c r="C253" s="104">
        <v>0</v>
      </c>
      <c r="D253" s="19">
        <f ca="1">((100/H244)*C253)/100</f>
        <v>0</v>
      </c>
      <c r="E253" s="139"/>
      <c r="F253" s="139"/>
      <c r="G253" s="139"/>
      <c r="H253" s="139"/>
      <c r="I253" s="13" t="s">
        <v>141</v>
      </c>
      <c r="J253" s="30">
        <f>(IF(B244&gt;3,(H244/(B244+2)+J252),0))</f>
        <v>0</v>
      </c>
    </row>
    <row r="254" spans="1:19" ht="15.75" hidden="1" customHeight="1" x14ac:dyDescent="0.35">
      <c r="A254" s="138" t="s">
        <v>135</v>
      </c>
      <c r="B254" s="138"/>
      <c r="C254" s="104">
        <v>0</v>
      </c>
      <c r="D254" s="19">
        <f ca="1">((100/H244)*C254)/100</f>
        <v>0</v>
      </c>
      <c r="E254" s="139"/>
      <c r="F254" s="139"/>
      <c r="G254" s="139"/>
      <c r="H254" s="139"/>
      <c r="I254" s="13" t="s">
        <v>142</v>
      </c>
      <c r="J254" s="29">
        <f>(IF(B244&gt;4,(H244/(B244+2)+J253),0))</f>
        <v>0</v>
      </c>
    </row>
    <row r="255" spans="1:19" ht="15.75" hidden="1" customHeight="1" x14ac:dyDescent="0.35">
      <c r="A255" s="138" t="s">
        <v>130</v>
      </c>
      <c r="B255" s="138" t="s">
        <v>130</v>
      </c>
      <c r="C255" s="104">
        <v>0</v>
      </c>
      <c r="D255" s="19">
        <f ca="1">((100/(H244))*C255)/100</f>
        <v>0</v>
      </c>
      <c r="E255" s="139"/>
      <c r="F255" s="139"/>
      <c r="G255" s="139"/>
      <c r="H255" s="139"/>
      <c r="I255" s="13" t="s">
        <v>146</v>
      </c>
      <c r="J255" s="29">
        <f ca="1">(IF(B244=1,(H244/(B244+3)+J250),IF(B244=0,(H244/4+J250),IF(B244&gt;1,0))))</f>
        <v>5.25</v>
      </c>
    </row>
    <row r="256" spans="1:19" ht="16" hidden="1" thickBot="1" x14ac:dyDescent="0.4">
      <c r="A256" s="138" t="s">
        <v>131</v>
      </c>
      <c r="B256" s="138"/>
      <c r="C256" s="104">
        <v>0</v>
      </c>
      <c r="D256" s="19">
        <f ca="1">((100/(H244))*C256)/100</f>
        <v>0</v>
      </c>
      <c r="E256" s="139"/>
      <c r="F256" s="139"/>
      <c r="G256" s="139"/>
      <c r="H256" s="139"/>
      <c r="I256" s="15" t="s">
        <v>101</v>
      </c>
      <c r="J256" s="31">
        <f ca="1">(IF(B244&gt;1.5,(H244/(B244+2)+J250+MAX(0,J251-J250)+MAX(0,J252-J251)+MAX(0,J253-J252)+MAX(0,J254-J253)+MAX(0,J255-J254)),IF(B244=1,(H244/(B244+3)+J255),IF(B244=0,H244/4+J255))))</f>
        <v>7</v>
      </c>
    </row>
    <row r="257" spans="1:19" ht="15.75" customHeight="1" x14ac:dyDescent="0.35">
      <c r="A257" s="113" t="s">
        <v>137</v>
      </c>
      <c r="B257" s="113"/>
      <c r="C257" s="113" t="s">
        <v>363</v>
      </c>
      <c r="D257" s="113"/>
      <c r="E257" s="113"/>
      <c r="F257" s="113"/>
      <c r="G257" s="113"/>
      <c r="H257" s="113"/>
      <c r="I257" s="100" t="str">
        <f ca="1">IF(D270=100%,"All work Completed. Possession granted to the Building.",IF(D269=100%,"All work Completed, Waiting for OC",I258&amp;""&amp;I259&amp;""&amp;J258&amp;""&amp;J257&amp;" "&amp;J259))</f>
        <v>Excavation, Plinth Completed, RCC upto 6 Slab, Brickwork upto 2 Floor Completed</v>
      </c>
      <c r="J257" s="46" t="str">
        <f ca="1">(IF(C263=(D258+F258+H258),"",IF(C263&gt;0,", RCC upto "&amp;C263&amp;" Slab","")))&amp;(IF(C264=H258,"",IF(C264&gt;0,", Brickwork upto "&amp;C264&amp;" Floor","")))&amp;(IF(C265=H258,"",IF(C265&gt;0,", Internal Plaster upto "&amp;C265&amp;" Floor","")))&amp;(IF(C266=H258,"",IF(C266&gt;0,", External Plaster upto "&amp;C266&amp;" Floor","")))&amp;(IF(C267=H258,"",IF(C267&gt;0,", Flooring upto "&amp;C267&amp;" Floor","")))&amp;(IF(C268=H258,"",IF(C268&gt;0,", Painting upto "&amp;C268&amp;" Floor","")))&amp;(IF(C269=H258,"",IF(C269&gt;0,", Finishing upto "&amp;C269&amp;" Floor","")))&amp;(IF(C270=H258,"",IF(C270&gt;0,", Possession upto "&amp;C270&amp;" Floor","")))</f>
        <v>, RCC upto 6 Slab, Brickwork upto 2 Floor</v>
      </c>
      <c r="S257"/>
    </row>
    <row r="258" spans="1:19" x14ac:dyDescent="0.35">
      <c r="A258" s="105" t="s">
        <v>139</v>
      </c>
      <c r="B258" s="105">
        <f>IF(AND(ISNUMBER(SEARCH("1B",C257))),1,IF(AND(ISNUMBER(SEARCH("2B",C257))),2,IF(AND(ISNUMBER(SEARCH("3B",C257))),3,IF(AND(ISNUMBER(SEARCH("4B",C257))),4,IF(ISNUMBER(SEARCH("5B",C257)),5,0)))))</f>
        <v>0</v>
      </c>
      <c r="C258" s="105" t="s">
        <v>69</v>
      </c>
      <c r="D258" s="105">
        <v>1</v>
      </c>
      <c r="E258" s="105" t="s">
        <v>68</v>
      </c>
      <c r="F258" s="105">
        <v>0</v>
      </c>
      <c r="G258" s="105" t="s">
        <v>77</v>
      </c>
      <c r="H258" s="105">
        <f ca="1">--TRIM(RIGHT(SUBSTITUTE(LEFT(C257,_xlfn.AGGREGATE(16,6,FIND({0,1,2,3,4,5,6,7,8,9},C257,ROW(INDIRECT("1:"&amp;LEN(C257)))),1))," ",REPT(" ",LEN(C257))),LEN(C257)))</f>
        <v>7</v>
      </c>
      <c r="I258" s="101" t="str">
        <f ca="1">IF(D261=100%,"Excavation","")&amp;IF(D262=100%,", Plinth","")&amp;IF(D263=100%,", RCC Slab","")&amp;IF(D264=100%,", Brickwork","")&amp;IF(D265=100%,", Internal Plaster","")&amp;IF(D266=100%,", External Plaster","")&amp;IF(D267=100%,", Flooring","")&amp;IF(D268=100%,", Painting","")&amp;IF(D269=100%,", Building common Amenities","")</f>
        <v>Excavation, Plinth</v>
      </c>
      <c r="J258" s="48" t="str">
        <f ca="1">(IF(C261=0,"Work not yet Started.",IF(D261=25%,"Piling work in process",IF(D261=50%,"Excavation work in process",IF(D261=100%,"","0")))))&amp;(IF(C262=0%,"",IF(C262=J263,", Footing work is process",IF(C262=J264,", Footing work Completed",IF(C262=J265,", 1st Basement Completed",IF(C262=J266,", 1st &amp; 2nd Basement Completed",IF(C262=J267,", 1st to 3rd Basement Completed",IF(C262=J268,", 1st to 4th Basement Completed",IF(C262=J269,", Plinth work is process",IF(C262=J270,"","0"))))))))))</f>
        <v/>
      </c>
      <c r="S258"/>
    </row>
    <row r="259" spans="1:19" x14ac:dyDescent="0.35">
      <c r="A259" s="114" t="s">
        <v>87</v>
      </c>
      <c r="B259" s="114"/>
      <c r="C259" s="113" t="str">
        <f ca="1">I257</f>
        <v>Excavation, Plinth Completed, RCC upto 6 Slab, Brickwork upto 2 Floor Completed</v>
      </c>
      <c r="D259" s="113"/>
      <c r="E259" s="113"/>
      <c r="F259" s="113"/>
      <c r="G259" s="113"/>
      <c r="H259" s="113"/>
      <c r="I259" s="101" t="str">
        <f ca="1">IF(I258&lt;&gt;""," Completed","")</f>
        <v xml:space="preserve"> Completed</v>
      </c>
      <c r="J259" s="48" t="str">
        <f ca="1">IF(J257&lt;&gt;"","Completed","")</f>
        <v>Completed</v>
      </c>
      <c r="S259"/>
    </row>
    <row r="260" spans="1:19" ht="15.75" customHeight="1" x14ac:dyDescent="0.35">
      <c r="A260" s="115" t="s">
        <v>47</v>
      </c>
      <c r="B260" s="115"/>
      <c r="C260" s="103" t="s">
        <v>136</v>
      </c>
      <c r="D260" s="103" t="s">
        <v>80</v>
      </c>
      <c r="E260" s="115" t="s">
        <v>82</v>
      </c>
      <c r="F260" s="115"/>
      <c r="G260" s="115" t="s">
        <v>81</v>
      </c>
      <c r="H260" s="115"/>
      <c r="I260" s="13" t="s">
        <v>138</v>
      </c>
      <c r="J260" s="27">
        <f ca="1">H258*25%</f>
        <v>1.75</v>
      </c>
      <c r="S260"/>
    </row>
    <row r="261" spans="1:19" x14ac:dyDescent="0.35">
      <c r="A261" s="115" t="s">
        <v>125</v>
      </c>
      <c r="B261" s="115"/>
      <c r="C261" s="103">
        <f ca="1">J262</f>
        <v>7</v>
      </c>
      <c r="D261" s="87">
        <f ca="1">((100/H258)*C261)/100</f>
        <v>1</v>
      </c>
      <c r="E261" s="116">
        <f ca="1">(((C262/H258*10)+(40/(D258+F258+H258)*C263)+(7.5/(H258)*C264)+(7.5/(H258)*C265)+(10/H258*C266)+(10/H258*C267)+(5/H258*C268)+(5/H258*C269)+(5/H258*C270))/100)</f>
        <v>0.42142857142857149</v>
      </c>
      <c r="F261" s="116"/>
      <c r="G261" s="116">
        <f ca="1">((((C261/H258)*20)+((C262/H258)*25)+(30/(H258+F258+D258)*C263)+(5/H258*C264)+(5/H258*C265)+(5/H258*C266)+(5/H258*C267)+(0/H258*C268)+(0/H258*C269)+(5/H258*C270))/100)</f>
        <v>0.68928571428571428</v>
      </c>
      <c r="H261" s="116"/>
      <c r="I261" s="13" t="s">
        <v>97</v>
      </c>
      <c r="J261" s="28">
        <f ca="1">H258*50%</f>
        <v>3.5</v>
      </c>
    </row>
    <row r="262" spans="1:19" x14ac:dyDescent="0.35">
      <c r="A262" s="115" t="s">
        <v>48</v>
      </c>
      <c r="B262" s="115"/>
      <c r="C262" s="88">
        <v>7</v>
      </c>
      <c r="D262" s="87">
        <f ca="1">((100/H258)*C262)/100</f>
        <v>1</v>
      </c>
      <c r="E262" s="116"/>
      <c r="F262" s="116"/>
      <c r="G262" s="116"/>
      <c r="H262" s="116"/>
      <c r="I262" s="13" t="s">
        <v>98</v>
      </c>
      <c r="J262" s="28">
        <f ca="1">H258</f>
        <v>7</v>
      </c>
      <c r="S262"/>
    </row>
    <row r="263" spans="1:19" ht="15.75" customHeight="1" x14ac:dyDescent="0.35">
      <c r="A263" s="115" t="s">
        <v>126</v>
      </c>
      <c r="B263" s="115"/>
      <c r="C263" s="103">
        <v>6</v>
      </c>
      <c r="D263" s="87">
        <f ca="1">((100/(D258+F258+H258))*C263)/100</f>
        <v>0.75</v>
      </c>
      <c r="E263" s="116"/>
      <c r="F263" s="116"/>
      <c r="G263" s="116"/>
      <c r="H263" s="116"/>
      <c r="I263" s="13" t="s">
        <v>99</v>
      </c>
      <c r="J263" s="29">
        <f ca="1">(IF(B258&gt;1,(H258/(B258+2)),H258/4))</f>
        <v>1.75</v>
      </c>
      <c r="S263"/>
    </row>
    <row r="264" spans="1:19" ht="15.75" customHeight="1" x14ac:dyDescent="0.35">
      <c r="A264" s="115" t="s">
        <v>133</v>
      </c>
      <c r="B264" s="115" t="s">
        <v>127</v>
      </c>
      <c r="C264" s="103">
        <v>2</v>
      </c>
      <c r="D264" s="87">
        <f ca="1">((100/H258)*C264)/100</f>
        <v>0.28571428571428575</v>
      </c>
      <c r="E264" s="116"/>
      <c r="F264" s="116"/>
      <c r="G264" s="116"/>
      <c r="H264" s="116"/>
      <c r="I264" s="13" t="s">
        <v>100</v>
      </c>
      <c r="J264" s="29">
        <f ca="1">(IF(B258&gt;1,(H258/(B258+2)+J263),H258/4+J263))</f>
        <v>3.5</v>
      </c>
    </row>
    <row r="265" spans="1:19" ht="15.75" customHeight="1" x14ac:dyDescent="0.35">
      <c r="A265" s="115" t="s">
        <v>134</v>
      </c>
      <c r="B265" s="115" t="s">
        <v>127</v>
      </c>
      <c r="C265" s="103">
        <v>0</v>
      </c>
      <c r="D265" s="87">
        <f ca="1">((100/H258)*C265)/100</f>
        <v>0</v>
      </c>
      <c r="E265" s="116"/>
      <c r="F265" s="116"/>
      <c r="G265" s="116"/>
      <c r="H265" s="116"/>
      <c r="I265" s="13" t="s">
        <v>145</v>
      </c>
      <c r="J265" s="29">
        <f>(IF(B258&gt;1,(H258/(B258+2)+J264),0))</f>
        <v>0</v>
      </c>
    </row>
    <row r="266" spans="1:19" ht="15" customHeight="1" x14ac:dyDescent="0.35">
      <c r="A266" s="115" t="s">
        <v>132</v>
      </c>
      <c r="B266" s="115" t="s">
        <v>129</v>
      </c>
      <c r="C266" s="103">
        <v>0</v>
      </c>
      <c r="D266" s="87">
        <f ca="1">((100/(H258))*C266)/100</f>
        <v>0</v>
      </c>
      <c r="E266" s="116"/>
      <c r="F266" s="116"/>
      <c r="G266" s="116"/>
      <c r="H266" s="116"/>
      <c r="I266" s="13" t="s">
        <v>140</v>
      </c>
      <c r="J266" s="29">
        <f>(IF(B258&gt;2,(H258/(B258+2)+J265),0))</f>
        <v>0</v>
      </c>
    </row>
    <row r="267" spans="1:19" ht="15.75" customHeight="1" x14ac:dyDescent="0.35">
      <c r="A267" s="115" t="s">
        <v>128</v>
      </c>
      <c r="B267" s="115" t="s">
        <v>128</v>
      </c>
      <c r="C267" s="103">
        <v>0</v>
      </c>
      <c r="D267" s="87">
        <f ca="1">((100/H258)*C267)/100</f>
        <v>0</v>
      </c>
      <c r="E267" s="116"/>
      <c r="F267" s="116"/>
      <c r="G267" s="116"/>
      <c r="H267" s="116"/>
      <c r="I267" s="13" t="s">
        <v>141</v>
      </c>
      <c r="J267" s="30">
        <f>(IF(B258&gt;3,(H258/(B258+2)+J266),0))</f>
        <v>0</v>
      </c>
    </row>
    <row r="268" spans="1:19" ht="15.75" customHeight="1" x14ac:dyDescent="0.35">
      <c r="A268" s="115" t="s">
        <v>135</v>
      </c>
      <c r="B268" s="115"/>
      <c r="C268" s="103">
        <v>0</v>
      </c>
      <c r="D268" s="87">
        <f ca="1">((100/H258)*C268)/100</f>
        <v>0</v>
      </c>
      <c r="E268" s="116"/>
      <c r="F268" s="116"/>
      <c r="G268" s="116"/>
      <c r="H268" s="116"/>
      <c r="I268" s="13" t="s">
        <v>142</v>
      </c>
      <c r="J268" s="29">
        <f>(IF(B258&gt;4,(H258/(B258+2)+J267),0))</f>
        <v>0</v>
      </c>
    </row>
    <row r="269" spans="1:19" ht="15.75" customHeight="1" x14ac:dyDescent="0.35">
      <c r="A269" s="115" t="s">
        <v>130</v>
      </c>
      <c r="B269" s="115" t="s">
        <v>130</v>
      </c>
      <c r="C269" s="103">
        <v>0</v>
      </c>
      <c r="D269" s="87">
        <f ca="1">((100/(H258))*C269)/100</f>
        <v>0</v>
      </c>
      <c r="E269" s="116"/>
      <c r="F269" s="116"/>
      <c r="G269" s="116"/>
      <c r="H269" s="116"/>
      <c r="I269" s="13" t="s">
        <v>146</v>
      </c>
      <c r="J269" s="29">
        <f ca="1">(IF(B258=1,(H258/(B258+3)+J264),IF(B258=0,(H258/4+J264),IF(B258&gt;1,0))))</f>
        <v>5.25</v>
      </c>
    </row>
    <row r="270" spans="1:19" ht="16" thickBot="1" x14ac:dyDescent="0.4">
      <c r="A270" s="115" t="s">
        <v>131</v>
      </c>
      <c r="B270" s="115"/>
      <c r="C270" s="103">
        <v>0</v>
      </c>
      <c r="D270" s="87">
        <f ca="1">((100/(H258))*C270)/100</f>
        <v>0</v>
      </c>
      <c r="E270" s="116"/>
      <c r="F270" s="116"/>
      <c r="G270" s="116"/>
      <c r="H270" s="116"/>
      <c r="I270" s="15" t="s">
        <v>101</v>
      </c>
      <c r="J270" s="31">
        <f ca="1">(IF(B258&gt;1.5,(H258/(B258+2)+J264+MAX(0,J265-J264)+MAX(0,J266-J265)+MAX(0,J267-J266)+MAX(0,J268-J267)+MAX(0,J269-J268)),IF(B258=1,(H258/(B258+3)+J269),IF(B258=0,H258/4+J269))))</f>
        <v>7</v>
      </c>
    </row>
    <row r="271" spans="1:19" ht="15.75" customHeight="1" x14ac:dyDescent="0.35">
      <c r="A271" s="113" t="s">
        <v>137</v>
      </c>
      <c r="B271" s="113"/>
      <c r="C271" s="113" t="s">
        <v>432</v>
      </c>
      <c r="D271" s="113"/>
      <c r="E271" s="113"/>
      <c r="F271" s="113"/>
      <c r="G271" s="113"/>
      <c r="H271" s="113"/>
      <c r="I271" s="100" t="str">
        <f ca="1">IF(D284=100%,"All work Completed. Possession granted to the Building.",IF(D283=100%,"All work Completed, Waiting for OC",I272&amp;""&amp;I273&amp;""&amp;J272&amp;""&amp;J271&amp;" "&amp;J273))</f>
        <v>Excavation, Plinth Completed, RCC upto 6 Slab, Brickwork upto 1 Floor Completed</v>
      </c>
      <c r="J271" s="46" t="str">
        <f ca="1">(IF(C277=(D272+F272+H272),"",IF(C277&gt;0,", RCC upto "&amp;C277&amp;" Slab","")))&amp;(IF(C278=H272,"",IF(C278&gt;0,", Brickwork upto "&amp;C278&amp;" Floor","")))&amp;(IF(C279=H272,"",IF(C279&gt;0,", Internal Plaster upto "&amp;C279&amp;" Floor","")))&amp;(IF(C280=H272,"",IF(C280&gt;0,", External Plaster upto "&amp;C280&amp;" Floor","")))&amp;(IF(C281=H272,"",IF(C281&gt;0,", Flooring upto "&amp;C281&amp;" Floor","")))&amp;(IF(C282=H272,"",IF(C282&gt;0,", Painting upto "&amp;C282&amp;" Floor","")))&amp;(IF(C283=H272,"",IF(C283&gt;0,", Finishing upto "&amp;C283&amp;" Floor","")))&amp;(IF(C284=H272,"",IF(C284&gt;0,", Possession upto "&amp;C284&amp;" Floor","")))</f>
        <v>, RCC upto 6 Slab, Brickwork upto 1 Floor</v>
      </c>
      <c r="S271"/>
    </row>
    <row r="272" spans="1:19" x14ac:dyDescent="0.35">
      <c r="A272" s="107" t="s">
        <v>139</v>
      </c>
      <c r="B272" s="107">
        <f>IF(AND(ISNUMBER(SEARCH("1B",C271))),1,IF(AND(ISNUMBER(SEARCH("2B",C271))),2,IF(AND(ISNUMBER(SEARCH("3B",C271))),3,IF(AND(ISNUMBER(SEARCH("4B",C271))),4,IF(ISNUMBER(SEARCH("5B",C271)),5,0)))))</f>
        <v>0</v>
      </c>
      <c r="C272" s="107" t="s">
        <v>69</v>
      </c>
      <c r="D272" s="107">
        <v>1</v>
      </c>
      <c r="E272" s="107" t="s">
        <v>68</v>
      </c>
      <c r="F272" s="107">
        <v>0</v>
      </c>
      <c r="G272" s="107" t="s">
        <v>77</v>
      </c>
      <c r="H272" s="107">
        <f ca="1">--TRIM(RIGHT(SUBSTITUTE(LEFT(C271,_xlfn.AGGREGATE(16,6,FIND({0,1,2,3,4,5,6,7,8,9},C271,ROW(INDIRECT("1:"&amp;LEN(C271)))),1))," ",REPT(" ",LEN(C271))),LEN(C271)))</f>
        <v>7</v>
      </c>
      <c r="I272" s="101" t="str">
        <f ca="1">IF(D275=100%,"Excavation","")&amp;IF(D276=100%,", Plinth","")&amp;IF(D277=100%,", RCC Slab","")&amp;IF(D278=100%,", Brickwork","")&amp;IF(D279=100%,", Internal Plaster","")&amp;IF(D280=100%,", External Plaster","")&amp;IF(D281=100%,", Flooring","")&amp;IF(D282=100%,", Painting","")&amp;IF(D283=100%,", Building common Amenities","")</f>
        <v>Excavation, Plinth</v>
      </c>
      <c r="J272" s="48" t="str">
        <f ca="1">(IF(C275=0,"Work not yet Started.",IF(D275=25%,"Piling work in process",IF(D275=50%,"Excavation work in process",IF(D275=100%,"","0")))))&amp;(IF(C276=0%,"",IF(C276=J277,", Footing work is process",IF(C276=J278,", Footing work Completed",IF(C276=J279,", 1st Basement Completed",IF(C276=J280,", 1st &amp; 2nd Basement Completed",IF(C276=J281,", 1st to 3rd Basement Completed",IF(C276=J282,", 1st to 4th Basement Completed",IF(C276=J283,", Plinth work is process",IF(C276=J284,"","0"))))))))))</f>
        <v/>
      </c>
      <c r="S272"/>
    </row>
    <row r="273" spans="1:19" x14ac:dyDescent="0.35">
      <c r="A273" s="114" t="s">
        <v>87</v>
      </c>
      <c r="B273" s="114"/>
      <c r="C273" s="113" t="str">
        <f ca="1">I271</f>
        <v>Excavation, Plinth Completed, RCC upto 6 Slab, Brickwork upto 1 Floor Completed</v>
      </c>
      <c r="D273" s="113"/>
      <c r="E273" s="113"/>
      <c r="F273" s="113"/>
      <c r="G273" s="113"/>
      <c r="H273" s="113"/>
      <c r="I273" s="101" t="str">
        <f ca="1">IF(I272&lt;&gt;""," Completed","")</f>
        <v xml:space="preserve"> Completed</v>
      </c>
      <c r="J273" s="48" t="str">
        <f ca="1">IF(J271&lt;&gt;"","Completed","")</f>
        <v>Completed</v>
      </c>
      <c r="S273"/>
    </row>
    <row r="274" spans="1:19" ht="15.75" customHeight="1" x14ac:dyDescent="0.35">
      <c r="A274" s="115" t="s">
        <v>47</v>
      </c>
      <c r="B274" s="115"/>
      <c r="C274" s="106" t="s">
        <v>136</v>
      </c>
      <c r="D274" s="106" t="s">
        <v>80</v>
      </c>
      <c r="E274" s="115" t="s">
        <v>82</v>
      </c>
      <c r="F274" s="115"/>
      <c r="G274" s="115" t="s">
        <v>81</v>
      </c>
      <c r="H274" s="115"/>
      <c r="I274" s="13" t="s">
        <v>138</v>
      </c>
      <c r="J274" s="27">
        <f ca="1">H272*25%</f>
        <v>1.75</v>
      </c>
      <c r="S274"/>
    </row>
    <row r="275" spans="1:19" x14ac:dyDescent="0.35">
      <c r="A275" s="115" t="s">
        <v>125</v>
      </c>
      <c r="B275" s="115"/>
      <c r="C275" s="106">
        <f ca="1">J276</f>
        <v>7</v>
      </c>
      <c r="D275" s="87">
        <f ca="1">((100/H272)*C275)/100</f>
        <v>1</v>
      </c>
      <c r="E275" s="116">
        <f ca="1">(((C276/H272*10)+(40/(D272+F272+H272)*C277)+(7.5/(H272)*C278)+(7.5/(H272)*C279)+(10/H272*C280)+(10/H272*C281)+(5/H272*C282)+(5/H272*C283)+(5/H272*C284))/100)</f>
        <v>0.4107142857142857</v>
      </c>
      <c r="F275" s="116"/>
      <c r="G275" s="116">
        <f ca="1">((((C275/H272)*20)+((C276/H272)*25)+(30/(H272+F272+D272)*C277)+(5/H272*C278)+(5/H272*C279)+(5/H272*C280)+(5/H272*C281)+(0/H272*C282)+(0/H272*C283)+(5/H272*C284))/100)</f>
        <v>0.68214285714285705</v>
      </c>
      <c r="H275" s="116"/>
      <c r="I275" s="13" t="s">
        <v>97</v>
      </c>
      <c r="J275" s="28">
        <f ca="1">H272*50%</f>
        <v>3.5</v>
      </c>
    </row>
    <row r="276" spans="1:19" x14ac:dyDescent="0.35">
      <c r="A276" s="115" t="s">
        <v>48</v>
      </c>
      <c r="B276" s="115"/>
      <c r="C276" s="88">
        <v>7</v>
      </c>
      <c r="D276" s="87">
        <f ca="1">((100/H272)*C276)/100</f>
        <v>1</v>
      </c>
      <c r="E276" s="116"/>
      <c r="F276" s="116"/>
      <c r="G276" s="116"/>
      <c r="H276" s="116"/>
      <c r="I276" s="13" t="s">
        <v>98</v>
      </c>
      <c r="J276" s="28">
        <f ca="1">H272</f>
        <v>7</v>
      </c>
      <c r="S276"/>
    </row>
    <row r="277" spans="1:19" ht="15.75" customHeight="1" x14ac:dyDescent="0.35">
      <c r="A277" s="115" t="s">
        <v>126</v>
      </c>
      <c r="B277" s="115"/>
      <c r="C277" s="106">
        <v>6</v>
      </c>
      <c r="D277" s="87">
        <f ca="1">((100/(D272+F272+H272))*C277)/100</f>
        <v>0.75</v>
      </c>
      <c r="E277" s="116"/>
      <c r="F277" s="116"/>
      <c r="G277" s="116"/>
      <c r="H277" s="116"/>
      <c r="I277" s="13" t="s">
        <v>99</v>
      </c>
      <c r="J277" s="29">
        <f ca="1">(IF(B272&gt;1,(H272/(B272+2)),H272/4))</f>
        <v>1.75</v>
      </c>
      <c r="S277"/>
    </row>
    <row r="278" spans="1:19" ht="15.75" customHeight="1" x14ac:dyDescent="0.35">
      <c r="A278" s="115" t="s">
        <v>133</v>
      </c>
      <c r="B278" s="115" t="s">
        <v>127</v>
      </c>
      <c r="C278" s="106">
        <v>1</v>
      </c>
      <c r="D278" s="87">
        <f ca="1">((100/H272)*C278)/100</f>
        <v>0.14285714285714288</v>
      </c>
      <c r="E278" s="116"/>
      <c r="F278" s="116"/>
      <c r="G278" s="116"/>
      <c r="H278" s="116"/>
      <c r="I278" s="13" t="s">
        <v>100</v>
      </c>
      <c r="J278" s="29">
        <f ca="1">(IF(B272&gt;1,(H272/(B272+2)+J277),H272/4+J277))</f>
        <v>3.5</v>
      </c>
    </row>
    <row r="279" spans="1:19" ht="15.75" customHeight="1" x14ac:dyDescent="0.35">
      <c r="A279" s="115" t="s">
        <v>134</v>
      </c>
      <c r="B279" s="115" t="s">
        <v>127</v>
      </c>
      <c r="C279" s="106">
        <v>0</v>
      </c>
      <c r="D279" s="87">
        <f ca="1">((100/H272)*C279)/100</f>
        <v>0</v>
      </c>
      <c r="E279" s="116"/>
      <c r="F279" s="116"/>
      <c r="G279" s="116"/>
      <c r="H279" s="116"/>
      <c r="I279" s="13" t="s">
        <v>145</v>
      </c>
      <c r="J279" s="29">
        <f>(IF(B272&gt;1,(H272/(B272+2)+J278),0))</f>
        <v>0</v>
      </c>
    </row>
    <row r="280" spans="1:19" ht="15" customHeight="1" x14ac:dyDescent="0.35">
      <c r="A280" s="115" t="s">
        <v>132</v>
      </c>
      <c r="B280" s="115" t="s">
        <v>129</v>
      </c>
      <c r="C280" s="106">
        <v>0</v>
      </c>
      <c r="D280" s="87">
        <f ca="1">((100/(H272))*C280)/100</f>
        <v>0</v>
      </c>
      <c r="E280" s="116"/>
      <c r="F280" s="116"/>
      <c r="G280" s="116"/>
      <c r="H280" s="116"/>
      <c r="I280" s="13" t="s">
        <v>140</v>
      </c>
      <c r="J280" s="29">
        <f>(IF(B272&gt;2,(H272/(B272+2)+J279),0))</f>
        <v>0</v>
      </c>
    </row>
    <row r="281" spans="1:19" ht="15.75" customHeight="1" x14ac:dyDescent="0.35">
      <c r="A281" s="115" t="s">
        <v>128</v>
      </c>
      <c r="B281" s="115" t="s">
        <v>128</v>
      </c>
      <c r="C281" s="106">
        <v>0</v>
      </c>
      <c r="D281" s="87">
        <f ca="1">((100/H272)*C281)/100</f>
        <v>0</v>
      </c>
      <c r="E281" s="116"/>
      <c r="F281" s="116"/>
      <c r="G281" s="116"/>
      <c r="H281" s="116"/>
      <c r="I281" s="13" t="s">
        <v>141</v>
      </c>
      <c r="J281" s="30">
        <f>(IF(B272&gt;3,(H272/(B272+2)+J280),0))</f>
        <v>0</v>
      </c>
    </row>
    <row r="282" spans="1:19" ht="15.75" customHeight="1" x14ac:dyDescent="0.35">
      <c r="A282" s="115" t="s">
        <v>135</v>
      </c>
      <c r="B282" s="115"/>
      <c r="C282" s="106">
        <v>0</v>
      </c>
      <c r="D282" s="87">
        <f ca="1">((100/H272)*C282)/100</f>
        <v>0</v>
      </c>
      <c r="E282" s="116"/>
      <c r="F282" s="116"/>
      <c r="G282" s="116"/>
      <c r="H282" s="116"/>
      <c r="I282" s="13" t="s">
        <v>142</v>
      </c>
      <c r="J282" s="29">
        <f>(IF(B272&gt;4,(H272/(B272+2)+J281),0))</f>
        <v>0</v>
      </c>
    </row>
    <row r="283" spans="1:19" ht="15.75" customHeight="1" x14ac:dyDescent="0.35">
      <c r="A283" s="115" t="s">
        <v>130</v>
      </c>
      <c r="B283" s="115" t="s">
        <v>130</v>
      </c>
      <c r="C283" s="106">
        <v>0</v>
      </c>
      <c r="D283" s="87">
        <f ca="1">((100/(H272))*C283)/100</f>
        <v>0</v>
      </c>
      <c r="E283" s="116"/>
      <c r="F283" s="116"/>
      <c r="G283" s="116"/>
      <c r="H283" s="116"/>
      <c r="I283" s="13" t="s">
        <v>146</v>
      </c>
      <c r="J283" s="29">
        <f ca="1">(IF(B272=1,(H272/(B272+3)+J278),IF(B272=0,(H272/4+J278),IF(B272&gt;1,0))))</f>
        <v>5.25</v>
      </c>
    </row>
    <row r="284" spans="1:19" ht="16" thickBot="1" x14ac:dyDescent="0.4">
      <c r="A284" s="115" t="s">
        <v>131</v>
      </c>
      <c r="B284" s="115"/>
      <c r="C284" s="106">
        <v>0</v>
      </c>
      <c r="D284" s="87">
        <f ca="1">((100/(H272))*C284)/100</f>
        <v>0</v>
      </c>
      <c r="E284" s="116"/>
      <c r="F284" s="116"/>
      <c r="G284" s="116"/>
      <c r="H284" s="116"/>
      <c r="I284" s="15" t="s">
        <v>101</v>
      </c>
      <c r="J284" s="31">
        <f ca="1">(IF(B272&gt;1.5,(H272/(B272+2)+J278+MAX(0,J279-J278)+MAX(0,J280-J279)+MAX(0,J281-J280)+MAX(0,J282-J281)+MAX(0,J283-J282)),IF(B272=1,(H272/(B272+3)+J283),IF(B272=0,H272/4+J283))))</f>
        <v>7</v>
      </c>
    </row>
    <row r="285" spans="1:19" ht="15.75" customHeight="1" x14ac:dyDescent="0.35">
      <c r="A285" s="140" t="s">
        <v>137</v>
      </c>
      <c r="B285" s="141"/>
      <c r="C285" s="142" t="str">
        <f>D78</f>
        <v>Building No.18 = Gr./Stilt + 1st to 7th Floor</v>
      </c>
      <c r="D285" s="143"/>
      <c r="E285" s="143"/>
      <c r="F285" s="143"/>
      <c r="G285" s="143"/>
      <c r="H285" s="144"/>
      <c r="I285" s="45" t="str">
        <f ca="1">IF(D298=100%,"All work Completed. Possession granted to the Building.",IF(D297=100%,"All work Completed, Waiting for OC",I286&amp;""&amp;I287&amp;""&amp;J286&amp;""&amp;J285&amp;" "&amp;J287))</f>
        <v>Excavation, Plinth Completed, RCC upto 2 Slab Completed</v>
      </c>
      <c r="J285" s="46" t="str">
        <f ca="1">(IF(C291=(D286+F286+H286),"",IF(C291&gt;0,", RCC upto "&amp;C291&amp;" Slab","")))&amp;(IF(C292=H286,"",IF(C292&gt;0,", Brickwork upto "&amp;C292&amp;" Floor","")))&amp;(IF(C293=H286,"",IF(C293&gt;0,", Internal Plaster upto "&amp;C293&amp;" Floor","")))&amp;(IF(C294=H286,"",IF(C294&gt;0,", External Plaster upto "&amp;C294&amp;" Floor","")))&amp;(IF(C295=H286,"",IF(C295&gt;0,", Flooring upto "&amp;C295&amp;" Floor","")))&amp;(IF(C296=H286,"",IF(C296&gt;0,", Painting upto "&amp;C296&amp;" Floor","")))&amp;(IF(C297=H286,"",IF(C297&gt;0,", Finishing upto "&amp;C297&amp;" Floor","")))&amp;(IF(C298=H286,"",IF(C298&gt;0,", Possession upto "&amp;C298&amp;" Floor","")))</f>
        <v>, RCC upto 2 Slab</v>
      </c>
      <c r="S285"/>
    </row>
    <row r="286" spans="1:19" x14ac:dyDescent="0.35">
      <c r="A286" s="16" t="s">
        <v>139</v>
      </c>
      <c r="B286" s="49">
        <f>IF(AND(ISNUMBER(SEARCH("1B",C285))),1,IF(AND(ISNUMBER(SEARCH("2B",C285))),2,IF(AND(ISNUMBER(SEARCH("3B",C285))),3,IF(AND(ISNUMBER(SEARCH("4B",C285))),4,IF(ISNUMBER(SEARCH("5B",C285)),5,0)))))</f>
        <v>0</v>
      </c>
      <c r="C286" s="49" t="s">
        <v>69</v>
      </c>
      <c r="D286" s="49">
        <v>1</v>
      </c>
      <c r="E286" s="49" t="s">
        <v>68</v>
      </c>
      <c r="F286" s="49">
        <v>0</v>
      </c>
      <c r="G286" s="49" t="s">
        <v>77</v>
      </c>
      <c r="H286" s="17">
        <f ca="1">--TRIM(RIGHT(SUBSTITUTE(LEFT(C285,_xlfn.AGGREGATE(16,6,FIND({0,1,2,3,4,5,6,7,8,9},C285,ROW(INDIRECT("1:"&amp;LEN(C285)))),1))," ",REPT(" ",LEN(C285))),LEN(C285)))</f>
        <v>7</v>
      </c>
      <c r="I286" s="47" t="str">
        <f ca="1">IF(D289=100%,"Excavation","")&amp;IF(D290=100%,", Plinth","")&amp;IF(D291=100%,", RCC Slab","")&amp;IF(D292=100%,", Brickwork","")&amp;IF(D293=100%,", Internal Plaster","")&amp;IF(D294=100%,", External Plaster","")&amp;IF(D295=100%,", Flooring","")&amp;IF(D296=100%,", Painting","")&amp;IF(D297=100%,", Building common Amenities","")</f>
        <v>Excavation, Plinth</v>
      </c>
      <c r="J286" s="48" t="str">
        <f ca="1">(IF(C289=0,"Work not yet Started.",IF(D289=25%,"Piling work in process",IF(D289=50%,"Excavation work in process",IF(D289=100%,"","0")))))&amp;(IF(C290=0%,"",IF(C290=J291,", Footing work is process",IF(C290=J292,", Footing work Completed",IF(C290=J293,", 1st Basement Completed",IF(C290=J294,", 1st &amp; 2nd Basement Completed",IF(C290=J295,", 1st to 3rd Basement Completed",IF(C290=J296,", 1st to 4th Basement Completed",IF(C290=J297,", Plinth work is process",IF(C290=J298,"","0"))))))))))</f>
        <v/>
      </c>
      <c r="S286"/>
    </row>
    <row r="287" spans="1:19" x14ac:dyDescent="0.35">
      <c r="A287" s="145" t="s">
        <v>87</v>
      </c>
      <c r="B287" s="114"/>
      <c r="C287" s="113" t="str">
        <f ca="1">I285</f>
        <v>Excavation, Plinth Completed, RCC upto 2 Slab Completed</v>
      </c>
      <c r="D287" s="113"/>
      <c r="E287" s="113"/>
      <c r="F287" s="113"/>
      <c r="G287" s="113"/>
      <c r="H287" s="146"/>
      <c r="I287" s="47" t="str">
        <f ca="1">IF(I286&lt;&gt;""," Completed","")</f>
        <v xml:space="preserve"> Completed</v>
      </c>
      <c r="J287" s="48" t="str">
        <f ca="1">IF(J285&lt;&gt;"","Completed","")</f>
        <v>Completed</v>
      </c>
      <c r="S287"/>
    </row>
    <row r="288" spans="1:19" ht="15.75" customHeight="1" x14ac:dyDescent="0.35">
      <c r="A288" s="147" t="s">
        <v>47</v>
      </c>
      <c r="B288" s="115"/>
      <c r="C288" s="86" t="s">
        <v>136</v>
      </c>
      <c r="D288" s="86" t="s">
        <v>80</v>
      </c>
      <c r="E288" s="115" t="s">
        <v>82</v>
      </c>
      <c r="F288" s="115"/>
      <c r="G288" s="115" t="s">
        <v>81</v>
      </c>
      <c r="H288" s="148"/>
      <c r="I288" s="13" t="s">
        <v>138</v>
      </c>
      <c r="J288" s="27">
        <f ca="1">H286*25%</f>
        <v>1.75</v>
      </c>
      <c r="K288" s="20" t="s">
        <v>431</v>
      </c>
      <c r="S288"/>
    </row>
    <row r="289" spans="1:19" x14ac:dyDescent="0.35">
      <c r="A289" s="115" t="s">
        <v>125</v>
      </c>
      <c r="B289" s="115"/>
      <c r="C289" s="97">
        <f ca="1">J290</f>
        <v>7</v>
      </c>
      <c r="D289" s="87">
        <f ca="1">((100/H286)*C289)/100</f>
        <v>1</v>
      </c>
      <c r="E289" s="116">
        <f ca="1">(((C290/H286*10)+(40/(D286+F286+H286)*C291)+(7.5/(H286)*C292)+(7.5/(H286)*C293)+(10/H286*C294)+(10/H286*C295)+(5/H286*C296)+(5/H286*C297)+(5/H286*C298))/100)</f>
        <v>0.2</v>
      </c>
      <c r="F289" s="116"/>
      <c r="G289" s="116">
        <f ca="1">((((C289/H286)*20)+((C290/H286)*25)+(30/(H286+F286+D286)*C291)+(5/H286*C292)+(5/H286*C293)+(5/H286*C294)+(5/H286*C295)+(0/H286*C296)+(0/H286*C297)+(5/H286*C298))/100)</f>
        <v>0.52500000000000002</v>
      </c>
      <c r="H289" s="116"/>
      <c r="I289" s="13" t="s">
        <v>97</v>
      </c>
      <c r="J289" s="28">
        <f ca="1">H286*50%</f>
        <v>3.5</v>
      </c>
    </row>
    <row r="290" spans="1:19" x14ac:dyDescent="0.35">
      <c r="A290" s="115" t="s">
        <v>48</v>
      </c>
      <c r="B290" s="115"/>
      <c r="C290" s="88">
        <f ca="1">J298</f>
        <v>7</v>
      </c>
      <c r="D290" s="87">
        <f ca="1">((100/H286)*C290)/100</f>
        <v>1</v>
      </c>
      <c r="E290" s="116"/>
      <c r="F290" s="116"/>
      <c r="G290" s="116"/>
      <c r="H290" s="116"/>
      <c r="I290" s="13" t="s">
        <v>98</v>
      </c>
      <c r="J290" s="28">
        <f ca="1">H286</f>
        <v>7</v>
      </c>
      <c r="S290"/>
    </row>
    <row r="291" spans="1:19" ht="15.75" customHeight="1" x14ac:dyDescent="0.35">
      <c r="A291" s="115" t="s">
        <v>126</v>
      </c>
      <c r="B291" s="115"/>
      <c r="C291" s="97">
        <v>2</v>
      </c>
      <c r="D291" s="87">
        <f ca="1">((100/(D286+F286+H286))*C291)/100</f>
        <v>0.25</v>
      </c>
      <c r="E291" s="116"/>
      <c r="F291" s="116"/>
      <c r="G291" s="116"/>
      <c r="H291" s="116"/>
      <c r="I291" s="13" t="s">
        <v>99</v>
      </c>
      <c r="J291" s="29">
        <f ca="1">(IF(B286&gt;1,(H286/(B286+2)),H286/4))</f>
        <v>1.75</v>
      </c>
      <c r="S291"/>
    </row>
    <row r="292" spans="1:19" ht="15.75" customHeight="1" x14ac:dyDescent="0.35">
      <c r="A292" s="115" t="s">
        <v>133</v>
      </c>
      <c r="B292" s="115" t="s">
        <v>127</v>
      </c>
      <c r="C292" s="97">
        <v>0</v>
      </c>
      <c r="D292" s="87">
        <f ca="1">((100/H286)*C292)/100</f>
        <v>0</v>
      </c>
      <c r="E292" s="116"/>
      <c r="F292" s="116"/>
      <c r="G292" s="116"/>
      <c r="H292" s="116"/>
      <c r="I292" s="13" t="s">
        <v>100</v>
      </c>
      <c r="J292" s="29">
        <f ca="1">(IF(B286&gt;1,(H286/(B286+2)+J291),H286/4+J291))</f>
        <v>3.5</v>
      </c>
    </row>
    <row r="293" spans="1:19" ht="15.75" customHeight="1" x14ac:dyDescent="0.35">
      <c r="A293" s="115" t="s">
        <v>134</v>
      </c>
      <c r="B293" s="115" t="s">
        <v>127</v>
      </c>
      <c r="C293" s="97">
        <v>0</v>
      </c>
      <c r="D293" s="87">
        <f ca="1">((100/H286)*C293)/100</f>
        <v>0</v>
      </c>
      <c r="E293" s="116"/>
      <c r="F293" s="116"/>
      <c r="G293" s="116"/>
      <c r="H293" s="116"/>
      <c r="I293" s="13" t="s">
        <v>145</v>
      </c>
      <c r="J293" s="29">
        <f>(IF(B286&gt;1,(H286/(B286+2)+J292),0))</f>
        <v>0</v>
      </c>
    </row>
    <row r="294" spans="1:19" ht="15" customHeight="1" x14ac:dyDescent="0.35">
      <c r="A294" s="115" t="s">
        <v>132</v>
      </c>
      <c r="B294" s="115" t="s">
        <v>129</v>
      </c>
      <c r="C294" s="97">
        <v>0</v>
      </c>
      <c r="D294" s="87">
        <f ca="1">((100/(H286))*C294)/100</f>
        <v>0</v>
      </c>
      <c r="E294" s="116"/>
      <c r="F294" s="116"/>
      <c r="G294" s="116"/>
      <c r="H294" s="116"/>
      <c r="I294" s="13" t="s">
        <v>140</v>
      </c>
      <c r="J294" s="29">
        <f>(IF(B286&gt;2,(H286/(B286+2)+J293),0))</f>
        <v>0</v>
      </c>
    </row>
    <row r="295" spans="1:19" ht="15.75" customHeight="1" x14ac:dyDescent="0.35">
      <c r="A295" s="115" t="s">
        <v>128</v>
      </c>
      <c r="B295" s="115" t="s">
        <v>128</v>
      </c>
      <c r="C295" s="97">
        <v>0</v>
      </c>
      <c r="D295" s="87">
        <f ca="1">((100/H286)*C295)/100</f>
        <v>0</v>
      </c>
      <c r="E295" s="116"/>
      <c r="F295" s="116"/>
      <c r="G295" s="116"/>
      <c r="H295" s="116"/>
      <c r="I295" s="13" t="s">
        <v>141</v>
      </c>
      <c r="J295" s="30">
        <f>(IF(B286&gt;3,(H286/(B286+2)+J294),0))</f>
        <v>0</v>
      </c>
    </row>
    <row r="296" spans="1:19" ht="15.75" customHeight="1" x14ac:dyDescent="0.35">
      <c r="A296" s="115" t="s">
        <v>135</v>
      </c>
      <c r="B296" s="115"/>
      <c r="C296" s="97">
        <v>0</v>
      </c>
      <c r="D296" s="87">
        <f ca="1">((100/H286)*C296)/100</f>
        <v>0</v>
      </c>
      <c r="E296" s="116"/>
      <c r="F296" s="116"/>
      <c r="G296" s="116"/>
      <c r="H296" s="116"/>
      <c r="I296" s="13" t="s">
        <v>142</v>
      </c>
      <c r="J296" s="29">
        <f>(IF(B286&gt;4,(H286/(B286+2)+J295),0))</f>
        <v>0</v>
      </c>
    </row>
    <row r="297" spans="1:19" ht="15.75" customHeight="1" x14ac:dyDescent="0.35">
      <c r="A297" s="115" t="s">
        <v>130</v>
      </c>
      <c r="B297" s="115" t="s">
        <v>130</v>
      </c>
      <c r="C297" s="97">
        <v>0</v>
      </c>
      <c r="D297" s="87">
        <f ca="1">((100/(H286))*C297)/100</f>
        <v>0</v>
      </c>
      <c r="E297" s="116"/>
      <c r="F297" s="116"/>
      <c r="G297" s="116"/>
      <c r="H297" s="116"/>
      <c r="I297" s="13" t="s">
        <v>146</v>
      </c>
      <c r="J297" s="29">
        <f ca="1">(IF(B286=1,(H286/(B286+3)+J292),IF(B286=0,(H286/4+J292),IF(B286&gt;1,0))))</f>
        <v>5.25</v>
      </c>
    </row>
    <row r="298" spans="1:19" ht="16" thickBot="1" x14ac:dyDescent="0.4">
      <c r="A298" s="115" t="s">
        <v>131</v>
      </c>
      <c r="B298" s="115"/>
      <c r="C298" s="97">
        <v>0</v>
      </c>
      <c r="D298" s="87">
        <f ca="1">((100/(H286))*C298)/100</f>
        <v>0</v>
      </c>
      <c r="E298" s="116"/>
      <c r="F298" s="116"/>
      <c r="G298" s="116"/>
      <c r="H298" s="116"/>
      <c r="I298" s="15" t="s">
        <v>101</v>
      </c>
      <c r="J298" s="31">
        <f ca="1">(IF(B286&gt;1.5,(H286/(B286+2)+J292+MAX(0,J293-J292)+MAX(0,J294-J293)+MAX(0,J295-J294)+MAX(0,J296-J295)+MAX(0,J297-J296)),IF(B286=1,(H286/(B286+3)+J297),IF(B286=0,H286/4+J297))))</f>
        <v>7</v>
      </c>
    </row>
    <row r="299" spans="1:19" ht="15.75" customHeight="1" x14ac:dyDescent="0.35">
      <c r="A299" s="113" t="s">
        <v>137</v>
      </c>
      <c r="B299" s="113"/>
      <c r="C299" s="113" t="str">
        <f>D79</f>
        <v>Building No.19 = Gr./Stilt + 1st to 7th Floor</v>
      </c>
      <c r="D299" s="113"/>
      <c r="E299" s="113"/>
      <c r="F299" s="113"/>
      <c r="G299" s="113"/>
      <c r="H299" s="113"/>
      <c r="I299" s="100" t="str">
        <f ca="1">IF(D312=100%,"All work Completed. Possession granted to the Building.",IF(D311=100%,"All work Completed, Waiting for OC",I300&amp;""&amp;I301&amp;""&amp;J300&amp;""&amp;J299&amp;" "&amp;J301))</f>
        <v>Excavation, Plinth Completed, RCC upto 3 Slab, Brickwork upto 2 Floor Completed</v>
      </c>
      <c r="J299" s="46" t="str">
        <f ca="1">(IF(C305=(D300+F300+H300),"",IF(C305&gt;0,", RCC upto "&amp;C305&amp;" Slab","")))&amp;(IF(C306=H300,"",IF(C306&gt;0,", Brickwork upto "&amp;C306&amp;" Floor","")))&amp;(IF(C307=H300,"",IF(C307&gt;0,", Internal Plaster upto "&amp;C307&amp;" Floor","")))&amp;(IF(C308=H300,"",IF(C308&gt;0,", External Plaster upto "&amp;C308&amp;" Floor","")))&amp;(IF(C309=H300,"",IF(C309&gt;0,", Flooring upto "&amp;C309&amp;" Floor","")))&amp;(IF(C310=H300,"",IF(C310&gt;0,", Painting upto "&amp;C310&amp;" Floor","")))&amp;(IF(C311=H300,"",IF(C311&gt;0,", Finishing upto "&amp;C311&amp;" Floor","")))&amp;(IF(C312=H300,"",IF(C312&gt;0,", Possession upto "&amp;C312&amp;" Floor","")))</f>
        <v>, RCC upto 3 Slab, Brickwork upto 2 Floor</v>
      </c>
      <c r="S299"/>
    </row>
    <row r="300" spans="1:19" x14ac:dyDescent="0.35">
      <c r="A300" s="107" t="s">
        <v>139</v>
      </c>
      <c r="B300" s="107">
        <f>IF(AND(ISNUMBER(SEARCH("1B",C299))),1,IF(AND(ISNUMBER(SEARCH("2B",C299))),2,IF(AND(ISNUMBER(SEARCH("3B",C299))),3,IF(AND(ISNUMBER(SEARCH("4B",C299))),4,IF(ISNUMBER(SEARCH("5B",C299)),5,0)))))</f>
        <v>0</v>
      </c>
      <c r="C300" s="107" t="s">
        <v>69</v>
      </c>
      <c r="D300" s="107">
        <v>1</v>
      </c>
      <c r="E300" s="107" t="s">
        <v>68</v>
      </c>
      <c r="F300" s="107">
        <v>0</v>
      </c>
      <c r="G300" s="107" t="s">
        <v>77</v>
      </c>
      <c r="H300" s="107">
        <f ca="1">--TRIM(RIGHT(SUBSTITUTE(LEFT(C299,_xlfn.AGGREGATE(16,6,FIND({0,1,2,3,4,5,6,7,8,9},C299,ROW(INDIRECT("1:"&amp;LEN(C299)))),1))," ",REPT(" ",LEN(C299))),LEN(C299)))</f>
        <v>7</v>
      </c>
      <c r="I300" s="101" t="str">
        <f ca="1">IF(D303=100%,"Excavation","")&amp;IF(D304=100%,", Plinth","")&amp;IF(D305=100%,", RCC Slab","")&amp;IF(D306=100%,", Brickwork","")&amp;IF(D307=100%,", Internal Plaster","")&amp;IF(D308=100%,", External Plaster","")&amp;IF(D309=100%,", Flooring","")&amp;IF(D310=100%,", Painting","")&amp;IF(D311=100%,", Building common Amenities","")</f>
        <v>Excavation, Plinth</v>
      </c>
      <c r="J300" s="48" t="str">
        <f ca="1">(IF(C303=0,"Work not yet Started.",IF(D303=25%,"Piling work in process",IF(D303=50%,"Excavation work in process",IF(D303=100%,"","0")))))&amp;(IF(C304=0%,"",IF(C304=J305,", Footing work is process",IF(C304=J306,", Footing work Completed",IF(C304=J307,", 1st Basement Completed",IF(C304=J308,", 1st &amp; 2nd Basement Completed",IF(C304=J309,", 1st to 3rd Basement Completed",IF(C304=J310,", 1st to 4th Basement Completed",IF(C304=J311,", Plinth work is process",IF(C304=J312,"","0"))))))))))</f>
        <v/>
      </c>
      <c r="S300"/>
    </row>
    <row r="301" spans="1:19" ht="32.5" customHeight="1" x14ac:dyDescent="0.35">
      <c r="A301" s="114" t="s">
        <v>87</v>
      </c>
      <c r="B301" s="114"/>
      <c r="C301" s="113" t="str">
        <f ca="1">I299</f>
        <v>Excavation, Plinth Completed, RCC upto 3 Slab, Brickwork upto 2 Floor Completed</v>
      </c>
      <c r="D301" s="113"/>
      <c r="E301" s="113"/>
      <c r="F301" s="113"/>
      <c r="G301" s="113"/>
      <c r="H301" s="113"/>
      <c r="I301" s="101" t="str">
        <f ca="1">IF(I300&lt;&gt;""," Completed","")</f>
        <v xml:space="preserve"> Completed</v>
      </c>
      <c r="J301" s="48" t="str">
        <f ca="1">IF(J299&lt;&gt;"","Completed","")</f>
        <v>Completed</v>
      </c>
      <c r="S301"/>
    </row>
    <row r="302" spans="1:19" ht="15.75" customHeight="1" x14ac:dyDescent="0.35">
      <c r="A302" s="115" t="s">
        <v>47</v>
      </c>
      <c r="B302" s="115"/>
      <c r="C302" s="106" t="s">
        <v>136</v>
      </c>
      <c r="D302" s="106" t="s">
        <v>80</v>
      </c>
      <c r="E302" s="115" t="s">
        <v>82</v>
      </c>
      <c r="F302" s="115"/>
      <c r="G302" s="115" t="s">
        <v>81</v>
      </c>
      <c r="H302" s="115"/>
      <c r="I302" s="13" t="s">
        <v>138</v>
      </c>
      <c r="J302" s="27">
        <f ca="1">H300*25%</f>
        <v>1.75</v>
      </c>
      <c r="S302"/>
    </row>
    <row r="303" spans="1:19" x14ac:dyDescent="0.35">
      <c r="A303" s="115" t="s">
        <v>125</v>
      </c>
      <c r="B303" s="115"/>
      <c r="C303" s="106">
        <f ca="1">J304</f>
        <v>7</v>
      </c>
      <c r="D303" s="87">
        <f ca="1">((100/H300)*C303)/100</f>
        <v>1</v>
      </c>
      <c r="E303" s="116">
        <f ca="1">(((C304/H300*10)+(40/(D300+F300+H300)*C305)+(7.5/(H300)*C306)+(7.5/(H300)*C307)+(10/H300*C308)+(10/H300*C309)+(5/H300*C310)+(5/H300*C311)+(5/H300*C312))/100)</f>
        <v>0.27142857142857141</v>
      </c>
      <c r="F303" s="116"/>
      <c r="G303" s="116">
        <f ca="1">((((C303/H300)*20)+((C304/H300)*25)+(30/(H300+F300+D300)*C305)+(5/H300*C306)+(5/H300*C307)+(5/H300*C308)+(5/H300*C309)+(0/H300*C310)+(0/H300*C311)+(5/H300*C312))/100)</f>
        <v>0.57678571428571435</v>
      </c>
      <c r="H303" s="116"/>
      <c r="I303" s="13" t="s">
        <v>97</v>
      </c>
      <c r="J303" s="28">
        <f ca="1">H300*50%</f>
        <v>3.5</v>
      </c>
    </row>
    <row r="304" spans="1:19" x14ac:dyDescent="0.35">
      <c r="A304" s="115" t="s">
        <v>48</v>
      </c>
      <c r="B304" s="115"/>
      <c r="C304" s="88">
        <f ca="1">J312</f>
        <v>7</v>
      </c>
      <c r="D304" s="87">
        <f ca="1">((100/H300)*C304)/100</f>
        <v>1</v>
      </c>
      <c r="E304" s="116"/>
      <c r="F304" s="116"/>
      <c r="G304" s="116"/>
      <c r="H304" s="116"/>
      <c r="I304" s="13" t="s">
        <v>98</v>
      </c>
      <c r="J304" s="28">
        <f ca="1">H300</f>
        <v>7</v>
      </c>
      <c r="S304"/>
    </row>
    <row r="305" spans="1:19" ht="15.75" customHeight="1" x14ac:dyDescent="0.35">
      <c r="A305" s="115" t="s">
        <v>126</v>
      </c>
      <c r="B305" s="115"/>
      <c r="C305" s="106">
        <v>3</v>
      </c>
      <c r="D305" s="87">
        <f ca="1">((100/(D300+F300+H300))*C305)/100</f>
        <v>0.375</v>
      </c>
      <c r="E305" s="116"/>
      <c r="F305" s="116"/>
      <c r="G305" s="116"/>
      <c r="H305" s="116"/>
      <c r="I305" s="13" t="s">
        <v>99</v>
      </c>
      <c r="J305" s="29">
        <f ca="1">(IF(B300&gt;1,(H300/(B300+2)),H300/4))</f>
        <v>1.75</v>
      </c>
      <c r="S305"/>
    </row>
    <row r="306" spans="1:19" ht="15.75" customHeight="1" x14ac:dyDescent="0.35">
      <c r="A306" s="115" t="s">
        <v>133</v>
      </c>
      <c r="B306" s="115" t="s">
        <v>127</v>
      </c>
      <c r="C306" s="106">
        <v>2</v>
      </c>
      <c r="D306" s="87">
        <f ca="1">((100/H300)*C306)/100</f>
        <v>0.28571428571428575</v>
      </c>
      <c r="E306" s="116"/>
      <c r="F306" s="116"/>
      <c r="G306" s="116"/>
      <c r="H306" s="116"/>
      <c r="I306" s="13" t="s">
        <v>100</v>
      </c>
      <c r="J306" s="29">
        <f ca="1">(IF(B300&gt;1,(H300/(B300+2)+J305),H300/4+J305))</f>
        <v>3.5</v>
      </c>
    </row>
    <row r="307" spans="1:19" ht="15.75" customHeight="1" x14ac:dyDescent="0.35">
      <c r="A307" s="115" t="s">
        <v>134</v>
      </c>
      <c r="B307" s="115" t="s">
        <v>127</v>
      </c>
      <c r="C307" s="106">
        <v>0</v>
      </c>
      <c r="D307" s="87">
        <f ca="1">((100/H300)*C307)/100</f>
        <v>0</v>
      </c>
      <c r="E307" s="116"/>
      <c r="F307" s="116"/>
      <c r="G307" s="116"/>
      <c r="H307" s="116"/>
      <c r="I307" s="13" t="s">
        <v>145</v>
      </c>
      <c r="J307" s="29">
        <f>(IF(B300&gt;1,(H300/(B300+2)+J306),0))</f>
        <v>0</v>
      </c>
    </row>
    <row r="308" spans="1:19" ht="15" customHeight="1" x14ac:dyDescent="0.35">
      <c r="A308" s="115" t="s">
        <v>132</v>
      </c>
      <c r="B308" s="115" t="s">
        <v>129</v>
      </c>
      <c r="C308" s="106">
        <v>0</v>
      </c>
      <c r="D308" s="87">
        <f ca="1">((100/(H300))*C308)/100</f>
        <v>0</v>
      </c>
      <c r="E308" s="116"/>
      <c r="F308" s="116"/>
      <c r="G308" s="116"/>
      <c r="H308" s="116"/>
      <c r="I308" s="13" t="s">
        <v>140</v>
      </c>
      <c r="J308" s="29">
        <f>(IF(B300&gt;2,(H300/(B300+2)+J307),0))</f>
        <v>0</v>
      </c>
    </row>
    <row r="309" spans="1:19" ht="15.75" customHeight="1" x14ac:dyDescent="0.35">
      <c r="A309" s="115" t="s">
        <v>128</v>
      </c>
      <c r="B309" s="115" t="s">
        <v>128</v>
      </c>
      <c r="C309" s="106">
        <v>0</v>
      </c>
      <c r="D309" s="87">
        <f ca="1">((100/H300)*C309)/100</f>
        <v>0</v>
      </c>
      <c r="E309" s="116"/>
      <c r="F309" s="116"/>
      <c r="G309" s="116"/>
      <c r="H309" s="116"/>
      <c r="I309" s="13" t="s">
        <v>141</v>
      </c>
      <c r="J309" s="30">
        <f>(IF(B300&gt;3,(H300/(B300+2)+J308),0))</f>
        <v>0</v>
      </c>
    </row>
    <row r="310" spans="1:19" ht="15.75" customHeight="1" x14ac:dyDescent="0.35">
      <c r="A310" s="115" t="s">
        <v>135</v>
      </c>
      <c r="B310" s="115"/>
      <c r="C310" s="106">
        <v>0</v>
      </c>
      <c r="D310" s="87">
        <f ca="1">((100/H300)*C310)/100</f>
        <v>0</v>
      </c>
      <c r="E310" s="116"/>
      <c r="F310" s="116"/>
      <c r="G310" s="116"/>
      <c r="H310" s="116"/>
      <c r="I310" s="13" t="s">
        <v>142</v>
      </c>
      <c r="J310" s="29">
        <f>(IF(B300&gt;4,(H300/(B300+2)+J309),0))</f>
        <v>0</v>
      </c>
    </row>
    <row r="311" spans="1:19" ht="15.75" customHeight="1" x14ac:dyDescent="0.35">
      <c r="A311" s="115" t="s">
        <v>130</v>
      </c>
      <c r="B311" s="115" t="s">
        <v>130</v>
      </c>
      <c r="C311" s="106">
        <v>0</v>
      </c>
      <c r="D311" s="87">
        <f ca="1">((100/(H300))*C311)/100</f>
        <v>0</v>
      </c>
      <c r="E311" s="116"/>
      <c r="F311" s="116"/>
      <c r="G311" s="116"/>
      <c r="H311" s="116"/>
      <c r="I311" s="13" t="s">
        <v>146</v>
      </c>
      <c r="J311" s="29">
        <f ca="1">(IF(B300=1,(H300/(B300+3)+J306),IF(B300=0,(H300/4+J306),IF(B300&gt;1,0))))</f>
        <v>5.25</v>
      </c>
    </row>
    <row r="312" spans="1:19" ht="16" thickBot="1" x14ac:dyDescent="0.4">
      <c r="A312" s="115" t="s">
        <v>131</v>
      </c>
      <c r="B312" s="115"/>
      <c r="C312" s="106">
        <v>0</v>
      </c>
      <c r="D312" s="87">
        <f ca="1">((100/(H300))*C312)/100</f>
        <v>0</v>
      </c>
      <c r="E312" s="116"/>
      <c r="F312" s="116"/>
      <c r="G312" s="116"/>
      <c r="H312" s="116"/>
      <c r="I312" s="15" t="s">
        <v>101</v>
      </c>
      <c r="J312" s="31">
        <f ca="1">(IF(B300&gt;1.5,(H300/(B300+2)+J306+MAX(0,J307-J306)+MAX(0,J308-J307)+MAX(0,J309-J308)+MAX(0,J310-J309)+MAX(0,J311-J310)),IF(B300=1,(H300/(B300+3)+J311),IF(B300=0,H300/4+J311))))</f>
        <v>7</v>
      </c>
    </row>
    <row r="313" spans="1:19" ht="15.75" hidden="1" customHeight="1" x14ac:dyDescent="0.35">
      <c r="A313" s="137" t="s">
        <v>137</v>
      </c>
      <c r="B313" s="137"/>
      <c r="C313" s="137" t="str">
        <f>D80</f>
        <v>Building No.20 = Gr./Stilt + 1st to 7th Floor</v>
      </c>
      <c r="D313" s="137"/>
      <c r="E313" s="137"/>
      <c r="F313" s="137"/>
      <c r="G313" s="137"/>
      <c r="H313" s="137"/>
      <c r="I313" s="100" t="str">
        <f ca="1">IF(D326=100%,"All work Completed. Possession granted to the Building.",IF(D325=100%,"All work Completed, Waiting for OC",I314&amp;""&amp;I315&amp;""&amp;J314&amp;""&amp;J313&amp;" "&amp;J315))</f>
        <v xml:space="preserve">Work not yet Started. </v>
      </c>
      <c r="J313" s="46" t="str">
        <f ca="1">(IF(C319=(D314+F314+H314),"",IF(C319&gt;0,", RCC upto "&amp;C319&amp;" Slab","")))&amp;(IF(C320=H314,"",IF(C320&gt;0,", Brickwork upto "&amp;C320&amp;" Floor","")))&amp;(IF(C321=H314,"",IF(C321&gt;0,", Internal Plaster upto "&amp;C321&amp;" Floor","")))&amp;(IF(C322=H314,"",IF(C322&gt;0,", External Plaster upto "&amp;C322&amp;" Floor","")))&amp;(IF(C323=H314,"",IF(C323&gt;0,", Flooring upto "&amp;C323&amp;" Floor","")))&amp;(IF(C324=H314,"",IF(C324&gt;0,", Painting upto "&amp;C324&amp;" Floor","")))&amp;(IF(C325=H314,"",IF(C325&gt;0,", Finishing upto "&amp;C325&amp;" Floor","")))&amp;(IF(C326=H314,"",IF(C326&gt;0,", Possession upto "&amp;C326&amp;" Floor","")))</f>
        <v/>
      </c>
      <c r="S313"/>
    </row>
    <row r="314" spans="1:19" hidden="1" x14ac:dyDescent="0.35">
      <c r="A314" s="99" t="s">
        <v>139</v>
      </c>
      <c r="B314" s="99">
        <f>IF(AND(ISNUMBER(SEARCH("1B",C313))),1,IF(AND(ISNUMBER(SEARCH("2B",C313))),2,IF(AND(ISNUMBER(SEARCH("3B",C313))),3,IF(AND(ISNUMBER(SEARCH("4B",C313))),4,IF(ISNUMBER(SEARCH("5B",C313)),5,0)))))</f>
        <v>0</v>
      </c>
      <c r="C314" s="99" t="s">
        <v>69</v>
      </c>
      <c r="D314" s="99">
        <v>1</v>
      </c>
      <c r="E314" s="99" t="s">
        <v>68</v>
      </c>
      <c r="F314" s="14">
        <v>0</v>
      </c>
      <c r="G314" s="44" t="s">
        <v>77</v>
      </c>
      <c r="H314" s="99">
        <f ca="1">--TRIM(RIGHT(SUBSTITUTE(LEFT(C313,_xlfn.AGGREGATE(16,6,FIND({0,1,2,3,4,5,6,7,8,9},C313,ROW(INDIRECT("1:"&amp;LEN(C313)))),1))," ",REPT(" ",LEN(C313))),LEN(C313)))</f>
        <v>7</v>
      </c>
      <c r="I314" s="101" t="str">
        <f ca="1">IF(D317=100%,"Excavation","")&amp;IF(D318=100%,", Plinth","")&amp;IF(D319=100%,", RCC Slab","")&amp;IF(D320=100%,", Brickwork","")&amp;IF(D321=100%,", Internal Plaster","")&amp;IF(D322=100%,", External Plaster","")&amp;IF(D323=100%,", Flooring","")&amp;IF(D324=100%,", Painting","")&amp;IF(D325=100%,", Building common Amenities","")</f>
        <v/>
      </c>
      <c r="J314" s="48" t="str">
        <f>(IF(C317=0,"Work not yet Started.",IF(D317=25%,"Piling work in process",IF(D317=50%,"Excavation work in process",IF(D317=100%,"","0")))))&amp;(IF(C318=0%,"",IF(C318=J319,", Footing work is process",IF(C318=J320,", Footing work Completed",IF(C318=J321,", 1st Basement Completed",IF(C318=J322,", 1st &amp; 2nd Basement Completed",IF(C318=J323,", 1st to 3rd Basement Completed",IF(C318=J324,", 1st to 4th Basement Completed",IF(C318=J325,", Plinth work is process",IF(C318=J326,"","0"))))))))))</f>
        <v>Work not yet Started.</v>
      </c>
      <c r="S314"/>
    </row>
    <row r="315" spans="1:19" ht="36.75" hidden="1" customHeight="1" x14ac:dyDescent="0.35">
      <c r="A315" s="114" t="s">
        <v>87</v>
      </c>
      <c r="B315" s="114"/>
      <c r="C315" s="113" t="str">
        <f ca="1">I313</f>
        <v xml:space="preserve">Work not yet Started. </v>
      </c>
      <c r="D315" s="113"/>
      <c r="E315" s="113"/>
      <c r="F315" s="113"/>
      <c r="G315" s="113"/>
      <c r="H315" s="113"/>
      <c r="I315" s="101" t="str">
        <f ca="1">IF(I314&lt;&gt;""," Completed","")</f>
        <v/>
      </c>
      <c r="J315" s="48" t="str">
        <f ca="1">IF(J313&lt;&gt;"","Completed","")</f>
        <v/>
      </c>
      <c r="S315"/>
    </row>
    <row r="316" spans="1:19" ht="15.75" hidden="1" customHeight="1" x14ac:dyDescent="0.35">
      <c r="A316" s="138" t="s">
        <v>47</v>
      </c>
      <c r="B316" s="138"/>
      <c r="C316" s="98" t="s">
        <v>136</v>
      </c>
      <c r="D316" s="98" t="s">
        <v>80</v>
      </c>
      <c r="E316" s="138" t="s">
        <v>82</v>
      </c>
      <c r="F316" s="138"/>
      <c r="G316" s="138" t="s">
        <v>81</v>
      </c>
      <c r="H316" s="138"/>
      <c r="I316" s="13" t="s">
        <v>138</v>
      </c>
      <c r="J316" s="27">
        <f ca="1">H314*25%</f>
        <v>1.75</v>
      </c>
      <c r="S316"/>
    </row>
    <row r="317" spans="1:19" hidden="1" x14ac:dyDescent="0.35">
      <c r="A317" s="138" t="s">
        <v>125</v>
      </c>
      <c r="B317" s="138"/>
      <c r="C317" s="59">
        <v>0</v>
      </c>
      <c r="D317" s="19">
        <f ca="1">((100/H314)*C317)/100</f>
        <v>0</v>
      </c>
      <c r="E317" s="139">
        <f ca="1">(((C318/H314*10)+(40/(D314+F314+H314)*C319)+(7.5/(H314)*C320)+(7.5/(H314)*C321)+(10/H314*C322)+(10/H314*C323)+(5/H314*C324)+(5/H314*C325)+(5/H314*C326))/100)</f>
        <v>0</v>
      </c>
      <c r="F317" s="139"/>
      <c r="G317" s="139">
        <f ca="1">((((C317/H314)*20)+((C318/H314)*25)+(30/(H314+F314+D314)*C319)+(5/H314*C320)+(5/H314*C321)+(5/H314*C322)+(5/H314*C323)+(0/H314*C324)+(0/H314*C325)+(5/H314*C326))/100)</f>
        <v>0</v>
      </c>
      <c r="H317" s="139"/>
      <c r="I317" s="13" t="s">
        <v>97</v>
      </c>
      <c r="J317" s="28">
        <f ca="1">H314*50%</f>
        <v>3.5</v>
      </c>
    </row>
    <row r="318" spans="1:19" hidden="1" x14ac:dyDescent="0.35">
      <c r="A318" s="138" t="s">
        <v>48</v>
      </c>
      <c r="B318" s="138"/>
      <c r="C318" s="98">
        <v>0</v>
      </c>
      <c r="D318" s="19">
        <f ca="1">((100/H314)*C318)/100</f>
        <v>0</v>
      </c>
      <c r="E318" s="139"/>
      <c r="F318" s="139"/>
      <c r="G318" s="139"/>
      <c r="H318" s="139"/>
      <c r="I318" s="13" t="s">
        <v>98</v>
      </c>
      <c r="J318" s="28">
        <f ca="1">H314</f>
        <v>7</v>
      </c>
      <c r="S318"/>
    </row>
    <row r="319" spans="1:19" ht="15.75" hidden="1" customHeight="1" x14ac:dyDescent="0.35">
      <c r="A319" s="138" t="s">
        <v>126</v>
      </c>
      <c r="B319" s="138"/>
      <c r="C319" s="98">
        <v>0</v>
      </c>
      <c r="D319" s="19">
        <f ca="1">((100/(D314+F314+H314))*C319)/100</f>
        <v>0</v>
      </c>
      <c r="E319" s="139"/>
      <c r="F319" s="139"/>
      <c r="G319" s="139"/>
      <c r="H319" s="139"/>
      <c r="I319" s="13" t="s">
        <v>99</v>
      </c>
      <c r="J319" s="29">
        <f ca="1">(IF(B314&gt;1,(H314/(B314+2)),H314/4))</f>
        <v>1.75</v>
      </c>
      <c r="S319"/>
    </row>
    <row r="320" spans="1:19" ht="15.75" hidden="1" customHeight="1" x14ac:dyDescent="0.35">
      <c r="A320" s="138" t="s">
        <v>133</v>
      </c>
      <c r="B320" s="138" t="s">
        <v>127</v>
      </c>
      <c r="C320" s="98">
        <v>0</v>
      </c>
      <c r="D320" s="19">
        <f ca="1">((100/H314)*C320)/100</f>
        <v>0</v>
      </c>
      <c r="E320" s="139"/>
      <c r="F320" s="139"/>
      <c r="G320" s="139"/>
      <c r="H320" s="139"/>
      <c r="I320" s="13" t="s">
        <v>100</v>
      </c>
      <c r="J320" s="29">
        <f ca="1">(IF(B314&gt;1,(H314/(B314+2)+J319),H314/4+J319))</f>
        <v>3.5</v>
      </c>
    </row>
    <row r="321" spans="1:19" ht="15.75" hidden="1" customHeight="1" x14ac:dyDescent="0.35">
      <c r="A321" s="138" t="s">
        <v>134</v>
      </c>
      <c r="B321" s="138" t="s">
        <v>127</v>
      </c>
      <c r="C321" s="98">
        <v>0</v>
      </c>
      <c r="D321" s="19">
        <f ca="1">((100/H314)*C321)/100</f>
        <v>0</v>
      </c>
      <c r="E321" s="139"/>
      <c r="F321" s="139"/>
      <c r="G321" s="139"/>
      <c r="H321" s="139"/>
      <c r="I321" s="13" t="s">
        <v>145</v>
      </c>
      <c r="J321" s="29">
        <f>(IF(B314&gt;1,(H314/(B314+2)+J320),0))</f>
        <v>0</v>
      </c>
    </row>
    <row r="322" spans="1:19" ht="15" hidden="1" customHeight="1" x14ac:dyDescent="0.35">
      <c r="A322" s="138" t="s">
        <v>132</v>
      </c>
      <c r="B322" s="138" t="s">
        <v>129</v>
      </c>
      <c r="C322" s="98">
        <v>0</v>
      </c>
      <c r="D322" s="19">
        <f ca="1">((100/(H314))*C322)/100</f>
        <v>0</v>
      </c>
      <c r="E322" s="139"/>
      <c r="F322" s="139"/>
      <c r="G322" s="139"/>
      <c r="H322" s="139"/>
      <c r="I322" s="13" t="s">
        <v>140</v>
      </c>
      <c r="J322" s="29">
        <f>(IF(B314&gt;2,(H314/(B314+2)+J321),0))</f>
        <v>0</v>
      </c>
    </row>
    <row r="323" spans="1:19" ht="15.75" hidden="1" customHeight="1" x14ac:dyDescent="0.35">
      <c r="A323" s="138" t="s">
        <v>128</v>
      </c>
      <c r="B323" s="138" t="s">
        <v>128</v>
      </c>
      <c r="C323" s="98">
        <v>0</v>
      </c>
      <c r="D323" s="19">
        <f ca="1">((100/H314)*C323)/100</f>
        <v>0</v>
      </c>
      <c r="E323" s="139"/>
      <c r="F323" s="139"/>
      <c r="G323" s="139"/>
      <c r="H323" s="139"/>
      <c r="I323" s="13" t="s">
        <v>141</v>
      </c>
      <c r="J323" s="30">
        <f>(IF(B314&gt;3,(H314/(B314+2)+J322),0))</f>
        <v>0</v>
      </c>
    </row>
    <row r="324" spans="1:19" ht="15.75" hidden="1" customHeight="1" x14ac:dyDescent="0.35">
      <c r="A324" s="138" t="s">
        <v>135</v>
      </c>
      <c r="B324" s="138"/>
      <c r="C324" s="98">
        <v>0</v>
      </c>
      <c r="D324" s="19">
        <f ca="1">((100/H314)*C324)/100</f>
        <v>0</v>
      </c>
      <c r="E324" s="139"/>
      <c r="F324" s="139"/>
      <c r="G324" s="139"/>
      <c r="H324" s="139"/>
      <c r="I324" s="13" t="s">
        <v>142</v>
      </c>
      <c r="J324" s="29">
        <f>(IF(B314&gt;4,(H314/(B314+2)+J323),0))</f>
        <v>0</v>
      </c>
    </row>
    <row r="325" spans="1:19" ht="15.75" hidden="1" customHeight="1" x14ac:dyDescent="0.35">
      <c r="A325" s="138" t="s">
        <v>130</v>
      </c>
      <c r="B325" s="138" t="s">
        <v>130</v>
      </c>
      <c r="C325" s="98">
        <v>0</v>
      </c>
      <c r="D325" s="19">
        <f ca="1">((100/(H314))*C325)/100</f>
        <v>0</v>
      </c>
      <c r="E325" s="139"/>
      <c r="F325" s="139"/>
      <c r="G325" s="139"/>
      <c r="H325" s="139"/>
      <c r="I325" s="13" t="s">
        <v>146</v>
      </c>
      <c r="J325" s="29">
        <f ca="1">(IF(B314=1,(H314/(B314+3)+J320),IF(B314=0,(H314/4+J320),IF(B314&gt;1,0))))</f>
        <v>5.25</v>
      </c>
    </row>
    <row r="326" spans="1:19" ht="16" hidden="1" thickBot="1" x14ac:dyDescent="0.4">
      <c r="A326" s="138" t="s">
        <v>131</v>
      </c>
      <c r="B326" s="138"/>
      <c r="C326" s="98">
        <v>0</v>
      </c>
      <c r="D326" s="19">
        <f ca="1">((100/(H314))*C326)/100</f>
        <v>0</v>
      </c>
      <c r="E326" s="139"/>
      <c r="F326" s="139"/>
      <c r="G326" s="139"/>
      <c r="H326" s="139"/>
      <c r="I326" s="15" t="s">
        <v>101</v>
      </c>
      <c r="J326" s="31">
        <f ca="1">(IF(B314&gt;1.5,(H314/(B314+2)+J320+MAX(0,J321-J320)+MAX(0,J322-J321)+MAX(0,J323-J322)+MAX(0,J324-J323)+MAX(0,J325-J324)),IF(B314=1,(H314/(B314+3)+J325),IF(B314=0,H314/4+J325))))</f>
        <v>7</v>
      </c>
    </row>
    <row r="327" spans="1:19" ht="15.75" hidden="1" customHeight="1" x14ac:dyDescent="0.35">
      <c r="A327" s="137" t="s">
        <v>137</v>
      </c>
      <c r="B327" s="137"/>
      <c r="C327" s="137" t="str">
        <f>D81</f>
        <v>Building No.21 = Gr./Stilt + 1st to 7th Floor</v>
      </c>
      <c r="D327" s="137"/>
      <c r="E327" s="137"/>
      <c r="F327" s="137"/>
      <c r="G327" s="137"/>
      <c r="H327" s="137"/>
      <c r="I327" s="100" t="str">
        <f ca="1">IF(D340=100%,"All work Completed. Possession granted to the Building.",IF(D339=100%,"All work Completed, Waiting for OC",I328&amp;""&amp;I329&amp;""&amp;J328&amp;""&amp;J327&amp;" "&amp;J329))</f>
        <v xml:space="preserve">Work not yet Started. </v>
      </c>
      <c r="J327" s="46" t="str">
        <f ca="1">(IF(C333=(D328+F328+H328),"",IF(C333&gt;0,", RCC upto "&amp;C333&amp;" Slab","")))&amp;(IF(C334=H328,"",IF(C334&gt;0,", Brickwork upto "&amp;C334&amp;" Floor","")))&amp;(IF(C335=H328,"",IF(C335&gt;0,", Internal Plaster upto "&amp;C335&amp;" Floor","")))&amp;(IF(C336=H328,"",IF(C336&gt;0,", External Plaster upto "&amp;C336&amp;" Floor","")))&amp;(IF(C337=H328,"",IF(C337&gt;0,", Flooring upto "&amp;C337&amp;" Floor","")))&amp;(IF(C338=H328,"",IF(C338&gt;0,", Painting upto "&amp;C338&amp;" Floor","")))&amp;(IF(C339=H328,"",IF(C339&gt;0,", Finishing upto "&amp;C339&amp;" Floor","")))&amp;(IF(C340=H328,"",IF(C340&gt;0,", Possession upto "&amp;C340&amp;" Floor","")))</f>
        <v/>
      </c>
      <c r="S327"/>
    </row>
    <row r="328" spans="1:19" hidden="1" x14ac:dyDescent="0.35">
      <c r="A328" s="99" t="s">
        <v>139</v>
      </c>
      <c r="B328" s="99">
        <f>IF(AND(ISNUMBER(SEARCH("1B",C327))),1,IF(AND(ISNUMBER(SEARCH("2B",C327))),2,IF(AND(ISNUMBER(SEARCH("3B",C327))),3,IF(AND(ISNUMBER(SEARCH("4B",C327))),4,IF(ISNUMBER(SEARCH("5B",C327)),5,0)))))</f>
        <v>0</v>
      </c>
      <c r="C328" s="99" t="s">
        <v>69</v>
      </c>
      <c r="D328" s="99">
        <v>1</v>
      </c>
      <c r="E328" s="99" t="s">
        <v>68</v>
      </c>
      <c r="F328" s="14">
        <v>0</v>
      </c>
      <c r="G328" s="44" t="s">
        <v>77</v>
      </c>
      <c r="H328" s="99">
        <f ca="1">--TRIM(RIGHT(SUBSTITUTE(LEFT(C327,_xlfn.AGGREGATE(16,6,FIND({0,1,2,3,4,5,6,7,8,9},C327,ROW(INDIRECT("1:"&amp;LEN(C327)))),1))," ",REPT(" ",LEN(C327))),LEN(C327)))</f>
        <v>7</v>
      </c>
      <c r="I328" s="101" t="str">
        <f ca="1">IF(D331=100%,"Excavation","")&amp;IF(D332=100%,", Plinth","")&amp;IF(D333=100%,", RCC Slab","")&amp;IF(D334=100%,", Brickwork","")&amp;IF(D335=100%,", Internal Plaster","")&amp;IF(D336=100%,", External Plaster","")&amp;IF(D337=100%,", Flooring","")&amp;IF(D338=100%,", Painting","")&amp;IF(D339=100%,", Building common Amenities","")</f>
        <v/>
      </c>
      <c r="J328" s="48" t="str">
        <f>(IF(C331=0,"Work not yet Started.",IF(D331=25%,"Piling work in process",IF(D331=50%,"Excavation work in process",IF(D331=100%,"","0")))))&amp;(IF(C332=0%,"",IF(C332=J333,", Footing work is process",IF(C332=J334,", Footing work Completed",IF(C332=J335,", 1st Basement Completed",IF(C332=J336,", 1st &amp; 2nd Basement Completed",IF(C332=J337,", 1st to 3rd Basement Completed",IF(C332=J338,", 1st to 4th Basement Completed",IF(C332=J339,", Plinth work is process",IF(C332=J340,"","0"))))))))))</f>
        <v>Work not yet Started.</v>
      </c>
      <c r="S328"/>
    </row>
    <row r="329" spans="1:19" ht="36.75" hidden="1" customHeight="1" x14ac:dyDescent="0.35">
      <c r="A329" s="114" t="s">
        <v>87</v>
      </c>
      <c r="B329" s="114"/>
      <c r="C329" s="113" t="str">
        <f ca="1">I327</f>
        <v xml:space="preserve">Work not yet Started. </v>
      </c>
      <c r="D329" s="113"/>
      <c r="E329" s="113"/>
      <c r="F329" s="113"/>
      <c r="G329" s="113"/>
      <c r="H329" s="113"/>
      <c r="I329" s="101" t="str">
        <f ca="1">IF(I328&lt;&gt;""," Completed","")</f>
        <v/>
      </c>
      <c r="J329" s="48" t="str">
        <f ca="1">IF(J327&lt;&gt;"","Completed","")</f>
        <v/>
      </c>
      <c r="S329"/>
    </row>
    <row r="330" spans="1:19" ht="15.75" hidden="1" customHeight="1" x14ac:dyDescent="0.35">
      <c r="A330" s="138" t="s">
        <v>47</v>
      </c>
      <c r="B330" s="138"/>
      <c r="C330" s="98" t="s">
        <v>136</v>
      </c>
      <c r="D330" s="98" t="s">
        <v>80</v>
      </c>
      <c r="E330" s="138" t="s">
        <v>82</v>
      </c>
      <c r="F330" s="138"/>
      <c r="G330" s="138" t="s">
        <v>81</v>
      </c>
      <c r="H330" s="138"/>
      <c r="I330" s="13" t="s">
        <v>138</v>
      </c>
      <c r="J330" s="27">
        <f ca="1">H328*25%</f>
        <v>1.75</v>
      </c>
      <c r="S330"/>
    </row>
    <row r="331" spans="1:19" hidden="1" x14ac:dyDescent="0.35">
      <c r="A331" s="138" t="s">
        <v>125</v>
      </c>
      <c r="B331" s="138"/>
      <c r="C331" s="59">
        <v>0</v>
      </c>
      <c r="D331" s="19">
        <f ca="1">((100/H328)*C331)/100</f>
        <v>0</v>
      </c>
      <c r="E331" s="139">
        <f ca="1">(((C332/H328*10)+(40/(D328+F328+H328)*C333)+(7.5/(H328)*C334)+(7.5/(H328)*C335)+(10/H328*C336)+(10/H328*C337)+(5/H328*C338)+(5/H328*C339)+(5/H328*C340))/100)</f>
        <v>0</v>
      </c>
      <c r="F331" s="139"/>
      <c r="G331" s="139">
        <f ca="1">((((C331/H328)*20)+((C332/H328)*25)+(30/(H328+F328+D328)*C333)+(5/H328*C334)+(5/H328*C335)+(5/H328*C336)+(5/H328*C337)+(0/H328*C338)+(0/H328*C339)+(5/H328*C340))/100)</f>
        <v>0</v>
      </c>
      <c r="H331" s="139"/>
      <c r="I331" s="13" t="s">
        <v>97</v>
      </c>
      <c r="J331" s="28">
        <f ca="1">H328*50%</f>
        <v>3.5</v>
      </c>
    </row>
    <row r="332" spans="1:19" hidden="1" x14ac:dyDescent="0.35">
      <c r="A332" s="138" t="s">
        <v>48</v>
      </c>
      <c r="B332" s="138"/>
      <c r="C332" s="98">
        <v>0</v>
      </c>
      <c r="D332" s="19">
        <f ca="1">((100/H328)*C332)/100</f>
        <v>0</v>
      </c>
      <c r="E332" s="139"/>
      <c r="F332" s="139"/>
      <c r="G332" s="139"/>
      <c r="H332" s="139"/>
      <c r="I332" s="13" t="s">
        <v>98</v>
      </c>
      <c r="J332" s="28">
        <f ca="1">H328</f>
        <v>7</v>
      </c>
      <c r="S332"/>
    </row>
    <row r="333" spans="1:19" ht="15.75" hidden="1" customHeight="1" x14ac:dyDescent="0.35">
      <c r="A333" s="138" t="s">
        <v>126</v>
      </c>
      <c r="B333" s="138"/>
      <c r="C333" s="98">
        <v>0</v>
      </c>
      <c r="D333" s="19">
        <f ca="1">((100/(D328+F328+H328))*C333)/100</f>
        <v>0</v>
      </c>
      <c r="E333" s="139"/>
      <c r="F333" s="139"/>
      <c r="G333" s="139"/>
      <c r="H333" s="139"/>
      <c r="I333" s="13" t="s">
        <v>99</v>
      </c>
      <c r="J333" s="29">
        <f ca="1">(IF(B328&gt;1,(H328/(B328+2)),H328/4))</f>
        <v>1.75</v>
      </c>
      <c r="S333"/>
    </row>
    <row r="334" spans="1:19" ht="15.75" hidden="1" customHeight="1" x14ac:dyDescent="0.35">
      <c r="A334" s="138" t="s">
        <v>133</v>
      </c>
      <c r="B334" s="138" t="s">
        <v>127</v>
      </c>
      <c r="C334" s="98">
        <v>0</v>
      </c>
      <c r="D334" s="19">
        <f ca="1">((100/H328)*C334)/100</f>
        <v>0</v>
      </c>
      <c r="E334" s="139"/>
      <c r="F334" s="139"/>
      <c r="G334" s="139"/>
      <c r="H334" s="139"/>
      <c r="I334" s="13" t="s">
        <v>100</v>
      </c>
      <c r="J334" s="29">
        <f ca="1">(IF(B328&gt;1,(H328/(B328+2)+J333),H328/4+J333))</f>
        <v>3.5</v>
      </c>
    </row>
    <row r="335" spans="1:19" ht="15.75" hidden="1" customHeight="1" x14ac:dyDescent="0.35">
      <c r="A335" s="138" t="s">
        <v>134</v>
      </c>
      <c r="B335" s="138" t="s">
        <v>127</v>
      </c>
      <c r="C335" s="98">
        <v>0</v>
      </c>
      <c r="D335" s="19">
        <f ca="1">((100/H328)*C335)/100</f>
        <v>0</v>
      </c>
      <c r="E335" s="139"/>
      <c r="F335" s="139"/>
      <c r="G335" s="139"/>
      <c r="H335" s="139"/>
      <c r="I335" s="13" t="s">
        <v>145</v>
      </c>
      <c r="J335" s="29">
        <f>(IF(B328&gt;1,(H328/(B328+2)+J334),0))</f>
        <v>0</v>
      </c>
    </row>
    <row r="336" spans="1:19" ht="15" hidden="1" customHeight="1" x14ac:dyDescent="0.35">
      <c r="A336" s="138" t="s">
        <v>132</v>
      </c>
      <c r="B336" s="138" t="s">
        <v>129</v>
      </c>
      <c r="C336" s="98">
        <v>0</v>
      </c>
      <c r="D336" s="19">
        <f ca="1">((100/(H328))*C336)/100</f>
        <v>0</v>
      </c>
      <c r="E336" s="139"/>
      <c r="F336" s="139"/>
      <c r="G336" s="139"/>
      <c r="H336" s="139"/>
      <c r="I336" s="13" t="s">
        <v>140</v>
      </c>
      <c r="J336" s="29">
        <f>(IF(B328&gt;2,(H328/(B328+2)+J335),0))</f>
        <v>0</v>
      </c>
    </row>
    <row r="337" spans="1:22" ht="15.75" hidden="1" customHeight="1" x14ac:dyDescent="0.35">
      <c r="A337" s="138" t="s">
        <v>128</v>
      </c>
      <c r="B337" s="138" t="s">
        <v>128</v>
      </c>
      <c r="C337" s="98">
        <v>0</v>
      </c>
      <c r="D337" s="19">
        <f ca="1">((100/H328)*C337)/100</f>
        <v>0</v>
      </c>
      <c r="E337" s="139"/>
      <c r="F337" s="139"/>
      <c r="G337" s="139"/>
      <c r="H337" s="139"/>
      <c r="I337" s="13" t="s">
        <v>141</v>
      </c>
      <c r="J337" s="30">
        <f>(IF(B328&gt;3,(H328/(B328+2)+J336),0))</f>
        <v>0</v>
      </c>
    </row>
    <row r="338" spans="1:22" ht="15.75" hidden="1" customHeight="1" x14ac:dyDescent="0.35">
      <c r="A338" s="138" t="s">
        <v>135</v>
      </c>
      <c r="B338" s="138"/>
      <c r="C338" s="98">
        <v>0</v>
      </c>
      <c r="D338" s="19">
        <f ca="1">((100/H328)*C338)/100</f>
        <v>0</v>
      </c>
      <c r="E338" s="139"/>
      <c r="F338" s="139"/>
      <c r="G338" s="139"/>
      <c r="H338" s="139"/>
      <c r="I338" s="13" t="s">
        <v>142</v>
      </c>
      <c r="J338" s="29">
        <f>(IF(B328&gt;4,(H328/(B328+2)+J337),0))</f>
        <v>0</v>
      </c>
    </row>
    <row r="339" spans="1:22" ht="15.75" hidden="1" customHeight="1" x14ac:dyDescent="0.35">
      <c r="A339" s="138" t="s">
        <v>130</v>
      </c>
      <c r="B339" s="138" t="s">
        <v>130</v>
      </c>
      <c r="C339" s="98">
        <v>0</v>
      </c>
      <c r="D339" s="19">
        <f ca="1">((100/(H328))*C339)/100</f>
        <v>0</v>
      </c>
      <c r="E339" s="139"/>
      <c r="F339" s="139"/>
      <c r="G339" s="139"/>
      <c r="H339" s="139"/>
      <c r="I339" s="13" t="s">
        <v>146</v>
      </c>
      <c r="J339" s="29">
        <f ca="1">(IF(B328=1,(H328/(B328+3)+J334),IF(B328=0,(H328/4+J334),IF(B328&gt;1,0))))</f>
        <v>5.25</v>
      </c>
    </row>
    <row r="340" spans="1:22" ht="16" hidden="1" thickBot="1" x14ac:dyDescent="0.4">
      <c r="A340" s="138" t="s">
        <v>131</v>
      </c>
      <c r="B340" s="138"/>
      <c r="C340" s="98">
        <v>0</v>
      </c>
      <c r="D340" s="19">
        <f ca="1">((100/(H328))*C340)/100</f>
        <v>0</v>
      </c>
      <c r="E340" s="139"/>
      <c r="F340" s="139"/>
      <c r="G340" s="139"/>
      <c r="H340" s="139"/>
      <c r="I340" s="15" t="s">
        <v>101</v>
      </c>
      <c r="J340" s="31">
        <f ca="1">(IF(B328&gt;1.5,(H328/(B328+2)+J334+MAX(0,J335-J334)+MAX(0,J336-J335)+MAX(0,J337-J336)+MAX(0,J338-J337)+MAX(0,J339-J338)),IF(B328=1,(H328/(B328+3)+J339),IF(B328=0,H328/4+J339))))</f>
        <v>7</v>
      </c>
    </row>
    <row r="341" spans="1:22" x14ac:dyDescent="0.35">
      <c r="A341" s="188" t="s">
        <v>157</v>
      </c>
      <c r="B341" s="188"/>
      <c r="C341" s="188"/>
      <c r="D341" s="188"/>
      <c r="E341" s="188"/>
      <c r="F341" s="190" t="s">
        <v>161</v>
      </c>
      <c r="G341" s="190"/>
      <c r="H341" s="190"/>
      <c r="R341" t="s">
        <v>254</v>
      </c>
      <c r="S341" t="s">
        <v>173</v>
      </c>
      <c r="T341" t="s">
        <v>180</v>
      </c>
      <c r="U341" t="s">
        <v>195</v>
      </c>
      <c r="V341" t="s">
        <v>190</v>
      </c>
    </row>
    <row r="342" spans="1:22" x14ac:dyDescent="0.35">
      <c r="A342" s="117" t="s">
        <v>159</v>
      </c>
      <c r="B342" s="117"/>
      <c r="C342" s="117"/>
      <c r="D342" s="117"/>
      <c r="E342" s="117"/>
      <c r="F342" s="118">
        <v>3300</v>
      </c>
      <c r="G342" s="118"/>
      <c r="H342" s="118"/>
      <c r="I342" s="20" t="s">
        <v>424</v>
      </c>
      <c r="R342"/>
      <c r="S342">
        <v>800000</v>
      </c>
      <c r="T342">
        <v>150000</v>
      </c>
      <c r="U342">
        <v>100000</v>
      </c>
      <c r="V342">
        <v>100000</v>
      </c>
    </row>
    <row r="343" spans="1:22" x14ac:dyDescent="0.35">
      <c r="A343" s="117" t="s">
        <v>158</v>
      </c>
      <c r="B343" s="117"/>
      <c r="C343" s="117"/>
      <c r="D343" s="117"/>
      <c r="E343" s="117"/>
      <c r="F343" s="118">
        <v>6000</v>
      </c>
      <c r="G343" s="118"/>
      <c r="H343" s="118"/>
      <c r="R343"/>
      <c r="S343">
        <v>900000</v>
      </c>
      <c r="T343">
        <v>200000</v>
      </c>
      <c r="U343">
        <v>150000</v>
      </c>
      <c r="V343">
        <v>150000</v>
      </c>
    </row>
    <row r="344" spans="1:22" hidden="1" x14ac:dyDescent="0.35">
      <c r="A344" s="117" t="s">
        <v>160</v>
      </c>
      <c r="B344" s="117"/>
      <c r="C344" s="117"/>
      <c r="D344" s="117"/>
      <c r="E344" s="117"/>
      <c r="F344" s="118"/>
      <c r="G344" s="118"/>
      <c r="H344" s="118"/>
      <c r="R344"/>
      <c r="S344">
        <v>1000000</v>
      </c>
      <c r="T344">
        <v>250000</v>
      </c>
      <c r="U344">
        <v>200000</v>
      </c>
      <c r="V344">
        <v>200000</v>
      </c>
    </row>
    <row r="345" spans="1:22" s="32" customFormat="1" hidden="1" x14ac:dyDescent="0.35">
      <c r="A345" s="117" t="s">
        <v>176</v>
      </c>
      <c r="B345" s="117"/>
      <c r="C345" s="117"/>
      <c r="D345" s="117"/>
      <c r="E345" s="117"/>
      <c r="F345" s="118"/>
      <c r="G345" s="118"/>
      <c r="H345" s="118"/>
      <c r="R345"/>
      <c r="S345">
        <v>1100000</v>
      </c>
      <c r="T345">
        <v>300000</v>
      </c>
      <c r="U345">
        <v>250000</v>
      </c>
      <c r="V345" s="22">
        <v>250000</v>
      </c>
    </row>
    <row r="346" spans="1:22" s="32" customFormat="1" hidden="1" x14ac:dyDescent="0.35">
      <c r="A346" s="117" t="s">
        <v>91</v>
      </c>
      <c r="B346" s="117"/>
      <c r="C346" s="117"/>
      <c r="D346" s="117"/>
      <c r="E346" s="117"/>
      <c r="F346" s="118"/>
      <c r="G346" s="118"/>
      <c r="H346" s="118"/>
      <c r="R346"/>
      <c r="S346">
        <v>1200000</v>
      </c>
      <c r="T346">
        <v>350000</v>
      </c>
      <c r="U346">
        <v>300000</v>
      </c>
      <c r="V346">
        <v>300000</v>
      </c>
    </row>
    <row r="347" spans="1:22" s="32" customFormat="1" x14ac:dyDescent="0.35">
      <c r="A347" s="117" t="s">
        <v>425</v>
      </c>
      <c r="B347" s="117"/>
      <c r="C347" s="117"/>
      <c r="D347" s="117"/>
      <c r="E347" s="117"/>
      <c r="F347" s="118">
        <v>109000</v>
      </c>
      <c r="G347" s="118"/>
      <c r="H347" s="118"/>
      <c r="R347"/>
      <c r="S347">
        <v>1300000</v>
      </c>
      <c r="T347">
        <v>400000</v>
      </c>
      <c r="U347">
        <v>350000</v>
      </c>
      <c r="V347" s="22">
        <v>400000</v>
      </c>
    </row>
    <row r="348" spans="1:22" s="32" customFormat="1" hidden="1" x14ac:dyDescent="0.35">
      <c r="A348" s="117" t="s">
        <v>92</v>
      </c>
      <c r="B348" s="117"/>
      <c r="C348" s="117"/>
      <c r="D348" s="117"/>
      <c r="E348" s="117"/>
      <c r="F348" s="118"/>
      <c r="G348" s="118"/>
      <c r="H348" s="118"/>
      <c r="R348"/>
      <c r="S348">
        <v>1300000</v>
      </c>
      <c r="T348">
        <v>400000</v>
      </c>
      <c r="U348">
        <v>350000</v>
      </c>
      <c r="V348" s="22">
        <v>400000</v>
      </c>
    </row>
    <row r="349" spans="1:22" s="32" customFormat="1" hidden="1" x14ac:dyDescent="0.35">
      <c r="A349" s="117" t="s">
        <v>93</v>
      </c>
      <c r="B349" s="117"/>
      <c r="C349" s="117"/>
      <c r="D349" s="117"/>
      <c r="E349" s="117"/>
      <c r="F349" s="118"/>
      <c r="G349" s="118"/>
      <c r="H349" s="118"/>
      <c r="R349"/>
      <c r="S349">
        <v>1400000</v>
      </c>
      <c r="T349">
        <v>500000</v>
      </c>
      <c r="U349">
        <v>400000</v>
      </c>
      <c r="V349"/>
    </row>
    <row r="350" spans="1:22" s="32" customFormat="1" hidden="1" x14ac:dyDescent="0.35">
      <c r="A350" s="117" t="s">
        <v>94</v>
      </c>
      <c r="B350" s="117"/>
      <c r="C350" s="117"/>
      <c r="D350" s="117"/>
      <c r="E350" s="117"/>
      <c r="F350" s="118"/>
      <c r="G350" s="118"/>
      <c r="H350" s="118"/>
      <c r="R350"/>
      <c r="S350">
        <v>1500000</v>
      </c>
      <c r="T350">
        <v>600000</v>
      </c>
      <c r="U350">
        <v>500000</v>
      </c>
      <c r="V350" s="22"/>
    </row>
    <row r="351" spans="1:22" s="32" customFormat="1" hidden="1" x14ac:dyDescent="0.35">
      <c r="A351" s="117" t="s">
        <v>95</v>
      </c>
      <c r="B351" s="117"/>
      <c r="C351" s="117"/>
      <c r="D351" s="117"/>
      <c r="E351" s="117"/>
      <c r="F351" s="118"/>
      <c r="G351" s="118"/>
      <c r="H351" s="118"/>
      <c r="R351"/>
      <c r="S351">
        <v>1600000</v>
      </c>
      <c r="T351">
        <v>700000</v>
      </c>
      <c r="U351">
        <v>600000</v>
      </c>
      <c r="V351"/>
    </row>
    <row r="352" spans="1:22" s="32" customFormat="1" hidden="1" x14ac:dyDescent="0.35">
      <c r="A352" s="117" t="s">
        <v>96</v>
      </c>
      <c r="B352" s="117"/>
      <c r="C352" s="117"/>
      <c r="D352" s="117"/>
      <c r="E352" s="117"/>
      <c r="F352" s="118"/>
      <c r="G352" s="118"/>
      <c r="H352" s="118"/>
      <c r="R352"/>
      <c r="S352">
        <v>1700000</v>
      </c>
      <c r="T352">
        <v>800000</v>
      </c>
      <c r="U352"/>
      <c r="V352" s="22"/>
    </row>
    <row r="353" spans="1:22" x14ac:dyDescent="0.35">
      <c r="A353" s="117" t="s">
        <v>49</v>
      </c>
      <c r="B353" s="117"/>
      <c r="C353" s="117"/>
      <c r="D353" s="117"/>
      <c r="E353" s="117"/>
      <c r="F353" s="118">
        <v>100000</v>
      </c>
      <c r="G353" s="118"/>
      <c r="H353" s="118"/>
      <c r="R353"/>
      <c r="S353">
        <v>1800000</v>
      </c>
      <c r="T353">
        <v>900000</v>
      </c>
      <c r="U353"/>
    </row>
    <row r="354" spans="1:22" s="33" customFormat="1" x14ac:dyDescent="0.35">
      <c r="A354" s="188" t="s">
        <v>50</v>
      </c>
      <c r="B354" s="188"/>
      <c r="C354" s="188"/>
      <c r="D354" s="188"/>
      <c r="E354" s="188"/>
      <c r="F354" s="118">
        <f>F342*0.8</f>
        <v>2640</v>
      </c>
      <c r="G354" s="118"/>
      <c r="H354" s="118"/>
      <c r="R354" s="20"/>
      <c r="S354" s="20"/>
      <c r="T354">
        <v>1000000</v>
      </c>
      <c r="U354"/>
      <c r="V354" s="20"/>
    </row>
    <row r="355" spans="1:22" s="34" customFormat="1" ht="15.75" customHeight="1" x14ac:dyDescent="0.35">
      <c r="A355" s="204" t="s">
        <v>72</v>
      </c>
      <c r="B355" s="204"/>
      <c r="C355" s="204"/>
      <c r="D355" s="204"/>
      <c r="E355" s="204"/>
      <c r="F355" s="204"/>
      <c r="G355" s="204"/>
      <c r="H355" s="204"/>
      <c r="R355"/>
      <c r="S355" s="20"/>
      <c r="T355"/>
      <c r="U355"/>
      <c r="V355" s="20"/>
    </row>
    <row r="356" spans="1:22" s="34" customFormat="1" ht="15.75" customHeight="1" x14ac:dyDescent="0.35">
      <c r="A356" s="160" t="s">
        <v>51</v>
      </c>
      <c r="B356" s="160"/>
      <c r="C356" s="165" t="s">
        <v>75</v>
      </c>
      <c r="D356" s="165"/>
      <c r="E356" s="174" t="s">
        <v>52</v>
      </c>
      <c r="F356" s="174"/>
      <c r="G356" s="160" t="s">
        <v>53</v>
      </c>
      <c r="H356" s="160"/>
      <c r="R356"/>
      <c r="S356" s="20"/>
      <c r="T356"/>
      <c r="U356" s="20"/>
      <c r="V356" s="20"/>
    </row>
    <row r="357" spans="1:22" s="34" customFormat="1" x14ac:dyDescent="0.35">
      <c r="A357" s="131" t="s">
        <v>368</v>
      </c>
      <c r="B357" s="131"/>
      <c r="C357" s="132">
        <f>COUNT(D390:D395)</f>
        <v>6</v>
      </c>
      <c r="D357" s="133"/>
      <c r="E357" s="132">
        <f t="shared" ref="E357" si="0">SUM(F390:F395)</f>
        <v>875.97432000000003</v>
      </c>
      <c r="F357" s="133"/>
      <c r="G357" s="132">
        <f t="shared" ref="G357" si="1">SUM(H390:H395)</f>
        <v>1313.9614799999999</v>
      </c>
      <c r="H357" s="133"/>
      <c r="R357"/>
      <c r="S357" s="20"/>
      <c r="T357"/>
      <c r="U357" s="20"/>
      <c r="V357" s="20"/>
    </row>
    <row r="358" spans="1:22" s="34" customFormat="1" x14ac:dyDescent="0.35">
      <c r="A358" s="131" t="s">
        <v>373</v>
      </c>
      <c r="B358" s="131"/>
      <c r="C358" s="132">
        <f>COUNT(D398:D404)</f>
        <v>7</v>
      </c>
      <c r="D358" s="133"/>
      <c r="E358" s="132">
        <f t="shared" ref="E358" si="2">SUM(F398:F404)</f>
        <v>1608.4645199999998</v>
      </c>
      <c r="F358" s="133"/>
      <c r="G358" s="132">
        <f t="shared" ref="G358" si="3">SUM(H398:H404)</f>
        <v>2412.6967800000002</v>
      </c>
      <c r="H358" s="133"/>
      <c r="R358"/>
      <c r="S358" s="20"/>
      <c r="T358"/>
      <c r="U358" s="20"/>
      <c r="V358" s="20"/>
    </row>
    <row r="359" spans="1:22" s="34" customFormat="1" x14ac:dyDescent="0.35">
      <c r="A359" s="131" t="s">
        <v>378</v>
      </c>
      <c r="B359" s="131"/>
      <c r="C359" s="132">
        <f>COUNT(D407:D412)</f>
        <v>6</v>
      </c>
      <c r="D359" s="133"/>
      <c r="E359" s="132">
        <f t="shared" ref="E359" si="4">SUM(F407:F412)</f>
        <v>875.75903999999991</v>
      </c>
      <c r="F359" s="133"/>
      <c r="G359" s="132">
        <f t="shared" ref="G359" si="5">SUM(H407:H412)</f>
        <v>1313.6385599999999</v>
      </c>
      <c r="H359" s="133"/>
      <c r="R359"/>
      <c r="S359" s="20"/>
      <c r="T359"/>
      <c r="U359" s="20"/>
      <c r="V359" s="20"/>
    </row>
    <row r="360" spans="1:22" s="34" customFormat="1" ht="15.75" customHeight="1" x14ac:dyDescent="0.35">
      <c r="A360" s="131" t="s">
        <v>379</v>
      </c>
      <c r="B360" s="131"/>
      <c r="C360" s="132">
        <f>COUNT(D415:D421)</f>
        <v>7</v>
      </c>
      <c r="D360" s="133"/>
      <c r="E360" s="132">
        <f t="shared" ref="E360" si="6">SUM(F415:F421)</f>
        <v>1608.4645199999998</v>
      </c>
      <c r="F360" s="133"/>
      <c r="G360" s="132">
        <f t="shared" ref="G360" si="7">SUM(H415:H421)</f>
        <v>2412.6967800000002</v>
      </c>
      <c r="H360" s="133"/>
      <c r="R360"/>
      <c r="S360" s="20"/>
      <c r="T360"/>
      <c r="U360" s="20"/>
      <c r="V360" s="20"/>
    </row>
    <row r="361" spans="1:22" s="34" customFormat="1" x14ac:dyDescent="0.35">
      <c r="A361" s="131" t="s">
        <v>383</v>
      </c>
      <c r="B361" s="131"/>
      <c r="C361" s="132">
        <f>COUNT(D424:D429)</f>
        <v>6</v>
      </c>
      <c r="D361" s="133"/>
      <c r="E361" s="132">
        <f t="shared" ref="E361" si="8">SUM(F424:F429)</f>
        <v>875.75903999999991</v>
      </c>
      <c r="F361" s="133"/>
      <c r="G361" s="132">
        <f t="shared" ref="G361" si="9">SUM(H424:H429)</f>
        <v>1313.6385599999999</v>
      </c>
      <c r="H361" s="133"/>
      <c r="R361"/>
      <c r="S361" s="20"/>
      <c r="T361"/>
      <c r="U361" s="20"/>
      <c r="V361" s="20"/>
    </row>
    <row r="362" spans="1:22" s="34" customFormat="1" ht="15.75" customHeight="1" x14ac:dyDescent="0.35">
      <c r="A362" s="131" t="s">
        <v>386</v>
      </c>
      <c r="B362" s="131"/>
      <c r="C362" s="132">
        <f>COUNT(D432:D438)</f>
        <v>7</v>
      </c>
      <c r="D362" s="133"/>
      <c r="E362" s="132">
        <f t="shared" ref="E362" si="10">SUM(F432:F438)</f>
        <v>1608.4645199999998</v>
      </c>
      <c r="F362" s="133"/>
      <c r="G362" s="132">
        <f t="shared" ref="G362" si="11">SUM(H432:H438)</f>
        <v>2412.6967800000002</v>
      </c>
      <c r="H362" s="133"/>
      <c r="R362"/>
      <c r="S362" s="20"/>
      <c r="T362"/>
      <c r="U362" s="20"/>
      <c r="V362" s="20"/>
    </row>
    <row r="363" spans="1:22" s="34" customFormat="1" ht="15.75" customHeight="1" x14ac:dyDescent="0.35">
      <c r="A363" s="131" t="s">
        <v>387</v>
      </c>
      <c r="B363" s="131"/>
      <c r="C363" s="132">
        <f>COUNT(D441:D446)</f>
        <v>6</v>
      </c>
      <c r="D363" s="133"/>
      <c r="E363" s="132">
        <f t="shared" ref="E363" si="12">SUM(F441:F446)</f>
        <v>875.75903999999991</v>
      </c>
      <c r="F363" s="133"/>
      <c r="G363" s="132">
        <f t="shared" ref="G363" si="13">SUM(H441:H446)</f>
        <v>1313.6385599999999</v>
      </c>
      <c r="H363" s="133"/>
      <c r="R363"/>
      <c r="S363" s="20"/>
      <c r="T363"/>
      <c r="U363" s="20"/>
      <c r="V363" s="20"/>
    </row>
    <row r="364" spans="1:22" s="34" customFormat="1" x14ac:dyDescent="0.35">
      <c r="A364" s="204" t="s">
        <v>150</v>
      </c>
      <c r="B364" s="204"/>
      <c r="C364" s="240">
        <f>SUM(C357:D363)</f>
        <v>45</v>
      </c>
      <c r="D364" s="165"/>
      <c r="E364" s="240">
        <f>SUM(E357:F363)</f>
        <v>8328.6449999999986</v>
      </c>
      <c r="F364" s="165"/>
      <c r="G364" s="240">
        <f>SUM(G357:H363)</f>
        <v>12492.967499999999</v>
      </c>
      <c r="H364" s="165"/>
      <c r="R364"/>
      <c r="S364" s="20"/>
      <c r="T364"/>
      <c r="U364" s="20"/>
      <c r="V364" s="20"/>
    </row>
    <row r="365" spans="1:22" s="34" customFormat="1" x14ac:dyDescent="0.35">
      <c r="A365" s="204" t="s">
        <v>67</v>
      </c>
      <c r="B365" s="204"/>
      <c r="C365" s="204"/>
      <c r="D365" s="204"/>
      <c r="E365" s="204"/>
      <c r="F365" s="204"/>
      <c r="G365" s="204"/>
      <c r="H365" s="204"/>
      <c r="T365"/>
    </row>
    <row r="366" spans="1:22" s="34" customFormat="1" ht="15.75" customHeight="1" x14ac:dyDescent="0.35">
      <c r="A366" s="160" t="s">
        <v>51</v>
      </c>
      <c r="B366" s="160"/>
      <c r="C366" s="165" t="s">
        <v>75</v>
      </c>
      <c r="D366" s="165"/>
      <c r="E366" s="174" t="s">
        <v>52</v>
      </c>
      <c r="F366" s="174"/>
      <c r="G366" s="160" t="s">
        <v>53</v>
      </c>
      <c r="H366" s="160"/>
      <c r="T366"/>
    </row>
    <row r="367" spans="1:22" s="34" customFormat="1" x14ac:dyDescent="0.35">
      <c r="A367" s="131" t="s">
        <v>368</v>
      </c>
      <c r="B367" s="131"/>
      <c r="C367" s="132">
        <f>COUNT(D452:D459)+COUNT(D461:D472)+COUNT(D474:D485)*6</f>
        <v>92</v>
      </c>
      <c r="D367" s="132"/>
      <c r="E367" s="132">
        <f t="shared" ref="E367" si="14">SUM(F452:F459)+SUM(F461:F472)+SUM(F474:F485)*6</f>
        <v>36631.743407999995</v>
      </c>
      <c r="F367" s="132"/>
      <c r="G367" s="132">
        <f t="shared" ref="G367" si="15">SUM(H452:H459)+SUM(H461:H472)+SUM(H474:H485)*6</f>
        <v>53275.453545599979</v>
      </c>
      <c r="H367" s="132"/>
      <c r="T367"/>
    </row>
    <row r="368" spans="1:22" s="34" customFormat="1" x14ac:dyDescent="0.35">
      <c r="A368" s="131" t="s">
        <v>373</v>
      </c>
      <c r="B368" s="131"/>
      <c r="C368" s="132">
        <f>COUNT(D488:D490)+COUNT(D493:D500)+COUNT(D502:D509)*6</f>
        <v>59</v>
      </c>
      <c r="D368" s="132"/>
      <c r="E368" s="132">
        <f t="shared" ref="E368" si="16">SUM(F488:F490)+SUM(F493:F500)+SUM(F502:F509)*6</f>
        <v>23492.096315999996</v>
      </c>
      <c r="F368" s="132"/>
      <c r="G368" s="132">
        <f t="shared" ref="G368" si="17">SUM(H488:H490)+SUM(H493:H500)+SUM(H502:H509)*6</f>
        <v>34332.281755199991</v>
      </c>
      <c r="H368" s="132"/>
      <c r="T368"/>
    </row>
    <row r="369" spans="1:20" s="34" customFormat="1" x14ac:dyDescent="0.35">
      <c r="A369" s="131" t="s">
        <v>376</v>
      </c>
      <c r="B369" s="131"/>
      <c r="C369" s="132">
        <f>COUNT(D512:D514)+COUNT(D517:D524)*7</f>
        <v>59</v>
      </c>
      <c r="D369" s="132"/>
      <c r="E369" s="132">
        <f t="shared" ref="E369" si="18">SUM(F512:F514)+SUM(F517:F524)*7</f>
        <v>23492.096315999999</v>
      </c>
      <c r="F369" s="132"/>
      <c r="G369" s="132">
        <f t="shared" ref="G369" si="19">SUM(H512:H514)+SUM(H517:H524)*7</f>
        <v>34063.539658199988</v>
      </c>
      <c r="H369" s="132"/>
      <c r="T369"/>
    </row>
    <row r="370" spans="1:20" s="34" customFormat="1" x14ac:dyDescent="0.35">
      <c r="A370" s="131" t="s">
        <v>377</v>
      </c>
      <c r="B370" s="131"/>
      <c r="C370" s="132">
        <f>COUNT(D527:D533)+COUNT(D535:D542)*7</f>
        <v>63</v>
      </c>
      <c r="D370" s="132"/>
      <c r="E370" s="132">
        <f t="shared" ref="E370" si="20">SUM(F527:F533)+SUM(F535:F542)*7</f>
        <v>25084.780811999997</v>
      </c>
      <c r="F370" s="132"/>
      <c r="G370" s="132">
        <f t="shared" ref="G370" si="21">SUM(H527:H533)+SUM(H535:H542)*7</f>
        <v>36372.932177399991</v>
      </c>
      <c r="H370" s="132"/>
      <c r="T370"/>
    </row>
    <row r="371" spans="1:20" s="34" customFormat="1" x14ac:dyDescent="0.35">
      <c r="A371" s="131" t="s">
        <v>378</v>
      </c>
      <c r="B371" s="131"/>
      <c r="C371" s="132">
        <f>COUNT(D545:D549)+COUNT(D551:D558)+COUNT(D560:D567)*6</f>
        <v>61</v>
      </c>
      <c r="D371" s="132"/>
      <c r="E371" s="132">
        <f t="shared" ref="E371" si="22">SUM(F545:F549)+SUM(F551:F558)+SUM(F560:F567)*6</f>
        <v>24288.438563999996</v>
      </c>
      <c r="F371" s="132"/>
      <c r="G371" s="132">
        <f t="shared" ref="G371" si="23">SUM(H545:H549)+SUM(H551:H558)+SUM(H560:H567)*6</f>
        <v>35381.31051779999</v>
      </c>
      <c r="H371" s="132"/>
      <c r="T371"/>
    </row>
    <row r="372" spans="1:20" s="34" customFormat="1" x14ac:dyDescent="0.35">
      <c r="A372" s="131" t="s">
        <v>379</v>
      </c>
      <c r="B372" s="131"/>
      <c r="C372" s="132">
        <f>COUNT(D570:D572)+COUNT(D575:D582)+COUNT(D584:D591)*6</f>
        <v>59</v>
      </c>
      <c r="D372" s="133"/>
      <c r="E372" s="132">
        <f>SUM(F570:F572)+SUM(F575:F582)+SUM(F584:F591)*6</f>
        <v>23492.096315999996</v>
      </c>
      <c r="F372" s="133"/>
      <c r="G372" s="132">
        <f>SUM(H570:H572)+SUM(H575:H582)+SUM(H584:H591)*6</f>
        <v>34332.281755199991</v>
      </c>
      <c r="H372" s="133"/>
      <c r="T372"/>
    </row>
    <row r="373" spans="1:20" s="34" customFormat="1" x14ac:dyDescent="0.35">
      <c r="A373" s="131" t="s">
        <v>380</v>
      </c>
      <c r="B373" s="131"/>
      <c r="C373" s="132">
        <f>COUNT(D594:D596)+COUNT(D599:D606)*7</f>
        <v>59</v>
      </c>
      <c r="D373" s="132"/>
      <c r="E373" s="132">
        <f t="shared" ref="E373" si="24">SUM(F594:F596)+SUM(F599:F606)*7</f>
        <v>23492.096315999999</v>
      </c>
      <c r="F373" s="132"/>
      <c r="G373" s="132">
        <f t="shared" ref="G373" si="25">SUM(H594:H596)+SUM(H599:H606)*7</f>
        <v>34063.539658199988</v>
      </c>
      <c r="H373" s="132"/>
      <c r="T373"/>
    </row>
    <row r="374" spans="1:20" s="34" customFormat="1" x14ac:dyDescent="0.35">
      <c r="A374" s="131" t="s">
        <v>381</v>
      </c>
      <c r="B374" s="131"/>
      <c r="C374" s="132">
        <f>COUNT(D609:D615)+COUNT(D617:D624)*7</f>
        <v>63</v>
      </c>
      <c r="D374" s="132"/>
      <c r="E374" s="132">
        <f t="shared" ref="E374" si="26">SUM(F609:F615)+SUM(F617:F624)*7</f>
        <v>25084.780811999997</v>
      </c>
      <c r="F374" s="132"/>
      <c r="G374" s="132">
        <f t="shared" ref="G374" si="27">SUM(H609:H615)+SUM(H617:H624)*7</f>
        <v>36372.932177399991</v>
      </c>
      <c r="H374" s="132"/>
      <c r="T374"/>
    </row>
    <row r="375" spans="1:20" s="34" customFormat="1" x14ac:dyDescent="0.35">
      <c r="A375" s="131" t="s">
        <v>382</v>
      </c>
      <c r="B375" s="131"/>
      <c r="C375" s="132">
        <f>COUNT(D627:D633)+COUNT(D635:D642)*7</f>
        <v>63</v>
      </c>
      <c r="D375" s="132"/>
      <c r="E375" s="132">
        <f t="shared" ref="E375" si="28">SUM(F627:F633)+SUM(F635:F642)*7</f>
        <v>25084.780811999997</v>
      </c>
      <c r="F375" s="132"/>
      <c r="G375" s="132">
        <f t="shared" ref="G375" si="29">SUM(H627:H633)+SUM(H635:H642)*7</f>
        <v>36372.932177399991</v>
      </c>
      <c r="H375" s="132"/>
      <c r="T375"/>
    </row>
    <row r="376" spans="1:20" s="34" customFormat="1" ht="15.75" customHeight="1" x14ac:dyDescent="0.35">
      <c r="A376" s="131" t="s">
        <v>383</v>
      </c>
      <c r="B376" s="131"/>
      <c r="C376" s="132">
        <f>COUNT(D645:D647)+COUNT(D649:D654)+COUNT(D656:D661)*6</f>
        <v>45</v>
      </c>
      <c r="D376" s="132"/>
      <c r="E376" s="132">
        <f>SUM(F645:F647)+SUM(F649:F654)+SUM(F656:F661)*6</f>
        <v>17917.700579999997</v>
      </c>
      <c r="F376" s="132"/>
      <c r="G376" s="132">
        <f>SUM(H645:H647)+SUM(H649:H654)+SUM(H656:H661)*6</f>
        <v>26137.346624999991</v>
      </c>
      <c r="H376" s="132"/>
      <c r="T376"/>
    </row>
    <row r="377" spans="1:20" s="34" customFormat="1" ht="15.75" customHeight="1" x14ac:dyDescent="0.35">
      <c r="A377" s="131" t="s">
        <v>384</v>
      </c>
      <c r="B377" s="131"/>
      <c r="C377" s="132">
        <f>COUNT(D664:D670)+COUNT(D672:D679)*7</f>
        <v>63</v>
      </c>
      <c r="D377" s="132"/>
      <c r="E377" s="132">
        <f t="shared" ref="E377" si="30">SUM(F664:F670)+SUM(F672:F679)*7</f>
        <v>25084.780811999997</v>
      </c>
      <c r="F377" s="132"/>
      <c r="G377" s="132">
        <f t="shared" ref="G377" si="31">SUM(H664:H670)+SUM(H672:H679)*7</f>
        <v>36372.932177399991</v>
      </c>
      <c r="H377" s="132"/>
      <c r="T377"/>
    </row>
    <row r="378" spans="1:20" s="34" customFormat="1" ht="15.75" customHeight="1" x14ac:dyDescent="0.35">
      <c r="A378" s="131" t="s">
        <v>385</v>
      </c>
      <c r="B378" s="131"/>
      <c r="C378" s="132">
        <f>COUNT(D682:D684)+COUNT(D687:D694)*7</f>
        <v>59</v>
      </c>
      <c r="D378" s="132"/>
      <c r="E378" s="132">
        <f t="shared" ref="E378" si="32">SUM(F682:F684)+SUM(F687:F694)*7</f>
        <v>23492.096315999999</v>
      </c>
      <c r="F378" s="132"/>
      <c r="G378" s="132">
        <f t="shared" ref="G378" si="33">SUM(H682:H684)+SUM(H687:H694)*7</f>
        <v>34063.539658199988</v>
      </c>
      <c r="H378" s="132"/>
      <c r="T378"/>
    </row>
    <row r="379" spans="1:20" s="34" customFormat="1" ht="15.75" customHeight="1" x14ac:dyDescent="0.35">
      <c r="A379" s="131" t="s">
        <v>386</v>
      </c>
      <c r="B379" s="131"/>
      <c r="C379" s="132">
        <f>COUNT(D697:D699)+COUNT(D702:D709)+COUNT(D711:D718)*6</f>
        <v>59</v>
      </c>
      <c r="D379" s="132"/>
      <c r="E379" s="132">
        <f t="shared" ref="E379" si="34">SUM(F697:F699)+SUM(F702:F709)+SUM(F711:F718)*6</f>
        <v>23492.096315999996</v>
      </c>
      <c r="F379" s="132"/>
      <c r="G379" s="132">
        <f t="shared" ref="G379" si="35">SUM(H697:H699)+SUM(H702:H709)+SUM(H711:H718)*6</f>
        <v>34332.281755199991</v>
      </c>
      <c r="H379" s="132"/>
      <c r="T379"/>
    </row>
    <row r="380" spans="1:20" s="34" customFormat="1" ht="15.75" customHeight="1" x14ac:dyDescent="0.35">
      <c r="A380" s="131" t="s">
        <v>387</v>
      </c>
      <c r="B380" s="131"/>
      <c r="C380" s="132">
        <f>COUNT(D721:D723)+COUNT(D725:D734)+COUNT(D736:D745)*6</f>
        <v>73</v>
      </c>
      <c r="D380" s="132"/>
      <c r="E380" s="132">
        <f t="shared" ref="E380" si="36">SUM(F721:F723)+SUM(F725:F734)+SUM(F736:F745)*6</f>
        <v>29066.492051999994</v>
      </c>
      <c r="F380" s="132"/>
      <c r="G380" s="132">
        <f t="shared" ref="G380" si="37">SUM(H721:H723)+SUM(H725:H734)+SUM(H736:H745)*6</f>
        <v>42303.094259399986</v>
      </c>
      <c r="H380" s="132"/>
      <c r="T380"/>
    </row>
    <row r="381" spans="1:20" s="34" customFormat="1" ht="15.75" customHeight="1" x14ac:dyDescent="0.35">
      <c r="A381" s="131" t="s">
        <v>388</v>
      </c>
      <c r="B381" s="131"/>
      <c r="C381" s="132">
        <f>COUNT(D748:D750)+COUNT(D752:D759)*7</f>
        <v>59</v>
      </c>
      <c r="D381" s="132"/>
      <c r="E381" s="132">
        <f t="shared" ref="E381" si="38">SUM(F748:F750)+SUM(F752:F759)*7</f>
        <v>23492.096315999999</v>
      </c>
      <c r="F381" s="132"/>
      <c r="G381" s="132">
        <f t="shared" ref="G381" si="39">SUM(H748:H750)+SUM(H752:H759)*7</f>
        <v>34063.539658199988</v>
      </c>
      <c r="H381" s="132"/>
      <c r="T381"/>
    </row>
    <row r="382" spans="1:20" s="34" customFormat="1" ht="16" thickBot="1" x14ac:dyDescent="0.4">
      <c r="A382" s="239" t="s">
        <v>150</v>
      </c>
      <c r="B382" s="239"/>
      <c r="C382" s="166">
        <f>SUM(C367:D381)</f>
        <v>936</v>
      </c>
      <c r="D382" s="167"/>
      <c r="E382" s="166">
        <f>SUM(E367:F381)</f>
        <v>372688.17206399993</v>
      </c>
      <c r="F382" s="167"/>
      <c r="G382" s="166">
        <f>SUM(G367:H381)</f>
        <v>541839.93755579984</v>
      </c>
      <c r="H382" s="167"/>
      <c r="T382"/>
    </row>
    <row r="383" spans="1:20" s="34" customFormat="1" ht="16" thickBot="1" x14ac:dyDescent="0.4">
      <c r="A383" s="209" t="s">
        <v>167</v>
      </c>
      <c r="B383" s="210"/>
      <c r="C383" s="211">
        <f>C364+C382</f>
        <v>981</v>
      </c>
      <c r="D383" s="211"/>
      <c r="E383" s="212">
        <f>E364+E382</f>
        <v>381016.81706399994</v>
      </c>
      <c r="F383" s="212"/>
      <c r="G383" s="231">
        <f>G364+G382</f>
        <v>554332.90505579987</v>
      </c>
      <c r="H383" s="232"/>
      <c r="T383"/>
    </row>
    <row r="384" spans="1:20" s="33" customFormat="1" x14ac:dyDescent="0.35">
      <c r="A384" s="191" t="s">
        <v>54</v>
      </c>
      <c r="B384" s="191"/>
      <c r="C384" s="191"/>
      <c r="D384" s="191"/>
      <c r="E384" s="191"/>
      <c r="F384" s="191"/>
      <c r="G384" s="191"/>
      <c r="H384" s="191"/>
      <c r="T384" s="34"/>
    </row>
    <row r="385" spans="1:20" x14ac:dyDescent="0.35">
      <c r="A385" s="173" t="s">
        <v>175</v>
      </c>
      <c r="B385" s="173"/>
      <c r="C385" s="173"/>
      <c r="D385" s="173"/>
      <c r="E385" s="173"/>
      <c r="F385" s="173"/>
      <c r="G385" s="173"/>
      <c r="H385" s="173"/>
      <c r="T385" s="34"/>
    </row>
    <row r="386" spans="1:20" ht="47.25" customHeight="1" x14ac:dyDescent="0.35">
      <c r="A386" s="161" t="s">
        <v>407</v>
      </c>
      <c r="B386" s="161" t="s">
        <v>177</v>
      </c>
      <c r="C386" s="161" t="s">
        <v>55</v>
      </c>
      <c r="D386" s="161" t="s">
        <v>233</v>
      </c>
      <c r="E386" s="225" t="s">
        <v>156</v>
      </c>
      <c r="F386" s="161" t="s">
        <v>56</v>
      </c>
      <c r="G386" s="225" t="s">
        <v>57</v>
      </c>
      <c r="H386" s="91" t="s">
        <v>148</v>
      </c>
      <c r="T386" s="34"/>
    </row>
    <row r="387" spans="1:20" s="36" customFormat="1" x14ac:dyDescent="0.35">
      <c r="A387" s="162"/>
      <c r="B387" s="162"/>
      <c r="C387" s="162"/>
      <c r="D387" s="162"/>
      <c r="E387" s="226"/>
      <c r="F387" s="162"/>
      <c r="G387" s="226"/>
      <c r="H387" s="92">
        <v>0.5</v>
      </c>
      <c r="T387" s="34"/>
    </row>
    <row r="388" spans="1:20" s="81" customFormat="1" x14ac:dyDescent="0.35">
      <c r="A388" s="130" t="s">
        <v>368</v>
      </c>
      <c r="B388" s="130"/>
      <c r="C388" s="130"/>
      <c r="D388" s="130"/>
      <c r="E388" s="130"/>
      <c r="F388" s="130"/>
      <c r="G388" s="130"/>
      <c r="H388" s="130"/>
      <c r="J388" s="35"/>
      <c r="T388" s="34"/>
    </row>
    <row r="389" spans="1:20" s="36" customFormat="1" x14ac:dyDescent="0.35">
      <c r="A389" s="130" t="s">
        <v>370</v>
      </c>
      <c r="B389" s="130"/>
      <c r="C389" s="130"/>
      <c r="D389" s="130"/>
      <c r="E389" s="130"/>
      <c r="F389" s="130"/>
      <c r="G389" s="130"/>
      <c r="H389" s="130"/>
      <c r="J389" s="35"/>
      <c r="T389" s="34"/>
    </row>
    <row r="390" spans="1:20" s="36" customFormat="1" ht="15.75" customHeight="1" x14ac:dyDescent="0.35">
      <c r="A390" s="125">
        <v>1</v>
      </c>
      <c r="B390" s="125"/>
      <c r="C390" s="96" t="s">
        <v>369</v>
      </c>
      <c r="D390" s="96">
        <f>(16.28)*10.764</f>
        <v>175.23792</v>
      </c>
      <c r="E390" s="96">
        <v>0</v>
      </c>
      <c r="F390" s="96">
        <f>D390+(IF(E390&lt;201,E390,IF(E390&lt;301,E390/2,E390/3)))</f>
        <v>175.23792</v>
      </c>
      <c r="G390" s="60">
        <v>0</v>
      </c>
      <c r="H390" s="96">
        <f>(F390+(IF(G390&lt;101,G390,IF(G390&lt;201,G390/2,IF(G390&lt;=301,G390/3,G390/4)))))*(($H$387)+1)</f>
        <v>262.85687999999999</v>
      </c>
      <c r="I390" s="35">
        <f>6.05*2.7</f>
        <v>16.335000000000001</v>
      </c>
      <c r="J390" s="80">
        <v>10.763999999999999</v>
      </c>
      <c r="L390" s="122"/>
      <c r="M390" s="122"/>
      <c r="N390" s="35"/>
      <c r="T390" s="34"/>
    </row>
    <row r="391" spans="1:20" s="36" customFormat="1" ht="15.75" customHeight="1" x14ac:dyDescent="0.35">
      <c r="A391" s="125">
        <f>A390+1</f>
        <v>2</v>
      </c>
      <c r="B391" s="125"/>
      <c r="C391" s="96" t="s">
        <v>369</v>
      </c>
      <c r="D391" s="96">
        <f>(12.21)*10.764</f>
        <v>131.42843999999999</v>
      </c>
      <c r="E391" s="96">
        <v>0</v>
      </c>
      <c r="F391" s="96">
        <f t="shared" ref="F391:F393" si="40">D391+(IF(E391&lt;201,E391,IF(E391&lt;301,E391/2,E391/3)))</f>
        <v>131.42843999999999</v>
      </c>
      <c r="G391" s="96">
        <v>0</v>
      </c>
      <c r="H391" s="96">
        <f t="shared" ref="H391:H393" si="41">(F391+(IF(G391&lt;101,G391,IF(G391&lt;201,G391/2,IF(G391&lt;=301,G391/3,G391/4)))))*(($H$387)+1)</f>
        <v>197.14265999999998</v>
      </c>
      <c r="I391" s="35"/>
      <c r="L391" s="122"/>
      <c r="M391" s="122"/>
      <c r="N391" s="35"/>
      <c r="T391" s="33"/>
    </row>
    <row r="392" spans="1:20" s="36" customFormat="1" ht="15.75" customHeight="1" x14ac:dyDescent="0.35">
      <c r="A392" s="125">
        <f>A391+1</f>
        <v>3</v>
      </c>
      <c r="B392" s="125"/>
      <c r="C392" s="96" t="s">
        <v>369</v>
      </c>
      <c r="D392" s="96">
        <f>(12.2)*10.764</f>
        <v>131.32079999999999</v>
      </c>
      <c r="E392" s="96">
        <v>0</v>
      </c>
      <c r="F392" s="96">
        <f t="shared" si="40"/>
        <v>131.32079999999999</v>
      </c>
      <c r="G392" s="96">
        <v>0</v>
      </c>
      <c r="H392" s="96">
        <f t="shared" si="41"/>
        <v>196.9812</v>
      </c>
      <c r="I392" s="35"/>
      <c r="L392" s="122"/>
      <c r="M392" s="122"/>
      <c r="N392" s="35"/>
      <c r="T392" s="20"/>
    </row>
    <row r="393" spans="1:20" s="36" customFormat="1" ht="15.75" customHeight="1" x14ac:dyDescent="0.35">
      <c r="A393" s="125">
        <f>A392+1</f>
        <v>4</v>
      </c>
      <c r="B393" s="125"/>
      <c r="C393" s="96" t="s">
        <v>369</v>
      </c>
      <c r="D393" s="96">
        <f>(12.2)*10.764</f>
        <v>131.32079999999999</v>
      </c>
      <c r="E393" s="96">
        <v>0</v>
      </c>
      <c r="F393" s="96">
        <f t="shared" si="40"/>
        <v>131.32079999999999</v>
      </c>
      <c r="G393" s="96">
        <v>0</v>
      </c>
      <c r="H393" s="96">
        <f t="shared" si="41"/>
        <v>196.9812</v>
      </c>
      <c r="I393" s="35"/>
      <c r="L393" s="122"/>
      <c r="M393" s="122"/>
      <c r="N393" s="35"/>
      <c r="T393" s="20"/>
    </row>
    <row r="394" spans="1:20" s="81" customFormat="1" ht="15.75" customHeight="1" x14ac:dyDescent="0.35">
      <c r="A394" s="125">
        <f>A393+1</f>
        <v>5</v>
      </c>
      <c r="B394" s="125"/>
      <c r="C394" s="96" t="s">
        <v>369</v>
      </c>
      <c r="D394" s="96">
        <f>(12.21)*10.764</f>
        <v>131.42843999999999</v>
      </c>
      <c r="E394" s="96">
        <v>0</v>
      </c>
      <c r="F394" s="96">
        <f t="shared" ref="F394:F395" si="42">D394+(IF(E394&lt;201,E394,IF(E394&lt;301,E394/2,E394/3)))</f>
        <v>131.42843999999999</v>
      </c>
      <c r="G394" s="96">
        <v>0</v>
      </c>
      <c r="H394" s="96">
        <f t="shared" ref="H394:H395" si="43">(F394+(IF(G394&lt;101,G394,IF(G394&lt;201,G394/2,IF(G394&lt;=301,G394/3,G394/4)))))*(($H$387)+1)</f>
        <v>197.14265999999998</v>
      </c>
      <c r="I394" s="35">
        <f>6.03*2.03</f>
        <v>12.2409</v>
      </c>
      <c r="L394" s="122"/>
      <c r="M394" s="122"/>
      <c r="N394" s="35"/>
      <c r="T394" s="20"/>
    </row>
    <row r="395" spans="1:20" s="81" customFormat="1" ht="15.75" customHeight="1" x14ac:dyDescent="0.35">
      <c r="A395" s="123">
        <f>A394+1</f>
        <v>6</v>
      </c>
      <c r="B395" s="124"/>
      <c r="C395" s="80" t="s">
        <v>369</v>
      </c>
      <c r="D395" s="80">
        <f>(16.28)*10.764</f>
        <v>175.23792</v>
      </c>
      <c r="E395" s="80">
        <v>0</v>
      </c>
      <c r="F395" s="80">
        <f t="shared" si="42"/>
        <v>175.23792</v>
      </c>
      <c r="G395" s="80">
        <v>0</v>
      </c>
      <c r="H395" s="80">
        <f t="shared" si="43"/>
        <v>262.85687999999999</v>
      </c>
      <c r="I395" s="35"/>
      <c r="L395" s="122"/>
      <c r="M395" s="122"/>
      <c r="N395" s="35"/>
      <c r="T395" s="20"/>
    </row>
    <row r="396" spans="1:20" s="81" customFormat="1" x14ac:dyDescent="0.35">
      <c r="A396" s="134" t="s">
        <v>373</v>
      </c>
      <c r="B396" s="135"/>
      <c r="C396" s="135"/>
      <c r="D396" s="135"/>
      <c r="E396" s="135"/>
      <c r="F396" s="135"/>
      <c r="G396" s="135"/>
      <c r="H396" s="136"/>
      <c r="J396" s="35"/>
      <c r="T396" s="34"/>
    </row>
    <row r="397" spans="1:20" s="81" customFormat="1" x14ac:dyDescent="0.35">
      <c r="A397" s="126" t="s">
        <v>370</v>
      </c>
      <c r="B397" s="127"/>
      <c r="C397" s="127"/>
      <c r="D397" s="127"/>
      <c r="E397" s="127"/>
      <c r="F397" s="127"/>
      <c r="G397" s="127"/>
      <c r="H397" s="128"/>
      <c r="J397" s="35"/>
      <c r="T397" s="34"/>
    </row>
    <row r="398" spans="1:20" s="81" customFormat="1" ht="15.75" customHeight="1" x14ac:dyDescent="0.35">
      <c r="A398" s="123">
        <v>1</v>
      </c>
      <c r="B398" s="124"/>
      <c r="C398" s="80" t="s">
        <v>369</v>
      </c>
      <c r="D398" s="80">
        <f>(21.24)*10.764</f>
        <v>228.62735999999998</v>
      </c>
      <c r="E398" s="80">
        <v>0</v>
      </c>
      <c r="F398" s="80">
        <f>D398+(IF(E398&lt;201,E398,IF(E398&lt;301,E398/2,E398/3)))</f>
        <v>228.62735999999998</v>
      </c>
      <c r="G398" s="60">
        <v>0</v>
      </c>
      <c r="H398" s="80">
        <f>(F398+(IF(G398&lt;101,G398,IF(G398&lt;201,G398/2,IF(G398&lt;=301,G398/3,G398/4)))))*(($H$387)+1)</f>
        <v>342.94103999999999</v>
      </c>
      <c r="I398" s="35">
        <f>2.95*7.2</f>
        <v>21.240000000000002</v>
      </c>
      <c r="L398" s="122"/>
      <c r="M398" s="122"/>
      <c r="N398" s="35"/>
      <c r="T398" s="34"/>
    </row>
    <row r="399" spans="1:20" s="81" customFormat="1" ht="15.75" customHeight="1" x14ac:dyDescent="0.35">
      <c r="A399" s="123">
        <f t="shared" ref="A399:A404" si="44">A398+1</f>
        <v>2</v>
      </c>
      <c r="B399" s="124"/>
      <c r="C399" s="80" t="s">
        <v>369</v>
      </c>
      <c r="D399" s="80">
        <f>(25.42)*10.764</f>
        <v>273.62088</v>
      </c>
      <c r="E399" s="80">
        <v>0</v>
      </c>
      <c r="F399" s="80">
        <f t="shared" ref="F399:F401" si="45">D399+(IF(E399&lt;201,E399,IF(E399&lt;301,E399/2,E399/3)))</f>
        <v>273.62088</v>
      </c>
      <c r="G399" s="80">
        <v>0</v>
      </c>
      <c r="H399" s="80">
        <f t="shared" ref="H399:H401" si="46">(F399+(IF(G399&lt;101,G399,IF(G399&lt;201,G399/2,IF(G399&lt;=301,G399/3,G399/4)))))*(($H$387)+1)</f>
        <v>410.43132000000003</v>
      </c>
      <c r="I399" s="35">
        <f>3.53*7.2</f>
        <v>25.416</v>
      </c>
      <c r="L399" s="122"/>
      <c r="M399" s="122"/>
      <c r="N399" s="35"/>
      <c r="T399" s="33"/>
    </row>
    <row r="400" spans="1:20" s="81" customFormat="1" ht="15.75" customHeight="1" x14ac:dyDescent="0.35">
      <c r="A400" s="123">
        <f t="shared" si="44"/>
        <v>3</v>
      </c>
      <c r="B400" s="124"/>
      <c r="C400" s="80" t="s">
        <v>369</v>
      </c>
      <c r="D400" s="80">
        <f>(21.24)*10.764</f>
        <v>228.62735999999998</v>
      </c>
      <c r="E400" s="80">
        <v>0</v>
      </c>
      <c r="F400" s="80">
        <f t="shared" si="45"/>
        <v>228.62735999999998</v>
      </c>
      <c r="G400" s="80">
        <v>0</v>
      </c>
      <c r="H400" s="80">
        <f t="shared" si="46"/>
        <v>342.94103999999999</v>
      </c>
      <c r="I400" s="35"/>
      <c r="L400" s="122"/>
      <c r="M400" s="122"/>
      <c r="N400" s="35"/>
      <c r="T400" s="20"/>
    </row>
    <row r="401" spans="1:20" s="81" customFormat="1" ht="15.75" customHeight="1" x14ac:dyDescent="0.35">
      <c r="A401" s="123">
        <f t="shared" si="44"/>
        <v>4</v>
      </c>
      <c r="B401" s="124"/>
      <c r="C401" s="80" t="s">
        <v>369</v>
      </c>
      <c r="D401" s="80">
        <f>(13.63)*10.764</f>
        <v>146.71332000000001</v>
      </c>
      <c r="E401" s="80">
        <v>0</v>
      </c>
      <c r="F401" s="80">
        <f t="shared" si="45"/>
        <v>146.71332000000001</v>
      </c>
      <c r="G401" s="80">
        <v>0</v>
      </c>
      <c r="H401" s="80">
        <f t="shared" si="46"/>
        <v>220.06998000000002</v>
      </c>
      <c r="I401" s="35"/>
      <c r="L401" s="122"/>
      <c r="M401" s="122"/>
      <c r="N401" s="35"/>
      <c r="T401" s="20"/>
    </row>
    <row r="402" spans="1:20" s="81" customFormat="1" ht="15.75" customHeight="1" x14ac:dyDescent="0.35">
      <c r="A402" s="123">
        <f t="shared" si="44"/>
        <v>5</v>
      </c>
      <c r="B402" s="124"/>
      <c r="C402" s="80" t="s">
        <v>369</v>
      </c>
      <c r="D402" s="80">
        <f>(21.24)*10.764</f>
        <v>228.62735999999998</v>
      </c>
      <c r="E402" s="80">
        <v>0</v>
      </c>
      <c r="F402" s="80">
        <f t="shared" ref="F402:F404" si="47">D402+(IF(E402&lt;201,E402,IF(E402&lt;301,E402/2,E402/3)))</f>
        <v>228.62735999999998</v>
      </c>
      <c r="G402" s="80">
        <v>0</v>
      </c>
      <c r="H402" s="80">
        <f t="shared" ref="H402:H404" si="48">(F402+(IF(G402&lt;101,G402,IF(G402&lt;201,G402/2,IF(G402&lt;=301,G402/3,G402/4)))))*(($H$387)+1)</f>
        <v>342.94103999999999</v>
      </c>
      <c r="I402" s="35"/>
      <c r="L402" s="122"/>
      <c r="M402" s="122"/>
      <c r="N402" s="35"/>
      <c r="T402" s="33"/>
    </row>
    <row r="403" spans="1:20" s="81" customFormat="1" ht="15.75" customHeight="1" x14ac:dyDescent="0.35">
      <c r="A403" s="123">
        <f t="shared" si="44"/>
        <v>6</v>
      </c>
      <c r="B403" s="124"/>
      <c r="C403" s="80" t="s">
        <v>369</v>
      </c>
      <c r="D403" s="80">
        <f>(25.42)*10.764</f>
        <v>273.62088</v>
      </c>
      <c r="E403" s="80">
        <v>0</v>
      </c>
      <c r="F403" s="80">
        <f t="shared" si="47"/>
        <v>273.62088</v>
      </c>
      <c r="G403" s="80">
        <v>0</v>
      </c>
      <c r="H403" s="80">
        <f t="shared" si="48"/>
        <v>410.43132000000003</v>
      </c>
      <c r="I403" s="35"/>
      <c r="L403" s="122"/>
      <c r="M403" s="122"/>
      <c r="N403" s="35"/>
      <c r="T403" s="20"/>
    </row>
    <row r="404" spans="1:20" s="81" customFormat="1" ht="15.75" customHeight="1" x14ac:dyDescent="0.35">
      <c r="A404" s="123">
        <f t="shared" si="44"/>
        <v>7</v>
      </c>
      <c r="B404" s="124"/>
      <c r="C404" s="80" t="s">
        <v>369</v>
      </c>
      <c r="D404" s="80">
        <f>(21.24)*10.764</f>
        <v>228.62735999999998</v>
      </c>
      <c r="E404" s="80">
        <v>0</v>
      </c>
      <c r="F404" s="80">
        <f t="shared" si="47"/>
        <v>228.62735999999998</v>
      </c>
      <c r="G404" s="80">
        <v>0</v>
      </c>
      <c r="H404" s="80">
        <f t="shared" si="48"/>
        <v>342.94103999999999</v>
      </c>
      <c r="I404" s="35"/>
      <c r="L404" s="122"/>
      <c r="M404" s="122"/>
      <c r="N404" s="35"/>
      <c r="T404" s="20"/>
    </row>
    <row r="405" spans="1:20" s="81" customFormat="1" x14ac:dyDescent="0.35">
      <c r="A405" s="134" t="s">
        <v>378</v>
      </c>
      <c r="B405" s="135"/>
      <c r="C405" s="135"/>
      <c r="D405" s="135"/>
      <c r="E405" s="135"/>
      <c r="F405" s="135"/>
      <c r="G405" s="135"/>
      <c r="H405" s="136"/>
      <c r="J405" s="35"/>
      <c r="T405" s="34"/>
    </row>
    <row r="406" spans="1:20" s="81" customFormat="1" x14ac:dyDescent="0.35">
      <c r="A406" s="126" t="s">
        <v>370</v>
      </c>
      <c r="B406" s="127"/>
      <c r="C406" s="127"/>
      <c r="D406" s="127"/>
      <c r="E406" s="127"/>
      <c r="F406" s="127"/>
      <c r="G406" s="127"/>
      <c r="H406" s="128"/>
      <c r="J406" s="35"/>
      <c r="T406" s="34"/>
    </row>
    <row r="407" spans="1:20" s="81" customFormat="1" ht="15.75" customHeight="1" x14ac:dyDescent="0.35">
      <c r="A407" s="123">
        <v>1</v>
      </c>
      <c r="B407" s="124"/>
      <c r="C407" s="80" t="s">
        <v>369</v>
      </c>
      <c r="D407" s="80">
        <f>(16.28)*10.764</f>
        <v>175.23792</v>
      </c>
      <c r="E407" s="80">
        <v>0</v>
      </c>
      <c r="F407" s="80">
        <f>D407+(IF(E407&lt;201,E407,IF(E407&lt;301,E407/2,E407/3)))</f>
        <v>175.23792</v>
      </c>
      <c r="G407" s="60">
        <v>0</v>
      </c>
      <c r="H407" s="80">
        <f>(F407+(IF(G407&lt;101,G407,IF(G407&lt;201,G407/2,IF(G407&lt;=301,G407/3,G407/4)))))*(($H$387)+1)</f>
        <v>262.85687999999999</v>
      </c>
      <c r="I407" s="35">
        <f>6.03*2.7</f>
        <v>16.281000000000002</v>
      </c>
      <c r="L407" s="122"/>
      <c r="M407" s="122"/>
      <c r="N407" s="35"/>
      <c r="T407" s="34"/>
    </row>
    <row r="408" spans="1:20" s="81" customFormat="1" ht="15.75" customHeight="1" x14ac:dyDescent="0.35">
      <c r="A408" s="123">
        <f>A407+1</f>
        <v>2</v>
      </c>
      <c r="B408" s="124"/>
      <c r="C408" s="80" t="s">
        <v>369</v>
      </c>
      <c r="D408" s="80">
        <f>(12.2)*10.764</f>
        <v>131.32079999999999</v>
      </c>
      <c r="E408" s="80">
        <v>0</v>
      </c>
      <c r="F408" s="80">
        <f t="shared" ref="F408:F410" si="49">D408+(IF(E408&lt;201,E408,IF(E408&lt;301,E408/2,E408/3)))</f>
        <v>131.32079999999999</v>
      </c>
      <c r="G408" s="80">
        <v>0</v>
      </c>
      <c r="H408" s="80">
        <f t="shared" ref="H408:H410" si="50">(F408+(IF(G408&lt;101,G408,IF(G408&lt;201,G408/2,IF(G408&lt;=301,G408/3,G408/4)))))*(($H$387)+1)</f>
        <v>196.9812</v>
      </c>
      <c r="I408" s="35"/>
      <c r="L408" s="122"/>
      <c r="M408" s="122"/>
      <c r="N408" s="35"/>
      <c r="T408" s="33"/>
    </row>
    <row r="409" spans="1:20" s="81" customFormat="1" ht="15.75" customHeight="1" x14ac:dyDescent="0.35">
      <c r="A409" s="123">
        <f>A408+1</f>
        <v>3</v>
      </c>
      <c r="B409" s="124"/>
      <c r="C409" s="80" t="s">
        <v>369</v>
      </c>
      <c r="D409" s="80">
        <f>(12.2)*10.764</f>
        <v>131.32079999999999</v>
      </c>
      <c r="E409" s="80">
        <v>0</v>
      </c>
      <c r="F409" s="80">
        <f t="shared" si="49"/>
        <v>131.32079999999999</v>
      </c>
      <c r="G409" s="80">
        <v>0</v>
      </c>
      <c r="H409" s="80">
        <f t="shared" si="50"/>
        <v>196.9812</v>
      </c>
      <c r="I409" s="35">
        <f>6.03*2.03</f>
        <v>12.2409</v>
      </c>
      <c r="L409" s="122"/>
      <c r="M409" s="122"/>
      <c r="N409" s="35"/>
      <c r="T409" s="20"/>
    </row>
    <row r="410" spans="1:20" s="81" customFormat="1" ht="15.75" customHeight="1" x14ac:dyDescent="0.35">
      <c r="A410" s="123">
        <f>A409+1</f>
        <v>4</v>
      </c>
      <c r="B410" s="124"/>
      <c r="C410" s="80" t="s">
        <v>369</v>
      </c>
      <c r="D410" s="80">
        <f>(12.2)*10.764</f>
        <v>131.32079999999999</v>
      </c>
      <c r="E410" s="80">
        <v>0</v>
      </c>
      <c r="F410" s="80">
        <f t="shared" si="49"/>
        <v>131.32079999999999</v>
      </c>
      <c r="G410" s="80">
        <v>0</v>
      </c>
      <c r="H410" s="80">
        <f t="shared" si="50"/>
        <v>196.9812</v>
      </c>
      <c r="I410" s="35"/>
      <c r="L410" s="122"/>
      <c r="M410" s="122"/>
      <c r="N410" s="35"/>
      <c r="T410" s="20"/>
    </row>
    <row r="411" spans="1:20" s="81" customFormat="1" ht="15.75" customHeight="1" x14ac:dyDescent="0.35">
      <c r="A411" s="123">
        <f>A410+1</f>
        <v>5</v>
      </c>
      <c r="B411" s="124"/>
      <c r="C411" s="80" t="s">
        <v>369</v>
      </c>
      <c r="D411" s="80">
        <f>(12.2)*10.764</f>
        <v>131.32079999999999</v>
      </c>
      <c r="E411" s="80">
        <v>0</v>
      </c>
      <c r="F411" s="80">
        <f t="shared" ref="F411:F412" si="51">D411+(IF(E411&lt;201,E411,IF(E411&lt;301,E411/2,E411/3)))</f>
        <v>131.32079999999999</v>
      </c>
      <c r="G411" s="80">
        <v>0</v>
      </c>
      <c r="H411" s="80">
        <f t="shared" ref="H411:H412" si="52">(F411+(IF(G411&lt;101,G411,IF(G411&lt;201,G411/2,IF(G411&lt;=301,G411/3,G411/4)))))*(($H$387)+1)</f>
        <v>196.9812</v>
      </c>
      <c r="I411" s="35"/>
      <c r="L411" s="122"/>
      <c r="M411" s="122"/>
      <c r="N411" s="35"/>
      <c r="T411" s="20"/>
    </row>
    <row r="412" spans="1:20" s="81" customFormat="1" ht="15.75" customHeight="1" x14ac:dyDescent="0.35">
      <c r="A412" s="123">
        <f>A411+1</f>
        <v>6</v>
      </c>
      <c r="B412" s="124"/>
      <c r="C412" s="80" t="s">
        <v>369</v>
      </c>
      <c r="D412" s="80">
        <f>(16.28)*10.764</f>
        <v>175.23792</v>
      </c>
      <c r="E412" s="80">
        <v>0</v>
      </c>
      <c r="F412" s="80">
        <f t="shared" si="51"/>
        <v>175.23792</v>
      </c>
      <c r="G412" s="80">
        <v>0</v>
      </c>
      <c r="H412" s="80">
        <f t="shared" si="52"/>
        <v>262.85687999999999</v>
      </c>
      <c r="I412" s="35"/>
      <c r="L412" s="122"/>
      <c r="M412" s="122"/>
      <c r="N412" s="35"/>
      <c r="T412" s="20"/>
    </row>
    <row r="413" spans="1:20" s="81" customFormat="1" x14ac:dyDescent="0.35">
      <c r="A413" s="249" t="s">
        <v>379</v>
      </c>
      <c r="B413" s="249"/>
      <c r="C413" s="249"/>
      <c r="D413" s="249"/>
      <c r="E413" s="249"/>
      <c r="F413" s="249"/>
      <c r="G413" s="249"/>
      <c r="H413" s="249"/>
      <c r="J413" s="35"/>
      <c r="T413" s="34"/>
    </row>
    <row r="414" spans="1:20" s="81" customFormat="1" x14ac:dyDescent="0.35">
      <c r="A414" s="130" t="s">
        <v>370</v>
      </c>
      <c r="B414" s="130"/>
      <c r="C414" s="130"/>
      <c r="D414" s="130"/>
      <c r="E414" s="130"/>
      <c r="F414" s="130"/>
      <c r="G414" s="130"/>
      <c r="H414" s="130"/>
      <c r="J414" s="35"/>
      <c r="T414" s="34"/>
    </row>
    <row r="415" spans="1:20" s="81" customFormat="1" ht="15.75" customHeight="1" x14ac:dyDescent="0.35">
      <c r="A415" s="125">
        <v>1</v>
      </c>
      <c r="B415" s="125"/>
      <c r="C415" s="110" t="s">
        <v>369</v>
      </c>
      <c r="D415" s="110">
        <f>(21.24)*10.764</f>
        <v>228.62735999999998</v>
      </c>
      <c r="E415" s="110">
        <v>0</v>
      </c>
      <c r="F415" s="110">
        <f>D415+(IF(E415&lt;201,E415,IF(E415&lt;301,E415/2,E415/3)))</f>
        <v>228.62735999999998</v>
      </c>
      <c r="G415" s="60">
        <v>0</v>
      </c>
      <c r="H415" s="110">
        <f>(F415+(IF(G415&lt;101,G415,IF(G415&lt;201,G415/2,IF(G415&lt;=301,G415/3,G415/4)))))*(($H$387)+1)</f>
        <v>342.94103999999999</v>
      </c>
      <c r="I415" s="35">
        <f>2.95*7.2</f>
        <v>21.240000000000002</v>
      </c>
      <c r="L415" s="122"/>
      <c r="M415" s="122"/>
      <c r="N415" s="35"/>
      <c r="T415" s="34"/>
    </row>
    <row r="416" spans="1:20" s="81" customFormat="1" ht="15.75" customHeight="1" x14ac:dyDescent="0.35">
      <c r="A416" s="125">
        <f t="shared" ref="A416:A421" si="53">A415+1</f>
        <v>2</v>
      </c>
      <c r="B416" s="125"/>
      <c r="C416" s="110" t="s">
        <v>369</v>
      </c>
      <c r="D416" s="110">
        <f>(25.42)*10.764</f>
        <v>273.62088</v>
      </c>
      <c r="E416" s="110">
        <v>0</v>
      </c>
      <c r="F416" s="110">
        <f t="shared" ref="F416:F421" si="54">D416+(IF(E416&lt;201,E416,IF(E416&lt;301,E416/2,E416/3)))</f>
        <v>273.62088</v>
      </c>
      <c r="G416" s="110">
        <v>0</v>
      </c>
      <c r="H416" s="110">
        <f t="shared" ref="H416:H421" si="55">(F416+(IF(G416&lt;101,G416,IF(G416&lt;201,G416/2,IF(G416&lt;=301,G416/3,G416/4)))))*(($H$387)+1)</f>
        <v>410.43132000000003</v>
      </c>
      <c r="I416" s="35">
        <f>3.53*7.2</f>
        <v>25.416</v>
      </c>
      <c r="L416" s="122"/>
      <c r="M416" s="122"/>
      <c r="N416" s="35"/>
      <c r="T416" s="33"/>
    </row>
    <row r="417" spans="1:20" s="81" customFormat="1" ht="15.75" customHeight="1" x14ac:dyDescent="0.35">
      <c r="A417" s="125">
        <f t="shared" si="53"/>
        <v>3</v>
      </c>
      <c r="B417" s="125"/>
      <c r="C417" s="110" t="s">
        <v>369</v>
      </c>
      <c r="D417" s="110">
        <f>(21.24)*10.764</f>
        <v>228.62735999999998</v>
      </c>
      <c r="E417" s="110">
        <v>0</v>
      </c>
      <c r="F417" s="110">
        <f t="shared" si="54"/>
        <v>228.62735999999998</v>
      </c>
      <c r="G417" s="110">
        <v>0</v>
      </c>
      <c r="H417" s="110">
        <f t="shared" si="55"/>
        <v>342.94103999999999</v>
      </c>
      <c r="I417" s="35"/>
      <c r="L417" s="122"/>
      <c r="M417" s="122"/>
      <c r="N417" s="35"/>
      <c r="T417" s="20"/>
    </row>
    <row r="418" spans="1:20" s="81" customFormat="1" ht="15.75" customHeight="1" x14ac:dyDescent="0.35">
      <c r="A418" s="125">
        <f t="shared" si="53"/>
        <v>4</v>
      </c>
      <c r="B418" s="125"/>
      <c r="C418" s="110" t="s">
        <v>369</v>
      </c>
      <c r="D418" s="110">
        <f>(13.63)*10.764</f>
        <v>146.71332000000001</v>
      </c>
      <c r="E418" s="110">
        <v>0</v>
      </c>
      <c r="F418" s="110">
        <f t="shared" si="54"/>
        <v>146.71332000000001</v>
      </c>
      <c r="G418" s="110">
        <v>0</v>
      </c>
      <c r="H418" s="110">
        <f t="shared" si="55"/>
        <v>220.06998000000002</v>
      </c>
      <c r="I418" s="35"/>
      <c r="L418" s="122"/>
      <c r="M418" s="122"/>
      <c r="N418" s="35"/>
      <c r="T418" s="20"/>
    </row>
    <row r="419" spans="1:20" s="81" customFormat="1" ht="15.75" customHeight="1" x14ac:dyDescent="0.35">
      <c r="A419" s="125">
        <f t="shared" si="53"/>
        <v>5</v>
      </c>
      <c r="B419" s="125"/>
      <c r="C419" s="110" t="s">
        <v>369</v>
      </c>
      <c r="D419" s="110">
        <f>(21.24)*10.764</f>
        <v>228.62735999999998</v>
      </c>
      <c r="E419" s="110">
        <v>0</v>
      </c>
      <c r="F419" s="110">
        <f t="shared" si="54"/>
        <v>228.62735999999998</v>
      </c>
      <c r="G419" s="110">
        <v>0</v>
      </c>
      <c r="H419" s="110">
        <f t="shared" si="55"/>
        <v>342.94103999999999</v>
      </c>
      <c r="I419" s="35"/>
      <c r="L419" s="122"/>
      <c r="M419" s="122"/>
      <c r="N419" s="35"/>
      <c r="T419" s="33"/>
    </row>
    <row r="420" spans="1:20" s="81" customFormat="1" ht="15.75" customHeight="1" x14ac:dyDescent="0.35">
      <c r="A420" s="125">
        <f t="shared" si="53"/>
        <v>6</v>
      </c>
      <c r="B420" s="125"/>
      <c r="C420" s="110" t="s">
        <v>369</v>
      </c>
      <c r="D420" s="110">
        <f>(25.42)*10.764</f>
        <v>273.62088</v>
      </c>
      <c r="E420" s="110">
        <v>0</v>
      </c>
      <c r="F420" s="110">
        <f t="shared" si="54"/>
        <v>273.62088</v>
      </c>
      <c r="G420" s="110">
        <v>0</v>
      </c>
      <c r="H420" s="110">
        <f t="shared" si="55"/>
        <v>410.43132000000003</v>
      </c>
      <c r="I420" s="35"/>
      <c r="L420" s="122"/>
      <c r="M420" s="122"/>
      <c r="N420" s="35"/>
      <c r="T420" s="20"/>
    </row>
    <row r="421" spans="1:20" s="81" customFormat="1" ht="15.75" customHeight="1" x14ac:dyDescent="0.35">
      <c r="A421" s="125">
        <f t="shared" si="53"/>
        <v>7</v>
      </c>
      <c r="B421" s="125"/>
      <c r="C421" s="110" t="s">
        <v>369</v>
      </c>
      <c r="D421" s="110">
        <f>(21.24)*10.764</f>
        <v>228.62735999999998</v>
      </c>
      <c r="E421" s="110">
        <v>0</v>
      </c>
      <c r="F421" s="110">
        <f t="shared" si="54"/>
        <v>228.62735999999998</v>
      </c>
      <c r="G421" s="110">
        <v>0</v>
      </c>
      <c r="H421" s="110">
        <f t="shared" si="55"/>
        <v>342.94103999999999</v>
      </c>
      <c r="I421" s="35"/>
      <c r="L421" s="122"/>
      <c r="M421" s="122"/>
      <c r="N421" s="35"/>
      <c r="T421" s="20"/>
    </row>
    <row r="422" spans="1:20" s="83" customFormat="1" x14ac:dyDescent="0.35">
      <c r="A422" s="126" t="s">
        <v>383</v>
      </c>
      <c r="B422" s="127"/>
      <c r="C422" s="127"/>
      <c r="D422" s="127"/>
      <c r="E422" s="127"/>
      <c r="F422" s="127"/>
      <c r="G422" s="127"/>
      <c r="H422" s="128"/>
      <c r="J422" s="35"/>
      <c r="T422" s="34"/>
    </row>
    <row r="423" spans="1:20" s="83" customFormat="1" x14ac:dyDescent="0.35">
      <c r="A423" s="126" t="s">
        <v>370</v>
      </c>
      <c r="B423" s="127"/>
      <c r="C423" s="127"/>
      <c r="D423" s="127"/>
      <c r="E423" s="127"/>
      <c r="F423" s="127"/>
      <c r="G423" s="127"/>
      <c r="H423" s="128"/>
      <c r="J423" s="35"/>
      <c r="T423" s="34"/>
    </row>
    <row r="424" spans="1:20" s="81" customFormat="1" ht="15.75" customHeight="1" x14ac:dyDescent="0.35">
      <c r="A424" s="123">
        <v>1</v>
      </c>
      <c r="B424" s="124"/>
      <c r="C424" s="80" t="s">
        <v>369</v>
      </c>
      <c r="D424" s="82">
        <f>(16.28)*10.764</f>
        <v>175.23792</v>
      </c>
      <c r="E424" s="80">
        <v>0</v>
      </c>
      <c r="F424" s="80">
        <f>D424+(IF(E424&lt;201,E424,IF(E424&lt;301,E424/2,E424/3)))</f>
        <v>175.23792</v>
      </c>
      <c r="G424" s="60">
        <v>0</v>
      </c>
      <c r="H424" s="80">
        <f>(F424+(IF(G424&lt;101,G424,IF(G424&lt;201,G424/2,IF(G424&lt;=301,G424/3,G424/4)))))*(($H$387)+1)</f>
        <v>262.85687999999999</v>
      </c>
      <c r="I424" s="35"/>
      <c r="L424" s="122"/>
      <c r="M424" s="122"/>
      <c r="N424" s="35"/>
      <c r="T424" s="34"/>
    </row>
    <row r="425" spans="1:20" s="81" customFormat="1" ht="15.75" customHeight="1" x14ac:dyDescent="0.35">
      <c r="A425" s="123">
        <f>A424+1</f>
        <v>2</v>
      </c>
      <c r="B425" s="124"/>
      <c r="C425" s="82" t="s">
        <v>369</v>
      </c>
      <c r="D425" s="82">
        <f>(12.2)*10.764</f>
        <v>131.32079999999999</v>
      </c>
      <c r="E425" s="80">
        <v>0</v>
      </c>
      <c r="F425" s="80">
        <f t="shared" ref="F425:F427" si="56">D425+(IF(E425&lt;201,E425,IF(E425&lt;301,E425/2,E425/3)))</f>
        <v>131.32079999999999</v>
      </c>
      <c r="G425" s="80">
        <v>0</v>
      </c>
      <c r="H425" s="80">
        <f t="shared" ref="H425:H427" si="57">(F425+(IF(G425&lt;101,G425,IF(G425&lt;201,G425/2,IF(G425&lt;=301,G425/3,G425/4)))))*(($H$387)+1)</f>
        <v>196.9812</v>
      </c>
      <c r="I425" s="35"/>
      <c r="L425" s="122"/>
      <c r="M425" s="122"/>
      <c r="N425" s="35"/>
      <c r="T425" s="33"/>
    </row>
    <row r="426" spans="1:20" s="81" customFormat="1" ht="15.75" customHeight="1" x14ac:dyDescent="0.35">
      <c r="A426" s="123">
        <f>A425+1</f>
        <v>3</v>
      </c>
      <c r="B426" s="124"/>
      <c r="C426" s="82" t="s">
        <v>369</v>
      </c>
      <c r="D426" s="82">
        <f>(12.2)*10.764</f>
        <v>131.32079999999999</v>
      </c>
      <c r="E426" s="80">
        <v>0</v>
      </c>
      <c r="F426" s="80">
        <f t="shared" si="56"/>
        <v>131.32079999999999</v>
      </c>
      <c r="G426" s="80">
        <v>0</v>
      </c>
      <c r="H426" s="80">
        <f t="shared" si="57"/>
        <v>196.9812</v>
      </c>
      <c r="I426" s="35"/>
      <c r="L426" s="122"/>
      <c r="M426" s="122"/>
      <c r="N426" s="35"/>
      <c r="T426" s="20"/>
    </row>
    <row r="427" spans="1:20" s="81" customFormat="1" ht="15.75" customHeight="1" x14ac:dyDescent="0.35">
      <c r="A427" s="123">
        <f>A426+1</f>
        <v>4</v>
      </c>
      <c r="B427" s="124"/>
      <c r="C427" s="82" t="s">
        <v>369</v>
      </c>
      <c r="D427" s="82">
        <f>(12.2)*10.764</f>
        <v>131.32079999999999</v>
      </c>
      <c r="E427" s="80">
        <v>0</v>
      </c>
      <c r="F427" s="80">
        <f t="shared" si="56"/>
        <v>131.32079999999999</v>
      </c>
      <c r="G427" s="80">
        <v>0</v>
      </c>
      <c r="H427" s="80">
        <f t="shared" si="57"/>
        <v>196.9812</v>
      </c>
      <c r="I427" s="35"/>
      <c r="L427" s="122"/>
      <c r="M427" s="122"/>
      <c r="N427" s="35"/>
      <c r="T427" s="20"/>
    </row>
    <row r="428" spans="1:20" s="83" customFormat="1" ht="15.75" customHeight="1" x14ac:dyDescent="0.35">
      <c r="A428" s="123">
        <f>A427+1</f>
        <v>5</v>
      </c>
      <c r="B428" s="124"/>
      <c r="C428" s="82" t="s">
        <v>369</v>
      </c>
      <c r="D428" s="82">
        <f>(12.2)*10.764</f>
        <v>131.32079999999999</v>
      </c>
      <c r="E428" s="82">
        <v>0</v>
      </c>
      <c r="F428" s="82">
        <f t="shared" ref="F428:F429" si="58">D428+(IF(E428&lt;201,E428,IF(E428&lt;301,E428/2,E428/3)))</f>
        <v>131.32079999999999</v>
      </c>
      <c r="G428" s="82">
        <v>0</v>
      </c>
      <c r="H428" s="82">
        <f t="shared" ref="H428:H429" si="59">(F428+(IF(G428&lt;101,G428,IF(G428&lt;201,G428/2,IF(G428&lt;=301,G428/3,G428/4)))))*(($H$387)+1)</f>
        <v>196.9812</v>
      </c>
      <c r="I428" s="35"/>
      <c r="L428" s="122"/>
      <c r="M428" s="122"/>
      <c r="N428" s="35"/>
      <c r="T428" s="20"/>
    </row>
    <row r="429" spans="1:20" s="83" customFormat="1" ht="15.75" customHeight="1" x14ac:dyDescent="0.35">
      <c r="A429" s="123">
        <f>A428+1</f>
        <v>6</v>
      </c>
      <c r="B429" s="124"/>
      <c r="C429" s="82" t="s">
        <v>369</v>
      </c>
      <c r="D429" s="82">
        <f>(16.28)*10.764</f>
        <v>175.23792</v>
      </c>
      <c r="E429" s="82">
        <v>0</v>
      </c>
      <c r="F429" s="82">
        <f t="shared" si="58"/>
        <v>175.23792</v>
      </c>
      <c r="G429" s="82">
        <v>0</v>
      </c>
      <c r="H429" s="82">
        <f t="shared" si="59"/>
        <v>262.85687999999999</v>
      </c>
      <c r="I429" s="35"/>
      <c r="L429" s="122"/>
      <c r="M429" s="122"/>
      <c r="N429" s="35"/>
      <c r="T429" s="20"/>
    </row>
    <row r="430" spans="1:20" s="83" customFormat="1" x14ac:dyDescent="0.35">
      <c r="A430" s="249" t="s">
        <v>386</v>
      </c>
      <c r="B430" s="249"/>
      <c r="C430" s="249"/>
      <c r="D430" s="249"/>
      <c r="E430" s="249"/>
      <c r="F430" s="249"/>
      <c r="G430" s="249"/>
      <c r="H430" s="249"/>
      <c r="J430" s="35"/>
      <c r="T430" s="34"/>
    </row>
    <row r="431" spans="1:20" s="83" customFormat="1" x14ac:dyDescent="0.35">
      <c r="A431" s="130" t="s">
        <v>370</v>
      </c>
      <c r="B431" s="130"/>
      <c r="C431" s="130"/>
      <c r="D431" s="130"/>
      <c r="E431" s="130"/>
      <c r="F431" s="130"/>
      <c r="G431" s="130"/>
      <c r="H431" s="130"/>
      <c r="J431" s="35"/>
      <c r="T431" s="34"/>
    </row>
    <row r="432" spans="1:20" s="83" customFormat="1" ht="15.75" customHeight="1" x14ac:dyDescent="0.35">
      <c r="A432" s="125">
        <v>1</v>
      </c>
      <c r="B432" s="125"/>
      <c r="C432" s="96" t="s">
        <v>369</v>
      </c>
      <c r="D432" s="96">
        <f>(21.24)*10.764</f>
        <v>228.62735999999998</v>
      </c>
      <c r="E432" s="96">
        <v>0</v>
      </c>
      <c r="F432" s="96">
        <f>D432+(IF(E432&lt;201,E432,IF(E432&lt;301,E432/2,E432/3)))</f>
        <v>228.62735999999998</v>
      </c>
      <c r="G432" s="60">
        <v>0</v>
      </c>
      <c r="H432" s="96">
        <f>(F432+(IF(G432&lt;101,G432,IF(G432&lt;201,G432/2,IF(G432&lt;=301,G432/3,G432/4)))))*(($H$387)+1)</f>
        <v>342.94103999999999</v>
      </c>
      <c r="I432" s="35">
        <f>2.95*7.2</f>
        <v>21.240000000000002</v>
      </c>
      <c r="L432" s="122"/>
      <c r="M432" s="122"/>
      <c r="N432" s="35"/>
      <c r="T432" s="34"/>
    </row>
    <row r="433" spans="1:20" s="83" customFormat="1" ht="15.75" customHeight="1" x14ac:dyDescent="0.35">
      <c r="A433" s="125">
        <f t="shared" ref="A433:A438" si="60">A432+1</f>
        <v>2</v>
      </c>
      <c r="B433" s="125"/>
      <c r="C433" s="96" t="s">
        <v>369</v>
      </c>
      <c r="D433" s="96">
        <f>(25.42)*10.764</f>
        <v>273.62088</v>
      </c>
      <c r="E433" s="96">
        <v>0</v>
      </c>
      <c r="F433" s="96">
        <f t="shared" ref="F433:F438" si="61">D433+(IF(E433&lt;201,E433,IF(E433&lt;301,E433/2,E433/3)))</f>
        <v>273.62088</v>
      </c>
      <c r="G433" s="96">
        <v>0</v>
      </c>
      <c r="H433" s="96">
        <f t="shared" ref="H433:H438" si="62">(F433+(IF(G433&lt;101,G433,IF(G433&lt;201,G433/2,IF(G433&lt;=301,G433/3,G433/4)))))*(($H$387)+1)</f>
        <v>410.43132000000003</v>
      </c>
      <c r="I433" s="35">
        <f>3.53*7.2</f>
        <v>25.416</v>
      </c>
      <c r="L433" s="122"/>
      <c r="M433" s="122"/>
      <c r="N433" s="35"/>
      <c r="T433" s="33"/>
    </row>
    <row r="434" spans="1:20" s="83" customFormat="1" ht="15.75" customHeight="1" x14ac:dyDescent="0.35">
      <c r="A434" s="125">
        <f t="shared" si="60"/>
        <v>3</v>
      </c>
      <c r="B434" s="125"/>
      <c r="C434" s="96" t="s">
        <v>369</v>
      </c>
      <c r="D434" s="96">
        <f>(21.24)*10.764</f>
        <v>228.62735999999998</v>
      </c>
      <c r="E434" s="96">
        <v>0</v>
      </c>
      <c r="F434" s="96">
        <f t="shared" si="61"/>
        <v>228.62735999999998</v>
      </c>
      <c r="G434" s="96">
        <v>0</v>
      </c>
      <c r="H434" s="96">
        <f t="shared" si="62"/>
        <v>342.94103999999999</v>
      </c>
      <c r="I434" s="35"/>
      <c r="L434" s="122"/>
      <c r="M434" s="122"/>
      <c r="N434" s="35"/>
      <c r="T434" s="20"/>
    </row>
    <row r="435" spans="1:20" s="83" customFormat="1" ht="15.75" customHeight="1" x14ac:dyDescent="0.35">
      <c r="A435" s="125">
        <f t="shared" si="60"/>
        <v>4</v>
      </c>
      <c r="B435" s="125"/>
      <c r="C435" s="96" t="s">
        <v>369</v>
      </c>
      <c r="D435" s="96">
        <f>(13.63)*10.764</f>
        <v>146.71332000000001</v>
      </c>
      <c r="E435" s="96">
        <v>0</v>
      </c>
      <c r="F435" s="96">
        <f t="shared" si="61"/>
        <v>146.71332000000001</v>
      </c>
      <c r="G435" s="96">
        <v>0</v>
      </c>
      <c r="H435" s="96">
        <f t="shared" si="62"/>
        <v>220.06998000000002</v>
      </c>
      <c r="I435" s="35"/>
      <c r="L435" s="122"/>
      <c r="M435" s="122"/>
      <c r="N435" s="35"/>
      <c r="T435" s="20"/>
    </row>
    <row r="436" spans="1:20" s="83" customFormat="1" ht="15.75" customHeight="1" x14ac:dyDescent="0.35">
      <c r="A436" s="125">
        <f t="shared" si="60"/>
        <v>5</v>
      </c>
      <c r="B436" s="125"/>
      <c r="C436" s="96" t="s">
        <v>369</v>
      </c>
      <c r="D436" s="96">
        <f>(21.24)*10.764</f>
        <v>228.62735999999998</v>
      </c>
      <c r="E436" s="96">
        <v>0</v>
      </c>
      <c r="F436" s="96">
        <f t="shared" si="61"/>
        <v>228.62735999999998</v>
      </c>
      <c r="G436" s="96">
        <v>0</v>
      </c>
      <c r="H436" s="96">
        <f t="shared" si="62"/>
        <v>342.94103999999999</v>
      </c>
      <c r="I436" s="35"/>
      <c r="L436" s="122"/>
      <c r="M436" s="122"/>
      <c r="N436" s="35"/>
      <c r="T436" s="33"/>
    </row>
    <row r="437" spans="1:20" s="83" customFormat="1" ht="15.75" customHeight="1" x14ac:dyDescent="0.35">
      <c r="A437" s="123">
        <f t="shared" si="60"/>
        <v>6</v>
      </c>
      <c r="B437" s="124"/>
      <c r="C437" s="82" t="s">
        <v>369</v>
      </c>
      <c r="D437" s="82">
        <f>(25.42)*10.764</f>
        <v>273.62088</v>
      </c>
      <c r="E437" s="82">
        <v>0</v>
      </c>
      <c r="F437" s="82">
        <f t="shared" si="61"/>
        <v>273.62088</v>
      </c>
      <c r="G437" s="82">
        <v>0</v>
      </c>
      <c r="H437" s="82">
        <f t="shared" si="62"/>
        <v>410.43132000000003</v>
      </c>
      <c r="I437" s="35"/>
      <c r="L437" s="122"/>
      <c r="M437" s="122"/>
      <c r="N437" s="35"/>
      <c r="T437" s="20"/>
    </row>
    <row r="438" spans="1:20" s="83" customFormat="1" ht="15.75" customHeight="1" x14ac:dyDescent="0.35">
      <c r="A438" s="123">
        <f t="shared" si="60"/>
        <v>7</v>
      </c>
      <c r="B438" s="124"/>
      <c r="C438" s="82" t="s">
        <v>369</v>
      </c>
      <c r="D438" s="82">
        <f>(21.24)*10.764</f>
        <v>228.62735999999998</v>
      </c>
      <c r="E438" s="82">
        <v>0</v>
      </c>
      <c r="F438" s="82">
        <f t="shared" si="61"/>
        <v>228.62735999999998</v>
      </c>
      <c r="G438" s="82">
        <v>0</v>
      </c>
      <c r="H438" s="82">
        <f t="shared" si="62"/>
        <v>342.94103999999999</v>
      </c>
      <c r="I438" s="35"/>
      <c r="L438" s="122"/>
      <c r="M438" s="122"/>
      <c r="N438" s="35"/>
      <c r="T438" s="20"/>
    </row>
    <row r="439" spans="1:20" s="83" customFormat="1" x14ac:dyDescent="0.35">
      <c r="A439" s="126" t="s">
        <v>387</v>
      </c>
      <c r="B439" s="127"/>
      <c r="C439" s="127"/>
      <c r="D439" s="127"/>
      <c r="E439" s="127"/>
      <c r="F439" s="127"/>
      <c r="G439" s="127"/>
      <c r="H439" s="128"/>
      <c r="J439" s="35"/>
      <c r="T439" s="34"/>
    </row>
    <row r="440" spans="1:20" s="83" customFormat="1" x14ac:dyDescent="0.35">
      <c r="A440" s="126" t="s">
        <v>370</v>
      </c>
      <c r="B440" s="127"/>
      <c r="C440" s="127"/>
      <c r="D440" s="127"/>
      <c r="E440" s="127"/>
      <c r="F440" s="127"/>
      <c r="G440" s="127"/>
      <c r="H440" s="128"/>
      <c r="J440" s="35"/>
      <c r="T440" s="34"/>
    </row>
    <row r="441" spans="1:20" s="81" customFormat="1" ht="15.75" customHeight="1" x14ac:dyDescent="0.35">
      <c r="A441" s="123">
        <v>1</v>
      </c>
      <c r="B441" s="124"/>
      <c r="C441" s="80" t="s">
        <v>369</v>
      </c>
      <c r="D441" s="82">
        <f>(16.28)*10.764</f>
        <v>175.23792</v>
      </c>
      <c r="E441" s="80">
        <v>0</v>
      </c>
      <c r="F441" s="80">
        <f>D441+(IF(E441&lt;201,E441,IF(E441&lt;301,E441/2,E441/3)))</f>
        <v>175.23792</v>
      </c>
      <c r="G441" s="60">
        <v>0</v>
      </c>
      <c r="H441" s="80">
        <f>(F441+(IF(G441&lt;101,G441,IF(G441&lt;201,G441/2,IF(G441&lt;=301,G441/3,G441/4)))))*(($H$387)+1)</f>
        <v>262.85687999999999</v>
      </c>
      <c r="I441" s="35"/>
      <c r="L441" s="122"/>
      <c r="M441" s="122"/>
      <c r="N441" s="35"/>
      <c r="T441" s="34"/>
    </row>
    <row r="442" spans="1:20" s="81" customFormat="1" ht="15.75" customHeight="1" x14ac:dyDescent="0.35">
      <c r="A442" s="123">
        <f>A441+1</f>
        <v>2</v>
      </c>
      <c r="B442" s="124"/>
      <c r="C442" s="82" t="s">
        <v>369</v>
      </c>
      <c r="D442" s="82">
        <f>(12.2)*10.764</f>
        <v>131.32079999999999</v>
      </c>
      <c r="E442" s="80">
        <v>0</v>
      </c>
      <c r="F442" s="80">
        <f t="shared" ref="F442:F444" si="63">D442+(IF(E442&lt;201,E442,IF(E442&lt;301,E442/2,E442/3)))</f>
        <v>131.32079999999999</v>
      </c>
      <c r="G442" s="80">
        <v>0</v>
      </c>
      <c r="H442" s="80">
        <f t="shared" ref="H442:H444" si="64">(F442+(IF(G442&lt;101,G442,IF(G442&lt;201,G442/2,IF(G442&lt;=301,G442/3,G442/4)))))*(($H$387)+1)</f>
        <v>196.9812</v>
      </c>
      <c r="I442" s="35"/>
      <c r="L442" s="122"/>
      <c r="M442" s="122"/>
      <c r="N442" s="35"/>
      <c r="T442" s="33"/>
    </row>
    <row r="443" spans="1:20" s="81" customFormat="1" ht="15.75" customHeight="1" x14ac:dyDescent="0.35">
      <c r="A443" s="123">
        <f>A442+1</f>
        <v>3</v>
      </c>
      <c r="B443" s="124"/>
      <c r="C443" s="82" t="s">
        <v>369</v>
      </c>
      <c r="D443" s="82">
        <f>(12.2)*10.764</f>
        <v>131.32079999999999</v>
      </c>
      <c r="E443" s="80">
        <v>0</v>
      </c>
      <c r="F443" s="80">
        <f t="shared" si="63"/>
        <v>131.32079999999999</v>
      </c>
      <c r="G443" s="80">
        <v>0</v>
      </c>
      <c r="H443" s="80">
        <f t="shared" si="64"/>
        <v>196.9812</v>
      </c>
      <c r="I443" s="35"/>
      <c r="L443" s="122"/>
      <c r="M443" s="122"/>
      <c r="N443" s="35"/>
      <c r="T443" s="20"/>
    </row>
    <row r="444" spans="1:20" s="81" customFormat="1" ht="15.75" customHeight="1" x14ac:dyDescent="0.35">
      <c r="A444" s="123">
        <f>A443+1</f>
        <v>4</v>
      </c>
      <c r="B444" s="124"/>
      <c r="C444" s="82" t="s">
        <v>369</v>
      </c>
      <c r="D444" s="82">
        <f>(12.2)*10.764</f>
        <v>131.32079999999999</v>
      </c>
      <c r="E444" s="80">
        <v>0</v>
      </c>
      <c r="F444" s="80">
        <f t="shared" si="63"/>
        <v>131.32079999999999</v>
      </c>
      <c r="G444" s="80">
        <v>0</v>
      </c>
      <c r="H444" s="80">
        <f t="shared" si="64"/>
        <v>196.9812</v>
      </c>
      <c r="I444" s="35"/>
      <c r="L444" s="122"/>
      <c r="M444" s="122"/>
      <c r="N444" s="35"/>
      <c r="T444" s="20"/>
    </row>
    <row r="445" spans="1:20" s="83" customFormat="1" ht="15.75" customHeight="1" x14ac:dyDescent="0.35">
      <c r="A445" s="123">
        <f>A444+1</f>
        <v>5</v>
      </c>
      <c r="B445" s="124"/>
      <c r="C445" s="82" t="s">
        <v>369</v>
      </c>
      <c r="D445" s="82">
        <f>(12.2)*10.764</f>
        <v>131.32079999999999</v>
      </c>
      <c r="E445" s="82">
        <v>0</v>
      </c>
      <c r="F445" s="82">
        <f t="shared" ref="F445:F446" si="65">D445+(IF(E445&lt;201,E445,IF(E445&lt;301,E445/2,E445/3)))</f>
        <v>131.32079999999999</v>
      </c>
      <c r="G445" s="82">
        <v>0</v>
      </c>
      <c r="H445" s="82">
        <f t="shared" ref="H445:H446" si="66">(F445+(IF(G445&lt;101,G445,IF(G445&lt;201,G445/2,IF(G445&lt;=301,G445/3,G445/4)))))*(($H$387)+1)</f>
        <v>196.9812</v>
      </c>
      <c r="I445" s="35"/>
      <c r="L445" s="122"/>
      <c r="M445" s="122"/>
      <c r="N445" s="35"/>
      <c r="T445" s="20"/>
    </row>
    <row r="446" spans="1:20" s="83" customFormat="1" ht="15.75" customHeight="1" x14ac:dyDescent="0.35">
      <c r="A446" s="123">
        <f>A445+1</f>
        <v>6</v>
      </c>
      <c r="B446" s="124"/>
      <c r="C446" s="82" t="s">
        <v>369</v>
      </c>
      <c r="D446" s="82">
        <f>(16.28)*10.764</f>
        <v>175.23792</v>
      </c>
      <c r="E446" s="82">
        <v>0</v>
      </c>
      <c r="F446" s="82">
        <f t="shared" si="65"/>
        <v>175.23792</v>
      </c>
      <c r="G446" s="82">
        <v>0</v>
      </c>
      <c r="H446" s="82">
        <f t="shared" si="66"/>
        <v>262.85687999999999</v>
      </c>
      <c r="I446" s="35"/>
      <c r="L446" s="122"/>
      <c r="M446" s="122"/>
      <c r="N446" s="35"/>
      <c r="T446" s="20"/>
    </row>
    <row r="447" spans="1:20" s="36" customFormat="1" x14ac:dyDescent="0.35">
      <c r="A447" s="123"/>
      <c r="B447" s="129"/>
      <c r="C447" s="129"/>
      <c r="D447" s="129"/>
      <c r="E447" s="129"/>
      <c r="F447" s="129"/>
      <c r="G447" s="129"/>
      <c r="H447" s="124"/>
      <c r="I447" s="35"/>
      <c r="N447" s="35"/>
    </row>
    <row r="448" spans="1:20" ht="47.25" customHeight="1" x14ac:dyDescent="0.35">
      <c r="A448" s="192" t="s">
        <v>118</v>
      </c>
      <c r="B448" s="244" t="s">
        <v>178</v>
      </c>
      <c r="C448" s="161" t="s">
        <v>55</v>
      </c>
      <c r="D448" s="161" t="s">
        <v>233</v>
      </c>
      <c r="E448" s="161" t="s">
        <v>406</v>
      </c>
      <c r="F448" s="161" t="s">
        <v>56</v>
      </c>
      <c r="G448" s="225" t="s">
        <v>57</v>
      </c>
      <c r="H448" s="91" t="s">
        <v>148</v>
      </c>
      <c r="I448" s="35"/>
      <c r="T448" s="36"/>
    </row>
    <row r="449" spans="1:20" s="36" customFormat="1" x14ac:dyDescent="0.35">
      <c r="A449" s="193"/>
      <c r="B449" s="245"/>
      <c r="C449" s="162"/>
      <c r="D449" s="162"/>
      <c r="E449" s="162"/>
      <c r="F449" s="162"/>
      <c r="G449" s="226"/>
      <c r="H449" s="92">
        <v>0.45</v>
      </c>
      <c r="I449" s="35"/>
    </row>
    <row r="450" spans="1:20" s="81" customFormat="1" x14ac:dyDescent="0.35">
      <c r="A450" s="126" t="s">
        <v>368</v>
      </c>
      <c r="B450" s="127"/>
      <c r="C450" s="127"/>
      <c r="D450" s="127"/>
      <c r="E450" s="127"/>
      <c r="F450" s="127"/>
      <c r="G450" s="127"/>
      <c r="H450" s="128"/>
      <c r="J450" s="35"/>
      <c r="T450" s="34"/>
    </row>
    <row r="451" spans="1:20" s="81" customFormat="1" x14ac:dyDescent="0.35">
      <c r="A451" s="126" t="s">
        <v>370</v>
      </c>
      <c r="B451" s="127"/>
      <c r="C451" s="127"/>
      <c r="D451" s="127"/>
      <c r="E451" s="127"/>
      <c r="F451" s="127"/>
      <c r="G451" s="127"/>
      <c r="H451" s="128"/>
      <c r="J451" s="35"/>
      <c r="T451" s="34"/>
    </row>
    <row r="452" spans="1:20" s="81" customFormat="1" ht="15.75" customHeight="1" x14ac:dyDescent="0.35">
      <c r="A452" s="123">
        <v>1</v>
      </c>
      <c r="B452" s="124"/>
      <c r="C452" s="80" t="s">
        <v>371</v>
      </c>
      <c r="D452" s="80">
        <f t="shared" ref="D452:D459" si="67">(29.97)*10.764</f>
        <v>322.59707999999995</v>
      </c>
      <c r="E452" s="80">
        <f t="shared" ref="E452:E459" si="68">(1.7*1.2+2.95*0.75+2.45*1.13)*10.764</f>
        <v>75.574044000000001</v>
      </c>
      <c r="F452" s="80">
        <f t="shared" ref="F452:F459" si="69">D452+E452</f>
        <v>398.17112399999996</v>
      </c>
      <c r="G452" s="80">
        <v>0</v>
      </c>
      <c r="H452" s="80">
        <f t="shared" ref="H452:H459" si="70">F452*(($H$449)+1)+(IF(G452&lt;101,G452,IF(G452&lt;201,G452/2,IF(G452&lt;=301,G452/3,G452/4))))</f>
        <v>577.34812979999992</v>
      </c>
      <c r="I452" s="35">
        <f>2.7*4.12+3*1.8+2.95*2.7+1.95*1.05+1.95*1.2</f>
        <v>28.8765</v>
      </c>
      <c r="L452" s="122"/>
      <c r="M452" s="122"/>
      <c r="N452" s="35"/>
    </row>
    <row r="453" spans="1:20" s="81" customFormat="1" ht="15.75" customHeight="1" x14ac:dyDescent="0.35">
      <c r="A453" s="123">
        <f>A452+1</f>
        <v>2</v>
      </c>
      <c r="B453" s="124"/>
      <c r="C453" s="80" t="s">
        <v>371</v>
      </c>
      <c r="D453" s="80">
        <f t="shared" si="67"/>
        <v>322.59707999999995</v>
      </c>
      <c r="E453" s="80">
        <f t="shared" si="68"/>
        <v>75.574044000000001</v>
      </c>
      <c r="F453" s="80">
        <f t="shared" si="69"/>
        <v>398.17112399999996</v>
      </c>
      <c r="G453" s="80">
        <v>0</v>
      </c>
      <c r="H453" s="80">
        <f t="shared" si="70"/>
        <v>577.34812979999992</v>
      </c>
      <c r="I453" s="35"/>
      <c r="L453" s="122"/>
      <c r="M453" s="122"/>
      <c r="N453" s="35"/>
    </row>
    <row r="454" spans="1:20" s="81" customFormat="1" ht="15.75" customHeight="1" x14ac:dyDescent="0.35">
      <c r="A454" s="123">
        <f>A453+1</f>
        <v>3</v>
      </c>
      <c r="B454" s="124"/>
      <c r="C454" s="80" t="s">
        <v>371</v>
      </c>
      <c r="D454" s="80">
        <f t="shared" si="67"/>
        <v>322.59707999999995</v>
      </c>
      <c r="E454" s="80">
        <f t="shared" si="68"/>
        <v>75.574044000000001</v>
      </c>
      <c r="F454" s="80">
        <f t="shared" si="69"/>
        <v>398.17112399999996</v>
      </c>
      <c r="G454" s="80">
        <v>0</v>
      </c>
      <c r="H454" s="80">
        <f t="shared" si="70"/>
        <v>577.34812979999992</v>
      </c>
      <c r="I454" s="35"/>
      <c r="L454" s="122"/>
      <c r="M454" s="122"/>
      <c r="N454" s="35"/>
    </row>
    <row r="455" spans="1:20" s="81" customFormat="1" ht="15.75" customHeight="1" x14ac:dyDescent="0.35">
      <c r="A455" s="123">
        <f>A454+1</f>
        <v>4</v>
      </c>
      <c r="B455" s="124"/>
      <c r="C455" s="80" t="s">
        <v>371</v>
      </c>
      <c r="D455" s="80">
        <f t="shared" si="67"/>
        <v>322.59707999999995</v>
      </c>
      <c r="E455" s="80">
        <f t="shared" si="68"/>
        <v>75.574044000000001</v>
      </c>
      <c r="F455" s="80">
        <f t="shared" si="69"/>
        <v>398.17112399999996</v>
      </c>
      <c r="G455" s="80">
        <v>0</v>
      </c>
      <c r="H455" s="80">
        <f t="shared" si="70"/>
        <v>577.34812979999992</v>
      </c>
      <c r="I455" s="35"/>
      <c r="L455" s="122"/>
      <c r="M455" s="122"/>
      <c r="N455" s="35"/>
      <c r="T455" s="20"/>
    </row>
    <row r="456" spans="1:20" s="81" customFormat="1" ht="15.75" customHeight="1" x14ac:dyDescent="0.35">
      <c r="A456" s="123">
        <f t="shared" ref="A456:A459" si="71">A455+1</f>
        <v>5</v>
      </c>
      <c r="B456" s="124"/>
      <c r="C456" s="80" t="s">
        <v>371</v>
      </c>
      <c r="D456" s="80">
        <f t="shared" si="67"/>
        <v>322.59707999999995</v>
      </c>
      <c r="E456" s="80">
        <f t="shared" si="68"/>
        <v>75.574044000000001</v>
      </c>
      <c r="F456" s="80">
        <f t="shared" si="69"/>
        <v>398.17112399999996</v>
      </c>
      <c r="G456" s="80">
        <v>0</v>
      </c>
      <c r="H456" s="80">
        <f t="shared" si="70"/>
        <v>577.34812979999992</v>
      </c>
      <c r="I456" s="35"/>
      <c r="L456" s="122"/>
      <c r="M456" s="122"/>
      <c r="N456" s="35"/>
    </row>
    <row r="457" spans="1:20" s="81" customFormat="1" ht="15.75" customHeight="1" x14ac:dyDescent="0.35">
      <c r="A457" s="123">
        <f t="shared" si="71"/>
        <v>6</v>
      </c>
      <c r="B457" s="124"/>
      <c r="C457" s="80" t="s">
        <v>371</v>
      </c>
      <c r="D457" s="80">
        <f t="shared" si="67"/>
        <v>322.59707999999995</v>
      </c>
      <c r="E457" s="80">
        <f t="shared" si="68"/>
        <v>75.574044000000001</v>
      </c>
      <c r="F457" s="80">
        <f t="shared" si="69"/>
        <v>398.17112399999996</v>
      </c>
      <c r="G457" s="80">
        <v>0</v>
      </c>
      <c r="H457" s="80">
        <f t="shared" si="70"/>
        <v>577.34812979999992</v>
      </c>
      <c r="I457" s="35"/>
      <c r="L457" s="122"/>
      <c r="M457" s="122"/>
      <c r="N457" s="35"/>
    </row>
    <row r="458" spans="1:20" s="81" customFormat="1" ht="15.75" customHeight="1" x14ac:dyDescent="0.35">
      <c r="A458" s="123">
        <f t="shared" si="71"/>
        <v>7</v>
      </c>
      <c r="B458" s="124"/>
      <c r="C458" s="80" t="s">
        <v>371</v>
      </c>
      <c r="D458" s="80">
        <f t="shared" si="67"/>
        <v>322.59707999999995</v>
      </c>
      <c r="E458" s="80">
        <f t="shared" si="68"/>
        <v>75.574044000000001</v>
      </c>
      <c r="F458" s="80">
        <f t="shared" si="69"/>
        <v>398.17112399999996</v>
      </c>
      <c r="G458" s="80">
        <v>0</v>
      </c>
      <c r="H458" s="80">
        <f t="shared" si="70"/>
        <v>577.34812979999992</v>
      </c>
      <c r="I458" s="35"/>
      <c r="L458" s="122"/>
      <c r="M458" s="122"/>
      <c r="N458" s="35"/>
    </row>
    <row r="459" spans="1:20" s="81" customFormat="1" ht="15.75" customHeight="1" x14ac:dyDescent="0.35">
      <c r="A459" s="123">
        <f t="shared" si="71"/>
        <v>8</v>
      </c>
      <c r="B459" s="124"/>
      <c r="C459" s="80" t="s">
        <v>371</v>
      </c>
      <c r="D459" s="80">
        <f t="shared" si="67"/>
        <v>322.59707999999995</v>
      </c>
      <c r="E459" s="80">
        <f t="shared" si="68"/>
        <v>75.574044000000001</v>
      </c>
      <c r="F459" s="80">
        <f t="shared" si="69"/>
        <v>398.17112399999996</v>
      </c>
      <c r="G459" s="80">
        <v>0</v>
      </c>
      <c r="H459" s="80">
        <f t="shared" si="70"/>
        <v>577.34812979999992</v>
      </c>
      <c r="I459" s="35"/>
      <c r="L459" s="122"/>
      <c r="M459" s="122"/>
      <c r="N459" s="35"/>
      <c r="T459" s="20"/>
    </row>
    <row r="460" spans="1:20" s="36" customFormat="1" x14ac:dyDescent="0.35">
      <c r="A460" s="126" t="s">
        <v>372</v>
      </c>
      <c r="B460" s="127"/>
      <c r="C460" s="127"/>
      <c r="D460" s="127"/>
      <c r="E460" s="127"/>
      <c r="F460" s="127"/>
      <c r="G460" s="127"/>
      <c r="H460" s="128"/>
      <c r="J460" s="35"/>
    </row>
    <row r="461" spans="1:20" s="36" customFormat="1" ht="15.75" customHeight="1" x14ac:dyDescent="0.35">
      <c r="A461" s="123">
        <v>1</v>
      </c>
      <c r="B461" s="124"/>
      <c r="C461" s="41" t="s">
        <v>371</v>
      </c>
      <c r="D461" s="80">
        <f>(29.97)*10.764</f>
        <v>322.59707999999995</v>
      </c>
      <c r="E461" s="80">
        <f t="shared" ref="E461:E468" si="72">(1.7*1.2+2.95*0.75+2.45*1.13)*10.764</f>
        <v>75.574044000000001</v>
      </c>
      <c r="F461" s="41">
        <f t="shared" ref="F461:F472" si="73">D461+E461</f>
        <v>398.17112399999996</v>
      </c>
      <c r="G461" s="53">
        <v>0</v>
      </c>
      <c r="H461" s="53">
        <f t="shared" ref="H461:H472" si="74">F461*(($H$449)+1)+(IF(G461&lt;101,G461,IF(G461&lt;201,G461/2,IF(G461&lt;=301,G461/3,G461/4))))</f>
        <v>577.34812979999992</v>
      </c>
      <c r="I461" s="35"/>
      <c r="L461" s="122"/>
      <c r="M461" s="122"/>
      <c r="N461" s="35"/>
    </row>
    <row r="462" spans="1:20" s="36" customFormat="1" ht="15.75" customHeight="1" x14ac:dyDescent="0.35">
      <c r="A462" s="123">
        <f>A461+1</f>
        <v>2</v>
      </c>
      <c r="B462" s="124"/>
      <c r="C462" s="80" t="s">
        <v>371</v>
      </c>
      <c r="D462" s="80">
        <f t="shared" ref="D462:D472" si="75">(29.97)*10.764</f>
        <v>322.59707999999995</v>
      </c>
      <c r="E462" s="80">
        <f t="shared" si="72"/>
        <v>75.574044000000001</v>
      </c>
      <c r="F462" s="53">
        <f t="shared" si="73"/>
        <v>398.17112399999996</v>
      </c>
      <c r="G462" s="53">
        <v>0</v>
      </c>
      <c r="H462" s="53">
        <f t="shared" si="74"/>
        <v>577.34812979999992</v>
      </c>
      <c r="I462" s="35"/>
      <c r="L462" s="122"/>
      <c r="M462" s="122"/>
      <c r="N462" s="35"/>
    </row>
    <row r="463" spans="1:20" s="36" customFormat="1" ht="15.75" customHeight="1" x14ac:dyDescent="0.35">
      <c r="A463" s="123">
        <f>A462+1</f>
        <v>3</v>
      </c>
      <c r="B463" s="124"/>
      <c r="C463" s="80" t="s">
        <v>371</v>
      </c>
      <c r="D463" s="80">
        <f t="shared" si="75"/>
        <v>322.59707999999995</v>
      </c>
      <c r="E463" s="80">
        <f t="shared" si="72"/>
        <v>75.574044000000001</v>
      </c>
      <c r="F463" s="53">
        <f t="shared" si="73"/>
        <v>398.17112399999996</v>
      </c>
      <c r="G463" s="53">
        <v>0</v>
      </c>
      <c r="H463" s="53">
        <f t="shared" si="74"/>
        <v>577.34812979999992</v>
      </c>
      <c r="I463" s="35"/>
      <c r="L463" s="122"/>
      <c r="M463" s="122"/>
      <c r="N463" s="35"/>
    </row>
    <row r="464" spans="1:20" s="36" customFormat="1" ht="15.75" customHeight="1" x14ac:dyDescent="0.35">
      <c r="A464" s="123">
        <f>A463+1</f>
        <v>4</v>
      </c>
      <c r="B464" s="124"/>
      <c r="C464" s="80" t="s">
        <v>371</v>
      </c>
      <c r="D464" s="80">
        <f t="shared" si="75"/>
        <v>322.59707999999995</v>
      </c>
      <c r="E464" s="80">
        <f t="shared" si="72"/>
        <v>75.574044000000001</v>
      </c>
      <c r="F464" s="53">
        <f t="shared" si="73"/>
        <v>398.17112399999996</v>
      </c>
      <c r="G464" s="53">
        <v>0</v>
      </c>
      <c r="H464" s="53">
        <f t="shared" si="74"/>
        <v>577.34812979999992</v>
      </c>
      <c r="I464" s="35"/>
      <c r="L464" s="122"/>
      <c r="M464" s="122"/>
      <c r="N464" s="35"/>
      <c r="T464" s="20"/>
    </row>
    <row r="465" spans="1:20" s="81" customFormat="1" ht="15.75" customHeight="1" x14ac:dyDescent="0.35">
      <c r="A465" s="123">
        <f t="shared" ref="A465:A468" si="76">A464+1</f>
        <v>5</v>
      </c>
      <c r="B465" s="124"/>
      <c r="C465" s="80" t="s">
        <v>371</v>
      </c>
      <c r="D465" s="80">
        <f t="shared" si="75"/>
        <v>322.59707999999995</v>
      </c>
      <c r="E465" s="80">
        <f t="shared" si="72"/>
        <v>75.574044000000001</v>
      </c>
      <c r="F465" s="80">
        <f t="shared" si="73"/>
        <v>398.17112399999996</v>
      </c>
      <c r="G465" s="80">
        <v>0</v>
      </c>
      <c r="H465" s="80">
        <f t="shared" si="74"/>
        <v>577.34812979999992</v>
      </c>
      <c r="I465" s="35"/>
      <c r="L465" s="122"/>
      <c r="M465" s="122"/>
      <c r="N465" s="35"/>
    </row>
    <row r="466" spans="1:20" s="81" customFormat="1" ht="15.75" customHeight="1" x14ac:dyDescent="0.35">
      <c r="A466" s="123">
        <f t="shared" si="76"/>
        <v>6</v>
      </c>
      <c r="B466" s="124"/>
      <c r="C466" s="80" t="s">
        <v>371</v>
      </c>
      <c r="D466" s="80">
        <f t="shared" si="75"/>
        <v>322.59707999999995</v>
      </c>
      <c r="E466" s="80">
        <f t="shared" si="72"/>
        <v>75.574044000000001</v>
      </c>
      <c r="F466" s="80">
        <f t="shared" si="73"/>
        <v>398.17112399999996</v>
      </c>
      <c r="G466" s="80">
        <v>0</v>
      </c>
      <c r="H466" s="80">
        <f t="shared" si="74"/>
        <v>577.34812979999992</v>
      </c>
      <c r="I466" s="35"/>
      <c r="L466" s="122"/>
      <c r="M466" s="122"/>
      <c r="N466" s="35"/>
    </row>
    <row r="467" spans="1:20" s="81" customFormat="1" ht="15.75" customHeight="1" x14ac:dyDescent="0.35">
      <c r="A467" s="123">
        <f t="shared" si="76"/>
        <v>7</v>
      </c>
      <c r="B467" s="124"/>
      <c r="C467" s="80" t="s">
        <v>371</v>
      </c>
      <c r="D467" s="80">
        <f t="shared" si="75"/>
        <v>322.59707999999995</v>
      </c>
      <c r="E467" s="80">
        <f t="shared" si="72"/>
        <v>75.574044000000001</v>
      </c>
      <c r="F467" s="80">
        <f t="shared" si="73"/>
        <v>398.17112399999996</v>
      </c>
      <c r="G467" s="80">
        <v>0</v>
      </c>
      <c r="H467" s="80">
        <f t="shared" si="74"/>
        <v>577.34812979999992</v>
      </c>
      <c r="I467" s="35"/>
      <c r="L467" s="122"/>
      <c r="M467" s="122"/>
      <c r="N467" s="35"/>
    </row>
    <row r="468" spans="1:20" s="81" customFormat="1" ht="15.75" customHeight="1" x14ac:dyDescent="0.35">
      <c r="A468" s="123">
        <f t="shared" si="76"/>
        <v>8</v>
      </c>
      <c r="B468" s="124"/>
      <c r="C468" s="80" t="s">
        <v>371</v>
      </c>
      <c r="D468" s="80">
        <f t="shared" si="75"/>
        <v>322.59707999999995</v>
      </c>
      <c r="E468" s="80">
        <f t="shared" si="72"/>
        <v>75.574044000000001</v>
      </c>
      <c r="F468" s="80">
        <f t="shared" si="73"/>
        <v>398.17112399999996</v>
      </c>
      <c r="G468" s="80">
        <f>(1.13*3.6+0.75*4.45)*10.764</f>
        <v>79.712801999999996</v>
      </c>
      <c r="H468" s="80">
        <f t="shared" si="74"/>
        <v>657.06093179999993</v>
      </c>
      <c r="I468" s="35"/>
      <c r="L468" s="122"/>
      <c r="M468" s="122"/>
      <c r="N468" s="35"/>
      <c r="T468" s="20"/>
    </row>
    <row r="469" spans="1:20" s="81" customFormat="1" ht="15.75" customHeight="1" x14ac:dyDescent="0.35">
      <c r="A469" s="123">
        <f t="shared" ref="A469:A472" si="77">A468+1</f>
        <v>9</v>
      </c>
      <c r="B469" s="124"/>
      <c r="C469" s="80" t="s">
        <v>371</v>
      </c>
      <c r="D469" s="80">
        <f t="shared" si="75"/>
        <v>322.59707999999995</v>
      </c>
      <c r="E469" s="80">
        <f>(1.7*1.2+2.95*0.75+2.45*1.13)*10.764</f>
        <v>75.574044000000001</v>
      </c>
      <c r="F469" s="80">
        <f t="shared" si="73"/>
        <v>398.17112399999996</v>
      </c>
      <c r="G469" s="80">
        <f>(1.13*3.6+0.75*4.45)*10.764</f>
        <v>79.712801999999996</v>
      </c>
      <c r="H469" s="80">
        <f t="shared" si="74"/>
        <v>657.06093179999993</v>
      </c>
      <c r="I469" s="35"/>
      <c r="L469" s="122"/>
      <c r="M469" s="122"/>
      <c r="N469" s="35"/>
    </row>
    <row r="470" spans="1:20" s="81" customFormat="1" ht="15.75" customHeight="1" x14ac:dyDescent="0.35">
      <c r="A470" s="123">
        <f t="shared" si="77"/>
        <v>10</v>
      </c>
      <c r="B470" s="124"/>
      <c r="C470" s="80" t="s">
        <v>371</v>
      </c>
      <c r="D470" s="80">
        <f t="shared" si="75"/>
        <v>322.59707999999995</v>
      </c>
      <c r="E470" s="80">
        <f t="shared" ref="E470:E485" si="78">(1.7*1.2+2.95*0.75+2.45*1.13)*10.764</f>
        <v>75.574044000000001</v>
      </c>
      <c r="F470" s="80">
        <f t="shared" si="73"/>
        <v>398.17112399999996</v>
      </c>
      <c r="G470" s="80">
        <v>0</v>
      </c>
      <c r="H470" s="80">
        <f t="shared" si="74"/>
        <v>577.34812979999992</v>
      </c>
      <c r="I470" s="35"/>
      <c r="L470" s="122"/>
      <c r="M470" s="122"/>
      <c r="N470" s="35"/>
    </row>
    <row r="471" spans="1:20" s="81" customFormat="1" ht="15.75" customHeight="1" x14ac:dyDescent="0.35">
      <c r="A471" s="123">
        <f t="shared" si="77"/>
        <v>11</v>
      </c>
      <c r="B471" s="124"/>
      <c r="C471" s="80" t="s">
        <v>371</v>
      </c>
      <c r="D471" s="80">
        <f t="shared" si="75"/>
        <v>322.59707999999995</v>
      </c>
      <c r="E471" s="80">
        <f t="shared" si="78"/>
        <v>75.574044000000001</v>
      </c>
      <c r="F471" s="80">
        <f t="shared" si="73"/>
        <v>398.17112399999996</v>
      </c>
      <c r="G471" s="80">
        <v>0</v>
      </c>
      <c r="H471" s="80">
        <f t="shared" si="74"/>
        <v>577.34812979999992</v>
      </c>
      <c r="I471" s="35"/>
      <c r="L471" s="122"/>
      <c r="M471" s="122"/>
      <c r="N471" s="35"/>
    </row>
    <row r="472" spans="1:20" s="81" customFormat="1" ht="15.75" customHeight="1" x14ac:dyDescent="0.35">
      <c r="A472" s="123">
        <f t="shared" si="77"/>
        <v>12</v>
      </c>
      <c r="B472" s="124"/>
      <c r="C472" s="80" t="s">
        <v>371</v>
      </c>
      <c r="D472" s="80">
        <f t="shared" si="75"/>
        <v>322.59707999999995</v>
      </c>
      <c r="E472" s="80">
        <f t="shared" si="78"/>
        <v>75.574044000000001</v>
      </c>
      <c r="F472" s="80">
        <f t="shared" si="73"/>
        <v>398.17112399999996</v>
      </c>
      <c r="G472" s="80">
        <v>0</v>
      </c>
      <c r="H472" s="80">
        <f t="shared" si="74"/>
        <v>577.34812979999992</v>
      </c>
      <c r="I472" s="35"/>
      <c r="L472" s="122"/>
      <c r="M472" s="122"/>
      <c r="N472" s="35"/>
      <c r="T472" s="20"/>
    </row>
    <row r="473" spans="1:20" s="81" customFormat="1" x14ac:dyDescent="0.35">
      <c r="A473" s="130" t="s">
        <v>375</v>
      </c>
      <c r="B473" s="130"/>
      <c r="C473" s="130"/>
      <c r="D473" s="130"/>
      <c r="E473" s="130"/>
      <c r="F473" s="130"/>
      <c r="G473" s="130"/>
      <c r="H473" s="130"/>
      <c r="J473" s="35"/>
    </row>
    <row r="474" spans="1:20" s="81" customFormat="1" ht="15.75" customHeight="1" x14ac:dyDescent="0.35">
      <c r="A474" s="125">
        <v>1</v>
      </c>
      <c r="B474" s="125"/>
      <c r="C474" s="96" t="s">
        <v>371</v>
      </c>
      <c r="D474" s="96">
        <f>(29.97)*10.764</f>
        <v>322.59707999999995</v>
      </c>
      <c r="E474" s="96">
        <f t="shared" si="78"/>
        <v>75.574044000000001</v>
      </c>
      <c r="F474" s="96">
        <f t="shared" ref="F474:F485" si="79">D474+E474</f>
        <v>398.17112399999996</v>
      </c>
      <c r="G474" s="96">
        <v>0</v>
      </c>
      <c r="H474" s="96">
        <f t="shared" ref="H474:H485" si="80">F474*(($H$449)+1)+(IF(G474&lt;101,G474,IF(G474&lt;201,G474/2,IF(G474&lt;=301,G474/3,G474/4))))</f>
        <v>577.34812979999992</v>
      </c>
      <c r="I474" s="35"/>
      <c r="L474" s="122"/>
      <c r="M474" s="122"/>
      <c r="N474" s="35"/>
    </row>
    <row r="475" spans="1:20" s="81" customFormat="1" ht="15.75" customHeight="1" x14ac:dyDescent="0.35">
      <c r="A475" s="125">
        <f>A474+1</f>
        <v>2</v>
      </c>
      <c r="B475" s="125"/>
      <c r="C475" s="96" t="s">
        <v>371</v>
      </c>
      <c r="D475" s="96">
        <f t="shared" ref="D475:D485" si="81">(29.97)*10.764</f>
        <v>322.59707999999995</v>
      </c>
      <c r="E475" s="96">
        <f t="shared" si="78"/>
        <v>75.574044000000001</v>
      </c>
      <c r="F475" s="96">
        <f t="shared" si="79"/>
        <v>398.17112399999996</v>
      </c>
      <c r="G475" s="96">
        <v>0</v>
      </c>
      <c r="H475" s="96">
        <f t="shared" si="80"/>
        <v>577.34812979999992</v>
      </c>
      <c r="I475" s="35"/>
      <c r="L475" s="122"/>
      <c r="M475" s="122"/>
      <c r="N475" s="35"/>
    </row>
    <row r="476" spans="1:20" s="81" customFormat="1" ht="15.75" customHeight="1" x14ac:dyDescent="0.35">
      <c r="A476" s="125">
        <f>A475+1</f>
        <v>3</v>
      </c>
      <c r="B476" s="125"/>
      <c r="C476" s="96" t="s">
        <v>371</v>
      </c>
      <c r="D476" s="96">
        <f t="shared" si="81"/>
        <v>322.59707999999995</v>
      </c>
      <c r="E476" s="96">
        <f t="shared" si="78"/>
        <v>75.574044000000001</v>
      </c>
      <c r="F476" s="96">
        <f t="shared" si="79"/>
        <v>398.17112399999996</v>
      </c>
      <c r="G476" s="96">
        <v>0</v>
      </c>
      <c r="H476" s="96">
        <f t="shared" si="80"/>
        <v>577.34812979999992</v>
      </c>
      <c r="I476" s="35"/>
      <c r="L476" s="122"/>
      <c r="M476" s="122"/>
      <c r="N476" s="35"/>
    </row>
    <row r="477" spans="1:20" s="81" customFormat="1" ht="15.75" customHeight="1" x14ac:dyDescent="0.35">
      <c r="A477" s="125">
        <f>A476+1</f>
        <v>4</v>
      </c>
      <c r="B477" s="125"/>
      <c r="C477" s="96" t="s">
        <v>371</v>
      </c>
      <c r="D477" s="96">
        <f t="shared" si="81"/>
        <v>322.59707999999995</v>
      </c>
      <c r="E477" s="96">
        <f t="shared" si="78"/>
        <v>75.574044000000001</v>
      </c>
      <c r="F477" s="96">
        <f t="shared" si="79"/>
        <v>398.17112399999996</v>
      </c>
      <c r="G477" s="96">
        <v>0</v>
      </c>
      <c r="H477" s="96">
        <f t="shared" si="80"/>
        <v>577.34812979999992</v>
      </c>
      <c r="I477" s="35"/>
      <c r="L477" s="122"/>
      <c r="M477" s="122"/>
      <c r="N477" s="35"/>
      <c r="T477" s="20"/>
    </row>
    <row r="478" spans="1:20" s="81" customFormat="1" ht="15.75" customHeight="1" x14ac:dyDescent="0.35">
      <c r="A478" s="125">
        <f t="shared" ref="A478:A485" si="82">A477+1</f>
        <v>5</v>
      </c>
      <c r="B478" s="125"/>
      <c r="C478" s="96" t="s">
        <v>371</v>
      </c>
      <c r="D478" s="96">
        <f t="shared" si="81"/>
        <v>322.59707999999995</v>
      </c>
      <c r="E478" s="96">
        <f t="shared" si="78"/>
        <v>75.574044000000001</v>
      </c>
      <c r="F478" s="96">
        <f t="shared" si="79"/>
        <v>398.17112399999996</v>
      </c>
      <c r="G478" s="96">
        <v>0</v>
      </c>
      <c r="H478" s="96">
        <f t="shared" si="80"/>
        <v>577.34812979999992</v>
      </c>
      <c r="I478" s="35"/>
      <c r="L478" s="122"/>
      <c r="M478" s="122"/>
      <c r="N478" s="35"/>
    </row>
    <row r="479" spans="1:20" s="81" customFormat="1" ht="15.75" customHeight="1" x14ac:dyDescent="0.35">
      <c r="A479" s="123">
        <f t="shared" si="82"/>
        <v>6</v>
      </c>
      <c r="B479" s="124"/>
      <c r="C479" s="80" t="s">
        <v>371</v>
      </c>
      <c r="D479" s="80">
        <f t="shared" si="81"/>
        <v>322.59707999999995</v>
      </c>
      <c r="E479" s="80">
        <f t="shared" si="78"/>
        <v>75.574044000000001</v>
      </c>
      <c r="F479" s="80">
        <f t="shared" si="79"/>
        <v>398.17112399999996</v>
      </c>
      <c r="G479" s="80">
        <v>0</v>
      </c>
      <c r="H479" s="80">
        <f t="shared" si="80"/>
        <v>577.34812979999992</v>
      </c>
      <c r="I479" s="35"/>
      <c r="L479" s="122"/>
      <c r="M479" s="122"/>
      <c r="N479" s="35"/>
    </row>
    <row r="480" spans="1:20" s="81" customFormat="1" ht="15.75" customHeight="1" x14ac:dyDescent="0.35">
      <c r="A480" s="123">
        <f t="shared" si="82"/>
        <v>7</v>
      </c>
      <c r="B480" s="124"/>
      <c r="C480" s="80" t="s">
        <v>371</v>
      </c>
      <c r="D480" s="80">
        <f t="shared" si="81"/>
        <v>322.59707999999995</v>
      </c>
      <c r="E480" s="80">
        <f t="shared" si="78"/>
        <v>75.574044000000001</v>
      </c>
      <c r="F480" s="80">
        <f t="shared" si="79"/>
        <v>398.17112399999996</v>
      </c>
      <c r="G480" s="80">
        <v>0</v>
      </c>
      <c r="H480" s="80">
        <f t="shared" si="80"/>
        <v>577.34812979999992</v>
      </c>
      <c r="I480" s="35"/>
      <c r="L480" s="122"/>
      <c r="M480" s="122"/>
      <c r="N480" s="35"/>
    </row>
    <row r="481" spans="1:20" s="81" customFormat="1" ht="15.75" customHeight="1" x14ac:dyDescent="0.35">
      <c r="A481" s="123">
        <f t="shared" si="82"/>
        <v>8</v>
      </c>
      <c r="B481" s="124"/>
      <c r="C481" s="80" t="s">
        <v>371</v>
      </c>
      <c r="D481" s="80">
        <f t="shared" si="81"/>
        <v>322.59707999999995</v>
      </c>
      <c r="E481" s="80">
        <f t="shared" si="78"/>
        <v>75.574044000000001</v>
      </c>
      <c r="F481" s="80">
        <f t="shared" si="79"/>
        <v>398.17112399999996</v>
      </c>
      <c r="G481" s="80">
        <v>0</v>
      </c>
      <c r="H481" s="80">
        <f t="shared" si="80"/>
        <v>577.34812979999992</v>
      </c>
      <c r="I481" s="35"/>
      <c r="L481" s="122"/>
      <c r="M481" s="122"/>
      <c r="N481" s="35"/>
      <c r="T481" s="20"/>
    </row>
    <row r="482" spans="1:20" s="81" customFormat="1" ht="15.75" customHeight="1" x14ac:dyDescent="0.35">
      <c r="A482" s="123">
        <f t="shared" si="82"/>
        <v>9</v>
      </c>
      <c r="B482" s="124"/>
      <c r="C482" s="80" t="s">
        <v>371</v>
      </c>
      <c r="D482" s="80">
        <f t="shared" si="81"/>
        <v>322.59707999999995</v>
      </c>
      <c r="E482" s="80">
        <f t="shared" si="78"/>
        <v>75.574044000000001</v>
      </c>
      <c r="F482" s="80">
        <f t="shared" si="79"/>
        <v>398.17112399999996</v>
      </c>
      <c r="G482" s="80">
        <v>0</v>
      </c>
      <c r="H482" s="80">
        <f t="shared" si="80"/>
        <v>577.34812979999992</v>
      </c>
      <c r="I482" s="35"/>
      <c r="L482" s="122"/>
      <c r="M482" s="122"/>
      <c r="N482" s="35"/>
    </row>
    <row r="483" spans="1:20" s="81" customFormat="1" ht="15.75" customHeight="1" x14ac:dyDescent="0.35">
      <c r="A483" s="123">
        <f t="shared" si="82"/>
        <v>10</v>
      </c>
      <c r="B483" s="124"/>
      <c r="C483" s="80" t="s">
        <v>371</v>
      </c>
      <c r="D483" s="80">
        <f t="shared" si="81"/>
        <v>322.59707999999995</v>
      </c>
      <c r="E483" s="80">
        <f t="shared" si="78"/>
        <v>75.574044000000001</v>
      </c>
      <c r="F483" s="80">
        <f t="shared" si="79"/>
        <v>398.17112399999996</v>
      </c>
      <c r="G483" s="80">
        <v>0</v>
      </c>
      <c r="H483" s="80">
        <f t="shared" si="80"/>
        <v>577.34812979999992</v>
      </c>
      <c r="I483" s="35"/>
      <c r="L483" s="122"/>
      <c r="M483" s="122"/>
      <c r="N483" s="35"/>
    </row>
    <row r="484" spans="1:20" s="81" customFormat="1" ht="15.75" customHeight="1" x14ac:dyDescent="0.35">
      <c r="A484" s="123">
        <f t="shared" si="82"/>
        <v>11</v>
      </c>
      <c r="B484" s="124"/>
      <c r="C484" s="80" t="s">
        <v>371</v>
      </c>
      <c r="D484" s="80">
        <f t="shared" si="81"/>
        <v>322.59707999999995</v>
      </c>
      <c r="E484" s="80">
        <f t="shared" si="78"/>
        <v>75.574044000000001</v>
      </c>
      <c r="F484" s="80">
        <f t="shared" si="79"/>
        <v>398.17112399999996</v>
      </c>
      <c r="G484" s="80">
        <v>0</v>
      </c>
      <c r="H484" s="80">
        <f t="shared" si="80"/>
        <v>577.34812979999992</v>
      </c>
      <c r="I484" s="35"/>
      <c r="L484" s="122"/>
      <c r="M484" s="122"/>
      <c r="N484" s="35"/>
    </row>
    <row r="485" spans="1:20" s="81" customFormat="1" ht="15.75" customHeight="1" x14ac:dyDescent="0.35">
      <c r="A485" s="123">
        <f t="shared" si="82"/>
        <v>12</v>
      </c>
      <c r="B485" s="124"/>
      <c r="C485" s="80" t="s">
        <v>371</v>
      </c>
      <c r="D485" s="80">
        <f t="shared" si="81"/>
        <v>322.59707999999995</v>
      </c>
      <c r="E485" s="80">
        <f t="shared" si="78"/>
        <v>75.574044000000001</v>
      </c>
      <c r="F485" s="80">
        <f t="shared" si="79"/>
        <v>398.17112399999996</v>
      </c>
      <c r="G485" s="80">
        <v>0</v>
      </c>
      <c r="H485" s="80">
        <f t="shared" si="80"/>
        <v>577.34812979999992</v>
      </c>
      <c r="I485" s="35"/>
      <c r="L485" s="122"/>
      <c r="M485" s="122"/>
      <c r="N485" s="35"/>
      <c r="T485" s="20"/>
    </row>
    <row r="486" spans="1:20" s="81" customFormat="1" x14ac:dyDescent="0.35">
      <c r="A486" s="134" t="s">
        <v>373</v>
      </c>
      <c r="B486" s="135"/>
      <c r="C486" s="135"/>
      <c r="D486" s="135"/>
      <c r="E486" s="135"/>
      <c r="F486" s="135"/>
      <c r="G486" s="135"/>
      <c r="H486" s="136"/>
      <c r="J486" s="35"/>
      <c r="T486" s="34"/>
    </row>
    <row r="487" spans="1:20" s="81" customFormat="1" x14ac:dyDescent="0.35">
      <c r="A487" s="126" t="s">
        <v>374</v>
      </c>
      <c r="B487" s="127"/>
      <c r="C487" s="127"/>
      <c r="D487" s="127"/>
      <c r="E487" s="127"/>
      <c r="F487" s="127"/>
      <c r="G487" s="127"/>
      <c r="H487" s="128"/>
      <c r="J487" s="35"/>
      <c r="T487" s="34"/>
    </row>
    <row r="488" spans="1:20" s="81" customFormat="1" ht="15.75" customHeight="1" x14ac:dyDescent="0.35">
      <c r="A488" s="123">
        <v>1</v>
      </c>
      <c r="B488" s="124"/>
      <c r="C488" s="80" t="s">
        <v>371</v>
      </c>
      <c r="D488" s="80">
        <f t="shared" ref="D488:D491" si="83">(29.97)*10.764</f>
        <v>322.59707999999995</v>
      </c>
      <c r="E488" s="80">
        <f t="shared" ref="E488:E490" si="84">(1.7*1.2+2.95*0.75+2.45*1.13)*10.764</f>
        <v>75.574044000000001</v>
      </c>
      <c r="F488" s="80">
        <f>D488+E488</f>
        <v>398.17112399999996</v>
      </c>
      <c r="G488" s="80">
        <v>0</v>
      </c>
      <c r="H488" s="80">
        <f>F488*(($H$449)+1)+(IF(G488&lt;101,G488,IF(G488&lt;201,G488/2,IF(G488&lt;=301,G488/3,G488/4))))</f>
        <v>577.34812979999992</v>
      </c>
      <c r="I488" s="35"/>
      <c r="L488" s="122"/>
      <c r="M488" s="122"/>
      <c r="N488" s="35"/>
    </row>
    <row r="489" spans="1:20" s="81" customFormat="1" ht="15.75" customHeight="1" x14ac:dyDescent="0.35">
      <c r="A489" s="123">
        <f>A488+1</f>
        <v>2</v>
      </c>
      <c r="B489" s="124"/>
      <c r="C489" s="80" t="s">
        <v>371</v>
      </c>
      <c r="D489" s="80">
        <f t="shared" si="83"/>
        <v>322.59707999999995</v>
      </c>
      <c r="E489" s="80">
        <f t="shared" si="84"/>
        <v>75.574044000000001</v>
      </c>
      <c r="F489" s="80">
        <f>D489+E489</f>
        <v>398.17112399999996</v>
      </c>
      <c r="G489" s="80">
        <v>0</v>
      </c>
      <c r="H489" s="80">
        <f>F489*(($H$449)+1)+(IF(G489&lt;101,G489,IF(G489&lt;201,G489/2,IF(G489&lt;=301,G489/3,G489/4))))</f>
        <v>577.34812979999992</v>
      </c>
      <c r="I489" s="35"/>
      <c r="L489" s="122"/>
      <c r="M489" s="122"/>
      <c r="N489" s="35"/>
    </row>
    <row r="490" spans="1:20" s="81" customFormat="1" ht="15.75" customHeight="1" x14ac:dyDescent="0.35">
      <c r="A490" s="123">
        <f>A489+1</f>
        <v>3</v>
      </c>
      <c r="B490" s="124"/>
      <c r="C490" s="80" t="s">
        <v>371</v>
      </c>
      <c r="D490" s="80">
        <f t="shared" si="83"/>
        <v>322.59707999999995</v>
      </c>
      <c r="E490" s="80">
        <f t="shared" si="84"/>
        <v>75.574044000000001</v>
      </c>
      <c r="F490" s="80">
        <f>D490+E490</f>
        <v>398.17112399999996</v>
      </c>
      <c r="G490" s="80">
        <v>0</v>
      </c>
      <c r="H490" s="80">
        <f>F490*(($H$449)+1)+(IF(G490&lt;101,G490,IF(G490&lt;201,G490/2,IF(G490&lt;=301,G490/3,G490/4))))</f>
        <v>577.34812979999992</v>
      </c>
      <c r="I490" s="35"/>
      <c r="L490" s="122"/>
      <c r="M490" s="122"/>
      <c r="N490" s="35"/>
    </row>
    <row r="491" spans="1:20" s="81" customFormat="1" ht="15.75" hidden="1" customHeight="1" x14ac:dyDescent="0.35">
      <c r="A491" s="123">
        <f>A490+1</f>
        <v>4</v>
      </c>
      <c r="B491" s="124"/>
      <c r="C491" s="80"/>
      <c r="D491" s="80">
        <f t="shared" si="83"/>
        <v>322.59707999999995</v>
      </c>
      <c r="E491" s="80">
        <v>0</v>
      </c>
      <c r="F491" s="80">
        <f>D491+E491</f>
        <v>322.59707999999995</v>
      </c>
      <c r="G491" s="80">
        <v>0</v>
      </c>
      <c r="H491" s="80">
        <f>F491*(($H$449)+1)+(IF(G491&lt;101,G491,IF(G491&lt;201,G491/2,IF(G491&lt;=301,G491/3,G491/4))))</f>
        <v>467.76576599999993</v>
      </c>
      <c r="I491" s="35"/>
      <c r="L491" s="122"/>
      <c r="M491" s="122"/>
      <c r="N491" s="35"/>
      <c r="T491" s="20"/>
    </row>
    <row r="492" spans="1:20" s="81" customFormat="1" x14ac:dyDescent="0.35">
      <c r="A492" s="126" t="s">
        <v>372</v>
      </c>
      <c r="B492" s="127"/>
      <c r="C492" s="127"/>
      <c r="D492" s="127"/>
      <c r="E492" s="127"/>
      <c r="F492" s="127"/>
      <c r="G492" s="127"/>
      <c r="H492" s="128"/>
      <c r="J492" s="35"/>
    </row>
    <row r="493" spans="1:20" s="81" customFormat="1" ht="15.75" customHeight="1" x14ac:dyDescent="0.35">
      <c r="A493" s="123">
        <v>1</v>
      </c>
      <c r="B493" s="124"/>
      <c r="C493" s="80" t="s">
        <v>371</v>
      </c>
      <c r="D493" s="80">
        <f t="shared" ref="D493:D509" si="85">(29.97)*10.764</f>
        <v>322.59707999999995</v>
      </c>
      <c r="E493" s="80">
        <f t="shared" ref="E493:E509" si="86">(1.7*1.2+2.95*0.75+2.45*1.13)*10.764</f>
        <v>75.574044000000001</v>
      </c>
      <c r="F493" s="80">
        <f t="shared" ref="F493:F500" si="87">D493+E493</f>
        <v>398.17112399999996</v>
      </c>
      <c r="G493" s="80">
        <v>0</v>
      </c>
      <c r="H493" s="80">
        <f t="shared" ref="H493:H500" si="88">F493*(($H$449)+1)+(IF(G493&lt;101,G493,IF(G493&lt;201,G493/2,IF(G493&lt;=301,G493/3,G493/4))))</f>
        <v>577.34812979999992</v>
      </c>
      <c r="I493" s="35"/>
      <c r="L493" s="122"/>
      <c r="M493" s="122"/>
      <c r="N493" s="35"/>
    </row>
    <row r="494" spans="1:20" s="81" customFormat="1" ht="15.75" customHeight="1" x14ac:dyDescent="0.35">
      <c r="A494" s="123">
        <f>A493+1</f>
        <v>2</v>
      </c>
      <c r="B494" s="124"/>
      <c r="C494" s="80" t="s">
        <v>371</v>
      </c>
      <c r="D494" s="80">
        <f t="shared" si="85"/>
        <v>322.59707999999995</v>
      </c>
      <c r="E494" s="80">
        <f t="shared" si="86"/>
        <v>75.574044000000001</v>
      </c>
      <c r="F494" s="80">
        <f t="shared" si="87"/>
        <v>398.17112399999996</v>
      </c>
      <c r="G494" s="80">
        <v>0</v>
      </c>
      <c r="H494" s="80">
        <f t="shared" si="88"/>
        <v>577.34812979999992</v>
      </c>
      <c r="I494" s="35"/>
      <c r="L494" s="122"/>
      <c r="M494" s="122"/>
      <c r="N494" s="35"/>
    </row>
    <row r="495" spans="1:20" s="81" customFormat="1" ht="15.75" customHeight="1" x14ac:dyDescent="0.35">
      <c r="A495" s="123">
        <f>A494+1</f>
        <v>3</v>
      </c>
      <c r="B495" s="124"/>
      <c r="C495" s="80" t="s">
        <v>371</v>
      </c>
      <c r="D495" s="80">
        <f t="shared" si="85"/>
        <v>322.59707999999995</v>
      </c>
      <c r="E495" s="80">
        <f t="shared" si="86"/>
        <v>75.574044000000001</v>
      </c>
      <c r="F495" s="80">
        <f t="shared" si="87"/>
        <v>398.17112399999996</v>
      </c>
      <c r="G495" s="80">
        <f>(1.13*2.95+1.7*1.6)*10.764</f>
        <v>65.159873999999988</v>
      </c>
      <c r="H495" s="80">
        <f t="shared" si="88"/>
        <v>642.50800379999987</v>
      </c>
      <c r="I495" s="35"/>
      <c r="L495" s="122"/>
      <c r="M495" s="122"/>
      <c r="N495" s="35"/>
    </row>
    <row r="496" spans="1:20" s="81" customFormat="1" ht="15.75" customHeight="1" x14ac:dyDescent="0.35">
      <c r="A496" s="123">
        <f>A495+1</f>
        <v>4</v>
      </c>
      <c r="B496" s="124"/>
      <c r="C496" s="80" t="s">
        <v>371</v>
      </c>
      <c r="D496" s="80">
        <f t="shared" si="85"/>
        <v>322.59707999999995</v>
      </c>
      <c r="E496" s="80">
        <f t="shared" si="86"/>
        <v>75.574044000000001</v>
      </c>
      <c r="F496" s="80">
        <f t="shared" si="87"/>
        <v>398.17112399999996</v>
      </c>
      <c r="G496" s="80">
        <f>(1.13*2.95+1.7*1.6+1.375*4.95)*10.764</f>
        <v>138.422349</v>
      </c>
      <c r="H496" s="80">
        <f t="shared" si="88"/>
        <v>646.55930429999989</v>
      </c>
      <c r="I496" s="35"/>
      <c r="L496" s="122"/>
      <c r="M496" s="122"/>
      <c r="N496" s="35"/>
      <c r="T496" s="20"/>
    </row>
    <row r="497" spans="1:20" s="81" customFormat="1" ht="15.75" customHeight="1" x14ac:dyDescent="0.35">
      <c r="A497" s="123">
        <f t="shared" ref="A497:A500" si="89">A496+1</f>
        <v>5</v>
      </c>
      <c r="B497" s="124"/>
      <c r="C497" s="80" t="s">
        <v>371</v>
      </c>
      <c r="D497" s="80">
        <f t="shared" si="85"/>
        <v>322.59707999999995</v>
      </c>
      <c r="E497" s="80">
        <f t="shared" si="86"/>
        <v>75.574044000000001</v>
      </c>
      <c r="F497" s="80">
        <f t="shared" si="87"/>
        <v>398.17112399999996</v>
      </c>
      <c r="G497" s="80">
        <f>(1.13*2.95+1.7*1.6+1.375*4.95)*10.764</f>
        <v>138.422349</v>
      </c>
      <c r="H497" s="80">
        <f t="shared" si="88"/>
        <v>646.55930429999989</v>
      </c>
      <c r="I497" s="35"/>
      <c r="L497" s="122"/>
      <c r="M497" s="122"/>
      <c r="N497" s="35"/>
    </row>
    <row r="498" spans="1:20" s="81" customFormat="1" ht="15.75" customHeight="1" x14ac:dyDescent="0.35">
      <c r="A498" s="123">
        <f t="shared" si="89"/>
        <v>6</v>
      </c>
      <c r="B498" s="124"/>
      <c r="C498" s="80" t="s">
        <v>371</v>
      </c>
      <c r="D498" s="80">
        <f t="shared" si="85"/>
        <v>322.59707999999995</v>
      </c>
      <c r="E498" s="80">
        <f t="shared" si="86"/>
        <v>75.574044000000001</v>
      </c>
      <c r="F498" s="80">
        <f t="shared" si="87"/>
        <v>398.17112399999996</v>
      </c>
      <c r="G498" s="80">
        <f>(1.13*2.95+1.7*1.6)*10.764</f>
        <v>65.159873999999988</v>
      </c>
      <c r="H498" s="80">
        <f t="shared" si="88"/>
        <v>642.50800379999987</v>
      </c>
      <c r="I498" s="35"/>
      <c r="L498" s="122"/>
      <c r="M498" s="122"/>
      <c r="N498" s="35"/>
    </row>
    <row r="499" spans="1:20" s="81" customFormat="1" ht="15.75" customHeight="1" x14ac:dyDescent="0.35">
      <c r="A499" s="123">
        <f t="shared" si="89"/>
        <v>7</v>
      </c>
      <c r="B499" s="124"/>
      <c r="C499" s="80" t="s">
        <v>371</v>
      </c>
      <c r="D499" s="80">
        <f t="shared" si="85"/>
        <v>322.59707999999995</v>
      </c>
      <c r="E499" s="80">
        <f t="shared" si="86"/>
        <v>75.574044000000001</v>
      </c>
      <c r="F499" s="80">
        <f t="shared" si="87"/>
        <v>398.17112399999996</v>
      </c>
      <c r="G499" s="80">
        <v>0</v>
      </c>
      <c r="H499" s="80">
        <f t="shared" si="88"/>
        <v>577.34812979999992</v>
      </c>
      <c r="I499" s="35"/>
      <c r="L499" s="122"/>
      <c r="M499" s="122"/>
      <c r="N499" s="35"/>
    </row>
    <row r="500" spans="1:20" s="81" customFormat="1" ht="15.75" customHeight="1" x14ac:dyDescent="0.35">
      <c r="A500" s="123">
        <f t="shared" si="89"/>
        <v>8</v>
      </c>
      <c r="B500" s="124"/>
      <c r="C500" s="80" t="s">
        <v>371</v>
      </c>
      <c r="D500" s="80">
        <f t="shared" si="85"/>
        <v>322.59707999999995</v>
      </c>
      <c r="E500" s="80">
        <f t="shared" si="86"/>
        <v>75.574044000000001</v>
      </c>
      <c r="F500" s="80">
        <f t="shared" si="87"/>
        <v>398.17112399999996</v>
      </c>
      <c r="G500" s="80">
        <v>0</v>
      </c>
      <c r="H500" s="80">
        <f t="shared" si="88"/>
        <v>577.34812979999992</v>
      </c>
      <c r="I500" s="35"/>
      <c r="L500" s="122"/>
      <c r="M500" s="122"/>
      <c r="N500" s="35"/>
      <c r="T500" s="20"/>
    </row>
    <row r="501" spans="1:20" s="81" customFormat="1" x14ac:dyDescent="0.35">
      <c r="A501" s="126" t="s">
        <v>375</v>
      </c>
      <c r="B501" s="127"/>
      <c r="C501" s="127"/>
      <c r="D501" s="127"/>
      <c r="E501" s="127"/>
      <c r="F501" s="127"/>
      <c r="G501" s="127"/>
      <c r="H501" s="128"/>
      <c r="J501" s="35"/>
    </row>
    <row r="502" spans="1:20" s="81" customFormat="1" ht="15.75" customHeight="1" x14ac:dyDescent="0.35">
      <c r="A502" s="123">
        <v>1</v>
      </c>
      <c r="B502" s="124"/>
      <c r="C502" s="80" t="s">
        <v>371</v>
      </c>
      <c r="D502" s="80">
        <f t="shared" si="85"/>
        <v>322.59707999999995</v>
      </c>
      <c r="E502" s="80">
        <f t="shared" si="86"/>
        <v>75.574044000000001</v>
      </c>
      <c r="F502" s="80">
        <f t="shared" ref="F502:F509" si="90">D502+E502</f>
        <v>398.17112399999996</v>
      </c>
      <c r="G502" s="80">
        <v>0</v>
      </c>
      <c r="H502" s="80">
        <f t="shared" ref="H502:H509" si="91">F502*(($H$449)+1)+(IF(G502&lt;101,G502,IF(G502&lt;201,G502/2,IF(G502&lt;=301,G502/3,G502/4))))</f>
        <v>577.34812979999992</v>
      </c>
      <c r="I502" s="35"/>
      <c r="L502" s="122"/>
      <c r="M502" s="122"/>
      <c r="N502" s="35"/>
    </row>
    <row r="503" spans="1:20" s="81" customFormat="1" ht="15.75" customHeight="1" x14ac:dyDescent="0.35">
      <c r="A503" s="123">
        <f>A502+1</f>
        <v>2</v>
      </c>
      <c r="B503" s="124"/>
      <c r="C503" s="80" t="s">
        <v>371</v>
      </c>
      <c r="D503" s="80">
        <f t="shared" si="85"/>
        <v>322.59707999999995</v>
      </c>
      <c r="E503" s="80">
        <f t="shared" si="86"/>
        <v>75.574044000000001</v>
      </c>
      <c r="F503" s="80">
        <f t="shared" si="90"/>
        <v>398.17112399999996</v>
      </c>
      <c r="G503" s="80">
        <v>0</v>
      </c>
      <c r="H503" s="80">
        <f t="shared" si="91"/>
        <v>577.34812979999992</v>
      </c>
      <c r="I503" s="35"/>
      <c r="L503" s="122"/>
      <c r="M503" s="122"/>
      <c r="N503" s="35"/>
    </row>
    <row r="504" spans="1:20" s="81" customFormat="1" ht="15.75" customHeight="1" x14ac:dyDescent="0.35">
      <c r="A504" s="123">
        <f>A503+1</f>
        <v>3</v>
      </c>
      <c r="B504" s="124"/>
      <c r="C504" s="80" t="s">
        <v>371</v>
      </c>
      <c r="D504" s="80">
        <f t="shared" si="85"/>
        <v>322.59707999999995</v>
      </c>
      <c r="E504" s="80">
        <f t="shared" si="86"/>
        <v>75.574044000000001</v>
      </c>
      <c r="F504" s="80">
        <f t="shared" si="90"/>
        <v>398.17112399999996</v>
      </c>
      <c r="G504" s="80">
        <v>0</v>
      </c>
      <c r="H504" s="80">
        <f t="shared" si="91"/>
        <v>577.34812979999992</v>
      </c>
      <c r="I504" s="35"/>
      <c r="L504" s="122"/>
      <c r="M504" s="122"/>
      <c r="N504" s="35"/>
    </row>
    <row r="505" spans="1:20" s="81" customFormat="1" ht="15.75" customHeight="1" x14ac:dyDescent="0.35">
      <c r="A505" s="123">
        <f>A504+1</f>
        <v>4</v>
      </c>
      <c r="B505" s="124"/>
      <c r="C505" s="80" t="s">
        <v>371</v>
      </c>
      <c r="D505" s="80">
        <f t="shared" si="85"/>
        <v>322.59707999999995</v>
      </c>
      <c r="E505" s="80">
        <f t="shared" si="86"/>
        <v>75.574044000000001</v>
      </c>
      <c r="F505" s="80">
        <f t="shared" si="90"/>
        <v>398.17112399999996</v>
      </c>
      <c r="G505" s="80">
        <v>0</v>
      </c>
      <c r="H505" s="80">
        <f t="shared" si="91"/>
        <v>577.34812979999992</v>
      </c>
      <c r="I505" s="35"/>
      <c r="L505" s="122"/>
      <c r="M505" s="122"/>
      <c r="N505" s="35"/>
      <c r="T505" s="20"/>
    </row>
    <row r="506" spans="1:20" s="81" customFormat="1" ht="15.75" customHeight="1" x14ac:dyDescent="0.35">
      <c r="A506" s="123">
        <f t="shared" ref="A506:A509" si="92">A505+1</f>
        <v>5</v>
      </c>
      <c r="B506" s="124"/>
      <c r="C506" s="80" t="s">
        <v>371</v>
      </c>
      <c r="D506" s="80">
        <f t="shared" si="85"/>
        <v>322.59707999999995</v>
      </c>
      <c r="E506" s="80">
        <f t="shared" si="86"/>
        <v>75.574044000000001</v>
      </c>
      <c r="F506" s="80">
        <f t="shared" si="90"/>
        <v>398.17112399999996</v>
      </c>
      <c r="G506" s="80">
        <v>0</v>
      </c>
      <c r="H506" s="80">
        <f t="shared" si="91"/>
        <v>577.34812979999992</v>
      </c>
      <c r="I506" s="35"/>
      <c r="L506" s="122"/>
      <c r="M506" s="122"/>
      <c r="N506" s="35"/>
    </row>
    <row r="507" spans="1:20" s="81" customFormat="1" ht="15.75" customHeight="1" x14ac:dyDescent="0.35">
      <c r="A507" s="123">
        <f t="shared" si="92"/>
        <v>6</v>
      </c>
      <c r="B507" s="124"/>
      <c r="C507" s="80" t="s">
        <v>371</v>
      </c>
      <c r="D507" s="80">
        <f t="shared" si="85"/>
        <v>322.59707999999995</v>
      </c>
      <c r="E507" s="80">
        <f t="shared" si="86"/>
        <v>75.574044000000001</v>
      </c>
      <c r="F507" s="80">
        <f t="shared" si="90"/>
        <v>398.17112399999996</v>
      </c>
      <c r="G507" s="80">
        <v>0</v>
      </c>
      <c r="H507" s="80">
        <f t="shared" si="91"/>
        <v>577.34812979999992</v>
      </c>
      <c r="I507" s="35"/>
      <c r="L507" s="122"/>
      <c r="M507" s="122"/>
      <c r="N507" s="35"/>
    </row>
    <row r="508" spans="1:20" s="81" customFormat="1" ht="15.75" customHeight="1" x14ac:dyDescent="0.35">
      <c r="A508" s="123">
        <f t="shared" si="92"/>
        <v>7</v>
      </c>
      <c r="B508" s="124"/>
      <c r="C508" s="80" t="s">
        <v>371</v>
      </c>
      <c r="D508" s="80">
        <f t="shared" si="85"/>
        <v>322.59707999999995</v>
      </c>
      <c r="E508" s="80">
        <f t="shared" si="86"/>
        <v>75.574044000000001</v>
      </c>
      <c r="F508" s="80">
        <f t="shared" si="90"/>
        <v>398.17112399999996</v>
      </c>
      <c r="G508" s="80">
        <v>0</v>
      </c>
      <c r="H508" s="80">
        <f t="shared" si="91"/>
        <v>577.34812979999992</v>
      </c>
      <c r="I508" s="35"/>
      <c r="L508" s="122"/>
      <c r="M508" s="122"/>
      <c r="N508" s="35"/>
    </row>
    <row r="509" spans="1:20" s="81" customFormat="1" ht="15.75" customHeight="1" x14ac:dyDescent="0.35">
      <c r="A509" s="123">
        <f t="shared" si="92"/>
        <v>8</v>
      </c>
      <c r="B509" s="124"/>
      <c r="C509" s="80" t="s">
        <v>371</v>
      </c>
      <c r="D509" s="80">
        <f t="shared" si="85"/>
        <v>322.59707999999995</v>
      </c>
      <c r="E509" s="80">
        <f t="shared" si="86"/>
        <v>75.574044000000001</v>
      </c>
      <c r="F509" s="80">
        <f t="shared" si="90"/>
        <v>398.17112399999996</v>
      </c>
      <c r="G509" s="80">
        <v>0</v>
      </c>
      <c r="H509" s="80">
        <f t="shared" si="91"/>
        <v>577.34812979999992</v>
      </c>
      <c r="I509" s="35"/>
      <c r="L509" s="122"/>
      <c r="M509" s="122"/>
      <c r="N509" s="35"/>
      <c r="T509" s="20"/>
    </row>
    <row r="510" spans="1:20" s="81" customFormat="1" x14ac:dyDescent="0.35">
      <c r="A510" s="134" t="s">
        <v>376</v>
      </c>
      <c r="B510" s="135"/>
      <c r="C510" s="135"/>
      <c r="D510" s="135"/>
      <c r="E510" s="135"/>
      <c r="F510" s="135"/>
      <c r="G510" s="135"/>
      <c r="H510" s="136"/>
      <c r="J510" s="35"/>
      <c r="T510" s="34"/>
    </row>
    <row r="511" spans="1:20" s="81" customFormat="1" x14ac:dyDescent="0.35">
      <c r="A511" s="126" t="s">
        <v>389</v>
      </c>
      <c r="B511" s="127"/>
      <c r="C511" s="127"/>
      <c r="D511" s="127"/>
      <c r="E511" s="127"/>
      <c r="F511" s="127"/>
      <c r="G511" s="127"/>
      <c r="H511" s="128"/>
      <c r="J511" s="35"/>
      <c r="T511" s="34"/>
    </row>
    <row r="512" spans="1:20" s="81" customFormat="1" ht="15.75" customHeight="1" x14ac:dyDescent="0.35">
      <c r="A512" s="123">
        <v>1</v>
      </c>
      <c r="B512" s="124"/>
      <c r="C512" s="80" t="s">
        <v>371</v>
      </c>
      <c r="D512" s="80">
        <f t="shared" ref="D512:D514" si="93">(29.97)*10.764</f>
        <v>322.59707999999995</v>
      </c>
      <c r="E512" s="80">
        <f t="shared" ref="E512:E514" si="94">(1.7*1.2+2.95*0.75+2.45*1.13)*10.764</f>
        <v>75.574044000000001</v>
      </c>
      <c r="F512" s="80">
        <f>D512+E512</f>
        <v>398.17112399999996</v>
      </c>
      <c r="G512" s="80">
        <v>0</v>
      </c>
      <c r="H512" s="80">
        <f>F512*(($H$449)+1)+(IF(G512&lt;101,G512,IF(G512&lt;201,G512/2,IF(G512&lt;=301,G512/3,G512/4))))</f>
        <v>577.34812979999992</v>
      </c>
      <c r="I512" s="35"/>
      <c r="L512" s="122"/>
      <c r="M512" s="122"/>
      <c r="N512" s="35"/>
    </row>
    <row r="513" spans="1:20" s="81" customFormat="1" ht="15.75" customHeight="1" x14ac:dyDescent="0.35">
      <c r="A513" s="123">
        <f>A512+1</f>
        <v>2</v>
      </c>
      <c r="B513" s="124"/>
      <c r="C513" s="80" t="s">
        <v>371</v>
      </c>
      <c r="D513" s="80">
        <f t="shared" si="93"/>
        <v>322.59707999999995</v>
      </c>
      <c r="E513" s="80">
        <f t="shared" si="94"/>
        <v>75.574044000000001</v>
      </c>
      <c r="F513" s="80">
        <f>D513+E513</f>
        <v>398.17112399999996</v>
      </c>
      <c r="G513" s="80">
        <v>0</v>
      </c>
      <c r="H513" s="80">
        <f>F513*(($H$449)+1)+(IF(G513&lt;101,G513,IF(G513&lt;201,G513/2,IF(G513&lt;=301,G513/3,G513/4))))</f>
        <v>577.34812979999992</v>
      </c>
      <c r="I513" s="35"/>
      <c r="L513" s="122"/>
      <c r="M513" s="122"/>
      <c r="N513" s="35"/>
    </row>
    <row r="514" spans="1:20" s="81" customFormat="1" ht="15.75" customHeight="1" x14ac:dyDescent="0.35">
      <c r="A514" s="123">
        <f>A513+1</f>
        <v>3</v>
      </c>
      <c r="B514" s="124"/>
      <c r="C514" s="80" t="s">
        <v>371</v>
      </c>
      <c r="D514" s="80">
        <f t="shared" si="93"/>
        <v>322.59707999999995</v>
      </c>
      <c r="E514" s="80">
        <f t="shared" si="94"/>
        <v>75.574044000000001</v>
      </c>
      <c r="F514" s="80">
        <f>D514+E514</f>
        <v>398.17112399999996</v>
      </c>
      <c r="G514" s="80">
        <v>0</v>
      </c>
      <c r="H514" s="80">
        <f>F514*(($H$449)+1)+(IF(G514&lt;101,G514,IF(G514&lt;201,G514/2,IF(G514&lt;=301,G514/3,G514/4))))</f>
        <v>577.34812979999992</v>
      </c>
      <c r="I514" s="35"/>
      <c r="L514" s="122"/>
      <c r="M514" s="122"/>
      <c r="N514" s="35"/>
    </row>
    <row r="515" spans="1:20" s="81" customFormat="1" ht="15.75" customHeight="1" x14ac:dyDescent="0.35">
      <c r="A515" s="123" t="s">
        <v>390</v>
      </c>
      <c r="B515" s="124"/>
      <c r="C515" s="123" t="s">
        <v>391</v>
      </c>
      <c r="D515" s="129"/>
      <c r="E515" s="129"/>
      <c r="F515" s="129"/>
      <c r="G515" s="129"/>
      <c r="H515" s="124"/>
      <c r="I515" s="35"/>
      <c r="L515" s="122"/>
      <c r="M515" s="122"/>
      <c r="N515" s="35"/>
      <c r="T515" s="20"/>
    </row>
    <row r="516" spans="1:20" s="81" customFormat="1" x14ac:dyDescent="0.35">
      <c r="A516" s="130" t="s">
        <v>392</v>
      </c>
      <c r="B516" s="130"/>
      <c r="C516" s="130"/>
      <c r="D516" s="130"/>
      <c r="E516" s="130"/>
      <c r="F516" s="130"/>
      <c r="G516" s="130"/>
      <c r="H516" s="130"/>
      <c r="I516" s="84"/>
      <c r="J516" s="35"/>
    </row>
    <row r="517" spans="1:20" s="81" customFormat="1" ht="15.75" customHeight="1" x14ac:dyDescent="0.35">
      <c r="A517" s="125">
        <v>1</v>
      </c>
      <c r="B517" s="125"/>
      <c r="C517" s="96" t="s">
        <v>371</v>
      </c>
      <c r="D517" s="96">
        <f t="shared" ref="D517:D524" si="95">(29.97)*10.764</f>
        <v>322.59707999999995</v>
      </c>
      <c r="E517" s="96">
        <f t="shared" ref="E517:E524" si="96">(1.7*1.2+2.95*0.75+2.45*1.13)*10.764</f>
        <v>75.574044000000001</v>
      </c>
      <c r="F517" s="96">
        <f t="shared" ref="F517:F524" si="97">D517+E517</f>
        <v>398.17112399999996</v>
      </c>
      <c r="G517" s="96">
        <v>0</v>
      </c>
      <c r="H517" s="96">
        <f t="shared" ref="H517:H524" si="98">F517*(($H$449)+1)+(IF(G517&lt;101,G517,IF(G517&lt;201,G517/2,IF(G517&lt;=301,G517/3,G517/4))))</f>
        <v>577.34812979999992</v>
      </c>
      <c r="I517" s="35"/>
      <c r="L517" s="122"/>
      <c r="M517" s="122"/>
      <c r="N517" s="35"/>
    </row>
    <row r="518" spans="1:20" s="81" customFormat="1" ht="15.75" customHeight="1" x14ac:dyDescent="0.35">
      <c r="A518" s="125">
        <f>A517+1</f>
        <v>2</v>
      </c>
      <c r="B518" s="125"/>
      <c r="C518" s="96" t="s">
        <v>371</v>
      </c>
      <c r="D518" s="96">
        <f t="shared" si="95"/>
        <v>322.59707999999995</v>
      </c>
      <c r="E518" s="96">
        <f t="shared" si="96"/>
        <v>75.574044000000001</v>
      </c>
      <c r="F518" s="96">
        <f t="shared" si="97"/>
        <v>398.17112399999996</v>
      </c>
      <c r="G518" s="96">
        <v>0</v>
      </c>
      <c r="H518" s="96">
        <f t="shared" si="98"/>
        <v>577.34812979999992</v>
      </c>
      <c r="I518" s="35"/>
      <c r="L518" s="122"/>
      <c r="M518" s="122"/>
      <c r="N518" s="35"/>
    </row>
    <row r="519" spans="1:20" s="81" customFormat="1" ht="15.75" customHeight="1" x14ac:dyDescent="0.35">
      <c r="A519" s="125">
        <f>A518+1</f>
        <v>3</v>
      </c>
      <c r="B519" s="125"/>
      <c r="C519" s="96" t="s">
        <v>371</v>
      </c>
      <c r="D519" s="96">
        <f t="shared" si="95"/>
        <v>322.59707999999995</v>
      </c>
      <c r="E519" s="96">
        <f t="shared" si="96"/>
        <v>75.574044000000001</v>
      </c>
      <c r="F519" s="96">
        <f t="shared" si="97"/>
        <v>398.17112399999996</v>
      </c>
      <c r="G519" s="96">
        <v>0</v>
      </c>
      <c r="H519" s="96">
        <f t="shared" si="98"/>
        <v>577.34812979999992</v>
      </c>
      <c r="I519" s="35"/>
      <c r="L519" s="122"/>
      <c r="M519" s="122"/>
      <c r="N519" s="35"/>
    </row>
    <row r="520" spans="1:20" s="81" customFormat="1" ht="15.75" customHeight="1" x14ac:dyDescent="0.35">
      <c r="A520" s="125">
        <f>A519+1</f>
        <v>4</v>
      </c>
      <c r="B520" s="125"/>
      <c r="C520" s="96" t="s">
        <v>371</v>
      </c>
      <c r="D520" s="96">
        <f t="shared" si="95"/>
        <v>322.59707999999995</v>
      </c>
      <c r="E520" s="96">
        <f t="shared" si="96"/>
        <v>75.574044000000001</v>
      </c>
      <c r="F520" s="96">
        <f t="shared" si="97"/>
        <v>398.17112399999996</v>
      </c>
      <c r="G520" s="96">
        <v>0</v>
      </c>
      <c r="H520" s="96">
        <f t="shared" si="98"/>
        <v>577.34812979999992</v>
      </c>
      <c r="I520" s="35"/>
      <c r="L520" s="122"/>
      <c r="M520" s="122"/>
      <c r="N520" s="35"/>
      <c r="T520" s="20"/>
    </row>
    <row r="521" spans="1:20" s="81" customFormat="1" ht="15.75" customHeight="1" x14ac:dyDescent="0.35">
      <c r="A521" s="125">
        <f t="shared" ref="A521:A524" si="99">A520+1</f>
        <v>5</v>
      </c>
      <c r="B521" s="125"/>
      <c r="C521" s="96" t="s">
        <v>371</v>
      </c>
      <c r="D521" s="96">
        <f t="shared" si="95"/>
        <v>322.59707999999995</v>
      </c>
      <c r="E521" s="96">
        <f t="shared" si="96"/>
        <v>75.574044000000001</v>
      </c>
      <c r="F521" s="96">
        <f t="shared" si="97"/>
        <v>398.17112399999996</v>
      </c>
      <c r="G521" s="96">
        <v>0</v>
      </c>
      <c r="H521" s="96">
        <f t="shared" si="98"/>
        <v>577.34812979999992</v>
      </c>
      <c r="I521" s="35"/>
      <c r="L521" s="122"/>
      <c r="M521" s="122"/>
      <c r="N521" s="35"/>
    </row>
    <row r="522" spans="1:20" s="81" customFormat="1" ht="15.75" customHeight="1" x14ac:dyDescent="0.35">
      <c r="A522" s="125">
        <f t="shared" si="99"/>
        <v>6</v>
      </c>
      <c r="B522" s="125"/>
      <c r="C522" s="96" t="s">
        <v>371</v>
      </c>
      <c r="D522" s="96">
        <f t="shared" si="95"/>
        <v>322.59707999999995</v>
      </c>
      <c r="E522" s="96">
        <f t="shared" si="96"/>
        <v>75.574044000000001</v>
      </c>
      <c r="F522" s="96">
        <f t="shared" si="97"/>
        <v>398.17112399999996</v>
      </c>
      <c r="G522" s="96">
        <v>0</v>
      </c>
      <c r="H522" s="96">
        <f t="shared" si="98"/>
        <v>577.34812979999992</v>
      </c>
      <c r="I522" s="35"/>
      <c r="L522" s="122"/>
      <c r="M522" s="122"/>
      <c r="N522" s="35"/>
    </row>
    <row r="523" spans="1:20" s="81" customFormat="1" ht="15.75" customHeight="1" x14ac:dyDescent="0.35">
      <c r="A523" s="125">
        <f t="shared" si="99"/>
        <v>7</v>
      </c>
      <c r="B523" s="125"/>
      <c r="C523" s="96" t="s">
        <v>371</v>
      </c>
      <c r="D523" s="96">
        <f t="shared" si="95"/>
        <v>322.59707999999995</v>
      </c>
      <c r="E523" s="96">
        <f t="shared" si="96"/>
        <v>75.574044000000001</v>
      </c>
      <c r="F523" s="96">
        <f t="shared" si="97"/>
        <v>398.17112399999996</v>
      </c>
      <c r="G523" s="96">
        <v>0</v>
      </c>
      <c r="H523" s="96">
        <f t="shared" si="98"/>
        <v>577.34812979999992</v>
      </c>
      <c r="I523" s="35"/>
      <c r="L523" s="122"/>
      <c r="M523" s="122"/>
      <c r="N523" s="35"/>
    </row>
    <row r="524" spans="1:20" s="81" customFormat="1" ht="15.75" customHeight="1" x14ac:dyDescent="0.35">
      <c r="A524" s="125">
        <f t="shared" si="99"/>
        <v>8</v>
      </c>
      <c r="B524" s="125"/>
      <c r="C524" s="96" t="s">
        <v>371</v>
      </c>
      <c r="D524" s="96">
        <f t="shared" si="95"/>
        <v>322.59707999999995</v>
      </c>
      <c r="E524" s="96">
        <f t="shared" si="96"/>
        <v>75.574044000000001</v>
      </c>
      <c r="F524" s="96">
        <f t="shared" si="97"/>
        <v>398.17112399999996</v>
      </c>
      <c r="G524" s="96">
        <v>0</v>
      </c>
      <c r="H524" s="96">
        <f t="shared" si="98"/>
        <v>577.34812979999992</v>
      </c>
      <c r="I524" s="35"/>
      <c r="L524" s="122"/>
      <c r="M524" s="122"/>
      <c r="N524" s="35"/>
      <c r="T524" s="20"/>
    </row>
    <row r="525" spans="1:20" s="81" customFormat="1" x14ac:dyDescent="0.35">
      <c r="A525" s="126" t="s">
        <v>377</v>
      </c>
      <c r="B525" s="127"/>
      <c r="C525" s="127"/>
      <c r="D525" s="127"/>
      <c r="E525" s="127"/>
      <c r="F525" s="127"/>
      <c r="G525" s="127"/>
      <c r="H525" s="128"/>
      <c r="J525" s="35"/>
    </row>
    <row r="526" spans="1:20" s="81" customFormat="1" x14ac:dyDescent="0.35">
      <c r="A526" s="126" t="s">
        <v>394</v>
      </c>
      <c r="B526" s="127"/>
      <c r="C526" s="127"/>
      <c r="D526" s="127"/>
      <c r="E526" s="127"/>
      <c r="F526" s="127"/>
      <c r="G526" s="127"/>
      <c r="H526" s="128"/>
      <c r="I526" s="84"/>
      <c r="J526" s="35"/>
    </row>
    <row r="527" spans="1:20" s="81" customFormat="1" ht="15.75" customHeight="1" x14ac:dyDescent="0.35">
      <c r="A527" s="123">
        <v>1</v>
      </c>
      <c r="B527" s="124"/>
      <c r="C527" s="80" t="s">
        <v>371</v>
      </c>
      <c r="D527" s="80">
        <f t="shared" ref="D527:D533" si="100">(29.97)*10.764</f>
        <v>322.59707999999995</v>
      </c>
      <c r="E527" s="80">
        <f t="shared" ref="E527:E533" si="101">(1.7*1.2+2.95*0.75+2.45*1.13)*10.764</f>
        <v>75.574044000000001</v>
      </c>
      <c r="F527" s="80">
        <f t="shared" ref="F527:F533" si="102">D527+E527</f>
        <v>398.17112399999996</v>
      </c>
      <c r="G527" s="80">
        <v>0</v>
      </c>
      <c r="H527" s="80">
        <f t="shared" ref="H527:H533" si="103">F527*(($H$449)+1)+(IF(G527&lt;101,G527,IF(G527&lt;201,G527/2,IF(G527&lt;=301,G527/3,G527/4))))</f>
        <v>577.34812979999992</v>
      </c>
      <c r="I527" s="35"/>
      <c r="L527" s="122"/>
      <c r="M527" s="122"/>
      <c r="N527" s="35"/>
    </row>
    <row r="528" spans="1:20" s="81" customFormat="1" ht="15.75" customHeight="1" x14ac:dyDescent="0.35">
      <c r="A528" s="123">
        <f t="shared" ref="A528:A533" si="104">A527+1</f>
        <v>2</v>
      </c>
      <c r="B528" s="124"/>
      <c r="C528" s="80" t="s">
        <v>371</v>
      </c>
      <c r="D528" s="80">
        <f t="shared" si="100"/>
        <v>322.59707999999995</v>
      </c>
      <c r="E528" s="80">
        <f t="shared" si="101"/>
        <v>75.574044000000001</v>
      </c>
      <c r="F528" s="80">
        <f t="shared" si="102"/>
        <v>398.17112399999996</v>
      </c>
      <c r="G528" s="80">
        <v>0</v>
      </c>
      <c r="H528" s="80">
        <f t="shared" si="103"/>
        <v>577.34812979999992</v>
      </c>
      <c r="I528" s="35"/>
      <c r="L528" s="122"/>
      <c r="M528" s="122"/>
      <c r="N528" s="35"/>
    </row>
    <row r="529" spans="1:20" s="81" customFormat="1" ht="15.75" customHeight="1" x14ac:dyDescent="0.35">
      <c r="A529" s="123">
        <f t="shared" si="104"/>
        <v>3</v>
      </c>
      <c r="B529" s="124"/>
      <c r="C529" s="80" t="s">
        <v>371</v>
      </c>
      <c r="D529" s="80">
        <f t="shared" si="100"/>
        <v>322.59707999999995</v>
      </c>
      <c r="E529" s="80">
        <f t="shared" si="101"/>
        <v>75.574044000000001</v>
      </c>
      <c r="F529" s="80">
        <f t="shared" si="102"/>
        <v>398.17112399999996</v>
      </c>
      <c r="G529" s="80">
        <v>0</v>
      </c>
      <c r="H529" s="80">
        <f t="shared" si="103"/>
        <v>577.34812979999992</v>
      </c>
      <c r="I529" s="35"/>
      <c r="L529" s="122"/>
      <c r="M529" s="122"/>
      <c r="N529" s="35"/>
    </row>
    <row r="530" spans="1:20" s="81" customFormat="1" ht="15.75" customHeight="1" x14ac:dyDescent="0.35">
      <c r="A530" s="123">
        <f t="shared" si="104"/>
        <v>4</v>
      </c>
      <c r="B530" s="124"/>
      <c r="C530" s="80" t="s">
        <v>371</v>
      </c>
      <c r="D530" s="80">
        <f t="shared" si="100"/>
        <v>322.59707999999995</v>
      </c>
      <c r="E530" s="80">
        <f t="shared" si="101"/>
        <v>75.574044000000001</v>
      </c>
      <c r="F530" s="80">
        <f t="shared" si="102"/>
        <v>398.17112399999996</v>
      </c>
      <c r="G530" s="80">
        <v>0</v>
      </c>
      <c r="H530" s="80">
        <f t="shared" si="103"/>
        <v>577.34812979999992</v>
      </c>
      <c r="I530" s="35"/>
      <c r="L530" s="122"/>
      <c r="M530" s="122"/>
      <c r="N530" s="35"/>
      <c r="T530" s="20"/>
    </row>
    <row r="531" spans="1:20" s="81" customFormat="1" ht="15.75" customHeight="1" x14ac:dyDescent="0.35">
      <c r="A531" s="123">
        <f t="shared" si="104"/>
        <v>5</v>
      </c>
      <c r="B531" s="124"/>
      <c r="C531" s="80" t="s">
        <v>371</v>
      </c>
      <c r="D531" s="80">
        <f t="shared" si="100"/>
        <v>322.59707999999995</v>
      </c>
      <c r="E531" s="80">
        <f t="shared" si="101"/>
        <v>75.574044000000001</v>
      </c>
      <c r="F531" s="80">
        <f t="shared" si="102"/>
        <v>398.17112399999996</v>
      </c>
      <c r="G531" s="80">
        <v>0</v>
      </c>
      <c r="H531" s="80">
        <f t="shared" si="103"/>
        <v>577.34812979999992</v>
      </c>
      <c r="I531" s="35"/>
      <c r="L531" s="122"/>
      <c r="M531" s="122"/>
      <c r="N531" s="35"/>
    </row>
    <row r="532" spans="1:20" s="81" customFormat="1" ht="15.75" customHeight="1" x14ac:dyDescent="0.35">
      <c r="A532" s="123">
        <f t="shared" si="104"/>
        <v>6</v>
      </c>
      <c r="B532" s="124"/>
      <c r="C532" s="80" t="s">
        <v>371</v>
      </c>
      <c r="D532" s="80">
        <f t="shared" si="100"/>
        <v>322.59707999999995</v>
      </c>
      <c r="E532" s="80">
        <f t="shared" si="101"/>
        <v>75.574044000000001</v>
      </c>
      <c r="F532" s="80">
        <f t="shared" si="102"/>
        <v>398.17112399999996</v>
      </c>
      <c r="G532" s="80">
        <v>0</v>
      </c>
      <c r="H532" s="80">
        <f t="shared" si="103"/>
        <v>577.34812979999992</v>
      </c>
      <c r="I532" s="35"/>
      <c r="L532" s="122"/>
      <c r="M532" s="122"/>
      <c r="N532" s="35"/>
    </row>
    <row r="533" spans="1:20" s="81" customFormat="1" ht="15.75" customHeight="1" x14ac:dyDescent="0.35">
      <c r="A533" s="123">
        <f t="shared" si="104"/>
        <v>7</v>
      </c>
      <c r="B533" s="124"/>
      <c r="C533" s="80" t="s">
        <v>371</v>
      </c>
      <c r="D533" s="80">
        <f t="shared" si="100"/>
        <v>322.59707999999995</v>
      </c>
      <c r="E533" s="80">
        <f t="shared" si="101"/>
        <v>75.574044000000001</v>
      </c>
      <c r="F533" s="80">
        <f t="shared" si="102"/>
        <v>398.17112399999996</v>
      </c>
      <c r="G533" s="80">
        <v>0</v>
      </c>
      <c r="H533" s="80">
        <f t="shared" si="103"/>
        <v>577.34812979999992</v>
      </c>
      <c r="I533" s="35"/>
      <c r="L533" s="122"/>
      <c r="M533" s="122"/>
      <c r="N533" s="35"/>
      <c r="T533" s="20"/>
    </row>
    <row r="534" spans="1:20" s="81" customFormat="1" x14ac:dyDescent="0.35">
      <c r="A534" s="126" t="s">
        <v>392</v>
      </c>
      <c r="B534" s="127"/>
      <c r="C534" s="127"/>
      <c r="D534" s="127"/>
      <c r="E534" s="127"/>
      <c r="F534" s="127"/>
      <c r="G534" s="127"/>
      <c r="H534" s="128"/>
      <c r="J534" s="35"/>
    </row>
    <row r="535" spans="1:20" s="81" customFormat="1" ht="15.75" customHeight="1" x14ac:dyDescent="0.35">
      <c r="A535" s="123">
        <v>1</v>
      </c>
      <c r="B535" s="124"/>
      <c r="C535" s="80" t="s">
        <v>371</v>
      </c>
      <c r="D535" s="80">
        <f t="shared" ref="D535:D542" si="105">(29.97)*10.764</f>
        <v>322.59707999999995</v>
      </c>
      <c r="E535" s="80">
        <f t="shared" ref="E535:E542" si="106">(1.7*1.2+2.95*0.75+2.45*1.13)*10.764</f>
        <v>75.574044000000001</v>
      </c>
      <c r="F535" s="80">
        <f t="shared" ref="F535:F542" si="107">D535+E535</f>
        <v>398.17112399999996</v>
      </c>
      <c r="G535" s="80">
        <v>0</v>
      </c>
      <c r="H535" s="80">
        <f t="shared" ref="H535:H542" si="108">F535*(($H$449)+1)+(IF(G535&lt;101,G535,IF(G535&lt;201,G535/2,IF(G535&lt;=301,G535/3,G535/4))))</f>
        <v>577.34812979999992</v>
      </c>
      <c r="I535" s="35"/>
      <c r="L535" s="122"/>
      <c r="M535" s="122"/>
      <c r="N535" s="35"/>
    </row>
    <row r="536" spans="1:20" s="81" customFormat="1" ht="15.75" customHeight="1" x14ac:dyDescent="0.35">
      <c r="A536" s="123">
        <f>A535+1</f>
        <v>2</v>
      </c>
      <c r="B536" s="124"/>
      <c r="C536" s="80" t="s">
        <v>371</v>
      </c>
      <c r="D536" s="80">
        <f t="shared" si="105"/>
        <v>322.59707999999995</v>
      </c>
      <c r="E536" s="80">
        <f t="shared" si="106"/>
        <v>75.574044000000001</v>
      </c>
      <c r="F536" s="80">
        <f t="shared" si="107"/>
        <v>398.17112399999996</v>
      </c>
      <c r="G536" s="80">
        <v>0</v>
      </c>
      <c r="H536" s="80">
        <f t="shared" si="108"/>
        <v>577.34812979999992</v>
      </c>
      <c r="I536" s="35"/>
      <c r="L536" s="122"/>
      <c r="M536" s="122"/>
      <c r="N536" s="35"/>
    </row>
    <row r="537" spans="1:20" s="81" customFormat="1" ht="15.75" customHeight="1" x14ac:dyDescent="0.35">
      <c r="A537" s="123">
        <f>A536+1</f>
        <v>3</v>
      </c>
      <c r="B537" s="124"/>
      <c r="C537" s="80" t="s">
        <v>371</v>
      </c>
      <c r="D537" s="80">
        <f t="shared" si="105"/>
        <v>322.59707999999995</v>
      </c>
      <c r="E537" s="80">
        <f t="shared" si="106"/>
        <v>75.574044000000001</v>
      </c>
      <c r="F537" s="80">
        <f t="shared" si="107"/>
        <v>398.17112399999996</v>
      </c>
      <c r="G537" s="80">
        <v>0</v>
      </c>
      <c r="H537" s="80">
        <f t="shared" si="108"/>
        <v>577.34812979999992</v>
      </c>
      <c r="I537" s="35"/>
      <c r="L537" s="122"/>
      <c r="M537" s="122"/>
      <c r="N537" s="35"/>
    </row>
    <row r="538" spans="1:20" s="81" customFormat="1" ht="15.75" customHeight="1" x14ac:dyDescent="0.35">
      <c r="A538" s="123">
        <f>A537+1</f>
        <v>4</v>
      </c>
      <c r="B538" s="124"/>
      <c r="C538" s="80" t="s">
        <v>371</v>
      </c>
      <c r="D538" s="80">
        <f t="shared" si="105"/>
        <v>322.59707999999995</v>
      </c>
      <c r="E538" s="80">
        <f t="shared" si="106"/>
        <v>75.574044000000001</v>
      </c>
      <c r="F538" s="80">
        <f t="shared" si="107"/>
        <v>398.17112399999996</v>
      </c>
      <c r="G538" s="80">
        <v>0</v>
      </c>
      <c r="H538" s="80">
        <f t="shared" si="108"/>
        <v>577.34812979999992</v>
      </c>
      <c r="I538" s="35"/>
      <c r="L538" s="122"/>
      <c r="M538" s="122"/>
      <c r="N538" s="35"/>
      <c r="T538" s="20"/>
    </row>
    <row r="539" spans="1:20" s="81" customFormat="1" ht="15.75" customHeight="1" x14ac:dyDescent="0.35">
      <c r="A539" s="123">
        <f t="shared" ref="A539:A542" si="109">A538+1</f>
        <v>5</v>
      </c>
      <c r="B539" s="124"/>
      <c r="C539" s="80" t="s">
        <v>371</v>
      </c>
      <c r="D539" s="80">
        <f t="shared" si="105"/>
        <v>322.59707999999995</v>
      </c>
      <c r="E539" s="80">
        <f t="shared" si="106"/>
        <v>75.574044000000001</v>
      </c>
      <c r="F539" s="80">
        <f t="shared" si="107"/>
        <v>398.17112399999996</v>
      </c>
      <c r="G539" s="80">
        <v>0</v>
      </c>
      <c r="H539" s="80">
        <f t="shared" si="108"/>
        <v>577.34812979999992</v>
      </c>
      <c r="I539" s="35"/>
      <c r="L539" s="122"/>
      <c r="M539" s="122"/>
      <c r="N539" s="35"/>
    </row>
    <row r="540" spans="1:20" s="81" customFormat="1" ht="15.75" customHeight="1" x14ac:dyDescent="0.35">
      <c r="A540" s="123">
        <f t="shared" si="109"/>
        <v>6</v>
      </c>
      <c r="B540" s="124"/>
      <c r="C540" s="80" t="s">
        <v>371</v>
      </c>
      <c r="D540" s="80">
        <f t="shared" si="105"/>
        <v>322.59707999999995</v>
      </c>
      <c r="E540" s="80">
        <f t="shared" si="106"/>
        <v>75.574044000000001</v>
      </c>
      <c r="F540" s="80">
        <f t="shared" si="107"/>
        <v>398.17112399999996</v>
      </c>
      <c r="G540" s="80">
        <v>0</v>
      </c>
      <c r="H540" s="80">
        <f t="shared" si="108"/>
        <v>577.34812979999992</v>
      </c>
      <c r="I540" s="35"/>
      <c r="L540" s="122"/>
      <c r="M540" s="122"/>
      <c r="N540" s="35"/>
    </row>
    <row r="541" spans="1:20" s="81" customFormat="1" ht="15.75" customHeight="1" x14ac:dyDescent="0.35">
      <c r="A541" s="123">
        <f t="shared" si="109"/>
        <v>7</v>
      </c>
      <c r="B541" s="124"/>
      <c r="C541" s="80" t="s">
        <v>371</v>
      </c>
      <c r="D541" s="80">
        <f t="shared" si="105"/>
        <v>322.59707999999995</v>
      </c>
      <c r="E541" s="80">
        <f t="shared" si="106"/>
        <v>75.574044000000001</v>
      </c>
      <c r="F541" s="80">
        <f t="shared" si="107"/>
        <v>398.17112399999996</v>
      </c>
      <c r="G541" s="80">
        <v>0</v>
      </c>
      <c r="H541" s="80">
        <f t="shared" si="108"/>
        <v>577.34812979999992</v>
      </c>
      <c r="I541" s="35"/>
      <c r="L541" s="122"/>
      <c r="M541" s="122"/>
      <c r="N541" s="35"/>
    </row>
    <row r="542" spans="1:20" s="81" customFormat="1" ht="15.75" customHeight="1" x14ac:dyDescent="0.35">
      <c r="A542" s="123">
        <f t="shared" si="109"/>
        <v>8</v>
      </c>
      <c r="B542" s="124"/>
      <c r="C542" s="80" t="s">
        <v>371</v>
      </c>
      <c r="D542" s="80">
        <f t="shared" si="105"/>
        <v>322.59707999999995</v>
      </c>
      <c r="E542" s="80">
        <f t="shared" si="106"/>
        <v>75.574044000000001</v>
      </c>
      <c r="F542" s="80">
        <f t="shared" si="107"/>
        <v>398.17112399999996</v>
      </c>
      <c r="G542" s="80">
        <v>0</v>
      </c>
      <c r="H542" s="80">
        <f t="shared" si="108"/>
        <v>577.34812979999992</v>
      </c>
      <c r="I542" s="35"/>
      <c r="L542" s="122"/>
      <c r="M542" s="122"/>
      <c r="N542" s="35"/>
      <c r="T542" s="20"/>
    </row>
    <row r="543" spans="1:20" s="81" customFormat="1" x14ac:dyDescent="0.35">
      <c r="A543" s="126" t="s">
        <v>378</v>
      </c>
      <c r="B543" s="127"/>
      <c r="C543" s="127"/>
      <c r="D543" s="127"/>
      <c r="E543" s="127"/>
      <c r="F543" s="127"/>
      <c r="G543" s="127"/>
      <c r="H543" s="128"/>
      <c r="J543" s="35"/>
    </row>
    <row r="544" spans="1:20" s="81" customFormat="1" x14ac:dyDescent="0.35">
      <c r="A544" s="126" t="s">
        <v>370</v>
      </c>
      <c r="B544" s="127"/>
      <c r="C544" s="127"/>
      <c r="D544" s="127"/>
      <c r="E544" s="127"/>
      <c r="F544" s="127"/>
      <c r="G544" s="127"/>
      <c r="H544" s="128"/>
      <c r="J544" s="35"/>
      <c r="T544" s="34"/>
    </row>
    <row r="545" spans="1:20" s="81" customFormat="1" ht="15.75" customHeight="1" x14ac:dyDescent="0.35">
      <c r="A545" s="123">
        <v>1</v>
      </c>
      <c r="B545" s="124"/>
      <c r="C545" s="80" t="s">
        <v>371</v>
      </c>
      <c r="D545" s="80">
        <f t="shared" ref="D545:D558" si="110">(29.97)*10.764</f>
        <v>322.59707999999995</v>
      </c>
      <c r="E545" s="80">
        <f t="shared" ref="E545:E558" si="111">(1.7*1.2+2.95*0.75+2.45*1.13)*10.764</f>
        <v>75.574044000000001</v>
      </c>
      <c r="F545" s="80">
        <f>D545+E545</f>
        <v>398.17112399999996</v>
      </c>
      <c r="G545" s="80">
        <v>0</v>
      </c>
      <c r="H545" s="80">
        <f>F545*(($H$449)+1)+(IF(G545&lt;101,G545,IF(G545&lt;201,G545/2,IF(G545&lt;=301,G545/3,G545/4))))</f>
        <v>577.34812979999992</v>
      </c>
      <c r="I545" s="35"/>
      <c r="L545" s="122"/>
      <c r="M545" s="122"/>
      <c r="N545" s="35"/>
    </row>
    <row r="546" spans="1:20" s="81" customFormat="1" ht="15.75" customHeight="1" x14ac:dyDescent="0.35">
      <c r="A546" s="123">
        <f>A545+1</f>
        <v>2</v>
      </c>
      <c r="B546" s="124"/>
      <c r="C546" s="80" t="s">
        <v>371</v>
      </c>
      <c r="D546" s="80">
        <f t="shared" si="110"/>
        <v>322.59707999999995</v>
      </c>
      <c r="E546" s="80">
        <f t="shared" si="111"/>
        <v>75.574044000000001</v>
      </c>
      <c r="F546" s="80">
        <f>D546+E546</f>
        <v>398.17112399999996</v>
      </c>
      <c r="G546" s="80">
        <v>0</v>
      </c>
      <c r="H546" s="80">
        <f>F546*(($H$449)+1)+(IF(G546&lt;101,G546,IF(G546&lt;201,G546/2,IF(G546&lt;=301,G546/3,G546/4))))</f>
        <v>577.34812979999992</v>
      </c>
      <c r="I546" s="35"/>
      <c r="L546" s="122"/>
      <c r="M546" s="122"/>
      <c r="N546" s="35"/>
    </row>
    <row r="547" spans="1:20" s="81" customFormat="1" ht="15.75" customHeight="1" x14ac:dyDescent="0.35">
      <c r="A547" s="123">
        <f>A546+1</f>
        <v>3</v>
      </c>
      <c r="B547" s="124"/>
      <c r="C547" s="80" t="s">
        <v>371</v>
      </c>
      <c r="D547" s="80">
        <f t="shared" si="110"/>
        <v>322.59707999999995</v>
      </c>
      <c r="E547" s="80">
        <f t="shared" si="111"/>
        <v>75.574044000000001</v>
      </c>
      <c r="F547" s="80">
        <f>D547+E547</f>
        <v>398.17112399999996</v>
      </c>
      <c r="G547" s="80">
        <v>0</v>
      </c>
      <c r="H547" s="80">
        <f>F547*(($H$449)+1)+(IF(G547&lt;101,G547,IF(G547&lt;201,G547/2,IF(G547&lt;=301,G547/3,G547/4))))</f>
        <v>577.34812979999992</v>
      </c>
      <c r="I547" s="35"/>
      <c r="L547" s="122"/>
      <c r="M547" s="122"/>
      <c r="N547" s="35"/>
    </row>
    <row r="548" spans="1:20" s="81" customFormat="1" ht="15.75" customHeight="1" x14ac:dyDescent="0.35">
      <c r="A548" s="123">
        <f>A547+1</f>
        <v>4</v>
      </c>
      <c r="B548" s="124"/>
      <c r="C548" s="80" t="s">
        <v>371</v>
      </c>
      <c r="D548" s="80">
        <f t="shared" si="110"/>
        <v>322.59707999999995</v>
      </c>
      <c r="E548" s="80">
        <f t="shared" si="111"/>
        <v>75.574044000000001</v>
      </c>
      <c r="F548" s="80">
        <f>D548+E548</f>
        <v>398.17112399999996</v>
      </c>
      <c r="G548" s="80">
        <v>0</v>
      </c>
      <c r="H548" s="80">
        <f>F548*(($H$449)+1)+(IF(G548&lt;101,G548,IF(G548&lt;201,G548/2,IF(G548&lt;=301,G548/3,G548/4))))</f>
        <v>577.34812979999992</v>
      </c>
      <c r="I548" s="35"/>
      <c r="L548" s="122"/>
      <c r="M548" s="122"/>
      <c r="N548" s="35"/>
      <c r="T548" s="20"/>
    </row>
    <row r="549" spans="1:20" s="81" customFormat="1" ht="15.75" customHeight="1" x14ac:dyDescent="0.35">
      <c r="A549" s="123">
        <f t="shared" ref="A549" si="112">A548+1</f>
        <v>5</v>
      </c>
      <c r="B549" s="124"/>
      <c r="C549" s="80" t="s">
        <v>371</v>
      </c>
      <c r="D549" s="80">
        <f t="shared" si="110"/>
        <v>322.59707999999995</v>
      </c>
      <c r="E549" s="80">
        <f t="shared" si="111"/>
        <v>75.574044000000001</v>
      </c>
      <c r="F549" s="80">
        <f>D549+E549</f>
        <v>398.17112399999996</v>
      </c>
      <c r="G549" s="80">
        <v>0</v>
      </c>
      <c r="H549" s="80">
        <f>F549*(($H$449)+1)+(IF(G549&lt;101,G549,IF(G549&lt;201,G549/2,IF(G549&lt;=301,G549/3,G549/4))))</f>
        <v>577.34812979999992</v>
      </c>
      <c r="I549" s="35"/>
      <c r="L549" s="122"/>
      <c r="M549" s="122"/>
      <c r="N549" s="35"/>
    </row>
    <row r="550" spans="1:20" s="81" customFormat="1" x14ac:dyDescent="0.35">
      <c r="A550" s="126" t="s">
        <v>372</v>
      </c>
      <c r="B550" s="127"/>
      <c r="C550" s="127"/>
      <c r="D550" s="127"/>
      <c r="E550" s="127"/>
      <c r="F550" s="127"/>
      <c r="G550" s="127"/>
      <c r="H550" s="128"/>
      <c r="J550" s="35"/>
      <c r="T550" s="34"/>
    </row>
    <row r="551" spans="1:20" s="81" customFormat="1" ht="15.75" customHeight="1" x14ac:dyDescent="0.35">
      <c r="A551" s="123">
        <v>1</v>
      </c>
      <c r="B551" s="124"/>
      <c r="C551" s="80" t="s">
        <v>371</v>
      </c>
      <c r="D551" s="80">
        <f t="shared" si="110"/>
        <v>322.59707999999995</v>
      </c>
      <c r="E551" s="80">
        <f t="shared" si="111"/>
        <v>75.574044000000001</v>
      </c>
      <c r="F551" s="80">
        <f t="shared" ref="F551:F558" si="113">D551+E551</f>
        <v>398.17112399999996</v>
      </c>
      <c r="G551" s="80">
        <v>0</v>
      </c>
      <c r="H551" s="80">
        <f t="shared" ref="H551:H558" si="114">F551*(($H$449)+1)+(IF(G551&lt;101,G551,IF(G551&lt;201,G551/2,IF(G551&lt;=301,G551/3,G551/4))))</f>
        <v>577.34812979999992</v>
      </c>
      <c r="I551" s="35"/>
      <c r="L551" s="122"/>
      <c r="M551" s="122"/>
      <c r="N551" s="35"/>
    </row>
    <row r="552" spans="1:20" s="81" customFormat="1" ht="15.75" customHeight="1" x14ac:dyDescent="0.35">
      <c r="A552" s="123">
        <f>A551+1</f>
        <v>2</v>
      </c>
      <c r="B552" s="124"/>
      <c r="C552" s="80" t="s">
        <v>371</v>
      </c>
      <c r="D552" s="80">
        <f t="shared" si="110"/>
        <v>322.59707999999995</v>
      </c>
      <c r="E552" s="80">
        <f t="shared" si="111"/>
        <v>75.574044000000001</v>
      </c>
      <c r="F552" s="80">
        <f t="shared" si="113"/>
        <v>398.17112399999996</v>
      </c>
      <c r="G552" s="80">
        <v>0</v>
      </c>
      <c r="H552" s="80">
        <f t="shared" si="114"/>
        <v>577.34812979999992</v>
      </c>
      <c r="I552" s="35"/>
      <c r="L552" s="122"/>
      <c r="M552" s="122"/>
      <c r="N552" s="35"/>
    </row>
    <row r="553" spans="1:20" s="81" customFormat="1" ht="15.75" customHeight="1" x14ac:dyDescent="0.35">
      <c r="A553" s="123">
        <f>A552+1</f>
        <v>3</v>
      </c>
      <c r="B553" s="124"/>
      <c r="C553" s="80" t="s">
        <v>371</v>
      </c>
      <c r="D553" s="80">
        <f t="shared" si="110"/>
        <v>322.59707999999995</v>
      </c>
      <c r="E553" s="80">
        <f t="shared" si="111"/>
        <v>75.574044000000001</v>
      </c>
      <c r="F553" s="80">
        <f t="shared" si="113"/>
        <v>398.17112399999996</v>
      </c>
      <c r="G553" s="80">
        <v>0</v>
      </c>
      <c r="H553" s="80">
        <f t="shared" si="114"/>
        <v>577.34812979999992</v>
      </c>
      <c r="I553" s="35"/>
      <c r="L553" s="122"/>
      <c r="M553" s="122"/>
      <c r="N553" s="35"/>
    </row>
    <row r="554" spans="1:20" s="81" customFormat="1" ht="15.75" customHeight="1" x14ac:dyDescent="0.35">
      <c r="A554" s="123">
        <f>A553+1</f>
        <v>4</v>
      </c>
      <c r="B554" s="124"/>
      <c r="C554" s="80" t="s">
        <v>371</v>
      </c>
      <c r="D554" s="80">
        <f t="shared" si="110"/>
        <v>322.59707999999995</v>
      </c>
      <c r="E554" s="80">
        <f t="shared" si="111"/>
        <v>75.574044000000001</v>
      </c>
      <c r="F554" s="80">
        <f t="shared" si="113"/>
        <v>398.17112399999996</v>
      </c>
      <c r="G554" s="80">
        <v>0</v>
      </c>
      <c r="H554" s="80">
        <f t="shared" si="114"/>
        <v>577.34812979999992</v>
      </c>
      <c r="I554" s="35"/>
      <c r="L554" s="122"/>
      <c r="M554" s="122"/>
      <c r="N554" s="35"/>
      <c r="T554" s="20"/>
    </row>
    <row r="555" spans="1:20" s="81" customFormat="1" ht="15.75" customHeight="1" x14ac:dyDescent="0.35">
      <c r="A555" s="123">
        <f t="shared" ref="A555:A558" si="115">A554+1</f>
        <v>5</v>
      </c>
      <c r="B555" s="124"/>
      <c r="C555" s="80" t="s">
        <v>371</v>
      </c>
      <c r="D555" s="80">
        <f t="shared" si="110"/>
        <v>322.59707999999995</v>
      </c>
      <c r="E555" s="80">
        <f t="shared" si="111"/>
        <v>75.574044000000001</v>
      </c>
      <c r="F555" s="80">
        <f t="shared" si="113"/>
        <v>398.17112399999996</v>
      </c>
      <c r="G555" s="80">
        <v>0</v>
      </c>
      <c r="H555" s="80">
        <f t="shared" si="114"/>
        <v>577.34812979999992</v>
      </c>
      <c r="I555" s="35"/>
      <c r="L555" s="122"/>
      <c r="M555" s="122"/>
      <c r="N555" s="35"/>
    </row>
    <row r="556" spans="1:20" s="81" customFormat="1" ht="15.75" customHeight="1" x14ac:dyDescent="0.35">
      <c r="A556" s="123">
        <f t="shared" si="115"/>
        <v>6</v>
      </c>
      <c r="B556" s="124"/>
      <c r="C556" s="80" t="s">
        <v>371</v>
      </c>
      <c r="D556" s="80">
        <f t="shared" si="110"/>
        <v>322.59707999999995</v>
      </c>
      <c r="E556" s="80">
        <f t="shared" si="111"/>
        <v>75.574044000000001</v>
      </c>
      <c r="F556" s="80">
        <f t="shared" si="113"/>
        <v>398.17112399999996</v>
      </c>
      <c r="G556" s="80">
        <f>(1.13*3.75+0.75*4.45)*10.764</f>
        <v>81.537300000000002</v>
      </c>
      <c r="H556" s="80">
        <f t="shared" si="114"/>
        <v>658.88542979999988</v>
      </c>
      <c r="I556" s="35"/>
      <c r="L556" s="122"/>
      <c r="M556" s="122"/>
      <c r="N556" s="35"/>
    </row>
    <row r="557" spans="1:20" s="81" customFormat="1" ht="15.75" customHeight="1" x14ac:dyDescent="0.35">
      <c r="A557" s="123">
        <f t="shared" si="115"/>
        <v>7</v>
      </c>
      <c r="B557" s="124"/>
      <c r="C557" s="80" t="s">
        <v>371</v>
      </c>
      <c r="D557" s="80">
        <f t="shared" si="110"/>
        <v>322.59707999999995</v>
      </c>
      <c r="E557" s="80">
        <f t="shared" si="111"/>
        <v>75.574044000000001</v>
      </c>
      <c r="F557" s="80">
        <f t="shared" si="113"/>
        <v>398.17112399999996</v>
      </c>
      <c r="G557" s="80">
        <f>(1.13*3.75+0.75*4.45)*10.764</f>
        <v>81.537300000000002</v>
      </c>
      <c r="H557" s="80">
        <f t="shared" si="114"/>
        <v>658.88542979999988</v>
      </c>
      <c r="I557" s="35"/>
      <c r="L557" s="122"/>
      <c r="M557" s="122"/>
      <c r="N557" s="35"/>
    </row>
    <row r="558" spans="1:20" s="81" customFormat="1" ht="15.75" customHeight="1" x14ac:dyDescent="0.35">
      <c r="A558" s="123">
        <f t="shared" si="115"/>
        <v>8</v>
      </c>
      <c r="B558" s="124"/>
      <c r="C558" s="80" t="s">
        <v>371</v>
      </c>
      <c r="D558" s="80">
        <f t="shared" si="110"/>
        <v>322.59707999999995</v>
      </c>
      <c r="E558" s="80">
        <f t="shared" si="111"/>
        <v>75.574044000000001</v>
      </c>
      <c r="F558" s="80">
        <f t="shared" si="113"/>
        <v>398.17112399999996</v>
      </c>
      <c r="G558" s="80">
        <v>0</v>
      </c>
      <c r="H558" s="80">
        <f t="shared" si="114"/>
        <v>577.34812979999992</v>
      </c>
      <c r="I558" s="35"/>
      <c r="L558" s="122"/>
      <c r="M558" s="122"/>
      <c r="N558" s="35"/>
      <c r="T558" s="20"/>
    </row>
    <row r="559" spans="1:20" s="81" customFormat="1" x14ac:dyDescent="0.35">
      <c r="A559" s="130" t="s">
        <v>375</v>
      </c>
      <c r="B559" s="130"/>
      <c r="C559" s="130"/>
      <c r="D559" s="130"/>
      <c r="E559" s="130"/>
      <c r="F559" s="130"/>
      <c r="G559" s="130"/>
      <c r="H559" s="130"/>
      <c r="J559" s="35"/>
    </row>
    <row r="560" spans="1:20" s="81" customFormat="1" ht="15.75" customHeight="1" x14ac:dyDescent="0.35">
      <c r="A560" s="125">
        <v>1</v>
      </c>
      <c r="B560" s="125"/>
      <c r="C560" s="96" t="s">
        <v>371</v>
      </c>
      <c r="D560" s="96">
        <f t="shared" ref="D560:D567" si="116">(29.97)*10.764</f>
        <v>322.59707999999995</v>
      </c>
      <c r="E560" s="96">
        <f t="shared" ref="E560:E567" si="117">(1.7*1.2+2.95*0.75+2.45*1.13)*10.764</f>
        <v>75.574044000000001</v>
      </c>
      <c r="F560" s="96">
        <f t="shared" ref="F560:F567" si="118">D560+E560</f>
        <v>398.17112399999996</v>
      </c>
      <c r="G560" s="96">
        <v>0</v>
      </c>
      <c r="H560" s="96">
        <f t="shared" ref="H560:H567" si="119">F560*(($H$449)+1)+(IF(G560&lt;101,G560,IF(G560&lt;201,G560/2,IF(G560&lt;=301,G560/3,G560/4))))</f>
        <v>577.34812979999992</v>
      </c>
      <c r="I560" s="35"/>
      <c r="L560" s="122"/>
      <c r="M560" s="122"/>
      <c r="N560" s="35"/>
    </row>
    <row r="561" spans="1:20" s="81" customFormat="1" ht="15.75" customHeight="1" x14ac:dyDescent="0.35">
      <c r="A561" s="125">
        <f>A560+1</f>
        <v>2</v>
      </c>
      <c r="B561" s="125"/>
      <c r="C561" s="96" t="s">
        <v>371</v>
      </c>
      <c r="D561" s="96">
        <f t="shared" si="116"/>
        <v>322.59707999999995</v>
      </c>
      <c r="E561" s="96">
        <f t="shared" si="117"/>
        <v>75.574044000000001</v>
      </c>
      <c r="F561" s="96">
        <f t="shared" si="118"/>
        <v>398.17112399999996</v>
      </c>
      <c r="G561" s="96">
        <v>0</v>
      </c>
      <c r="H561" s="96">
        <f t="shared" si="119"/>
        <v>577.34812979999992</v>
      </c>
      <c r="I561" s="35"/>
      <c r="L561" s="122"/>
      <c r="M561" s="122"/>
      <c r="N561" s="35"/>
    </row>
    <row r="562" spans="1:20" s="81" customFormat="1" ht="15.75" customHeight="1" x14ac:dyDescent="0.35">
      <c r="A562" s="125">
        <f>A561+1</f>
        <v>3</v>
      </c>
      <c r="B562" s="125"/>
      <c r="C562" s="96" t="s">
        <v>371</v>
      </c>
      <c r="D562" s="96">
        <f t="shared" si="116"/>
        <v>322.59707999999995</v>
      </c>
      <c r="E562" s="96">
        <f t="shared" si="117"/>
        <v>75.574044000000001</v>
      </c>
      <c r="F562" s="96">
        <f t="shared" si="118"/>
        <v>398.17112399999996</v>
      </c>
      <c r="G562" s="96">
        <v>0</v>
      </c>
      <c r="H562" s="96">
        <f t="shared" si="119"/>
        <v>577.34812979999992</v>
      </c>
      <c r="I562" s="35"/>
      <c r="L562" s="122"/>
      <c r="M562" s="122"/>
      <c r="N562" s="35"/>
    </row>
    <row r="563" spans="1:20" s="81" customFormat="1" ht="15.75" customHeight="1" x14ac:dyDescent="0.35">
      <c r="A563" s="125">
        <f>A562+1</f>
        <v>4</v>
      </c>
      <c r="B563" s="125"/>
      <c r="C563" s="96" t="s">
        <v>371</v>
      </c>
      <c r="D563" s="96">
        <f t="shared" si="116"/>
        <v>322.59707999999995</v>
      </c>
      <c r="E563" s="96">
        <f t="shared" si="117"/>
        <v>75.574044000000001</v>
      </c>
      <c r="F563" s="96">
        <f t="shared" si="118"/>
        <v>398.17112399999996</v>
      </c>
      <c r="G563" s="96">
        <v>0</v>
      </c>
      <c r="H563" s="96">
        <f t="shared" si="119"/>
        <v>577.34812979999992</v>
      </c>
      <c r="I563" s="35"/>
      <c r="L563" s="122"/>
      <c r="M563" s="122"/>
      <c r="N563" s="35"/>
      <c r="T563" s="20"/>
    </row>
    <row r="564" spans="1:20" s="81" customFormat="1" ht="15.75" customHeight="1" x14ac:dyDescent="0.35">
      <c r="A564" s="125">
        <f t="shared" ref="A564:A567" si="120">A563+1</f>
        <v>5</v>
      </c>
      <c r="B564" s="125"/>
      <c r="C564" s="96" t="s">
        <v>371</v>
      </c>
      <c r="D564" s="96">
        <f t="shared" si="116"/>
        <v>322.59707999999995</v>
      </c>
      <c r="E564" s="96">
        <f t="shared" si="117"/>
        <v>75.574044000000001</v>
      </c>
      <c r="F564" s="96">
        <f t="shared" si="118"/>
        <v>398.17112399999996</v>
      </c>
      <c r="G564" s="96">
        <v>0</v>
      </c>
      <c r="H564" s="96">
        <f t="shared" si="119"/>
        <v>577.34812979999992</v>
      </c>
      <c r="I564" s="35"/>
      <c r="L564" s="122"/>
      <c r="M564" s="122"/>
      <c r="N564" s="35"/>
    </row>
    <row r="565" spans="1:20" s="81" customFormat="1" ht="15.75" customHeight="1" x14ac:dyDescent="0.35">
      <c r="A565" s="125">
        <f t="shared" si="120"/>
        <v>6</v>
      </c>
      <c r="B565" s="125"/>
      <c r="C565" s="96" t="s">
        <v>371</v>
      </c>
      <c r="D565" s="96">
        <f t="shared" si="116"/>
        <v>322.59707999999995</v>
      </c>
      <c r="E565" s="96">
        <f t="shared" si="117"/>
        <v>75.574044000000001</v>
      </c>
      <c r="F565" s="96">
        <f t="shared" si="118"/>
        <v>398.17112399999996</v>
      </c>
      <c r="G565" s="96">
        <v>0</v>
      </c>
      <c r="H565" s="96">
        <f t="shared" si="119"/>
        <v>577.34812979999992</v>
      </c>
      <c r="I565" s="35"/>
      <c r="L565" s="122"/>
      <c r="M565" s="122"/>
      <c r="N565" s="35"/>
    </row>
    <row r="566" spans="1:20" s="81" customFormat="1" ht="15.75" customHeight="1" x14ac:dyDescent="0.35">
      <c r="A566" s="123">
        <f t="shared" si="120"/>
        <v>7</v>
      </c>
      <c r="B566" s="124"/>
      <c r="C566" s="80" t="s">
        <v>371</v>
      </c>
      <c r="D566" s="80">
        <f t="shared" si="116"/>
        <v>322.59707999999995</v>
      </c>
      <c r="E566" s="80">
        <f t="shared" si="117"/>
        <v>75.574044000000001</v>
      </c>
      <c r="F566" s="80">
        <f t="shared" si="118"/>
        <v>398.17112399999996</v>
      </c>
      <c r="G566" s="80">
        <v>0</v>
      </c>
      <c r="H566" s="80">
        <f t="shared" si="119"/>
        <v>577.34812979999992</v>
      </c>
      <c r="I566" s="35"/>
      <c r="L566" s="122"/>
      <c r="M566" s="122"/>
      <c r="N566" s="35"/>
    </row>
    <row r="567" spans="1:20" s="81" customFormat="1" ht="15.75" customHeight="1" x14ac:dyDescent="0.35">
      <c r="A567" s="123">
        <f t="shared" si="120"/>
        <v>8</v>
      </c>
      <c r="B567" s="124"/>
      <c r="C567" s="80" t="s">
        <v>371</v>
      </c>
      <c r="D567" s="80">
        <f t="shared" si="116"/>
        <v>322.59707999999995</v>
      </c>
      <c r="E567" s="80">
        <f t="shared" si="117"/>
        <v>75.574044000000001</v>
      </c>
      <c r="F567" s="80">
        <f t="shared" si="118"/>
        <v>398.17112399999996</v>
      </c>
      <c r="G567" s="80">
        <v>0</v>
      </c>
      <c r="H567" s="80">
        <f t="shared" si="119"/>
        <v>577.34812979999992</v>
      </c>
      <c r="I567" s="35"/>
      <c r="L567" s="122"/>
      <c r="M567" s="122"/>
      <c r="N567" s="35"/>
      <c r="T567" s="20"/>
    </row>
    <row r="568" spans="1:20" s="83" customFormat="1" x14ac:dyDescent="0.35">
      <c r="A568" s="134" t="s">
        <v>379</v>
      </c>
      <c r="B568" s="135"/>
      <c r="C568" s="135"/>
      <c r="D568" s="135"/>
      <c r="E568" s="135"/>
      <c r="F568" s="135"/>
      <c r="G568" s="135"/>
      <c r="H568" s="136"/>
      <c r="J568" s="35"/>
      <c r="T568" s="34"/>
    </row>
    <row r="569" spans="1:20" s="83" customFormat="1" x14ac:dyDescent="0.35">
      <c r="A569" s="126" t="s">
        <v>374</v>
      </c>
      <c r="B569" s="127"/>
      <c r="C569" s="127"/>
      <c r="D569" s="127"/>
      <c r="E569" s="127"/>
      <c r="F569" s="127"/>
      <c r="G569" s="127"/>
      <c r="H569" s="128"/>
      <c r="J569" s="35"/>
      <c r="T569" s="34"/>
    </row>
    <row r="570" spans="1:20" s="83" customFormat="1" ht="15.75" customHeight="1" x14ac:dyDescent="0.35">
      <c r="A570" s="123">
        <v>1</v>
      </c>
      <c r="B570" s="124"/>
      <c r="C570" s="82" t="s">
        <v>371</v>
      </c>
      <c r="D570" s="82">
        <f t="shared" ref="D570:D573" si="121">(29.97)*10.764</f>
        <v>322.59707999999995</v>
      </c>
      <c r="E570" s="82">
        <f t="shared" ref="E570:E572" si="122">(1.7*1.2+2.95*0.75+2.45*1.13)*10.764</f>
        <v>75.574044000000001</v>
      </c>
      <c r="F570" s="82">
        <f>D570+E570</f>
        <v>398.17112399999996</v>
      </c>
      <c r="G570" s="82">
        <v>0</v>
      </c>
      <c r="H570" s="82">
        <f>F570*(($H$449)+1)+(IF(G570&lt;101,G570,IF(G570&lt;201,G570/2,IF(G570&lt;=301,G570/3,G570/4))))</f>
        <v>577.34812979999992</v>
      </c>
      <c r="I570" s="35"/>
      <c r="L570" s="122"/>
      <c r="M570" s="122"/>
      <c r="N570" s="35"/>
    </row>
    <row r="571" spans="1:20" s="83" customFormat="1" ht="15.75" customHeight="1" x14ac:dyDescent="0.35">
      <c r="A571" s="123">
        <f>A570+1</f>
        <v>2</v>
      </c>
      <c r="B571" s="124"/>
      <c r="C571" s="82" t="s">
        <v>371</v>
      </c>
      <c r="D571" s="82">
        <f t="shared" si="121"/>
        <v>322.59707999999995</v>
      </c>
      <c r="E571" s="82">
        <f t="shared" si="122"/>
        <v>75.574044000000001</v>
      </c>
      <c r="F571" s="82">
        <f>D571+E571</f>
        <v>398.17112399999996</v>
      </c>
      <c r="G571" s="82">
        <v>0</v>
      </c>
      <c r="H571" s="82">
        <f>F571*(($H$449)+1)+(IF(G571&lt;101,G571,IF(G571&lt;201,G571/2,IF(G571&lt;=301,G571/3,G571/4))))</f>
        <v>577.34812979999992</v>
      </c>
      <c r="I571" s="35"/>
      <c r="L571" s="122"/>
      <c r="M571" s="122"/>
      <c r="N571" s="35"/>
    </row>
    <row r="572" spans="1:20" s="83" customFormat="1" ht="15.75" customHeight="1" x14ac:dyDescent="0.35">
      <c r="A572" s="123">
        <f>A571+1</f>
        <v>3</v>
      </c>
      <c r="B572" s="124"/>
      <c r="C572" s="82" t="s">
        <v>371</v>
      </c>
      <c r="D572" s="82">
        <f t="shared" si="121"/>
        <v>322.59707999999995</v>
      </c>
      <c r="E572" s="82">
        <f t="shared" si="122"/>
        <v>75.574044000000001</v>
      </c>
      <c r="F572" s="82">
        <f>D572+E572</f>
        <v>398.17112399999996</v>
      </c>
      <c r="G572" s="82">
        <v>0</v>
      </c>
      <c r="H572" s="82">
        <f>F572*(($H$449)+1)+(IF(G572&lt;101,G572,IF(G572&lt;201,G572/2,IF(G572&lt;=301,G572/3,G572/4))))</f>
        <v>577.34812979999992</v>
      </c>
      <c r="I572" s="35"/>
      <c r="L572" s="122"/>
      <c r="M572" s="122"/>
      <c r="N572" s="35"/>
    </row>
    <row r="573" spans="1:20" s="83" customFormat="1" ht="15.75" hidden="1" customHeight="1" x14ac:dyDescent="0.35">
      <c r="A573" s="123">
        <f>A572+1</f>
        <v>4</v>
      </c>
      <c r="B573" s="124"/>
      <c r="C573" s="82"/>
      <c r="D573" s="82">
        <f t="shared" si="121"/>
        <v>322.59707999999995</v>
      </c>
      <c r="E573" s="82">
        <v>0</v>
      </c>
      <c r="F573" s="82">
        <f>D573+E573</f>
        <v>322.59707999999995</v>
      </c>
      <c r="G573" s="82">
        <v>0</v>
      </c>
      <c r="H573" s="82">
        <f>F573*(($H$449)+1)+(IF(G573&lt;101,G573,IF(G573&lt;201,G573/2,IF(G573&lt;=301,G573/3,G573/4))))</f>
        <v>467.76576599999993</v>
      </c>
      <c r="I573" s="35"/>
      <c r="L573" s="122"/>
      <c r="M573" s="122"/>
      <c r="N573" s="35"/>
      <c r="T573" s="20"/>
    </row>
    <row r="574" spans="1:20" s="83" customFormat="1" x14ac:dyDescent="0.35">
      <c r="A574" s="126" t="s">
        <v>372</v>
      </c>
      <c r="B574" s="127"/>
      <c r="C574" s="127"/>
      <c r="D574" s="127"/>
      <c r="E574" s="127"/>
      <c r="F574" s="127"/>
      <c r="G574" s="127"/>
      <c r="H574" s="128"/>
      <c r="J574" s="35"/>
    </row>
    <row r="575" spans="1:20" s="83" customFormat="1" ht="15.75" customHeight="1" x14ac:dyDescent="0.35">
      <c r="A575" s="123">
        <v>1</v>
      </c>
      <c r="B575" s="124"/>
      <c r="C575" s="82" t="s">
        <v>371</v>
      </c>
      <c r="D575" s="82">
        <f t="shared" ref="D575:D591" si="123">(29.97)*10.764</f>
        <v>322.59707999999995</v>
      </c>
      <c r="E575" s="82">
        <f t="shared" ref="E575:E591" si="124">(1.7*1.2+2.95*0.75+2.45*1.13)*10.764</f>
        <v>75.574044000000001</v>
      </c>
      <c r="F575" s="82">
        <f t="shared" ref="F575:F582" si="125">D575+E575</f>
        <v>398.17112399999996</v>
      </c>
      <c r="G575" s="82">
        <v>0</v>
      </c>
      <c r="H575" s="82">
        <f t="shared" ref="H575:H582" si="126">F575*(($H$449)+1)+(IF(G575&lt;101,G575,IF(G575&lt;201,G575/2,IF(G575&lt;=301,G575/3,G575/4))))</f>
        <v>577.34812979999992</v>
      </c>
      <c r="I575" s="35"/>
      <c r="L575" s="122"/>
      <c r="M575" s="122"/>
      <c r="N575" s="35"/>
    </row>
    <row r="576" spans="1:20" s="83" customFormat="1" ht="15.75" customHeight="1" x14ac:dyDescent="0.35">
      <c r="A576" s="123">
        <f>A575+1</f>
        <v>2</v>
      </c>
      <c r="B576" s="124"/>
      <c r="C576" s="82" t="s">
        <v>371</v>
      </c>
      <c r="D576" s="82">
        <f t="shared" si="123"/>
        <v>322.59707999999995</v>
      </c>
      <c r="E576" s="82">
        <f t="shared" si="124"/>
        <v>75.574044000000001</v>
      </c>
      <c r="F576" s="82">
        <f t="shared" si="125"/>
        <v>398.17112399999996</v>
      </c>
      <c r="G576" s="82">
        <v>0</v>
      </c>
      <c r="H576" s="82">
        <f t="shared" si="126"/>
        <v>577.34812979999992</v>
      </c>
      <c r="I576" s="35"/>
      <c r="L576" s="122"/>
      <c r="M576" s="122"/>
      <c r="N576" s="35"/>
    </row>
    <row r="577" spans="1:20" s="83" customFormat="1" ht="15.75" customHeight="1" x14ac:dyDescent="0.35">
      <c r="A577" s="123">
        <f>A576+1</f>
        <v>3</v>
      </c>
      <c r="B577" s="124"/>
      <c r="C577" s="82" t="s">
        <v>371</v>
      </c>
      <c r="D577" s="82">
        <f t="shared" si="123"/>
        <v>322.59707999999995</v>
      </c>
      <c r="E577" s="82">
        <f t="shared" si="124"/>
        <v>75.574044000000001</v>
      </c>
      <c r="F577" s="82">
        <f t="shared" si="125"/>
        <v>398.17112399999996</v>
      </c>
      <c r="G577" s="82">
        <f>(1.13*2.95+1.7*1.6)*10.764</f>
        <v>65.159873999999988</v>
      </c>
      <c r="H577" s="82">
        <f t="shared" si="126"/>
        <v>642.50800379999987</v>
      </c>
      <c r="I577" s="35"/>
      <c r="L577" s="122"/>
      <c r="M577" s="122"/>
      <c r="N577" s="35"/>
    </row>
    <row r="578" spans="1:20" s="83" customFormat="1" ht="15.75" customHeight="1" x14ac:dyDescent="0.35">
      <c r="A578" s="123">
        <f>A577+1</f>
        <v>4</v>
      </c>
      <c r="B578" s="124"/>
      <c r="C578" s="82" t="s">
        <v>371</v>
      </c>
      <c r="D578" s="82">
        <f t="shared" si="123"/>
        <v>322.59707999999995</v>
      </c>
      <c r="E578" s="82">
        <f t="shared" si="124"/>
        <v>75.574044000000001</v>
      </c>
      <c r="F578" s="82">
        <f t="shared" si="125"/>
        <v>398.17112399999996</v>
      </c>
      <c r="G578" s="82">
        <f>(1.13*2.95+1.7*1.6+1.375*4.95)*10.764</f>
        <v>138.422349</v>
      </c>
      <c r="H578" s="82">
        <f t="shared" si="126"/>
        <v>646.55930429999989</v>
      </c>
      <c r="I578" s="35"/>
      <c r="L578" s="122"/>
      <c r="M578" s="122"/>
      <c r="N578" s="35"/>
      <c r="T578" s="20"/>
    </row>
    <row r="579" spans="1:20" s="83" customFormat="1" ht="15.75" customHeight="1" x14ac:dyDescent="0.35">
      <c r="A579" s="123">
        <f t="shared" ref="A579:A582" si="127">A578+1</f>
        <v>5</v>
      </c>
      <c r="B579" s="124"/>
      <c r="C579" s="82" t="s">
        <v>371</v>
      </c>
      <c r="D579" s="82">
        <f t="shared" si="123"/>
        <v>322.59707999999995</v>
      </c>
      <c r="E579" s="82">
        <f t="shared" si="124"/>
        <v>75.574044000000001</v>
      </c>
      <c r="F579" s="82">
        <f t="shared" si="125"/>
        <v>398.17112399999996</v>
      </c>
      <c r="G579" s="82">
        <f>(1.13*2.95+1.7*1.6+1.375*4.95)*10.764</f>
        <v>138.422349</v>
      </c>
      <c r="H579" s="82">
        <f t="shared" si="126"/>
        <v>646.55930429999989</v>
      </c>
      <c r="I579" s="35"/>
      <c r="L579" s="122"/>
      <c r="M579" s="122"/>
      <c r="N579" s="35"/>
    </row>
    <row r="580" spans="1:20" s="83" customFormat="1" ht="15.75" customHeight="1" x14ac:dyDescent="0.35">
      <c r="A580" s="123">
        <f t="shared" si="127"/>
        <v>6</v>
      </c>
      <c r="B580" s="124"/>
      <c r="C580" s="82" t="s">
        <v>371</v>
      </c>
      <c r="D580" s="82">
        <f t="shared" si="123"/>
        <v>322.59707999999995</v>
      </c>
      <c r="E580" s="82">
        <f t="shared" si="124"/>
        <v>75.574044000000001</v>
      </c>
      <c r="F580" s="82">
        <f t="shared" si="125"/>
        <v>398.17112399999996</v>
      </c>
      <c r="G580" s="82">
        <f>(1.13*2.95+1.7*1.6)*10.764</f>
        <v>65.159873999999988</v>
      </c>
      <c r="H580" s="82">
        <f t="shared" si="126"/>
        <v>642.50800379999987</v>
      </c>
      <c r="I580" s="35"/>
      <c r="L580" s="122"/>
      <c r="M580" s="122"/>
      <c r="N580" s="35"/>
    </row>
    <row r="581" spans="1:20" s="83" customFormat="1" ht="15.75" customHeight="1" x14ac:dyDescent="0.35">
      <c r="A581" s="123">
        <f t="shared" si="127"/>
        <v>7</v>
      </c>
      <c r="B581" s="124"/>
      <c r="C581" s="82" t="s">
        <v>371</v>
      </c>
      <c r="D581" s="82">
        <f t="shared" si="123"/>
        <v>322.59707999999995</v>
      </c>
      <c r="E581" s="82">
        <f t="shared" si="124"/>
        <v>75.574044000000001</v>
      </c>
      <c r="F581" s="82">
        <f t="shared" si="125"/>
        <v>398.17112399999996</v>
      </c>
      <c r="G581" s="82">
        <v>0</v>
      </c>
      <c r="H581" s="82">
        <f t="shared" si="126"/>
        <v>577.34812979999992</v>
      </c>
      <c r="I581" s="35"/>
      <c r="L581" s="122"/>
      <c r="M581" s="122"/>
      <c r="N581" s="35"/>
    </row>
    <row r="582" spans="1:20" s="83" customFormat="1" ht="15.75" customHeight="1" x14ac:dyDescent="0.35">
      <c r="A582" s="123">
        <f t="shared" si="127"/>
        <v>8</v>
      </c>
      <c r="B582" s="124"/>
      <c r="C582" s="82" t="s">
        <v>371</v>
      </c>
      <c r="D582" s="82">
        <f t="shared" si="123"/>
        <v>322.59707999999995</v>
      </c>
      <c r="E582" s="82">
        <f t="shared" si="124"/>
        <v>75.574044000000001</v>
      </c>
      <c r="F582" s="82">
        <f t="shared" si="125"/>
        <v>398.17112399999996</v>
      </c>
      <c r="G582" s="82">
        <v>0</v>
      </c>
      <c r="H582" s="82">
        <f t="shared" si="126"/>
        <v>577.34812979999992</v>
      </c>
      <c r="I582" s="35"/>
      <c r="L582" s="122"/>
      <c r="M582" s="122"/>
      <c r="N582" s="35"/>
      <c r="T582" s="20"/>
    </row>
    <row r="583" spans="1:20" s="83" customFormat="1" x14ac:dyDescent="0.35">
      <c r="A583" s="130" t="s">
        <v>375</v>
      </c>
      <c r="B583" s="130"/>
      <c r="C583" s="130"/>
      <c r="D583" s="130"/>
      <c r="E583" s="130"/>
      <c r="F583" s="130"/>
      <c r="G583" s="130"/>
      <c r="H583" s="130"/>
      <c r="J583" s="35"/>
    </row>
    <row r="584" spans="1:20" s="83" customFormat="1" ht="15.75" customHeight="1" x14ac:dyDescent="0.35">
      <c r="A584" s="125">
        <v>1</v>
      </c>
      <c r="B584" s="125"/>
      <c r="C584" s="110" t="s">
        <v>371</v>
      </c>
      <c r="D584" s="110">
        <f t="shared" si="123"/>
        <v>322.59707999999995</v>
      </c>
      <c r="E584" s="110">
        <f t="shared" si="124"/>
        <v>75.574044000000001</v>
      </c>
      <c r="F584" s="110">
        <f t="shared" ref="F584:F591" si="128">D584+E584</f>
        <v>398.17112399999996</v>
      </c>
      <c r="G584" s="110">
        <v>0</v>
      </c>
      <c r="H584" s="110">
        <f t="shared" ref="H584:H591" si="129">F584*(($H$449)+1)+(IF(G584&lt;101,G584,IF(G584&lt;201,G584/2,IF(G584&lt;=301,G584/3,G584/4))))</f>
        <v>577.34812979999992</v>
      </c>
      <c r="I584" s="35"/>
      <c r="L584" s="122"/>
      <c r="M584" s="122"/>
      <c r="N584" s="35"/>
    </row>
    <row r="585" spans="1:20" s="83" customFormat="1" ht="15.75" customHeight="1" x14ac:dyDescent="0.35">
      <c r="A585" s="125">
        <f>A584+1</f>
        <v>2</v>
      </c>
      <c r="B585" s="125"/>
      <c r="C585" s="110" t="s">
        <v>371</v>
      </c>
      <c r="D585" s="110">
        <f t="shared" si="123"/>
        <v>322.59707999999995</v>
      </c>
      <c r="E585" s="110">
        <f t="shared" si="124"/>
        <v>75.574044000000001</v>
      </c>
      <c r="F585" s="110">
        <f t="shared" si="128"/>
        <v>398.17112399999996</v>
      </c>
      <c r="G585" s="110">
        <v>0</v>
      </c>
      <c r="H585" s="110">
        <f t="shared" si="129"/>
        <v>577.34812979999992</v>
      </c>
      <c r="I585" s="35"/>
      <c r="L585" s="122"/>
      <c r="M585" s="122"/>
      <c r="N585" s="35"/>
    </row>
    <row r="586" spans="1:20" s="83" customFormat="1" ht="15.75" customHeight="1" x14ac:dyDescent="0.35">
      <c r="A586" s="125">
        <f>A585+1</f>
        <v>3</v>
      </c>
      <c r="B586" s="125"/>
      <c r="C586" s="110" t="s">
        <v>371</v>
      </c>
      <c r="D586" s="110">
        <f t="shared" si="123"/>
        <v>322.59707999999995</v>
      </c>
      <c r="E586" s="110">
        <f t="shared" si="124"/>
        <v>75.574044000000001</v>
      </c>
      <c r="F586" s="110">
        <f t="shared" si="128"/>
        <v>398.17112399999996</v>
      </c>
      <c r="G586" s="110">
        <v>0</v>
      </c>
      <c r="H586" s="110">
        <f t="shared" si="129"/>
        <v>577.34812979999992</v>
      </c>
      <c r="I586" s="35"/>
      <c r="L586" s="122"/>
      <c r="M586" s="122"/>
      <c r="N586" s="35"/>
    </row>
    <row r="587" spans="1:20" s="83" customFormat="1" ht="15.75" customHeight="1" x14ac:dyDescent="0.35">
      <c r="A587" s="125">
        <f>A586+1</f>
        <v>4</v>
      </c>
      <c r="B587" s="125"/>
      <c r="C587" s="110" t="s">
        <v>371</v>
      </c>
      <c r="D587" s="110">
        <f t="shared" si="123"/>
        <v>322.59707999999995</v>
      </c>
      <c r="E587" s="110">
        <f t="shared" si="124"/>
        <v>75.574044000000001</v>
      </c>
      <c r="F587" s="110">
        <f t="shared" si="128"/>
        <v>398.17112399999996</v>
      </c>
      <c r="G587" s="110">
        <v>0</v>
      </c>
      <c r="H587" s="110">
        <f t="shared" si="129"/>
        <v>577.34812979999992</v>
      </c>
      <c r="I587" s="35"/>
      <c r="L587" s="122"/>
      <c r="M587" s="122"/>
      <c r="N587" s="35"/>
      <c r="T587" s="20"/>
    </row>
    <row r="588" spans="1:20" s="83" customFormat="1" ht="15.75" customHeight="1" x14ac:dyDescent="0.35">
      <c r="A588" s="125">
        <f t="shared" ref="A588:A591" si="130">A587+1</f>
        <v>5</v>
      </c>
      <c r="B588" s="125"/>
      <c r="C588" s="110" t="s">
        <v>371</v>
      </c>
      <c r="D588" s="110">
        <f t="shared" si="123"/>
        <v>322.59707999999995</v>
      </c>
      <c r="E588" s="110">
        <f t="shared" si="124"/>
        <v>75.574044000000001</v>
      </c>
      <c r="F588" s="110">
        <f t="shared" si="128"/>
        <v>398.17112399999996</v>
      </c>
      <c r="G588" s="110">
        <v>0</v>
      </c>
      <c r="H588" s="110">
        <f t="shared" si="129"/>
        <v>577.34812979999992</v>
      </c>
      <c r="I588" s="35"/>
      <c r="L588" s="122"/>
      <c r="M588" s="122"/>
      <c r="N588" s="35"/>
    </row>
    <row r="589" spans="1:20" s="83" customFormat="1" ht="15.75" customHeight="1" x14ac:dyDescent="0.35">
      <c r="A589" s="125">
        <f t="shared" si="130"/>
        <v>6</v>
      </c>
      <c r="B589" s="125"/>
      <c r="C589" s="110" t="s">
        <v>371</v>
      </c>
      <c r="D589" s="110">
        <f t="shared" si="123"/>
        <v>322.59707999999995</v>
      </c>
      <c r="E589" s="110">
        <f t="shared" si="124"/>
        <v>75.574044000000001</v>
      </c>
      <c r="F589" s="110">
        <f t="shared" si="128"/>
        <v>398.17112399999996</v>
      </c>
      <c r="G589" s="110">
        <v>0</v>
      </c>
      <c r="H589" s="110">
        <f t="shared" si="129"/>
        <v>577.34812979999992</v>
      </c>
      <c r="I589" s="35"/>
      <c r="L589" s="122"/>
      <c r="M589" s="122"/>
      <c r="N589" s="35"/>
    </row>
    <row r="590" spans="1:20" s="83" customFormat="1" ht="15.75" customHeight="1" x14ac:dyDescent="0.35">
      <c r="A590" s="125">
        <f t="shared" si="130"/>
        <v>7</v>
      </c>
      <c r="B590" s="125"/>
      <c r="C590" s="110" t="s">
        <v>371</v>
      </c>
      <c r="D590" s="110">
        <f t="shared" si="123"/>
        <v>322.59707999999995</v>
      </c>
      <c r="E590" s="110">
        <f t="shared" si="124"/>
        <v>75.574044000000001</v>
      </c>
      <c r="F590" s="110">
        <f t="shared" si="128"/>
        <v>398.17112399999996</v>
      </c>
      <c r="G590" s="110">
        <v>0</v>
      </c>
      <c r="H590" s="110">
        <f t="shared" si="129"/>
        <v>577.34812979999992</v>
      </c>
      <c r="I590" s="35"/>
      <c r="L590" s="122"/>
      <c r="M590" s="122"/>
      <c r="N590" s="35"/>
    </row>
    <row r="591" spans="1:20" s="83" customFormat="1" ht="15.75" customHeight="1" x14ac:dyDescent="0.35">
      <c r="A591" s="125">
        <f t="shared" si="130"/>
        <v>8</v>
      </c>
      <c r="B591" s="125"/>
      <c r="C591" s="110" t="s">
        <v>371</v>
      </c>
      <c r="D591" s="110">
        <f t="shared" si="123"/>
        <v>322.59707999999995</v>
      </c>
      <c r="E591" s="110">
        <f t="shared" si="124"/>
        <v>75.574044000000001</v>
      </c>
      <c r="F591" s="110">
        <f t="shared" si="128"/>
        <v>398.17112399999996</v>
      </c>
      <c r="G591" s="110">
        <v>0</v>
      </c>
      <c r="H591" s="110">
        <f t="shared" si="129"/>
        <v>577.34812979999992</v>
      </c>
      <c r="I591" s="35"/>
      <c r="L591" s="122"/>
      <c r="M591" s="122"/>
      <c r="N591" s="35"/>
      <c r="T591" s="20"/>
    </row>
    <row r="592" spans="1:20" s="83" customFormat="1" x14ac:dyDescent="0.35">
      <c r="A592" s="134" t="s">
        <v>380</v>
      </c>
      <c r="B592" s="135"/>
      <c r="C592" s="135"/>
      <c r="D592" s="135"/>
      <c r="E592" s="135"/>
      <c r="F592" s="135"/>
      <c r="G592" s="135"/>
      <c r="H592" s="136"/>
      <c r="J592" s="35"/>
      <c r="T592" s="34"/>
    </row>
    <row r="593" spans="1:20" s="83" customFormat="1" x14ac:dyDescent="0.35">
      <c r="A593" s="126" t="s">
        <v>389</v>
      </c>
      <c r="B593" s="127"/>
      <c r="C593" s="127"/>
      <c r="D593" s="127"/>
      <c r="E593" s="127"/>
      <c r="F593" s="127"/>
      <c r="G593" s="127"/>
      <c r="H593" s="128"/>
      <c r="J593" s="35"/>
      <c r="T593" s="34"/>
    </row>
    <row r="594" spans="1:20" s="83" customFormat="1" ht="15.75" customHeight="1" x14ac:dyDescent="0.35">
      <c r="A594" s="123">
        <v>1</v>
      </c>
      <c r="B594" s="124"/>
      <c r="C594" s="82" t="s">
        <v>371</v>
      </c>
      <c r="D594" s="82">
        <f t="shared" ref="D594:D596" si="131">(29.97)*10.764</f>
        <v>322.59707999999995</v>
      </c>
      <c r="E594" s="82">
        <f t="shared" ref="E594:E596" si="132">(1.7*1.2+2.95*0.75+2.45*1.13)*10.764</f>
        <v>75.574044000000001</v>
      </c>
      <c r="F594" s="82">
        <f>D594+E594</f>
        <v>398.17112399999996</v>
      </c>
      <c r="G594" s="82">
        <v>0</v>
      </c>
      <c r="H594" s="82">
        <f>F594*(($H$449)+1)+(IF(G594&lt;101,G594,IF(G594&lt;201,G594/2,IF(G594&lt;=301,G594/3,G594/4))))</f>
        <v>577.34812979999992</v>
      </c>
      <c r="I594" s="35"/>
      <c r="L594" s="122"/>
      <c r="M594" s="122"/>
      <c r="N594" s="35"/>
    </row>
    <row r="595" spans="1:20" s="83" customFormat="1" ht="15.75" customHeight="1" x14ac:dyDescent="0.35">
      <c r="A595" s="123">
        <f>A594+1</f>
        <v>2</v>
      </c>
      <c r="B595" s="124"/>
      <c r="C595" s="82" t="s">
        <v>371</v>
      </c>
      <c r="D595" s="82">
        <f t="shared" si="131"/>
        <v>322.59707999999995</v>
      </c>
      <c r="E595" s="82">
        <f t="shared" si="132"/>
        <v>75.574044000000001</v>
      </c>
      <c r="F595" s="82">
        <f>D595+E595</f>
        <v>398.17112399999996</v>
      </c>
      <c r="G595" s="82">
        <v>0</v>
      </c>
      <c r="H595" s="82">
        <f>F595*(($H$449)+1)+(IF(G595&lt;101,G595,IF(G595&lt;201,G595/2,IF(G595&lt;=301,G595/3,G595/4))))</f>
        <v>577.34812979999992</v>
      </c>
      <c r="I595" s="35"/>
      <c r="L595" s="122"/>
      <c r="M595" s="122"/>
      <c r="N595" s="35"/>
    </row>
    <row r="596" spans="1:20" s="83" customFormat="1" ht="15.75" customHeight="1" x14ac:dyDescent="0.35">
      <c r="A596" s="123">
        <f>A595+1</f>
        <v>3</v>
      </c>
      <c r="B596" s="124"/>
      <c r="C596" s="82" t="s">
        <v>371</v>
      </c>
      <c r="D596" s="82">
        <f t="shared" si="131"/>
        <v>322.59707999999995</v>
      </c>
      <c r="E596" s="82">
        <f t="shared" si="132"/>
        <v>75.574044000000001</v>
      </c>
      <c r="F596" s="82">
        <f>D596+E596</f>
        <v>398.17112399999996</v>
      </c>
      <c r="G596" s="82">
        <v>0</v>
      </c>
      <c r="H596" s="82">
        <f>F596*(($H$449)+1)+(IF(G596&lt;101,G596,IF(G596&lt;201,G596/2,IF(G596&lt;=301,G596/3,G596/4))))</f>
        <v>577.34812979999992</v>
      </c>
      <c r="I596" s="35"/>
      <c r="L596" s="122"/>
      <c r="M596" s="122"/>
      <c r="N596" s="35"/>
    </row>
    <row r="597" spans="1:20" s="83" customFormat="1" ht="15.75" customHeight="1" x14ac:dyDescent="0.35">
      <c r="A597" s="123" t="s">
        <v>390</v>
      </c>
      <c r="B597" s="124"/>
      <c r="C597" s="123" t="s">
        <v>391</v>
      </c>
      <c r="D597" s="129"/>
      <c r="E597" s="129"/>
      <c r="F597" s="129"/>
      <c r="G597" s="129"/>
      <c r="H597" s="124"/>
      <c r="I597" s="35"/>
      <c r="L597" s="122"/>
      <c r="M597" s="122"/>
      <c r="N597" s="35"/>
      <c r="T597" s="20"/>
    </row>
    <row r="598" spans="1:20" s="83" customFormat="1" x14ac:dyDescent="0.35">
      <c r="A598" s="130" t="s">
        <v>392</v>
      </c>
      <c r="B598" s="130"/>
      <c r="C598" s="130"/>
      <c r="D598" s="130"/>
      <c r="E598" s="130"/>
      <c r="F598" s="130"/>
      <c r="G598" s="130"/>
      <c r="H598" s="130"/>
      <c r="I598" s="84"/>
      <c r="J598" s="35"/>
    </row>
    <row r="599" spans="1:20" s="83" customFormat="1" ht="15.75" customHeight="1" x14ac:dyDescent="0.35">
      <c r="A599" s="125">
        <v>1</v>
      </c>
      <c r="B599" s="125"/>
      <c r="C599" s="96" t="s">
        <v>371</v>
      </c>
      <c r="D599" s="96">
        <f t="shared" ref="D599:D606" si="133">(29.97)*10.764</f>
        <v>322.59707999999995</v>
      </c>
      <c r="E599" s="96">
        <f t="shared" ref="E599:E606" si="134">(1.7*1.2+2.95*0.75+2.45*1.13)*10.764</f>
        <v>75.574044000000001</v>
      </c>
      <c r="F599" s="96">
        <f t="shared" ref="F599:F606" si="135">D599+E599</f>
        <v>398.17112399999996</v>
      </c>
      <c r="G599" s="96">
        <v>0</v>
      </c>
      <c r="H599" s="96">
        <f t="shared" ref="H599:H606" si="136">F599*(($H$449)+1)+(IF(G599&lt;101,G599,IF(G599&lt;201,G599/2,IF(G599&lt;=301,G599/3,G599/4))))</f>
        <v>577.34812979999992</v>
      </c>
      <c r="I599" s="35"/>
      <c r="L599" s="122"/>
      <c r="M599" s="122"/>
      <c r="N599" s="35"/>
    </row>
    <row r="600" spans="1:20" s="83" customFormat="1" ht="15.75" customHeight="1" x14ac:dyDescent="0.35">
      <c r="A600" s="125">
        <f>A599+1</f>
        <v>2</v>
      </c>
      <c r="B600" s="125"/>
      <c r="C600" s="96" t="s">
        <v>371</v>
      </c>
      <c r="D600" s="96">
        <f t="shared" si="133"/>
        <v>322.59707999999995</v>
      </c>
      <c r="E600" s="96">
        <f t="shared" si="134"/>
        <v>75.574044000000001</v>
      </c>
      <c r="F600" s="96">
        <f t="shared" si="135"/>
        <v>398.17112399999996</v>
      </c>
      <c r="G600" s="96">
        <v>0</v>
      </c>
      <c r="H600" s="96">
        <f t="shared" si="136"/>
        <v>577.34812979999992</v>
      </c>
      <c r="I600" s="35"/>
      <c r="L600" s="122"/>
      <c r="M600" s="122"/>
      <c r="N600" s="35"/>
    </row>
    <row r="601" spans="1:20" s="83" customFormat="1" ht="15.75" customHeight="1" x14ac:dyDescent="0.35">
      <c r="A601" s="125">
        <f>A600+1</f>
        <v>3</v>
      </c>
      <c r="B601" s="125"/>
      <c r="C601" s="96" t="s">
        <v>371</v>
      </c>
      <c r="D601" s="96">
        <f t="shared" si="133"/>
        <v>322.59707999999995</v>
      </c>
      <c r="E601" s="96">
        <f t="shared" si="134"/>
        <v>75.574044000000001</v>
      </c>
      <c r="F601" s="96">
        <f t="shared" si="135"/>
        <v>398.17112399999996</v>
      </c>
      <c r="G601" s="96">
        <v>0</v>
      </c>
      <c r="H601" s="96">
        <f t="shared" si="136"/>
        <v>577.34812979999992</v>
      </c>
      <c r="I601" s="35"/>
      <c r="L601" s="122"/>
      <c r="M601" s="122"/>
      <c r="N601" s="35"/>
    </row>
    <row r="602" spans="1:20" s="83" customFormat="1" ht="15.75" customHeight="1" x14ac:dyDescent="0.35">
      <c r="A602" s="125">
        <f>A601+1</f>
        <v>4</v>
      </c>
      <c r="B602" s="125"/>
      <c r="C602" s="96" t="s">
        <v>371</v>
      </c>
      <c r="D602" s="96">
        <f t="shared" si="133"/>
        <v>322.59707999999995</v>
      </c>
      <c r="E602" s="96">
        <f t="shared" si="134"/>
        <v>75.574044000000001</v>
      </c>
      <c r="F602" s="96">
        <f t="shared" si="135"/>
        <v>398.17112399999996</v>
      </c>
      <c r="G602" s="96">
        <v>0</v>
      </c>
      <c r="H602" s="96">
        <f t="shared" si="136"/>
        <v>577.34812979999992</v>
      </c>
      <c r="I602" s="35"/>
      <c r="L602" s="122"/>
      <c r="M602" s="122"/>
      <c r="N602" s="35"/>
      <c r="T602" s="20"/>
    </row>
    <row r="603" spans="1:20" s="83" customFormat="1" ht="15.75" customHeight="1" x14ac:dyDescent="0.35">
      <c r="A603" s="125">
        <f t="shared" ref="A603:A606" si="137">A602+1</f>
        <v>5</v>
      </c>
      <c r="B603" s="125"/>
      <c r="C603" s="96" t="s">
        <v>371</v>
      </c>
      <c r="D603" s="96">
        <f t="shared" si="133"/>
        <v>322.59707999999995</v>
      </c>
      <c r="E603" s="96">
        <f t="shared" si="134"/>
        <v>75.574044000000001</v>
      </c>
      <c r="F603" s="96">
        <f t="shared" si="135"/>
        <v>398.17112399999996</v>
      </c>
      <c r="G603" s="96">
        <v>0</v>
      </c>
      <c r="H603" s="96">
        <f t="shared" si="136"/>
        <v>577.34812979999992</v>
      </c>
      <c r="I603" s="35"/>
      <c r="L603" s="122"/>
      <c r="M603" s="122"/>
      <c r="N603" s="35"/>
    </row>
    <row r="604" spans="1:20" s="83" customFormat="1" ht="15.75" customHeight="1" x14ac:dyDescent="0.35">
      <c r="A604" s="125">
        <f t="shared" si="137"/>
        <v>6</v>
      </c>
      <c r="B604" s="125"/>
      <c r="C604" s="96" t="s">
        <v>371</v>
      </c>
      <c r="D604" s="96">
        <f t="shared" si="133"/>
        <v>322.59707999999995</v>
      </c>
      <c r="E604" s="96">
        <f t="shared" si="134"/>
        <v>75.574044000000001</v>
      </c>
      <c r="F604" s="96">
        <f t="shared" si="135"/>
        <v>398.17112399999996</v>
      </c>
      <c r="G604" s="96">
        <v>0</v>
      </c>
      <c r="H604" s="96">
        <f t="shared" si="136"/>
        <v>577.34812979999992</v>
      </c>
      <c r="I604" s="35"/>
      <c r="L604" s="122"/>
      <c r="M604" s="122"/>
      <c r="N604" s="35"/>
    </row>
    <row r="605" spans="1:20" s="83" customFormat="1" ht="15.75" customHeight="1" x14ac:dyDescent="0.35">
      <c r="A605" s="125">
        <f t="shared" si="137"/>
        <v>7</v>
      </c>
      <c r="B605" s="125"/>
      <c r="C605" s="96" t="s">
        <v>371</v>
      </c>
      <c r="D605" s="96">
        <f t="shared" si="133"/>
        <v>322.59707999999995</v>
      </c>
      <c r="E605" s="96">
        <f t="shared" si="134"/>
        <v>75.574044000000001</v>
      </c>
      <c r="F605" s="96">
        <f t="shared" si="135"/>
        <v>398.17112399999996</v>
      </c>
      <c r="G605" s="96">
        <v>0</v>
      </c>
      <c r="H605" s="96">
        <f t="shared" si="136"/>
        <v>577.34812979999992</v>
      </c>
      <c r="I605" s="35"/>
      <c r="L605" s="122"/>
      <c r="M605" s="122"/>
      <c r="N605" s="35"/>
    </row>
    <row r="606" spans="1:20" s="83" customFormat="1" ht="15.75" customHeight="1" x14ac:dyDescent="0.35">
      <c r="A606" s="125">
        <f t="shared" si="137"/>
        <v>8</v>
      </c>
      <c r="B606" s="125"/>
      <c r="C606" s="96" t="s">
        <v>371</v>
      </c>
      <c r="D606" s="96">
        <f t="shared" si="133"/>
        <v>322.59707999999995</v>
      </c>
      <c r="E606" s="96">
        <f t="shared" si="134"/>
        <v>75.574044000000001</v>
      </c>
      <c r="F606" s="96">
        <f t="shared" si="135"/>
        <v>398.17112399999996</v>
      </c>
      <c r="G606" s="96">
        <v>0</v>
      </c>
      <c r="H606" s="96">
        <f t="shared" si="136"/>
        <v>577.34812979999992</v>
      </c>
      <c r="I606" s="35"/>
      <c r="L606" s="122"/>
      <c r="M606" s="122"/>
      <c r="N606" s="35"/>
      <c r="T606" s="20"/>
    </row>
    <row r="607" spans="1:20" s="83" customFormat="1" x14ac:dyDescent="0.35">
      <c r="A607" s="130" t="s">
        <v>381</v>
      </c>
      <c r="B607" s="130"/>
      <c r="C607" s="130"/>
      <c r="D607" s="130"/>
      <c r="E607" s="130"/>
      <c r="F607" s="130"/>
      <c r="G607" s="130"/>
      <c r="H607" s="130"/>
      <c r="J607" s="35"/>
    </row>
    <row r="608" spans="1:20" s="83" customFormat="1" x14ac:dyDescent="0.35">
      <c r="A608" s="130" t="s">
        <v>394</v>
      </c>
      <c r="B608" s="130"/>
      <c r="C608" s="130"/>
      <c r="D608" s="130"/>
      <c r="E608" s="130"/>
      <c r="F608" s="130"/>
      <c r="G608" s="130"/>
      <c r="H608" s="130"/>
      <c r="I608" s="84"/>
      <c r="J608" s="35"/>
    </row>
    <row r="609" spans="1:20" s="83" customFormat="1" ht="15.75" customHeight="1" x14ac:dyDescent="0.35">
      <c r="A609" s="123">
        <v>1</v>
      </c>
      <c r="B609" s="124"/>
      <c r="C609" s="82" t="s">
        <v>371</v>
      </c>
      <c r="D609" s="82">
        <f t="shared" ref="D609:D615" si="138">(29.97)*10.764</f>
        <v>322.59707999999995</v>
      </c>
      <c r="E609" s="82">
        <f t="shared" ref="E609:E615" si="139">(1.7*1.2+2.95*0.75+2.45*1.13)*10.764</f>
        <v>75.574044000000001</v>
      </c>
      <c r="F609" s="82">
        <f t="shared" ref="F609:F615" si="140">D609+E609</f>
        <v>398.17112399999996</v>
      </c>
      <c r="G609" s="82">
        <v>0</v>
      </c>
      <c r="H609" s="82">
        <f t="shared" ref="H609:H615" si="141">F609*(($H$449)+1)+(IF(G609&lt;101,G609,IF(G609&lt;201,G609/2,IF(G609&lt;=301,G609/3,G609/4))))</f>
        <v>577.34812979999992</v>
      </c>
      <c r="I609" s="35"/>
      <c r="L609" s="122"/>
      <c r="M609" s="122"/>
      <c r="N609" s="35"/>
    </row>
    <row r="610" spans="1:20" s="83" customFormat="1" ht="15.75" customHeight="1" x14ac:dyDescent="0.35">
      <c r="A610" s="123">
        <f t="shared" ref="A610:A615" si="142">A609+1</f>
        <v>2</v>
      </c>
      <c r="B610" s="124"/>
      <c r="C610" s="82" t="s">
        <v>371</v>
      </c>
      <c r="D610" s="82">
        <f t="shared" si="138"/>
        <v>322.59707999999995</v>
      </c>
      <c r="E610" s="82">
        <f t="shared" si="139"/>
        <v>75.574044000000001</v>
      </c>
      <c r="F610" s="82">
        <f t="shared" si="140"/>
        <v>398.17112399999996</v>
      </c>
      <c r="G610" s="82">
        <v>0</v>
      </c>
      <c r="H610" s="82">
        <f t="shared" si="141"/>
        <v>577.34812979999992</v>
      </c>
      <c r="I610" s="35"/>
      <c r="L610" s="122"/>
      <c r="M610" s="122"/>
      <c r="N610" s="35"/>
    </row>
    <row r="611" spans="1:20" s="83" customFormat="1" ht="15.75" customHeight="1" x14ac:dyDescent="0.35">
      <c r="A611" s="123">
        <f t="shared" si="142"/>
        <v>3</v>
      </c>
      <c r="B611" s="124"/>
      <c r="C611" s="82" t="s">
        <v>371</v>
      </c>
      <c r="D611" s="82">
        <f t="shared" si="138"/>
        <v>322.59707999999995</v>
      </c>
      <c r="E611" s="82">
        <f t="shared" si="139"/>
        <v>75.574044000000001</v>
      </c>
      <c r="F611" s="82">
        <f t="shared" si="140"/>
        <v>398.17112399999996</v>
      </c>
      <c r="G611" s="82">
        <v>0</v>
      </c>
      <c r="H611" s="82">
        <f t="shared" si="141"/>
        <v>577.34812979999992</v>
      </c>
      <c r="I611" s="35"/>
      <c r="L611" s="122"/>
      <c r="M611" s="122"/>
      <c r="N611" s="35"/>
    </row>
    <row r="612" spans="1:20" s="83" customFormat="1" ht="15.75" customHeight="1" x14ac:dyDescent="0.35">
      <c r="A612" s="123">
        <f t="shared" si="142"/>
        <v>4</v>
      </c>
      <c r="B612" s="124"/>
      <c r="C612" s="82" t="s">
        <v>371</v>
      </c>
      <c r="D612" s="82">
        <f t="shared" si="138"/>
        <v>322.59707999999995</v>
      </c>
      <c r="E612" s="82">
        <f t="shared" si="139"/>
        <v>75.574044000000001</v>
      </c>
      <c r="F612" s="82">
        <f t="shared" si="140"/>
        <v>398.17112399999996</v>
      </c>
      <c r="G612" s="82">
        <v>0</v>
      </c>
      <c r="H612" s="82">
        <f t="shared" si="141"/>
        <v>577.34812979999992</v>
      </c>
      <c r="I612" s="35"/>
      <c r="L612" s="122"/>
      <c r="M612" s="122"/>
      <c r="N612" s="35"/>
      <c r="T612" s="20"/>
    </row>
    <row r="613" spans="1:20" s="83" customFormat="1" ht="15.75" customHeight="1" x14ac:dyDescent="0.35">
      <c r="A613" s="123">
        <f t="shared" si="142"/>
        <v>5</v>
      </c>
      <c r="B613" s="124"/>
      <c r="C613" s="82" t="s">
        <v>371</v>
      </c>
      <c r="D613" s="82">
        <f t="shared" si="138"/>
        <v>322.59707999999995</v>
      </c>
      <c r="E613" s="82">
        <f t="shared" si="139"/>
        <v>75.574044000000001</v>
      </c>
      <c r="F613" s="82">
        <f t="shared" si="140"/>
        <v>398.17112399999996</v>
      </c>
      <c r="G613" s="82">
        <v>0</v>
      </c>
      <c r="H613" s="82">
        <f t="shared" si="141"/>
        <v>577.34812979999992</v>
      </c>
      <c r="I613" s="35"/>
      <c r="L613" s="122"/>
      <c r="M613" s="122"/>
      <c r="N613" s="35"/>
    </row>
    <row r="614" spans="1:20" s="83" customFormat="1" ht="15.75" customHeight="1" x14ac:dyDescent="0.35">
      <c r="A614" s="123">
        <f t="shared" si="142"/>
        <v>6</v>
      </c>
      <c r="B614" s="124"/>
      <c r="C614" s="82" t="s">
        <v>371</v>
      </c>
      <c r="D614" s="82">
        <f t="shared" si="138"/>
        <v>322.59707999999995</v>
      </c>
      <c r="E614" s="82">
        <f t="shared" si="139"/>
        <v>75.574044000000001</v>
      </c>
      <c r="F614" s="82">
        <f t="shared" si="140"/>
        <v>398.17112399999996</v>
      </c>
      <c r="G614" s="82">
        <v>0</v>
      </c>
      <c r="H614" s="82">
        <f t="shared" si="141"/>
        <v>577.34812979999992</v>
      </c>
      <c r="I614" s="35"/>
      <c r="L614" s="122"/>
      <c r="M614" s="122"/>
      <c r="N614" s="35"/>
    </row>
    <row r="615" spans="1:20" s="83" customFormat="1" ht="15.75" customHeight="1" x14ac:dyDescent="0.35">
      <c r="A615" s="123">
        <f t="shared" si="142"/>
        <v>7</v>
      </c>
      <c r="B615" s="124"/>
      <c r="C615" s="82" t="s">
        <v>371</v>
      </c>
      <c r="D615" s="82">
        <f t="shared" si="138"/>
        <v>322.59707999999995</v>
      </c>
      <c r="E615" s="82">
        <f t="shared" si="139"/>
        <v>75.574044000000001</v>
      </c>
      <c r="F615" s="82">
        <f t="shared" si="140"/>
        <v>398.17112399999996</v>
      </c>
      <c r="G615" s="82">
        <v>0</v>
      </c>
      <c r="H615" s="82">
        <f t="shared" si="141"/>
        <v>577.34812979999992</v>
      </c>
      <c r="I615" s="35"/>
      <c r="L615" s="122"/>
      <c r="M615" s="122"/>
      <c r="N615" s="35"/>
      <c r="T615" s="20"/>
    </row>
    <row r="616" spans="1:20" s="83" customFormat="1" x14ac:dyDescent="0.35">
      <c r="A616" s="126" t="s">
        <v>392</v>
      </c>
      <c r="B616" s="127"/>
      <c r="C616" s="127"/>
      <c r="D616" s="127"/>
      <c r="E616" s="127"/>
      <c r="F616" s="127"/>
      <c r="G616" s="127"/>
      <c r="H616" s="128"/>
      <c r="J616" s="35"/>
    </row>
    <row r="617" spans="1:20" s="83" customFormat="1" ht="15.75" customHeight="1" x14ac:dyDescent="0.35">
      <c r="A617" s="123">
        <v>1</v>
      </c>
      <c r="B617" s="124"/>
      <c r="C617" s="82" t="s">
        <v>371</v>
      </c>
      <c r="D617" s="82">
        <f t="shared" ref="D617:D624" si="143">(29.97)*10.764</f>
        <v>322.59707999999995</v>
      </c>
      <c r="E617" s="82">
        <f t="shared" ref="E617:E624" si="144">(1.7*1.2+2.95*0.75+2.45*1.13)*10.764</f>
        <v>75.574044000000001</v>
      </c>
      <c r="F617" s="82">
        <f t="shared" ref="F617:F624" si="145">D617+E617</f>
        <v>398.17112399999996</v>
      </c>
      <c r="G617" s="82">
        <v>0</v>
      </c>
      <c r="H617" s="82">
        <f t="shared" ref="H617:H624" si="146">F617*(($H$449)+1)+(IF(G617&lt;101,G617,IF(G617&lt;201,G617/2,IF(G617&lt;=301,G617/3,G617/4))))</f>
        <v>577.34812979999992</v>
      </c>
      <c r="I617" s="35"/>
      <c r="L617" s="122"/>
      <c r="M617" s="122"/>
      <c r="N617" s="35"/>
    </row>
    <row r="618" spans="1:20" s="83" customFormat="1" ht="15.75" customHeight="1" x14ac:dyDescent="0.35">
      <c r="A618" s="123">
        <f>A617+1</f>
        <v>2</v>
      </c>
      <c r="B618" s="124"/>
      <c r="C618" s="82" t="s">
        <v>371</v>
      </c>
      <c r="D618" s="82">
        <f t="shared" si="143"/>
        <v>322.59707999999995</v>
      </c>
      <c r="E618" s="82">
        <f t="shared" si="144"/>
        <v>75.574044000000001</v>
      </c>
      <c r="F618" s="82">
        <f t="shared" si="145"/>
        <v>398.17112399999996</v>
      </c>
      <c r="G618" s="82">
        <v>0</v>
      </c>
      <c r="H618" s="82">
        <f t="shared" si="146"/>
        <v>577.34812979999992</v>
      </c>
      <c r="I618" s="35"/>
      <c r="L618" s="122"/>
      <c r="M618" s="122"/>
      <c r="N618" s="35"/>
    </row>
    <row r="619" spans="1:20" s="83" customFormat="1" ht="15.75" customHeight="1" x14ac:dyDescent="0.35">
      <c r="A619" s="123">
        <f>A618+1</f>
        <v>3</v>
      </c>
      <c r="B619" s="124"/>
      <c r="C619" s="82" t="s">
        <v>371</v>
      </c>
      <c r="D619" s="82">
        <f t="shared" si="143"/>
        <v>322.59707999999995</v>
      </c>
      <c r="E619" s="82">
        <f t="shared" si="144"/>
        <v>75.574044000000001</v>
      </c>
      <c r="F619" s="82">
        <f t="shared" si="145"/>
        <v>398.17112399999996</v>
      </c>
      <c r="G619" s="82">
        <v>0</v>
      </c>
      <c r="H619" s="82">
        <f t="shared" si="146"/>
        <v>577.34812979999992</v>
      </c>
      <c r="I619" s="35"/>
      <c r="L619" s="122"/>
      <c r="M619" s="122"/>
      <c r="N619" s="35"/>
    </row>
    <row r="620" spans="1:20" s="83" customFormat="1" ht="15.75" customHeight="1" x14ac:dyDescent="0.35">
      <c r="A620" s="123">
        <f>A619+1</f>
        <v>4</v>
      </c>
      <c r="B620" s="124"/>
      <c r="C620" s="82" t="s">
        <v>371</v>
      </c>
      <c r="D620" s="82">
        <f t="shared" si="143"/>
        <v>322.59707999999995</v>
      </c>
      <c r="E620" s="82">
        <f t="shared" si="144"/>
        <v>75.574044000000001</v>
      </c>
      <c r="F620" s="82">
        <f t="shared" si="145"/>
        <v>398.17112399999996</v>
      </c>
      <c r="G620" s="82">
        <v>0</v>
      </c>
      <c r="H620" s="82">
        <f t="shared" si="146"/>
        <v>577.34812979999992</v>
      </c>
      <c r="I620" s="35"/>
      <c r="L620" s="122"/>
      <c r="M620" s="122"/>
      <c r="N620" s="35"/>
      <c r="T620" s="20"/>
    </row>
    <row r="621" spans="1:20" s="83" customFormat="1" ht="15.75" customHeight="1" x14ac:dyDescent="0.35">
      <c r="A621" s="123">
        <f t="shared" ref="A621:A624" si="147">A620+1</f>
        <v>5</v>
      </c>
      <c r="B621" s="124"/>
      <c r="C621" s="82" t="s">
        <v>371</v>
      </c>
      <c r="D621" s="82">
        <f t="shared" si="143"/>
        <v>322.59707999999995</v>
      </c>
      <c r="E621" s="82">
        <f t="shared" si="144"/>
        <v>75.574044000000001</v>
      </c>
      <c r="F621" s="82">
        <f t="shared" si="145"/>
        <v>398.17112399999996</v>
      </c>
      <c r="G621" s="82">
        <v>0</v>
      </c>
      <c r="H621" s="82">
        <f t="shared" si="146"/>
        <v>577.34812979999992</v>
      </c>
      <c r="I621" s="35"/>
      <c r="L621" s="122"/>
      <c r="M621" s="122"/>
      <c r="N621" s="35"/>
    </row>
    <row r="622" spans="1:20" s="83" customFormat="1" ht="15.75" customHeight="1" x14ac:dyDescent="0.35">
      <c r="A622" s="123">
        <f t="shared" si="147"/>
        <v>6</v>
      </c>
      <c r="B622" s="124"/>
      <c r="C622" s="82" t="s">
        <v>371</v>
      </c>
      <c r="D622" s="82">
        <f t="shared" si="143"/>
        <v>322.59707999999995</v>
      </c>
      <c r="E622" s="82">
        <f t="shared" si="144"/>
        <v>75.574044000000001</v>
      </c>
      <c r="F622" s="82">
        <f t="shared" si="145"/>
        <v>398.17112399999996</v>
      </c>
      <c r="G622" s="82">
        <v>0</v>
      </c>
      <c r="H622" s="82">
        <f t="shared" si="146"/>
        <v>577.34812979999992</v>
      </c>
      <c r="I622" s="35"/>
      <c r="L622" s="122"/>
      <c r="M622" s="122"/>
      <c r="N622" s="35"/>
    </row>
    <row r="623" spans="1:20" s="83" customFormat="1" ht="15.75" customHeight="1" x14ac:dyDescent="0.35">
      <c r="A623" s="123">
        <f t="shared" si="147"/>
        <v>7</v>
      </c>
      <c r="B623" s="124"/>
      <c r="C623" s="82" t="s">
        <v>371</v>
      </c>
      <c r="D623" s="82">
        <f t="shared" si="143"/>
        <v>322.59707999999995</v>
      </c>
      <c r="E623" s="82">
        <f t="shared" si="144"/>
        <v>75.574044000000001</v>
      </c>
      <c r="F623" s="82">
        <f t="shared" si="145"/>
        <v>398.17112399999996</v>
      </c>
      <c r="G623" s="82">
        <v>0</v>
      </c>
      <c r="H623" s="82">
        <f t="shared" si="146"/>
        <v>577.34812979999992</v>
      </c>
      <c r="I623" s="35"/>
      <c r="L623" s="122"/>
      <c r="M623" s="122"/>
      <c r="N623" s="35"/>
    </row>
    <row r="624" spans="1:20" s="83" customFormat="1" ht="15.75" customHeight="1" x14ac:dyDescent="0.35">
      <c r="A624" s="123">
        <f t="shared" si="147"/>
        <v>8</v>
      </c>
      <c r="B624" s="124"/>
      <c r="C624" s="82" t="s">
        <v>371</v>
      </c>
      <c r="D624" s="82">
        <f t="shared" si="143"/>
        <v>322.59707999999995</v>
      </c>
      <c r="E624" s="82">
        <f t="shared" si="144"/>
        <v>75.574044000000001</v>
      </c>
      <c r="F624" s="82">
        <f t="shared" si="145"/>
        <v>398.17112399999996</v>
      </c>
      <c r="G624" s="82">
        <v>0</v>
      </c>
      <c r="H624" s="82">
        <f t="shared" si="146"/>
        <v>577.34812979999992</v>
      </c>
      <c r="I624" s="35"/>
      <c r="L624" s="122"/>
      <c r="M624" s="122"/>
      <c r="N624" s="35"/>
      <c r="T624" s="20"/>
    </row>
    <row r="625" spans="1:20" s="83" customFormat="1" x14ac:dyDescent="0.35">
      <c r="A625" s="126" t="s">
        <v>382</v>
      </c>
      <c r="B625" s="127"/>
      <c r="C625" s="127"/>
      <c r="D625" s="127"/>
      <c r="E625" s="127"/>
      <c r="F625" s="127"/>
      <c r="G625" s="127"/>
      <c r="H625" s="128"/>
      <c r="J625" s="35"/>
    </row>
    <row r="626" spans="1:20" s="83" customFormat="1" x14ac:dyDescent="0.35">
      <c r="A626" s="126" t="s">
        <v>394</v>
      </c>
      <c r="B626" s="127"/>
      <c r="C626" s="127"/>
      <c r="D626" s="127"/>
      <c r="E626" s="127"/>
      <c r="F626" s="127"/>
      <c r="G626" s="127"/>
      <c r="H626" s="128"/>
      <c r="I626" s="84"/>
      <c r="J626" s="35"/>
    </row>
    <row r="627" spans="1:20" s="83" customFormat="1" ht="15.75" customHeight="1" x14ac:dyDescent="0.35">
      <c r="A627" s="123">
        <v>1</v>
      </c>
      <c r="B627" s="124"/>
      <c r="C627" s="82" t="s">
        <v>371</v>
      </c>
      <c r="D627" s="82">
        <f t="shared" ref="D627:D633" si="148">(29.97)*10.764</f>
        <v>322.59707999999995</v>
      </c>
      <c r="E627" s="82">
        <f t="shared" ref="E627:E633" si="149">(1.7*1.2+2.95*0.75+2.45*1.13)*10.764</f>
        <v>75.574044000000001</v>
      </c>
      <c r="F627" s="82">
        <f t="shared" ref="F627:F633" si="150">D627+E627</f>
        <v>398.17112399999996</v>
      </c>
      <c r="G627" s="82">
        <v>0</v>
      </c>
      <c r="H627" s="82">
        <f t="shared" ref="H627:H633" si="151">F627*(($H$449)+1)+(IF(G627&lt;101,G627,IF(G627&lt;201,G627/2,IF(G627&lt;=301,G627/3,G627/4))))</f>
        <v>577.34812979999992</v>
      </c>
      <c r="I627" s="35"/>
      <c r="L627" s="122"/>
      <c r="M627" s="122"/>
      <c r="N627" s="35"/>
    </row>
    <row r="628" spans="1:20" s="83" customFormat="1" ht="15.75" customHeight="1" x14ac:dyDescent="0.35">
      <c r="A628" s="123">
        <f t="shared" ref="A628:A633" si="152">A627+1</f>
        <v>2</v>
      </c>
      <c r="B628" s="124"/>
      <c r="C628" s="82" t="s">
        <v>371</v>
      </c>
      <c r="D628" s="82">
        <f t="shared" si="148"/>
        <v>322.59707999999995</v>
      </c>
      <c r="E628" s="82">
        <f t="shared" si="149"/>
        <v>75.574044000000001</v>
      </c>
      <c r="F628" s="82">
        <f t="shared" si="150"/>
        <v>398.17112399999996</v>
      </c>
      <c r="G628" s="82">
        <v>0</v>
      </c>
      <c r="H628" s="82">
        <f t="shared" si="151"/>
        <v>577.34812979999992</v>
      </c>
      <c r="I628" s="35"/>
      <c r="L628" s="122"/>
      <c r="M628" s="122"/>
      <c r="N628" s="35"/>
    </row>
    <row r="629" spans="1:20" s="83" customFormat="1" ht="15.75" customHeight="1" x14ac:dyDescent="0.35">
      <c r="A629" s="123">
        <f t="shared" si="152"/>
        <v>3</v>
      </c>
      <c r="B629" s="124"/>
      <c r="C629" s="82" t="s">
        <v>371</v>
      </c>
      <c r="D629" s="82">
        <f t="shared" si="148"/>
        <v>322.59707999999995</v>
      </c>
      <c r="E629" s="82">
        <f t="shared" si="149"/>
        <v>75.574044000000001</v>
      </c>
      <c r="F629" s="82">
        <f t="shared" si="150"/>
        <v>398.17112399999996</v>
      </c>
      <c r="G629" s="82">
        <v>0</v>
      </c>
      <c r="H629" s="82">
        <f t="shared" si="151"/>
        <v>577.34812979999992</v>
      </c>
      <c r="I629" s="35"/>
      <c r="L629" s="122"/>
      <c r="M629" s="122"/>
      <c r="N629" s="35"/>
    </row>
    <row r="630" spans="1:20" s="83" customFormat="1" ht="15.75" customHeight="1" x14ac:dyDescent="0.35">
      <c r="A630" s="123">
        <f t="shared" si="152"/>
        <v>4</v>
      </c>
      <c r="B630" s="124"/>
      <c r="C630" s="82" t="s">
        <v>371</v>
      </c>
      <c r="D630" s="82">
        <f t="shared" si="148"/>
        <v>322.59707999999995</v>
      </c>
      <c r="E630" s="82">
        <f t="shared" si="149"/>
        <v>75.574044000000001</v>
      </c>
      <c r="F630" s="82">
        <f t="shared" si="150"/>
        <v>398.17112399999996</v>
      </c>
      <c r="G630" s="82">
        <v>0</v>
      </c>
      <c r="H630" s="82">
        <f t="shared" si="151"/>
        <v>577.34812979999992</v>
      </c>
      <c r="I630" s="35"/>
      <c r="L630" s="122"/>
      <c r="M630" s="122"/>
      <c r="N630" s="35"/>
      <c r="T630" s="20"/>
    </row>
    <row r="631" spans="1:20" s="83" customFormat="1" ht="15.75" customHeight="1" x14ac:dyDescent="0.35">
      <c r="A631" s="123">
        <f t="shared" si="152"/>
        <v>5</v>
      </c>
      <c r="B631" s="124"/>
      <c r="C631" s="82" t="s">
        <v>371</v>
      </c>
      <c r="D631" s="82">
        <f t="shared" si="148"/>
        <v>322.59707999999995</v>
      </c>
      <c r="E631" s="82">
        <f t="shared" si="149"/>
        <v>75.574044000000001</v>
      </c>
      <c r="F631" s="82">
        <f t="shared" si="150"/>
        <v>398.17112399999996</v>
      </c>
      <c r="G631" s="82">
        <v>0</v>
      </c>
      <c r="H631" s="82">
        <f t="shared" si="151"/>
        <v>577.34812979999992</v>
      </c>
      <c r="I631" s="35"/>
      <c r="L631" s="122"/>
      <c r="M631" s="122"/>
      <c r="N631" s="35"/>
    </row>
    <row r="632" spans="1:20" s="83" customFormat="1" ht="15.75" customHeight="1" x14ac:dyDescent="0.35">
      <c r="A632" s="123">
        <f t="shared" si="152"/>
        <v>6</v>
      </c>
      <c r="B632" s="124"/>
      <c r="C632" s="82" t="s">
        <v>371</v>
      </c>
      <c r="D632" s="82">
        <f t="shared" si="148"/>
        <v>322.59707999999995</v>
      </c>
      <c r="E632" s="82">
        <f t="shared" si="149"/>
        <v>75.574044000000001</v>
      </c>
      <c r="F632" s="82">
        <f t="shared" si="150"/>
        <v>398.17112399999996</v>
      </c>
      <c r="G632" s="82">
        <v>0</v>
      </c>
      <c r="H632" s="82">
        <f t="shared" si="151"/>
        <v>577.34812979999992</v>
      </c>
      <c r="I632" s="35"/>
      <c r="L632" s="122"/>
      <c r="M632" s="122"/>
      <c r="N632" s="35"/>
    </row>
    <row r="633" spans="1:20" s="83" customFormat="1" ht="15.75" customHeight="1" x14ac:dyDescent="0.35">
      <c r="A633" s="123">
        <f t="shared" si="152"/>
        <v>7</v>
      </c>
      <c r="B633" s="124"/>
      <c r="C633" s="82" t="s">
        <v>371</v>
      </c>
      <c r="D633" s="82">
        <f t="shared" si="148"/>
        <v>322.59707999999995</v>
      </c>
      <c r="E633" s="82">
        <f t="shared" si="149"/>
        <v>75.574044000000001</v>
      </c>
      <c r="F633" s="82">
        <f t="shared" si="150"/>
        <v>398.17112399999996</v>
      </c>
      <c r="G633" s="82">
        <v>0</v>
      </c>
      <c r="H633" s="82">
        <f t="shared" si="151"/>
        <v>577.34812979999992</v>
      </c>
      <c r="I633" s="35"/>
      <c r="L633" s="122"/>
      <c r="M633" s="122"/>
      <c r="N633" s="35"/>
      <c r="T633" s="20"/>
    </row>
    <row r="634" spans="1:20" s="83" customFormat="1" x14ac:dyDescent="0.35">
      <c r="A634" s="126" t="s">
        <v>392</v>
      </c>
      <c r="B634" s="127"/>
      <c r="C634" s="127"/>
      <c r="D634" s="127"/>
      <c r="E634" s="127"/>
      <c r="F634" s="127"/>
      <c r="G634" s="127"/>
      <c r="H634" s="128"/>
      <c r="J634" s="35"/>
    </row>
    <row r="635" spans="1:20" s="83" customFormat="1" ht="15.75" customHeight="1" x14ac:dyDescent="0.35">
      <c r="A635" s="123">
        <v>1</v>
      </c>
      <c r="B635" s="124"/>
      <c r="C635" s="82" t="s">
        <v>371</v>
      </c>
      <c r="D635" s="82">
        <f t="shared" ref="D635:D642" si="153">(29.97)*10.764</f>
        <v>322.59707999999995</v>
      </c>
      <c r="E635" s="82">
        <f t="shared" ref="E635:E642" si="154">(1.7*1.2+2.95*0.75+2.45*1.13)*10.764</f>
        <v>75.574044000000001</v>
      </c>
      <c r="F635" s="82">
        <f t="shared" ref="F635:F642" si="155">D635+E635</f>
        <v>398.17112399999996</v>
      </c>
      <c r="G635" s="82">
        <v>0</v>
      </c>
      <c r="H635" s="82">
        <f t="shared" ref="H635:H642" si="156">F635*(($H$449)+1)+(IF(G635&lt;101,G635,IF(G635&lt;201,G635/2,IF(G635&lt;=301,G635/3,G635/4))))</f>
        <v>577.34812979999992</v>
      </c>
      <c r="I635" s="35"/>
      <c r="L635" s="122"/>
      <c r="M635" s="122"/>
      <c r="N635" s="35"/>
    </row>
    <row r="636" spans="1:20" s="83" customFormat="1" ht="15.75" customHeight="1" x14ac:dyDescent="0.35">
      <c r="A636" s="123">
        <f>A635+1</f>
        <v>2</v>
      </c>
      <c r="B636" s="124"/>
      <c r="C636" s="82" t="s">
        <v>371</v>
      </c>
      <c r="D636" s="82">
        <f t="shared" si="153"/>
        <v>322.59707999999995</v>
      </c>
      <c r="E636" s="82">
        <f t="shared" si="154"/>
        <v>75.574044000000001</v>
      </c>
      <c r="F636" s="82">
        <f t="shared" si="155"/>
        <v>398.17112399999996</v>
      </c>
      <c r="G636" s="82">
        <v>0</v>
      </c>
      <c r="H636" s="82">
        <f t="shared" si="156"/>
        <v>577.34812979999992</v>
      </c>
      <c r="I636" s="35"/>
      <c r="L636" s="122"/>
      <c r="M636" s="122"/>
      <c r="N636" s="35"/>
    </row>
    <row r="637" spans="1:20" s="83" customFormat="1" ht="15.75" customHeight="1" x14ac:dyDescent="0.35">
      <c r="A637" s="123">
        <f>A636+1</f>
        <v>3</v>
      </c>
      <c r="B637" s="124"/>
      <c r="C637" s="82" t="s">
        <v>371</v>
      </c>
      <c r="D637" s="82">
        <f t="shared" si="153"/>
        <v>322.59707999999995</v>
      </c>
      <c r="E637" s="82">
        <f t="shared" si="154"/>
        <v>75.574044000000001</v>
      </c>
      <c r="F637" s="82">
        <f t="shared" si="155"/>
        <v>398.17112399999996</v>
      </c>
      <c r="G637" s="82">
        <v>0</v>
      </c>
      <c r="H637" s="82">
        <f t="shared" si="156"/>
        <v>577.34812979999992</v>
      </c>
      <c r="I637" s="35"/>
      <c r="L637" s="122"/>
      <c r="M637" s="122"/>
      <c r="N637" s="35"/>
    </row>
    <row r="638" spans="1:20" s="83" customFormat="1" ht="15.75" customHeight="1" x14ac:dyDescent="0.35">
      <c r="A638" s="123">
        <f>A637+1</f>
        <v>4</v>
      </c>
      <c r="B638" s="124"/>
      <c r="C638" s="82" t="s">
        <v>371</v>
      </c>
      <c r="D638" s="82">
        <f t="shared" si="153"/>
        <v>322.59707999999995</v>
      </c>
      <c r="E638" s="82">
        <f t="shared" si="154"/>
        <v>75.574044000000001</v>
      </c>
      <c r="F638" s="82">
        <f t="shared" si="155"/>
        <v>398.17112399999996</v>
      </c>
      <c r="G638" s="82">
        <v>0</v>
      </c>
      <c r="H638" s="82">
        <f t="shared" si="156"/>
        <v>577.34812979999992</v>
      </c>
      <c r="I638" s="35"/>
      <c r="L638" s="122"/>
      <c r="M638" s="122"/>
      <c r="N638" s="35"/>
      <c r="T638" s="20"/>
    </row>
    <row r="639" spans="1:20" s="83" customFormat="1" ht="15.75" customHeight="1" x14ac:dyDescent="0.35">
      <c r="A639" s="123">
        <f t="shared" ref="A639:A642" si="157">A638+1</f>
        <v>5</v>
      </c>
      <c r="B639" s="124"/>
      <c r="C639" s="82" t="s">
        <v>371</v>
      </c>
      <c r="D639" s="82">
        <f t="shared" si="153"/>
        <v>322.59707999999995</v>
      </c>
      <c r="E639" s="82">
        <f t="shared" si="154"/>
        <v>75.574044000000001</v>
      </c>
      <c r="F639" s="82">
        <f t="shared" si="155"/>
        <v>398.17112399999996</v>
      </c>
      <c r="G639" s="82">
        <v>0</v>
      </c>
      <c r="H639" s="82">
        <f t="shared" si="156"/>
        <v>577.34812979999992</v>
      </c>
      <c r="I639" s="35"/>
      <c r="L639" s="122"/>
      <c r="M639" s="122"/>
      <c r="N639" s="35"/>
    </row>
    <row r="640" spans="1:20" s="83" customFormat="1" ht="15.75" customHeight="1" x14ac:dyDescent="0.35">
      <c r="A640" s="123">
        <f t="shared" si="157"/>
        <v>6</v>
      </c>
      <c r="B640" s="124"/>
      <c r="C640" s="82" t="s">
        <v>371</v>
      </c>
      <c r="D640" s="82">
        <f t="shared" si="153"/>
        <v>322.59707999999995</v>
      </c>
      <c r="E640" s="82">
        <f t="shared" si="154"/>
        <v>75.574044000000001</v>
      </c>
      <c r="F640" s="82">
        <f t="shared" si="155"/>
        <v>398.17112399999996</v>
      </c>
      <c r="G640" s="82">
        <v>0</v>
      </c>
      <c r="H640" s="82">
        <f t="shared" si="156"/>
        <v>577.34812979999992</v>
      </c>
      <c r="I640" s="35"/>
      <c r="L640" s="122"/>
      <c r="M640" s="122"/>
      <c r="N640" s="35"/>
    </row>
    <row r="641" spans="1:20" s="83" customFormat="1" ht="15.75" customHeight="1" x14ac:dyDescent="0.35">
      <c r="A641" s="123">
        <f t="shared" si="157"/>
        <v>7</v>
      </c>
      <c r="B641" s="124"/>
      <c r="C641" s="82" t="s">
        <v>371</v>
      </c>
      <c r="D641" s="82">
        <f t="shared" si="153"/>
        <v>322.59707999999995</v>
      </c>
      <c r="E641" s="82">
        <f t="shared" si="154"/>
        <v>75.574044000000001</v>
      </c>
      <c r="F641" s="82">
        <f t="shared" si="155"/>
        <v>398.17112399999996</v>
      </c>
      <c r="G641" s="82">
        <v>0</v>
      </c>
      <c r="H641" s="82">
        <f t="shared" si="156"/>
        <v>577.34812979999992</v>
      </c>
      <c r="I641" s="35"/>
      <c r="L641" s="122"/>
      <c r="M641" s="122"/>
      <c r="N641" s="35"/>
    </row>
    <row r="642" spans="1:20" s="83" customFormat="1" ht="15.75" customHeight="1" x14ac:dyDescent="0.35">
      <c r="A642" s="123">
        <f t="shared" si="157"/>
        <v>8</v>
      </c>
      <c r="B642" s="124"/>
      <c r="C642" s="82" t="s">
        <v>371</v>
      </c>
      <c r="D642" s="82">
        <f t="shared" si="153"/>
        <v>322.59707999999995</v>
      </c>
      <c r="E642" s="82">
        <f t="shared" si="154"/>
        <v>75.574044000000001</v>
      </c>
      <c r="F642" s="82">
        <f t="shared" si="155"/>
        <v>398.17112399999996</v>
      </c>
      <c r="G642" s="82">
        <v>0</v>
      </c>
      <c r="H642" s="82">
        <f t="shared" si="156"/>
        <v>577.34812979999992</v>
      </c>
      <c r="I642" s="35"/>
      <c r="L642" s="122"/>
      <c r="M642" s="122"/>
      <c r="N642" s="35"/>
      <c r="T642" s="20"/>
    </row>
    <row r="643" spans="1:20" s="83" customFormat="1" x14ac:dyDescent="0.35">
      <c r="A643" s="130" t="s">
        <v>383</v>
      </c>
      <c r="B643" s="130"/>
      <c r="C643" s="130"/>
      <c r="D643" s="130"/>
      <c r="E643" s="130"/>
      <c r="F643" s="130"/>
      <c r="G643" s="130"/>
      <c r="H643" s="130"/>
      <c r="J643" s="35"/>
      <c r="T643" s="34"/>
    </row>
    <row r="644" spans="1:20" s="83" customFormat="1" x14ac:dyDescent="0.35">
      <c r="A644" s="130" t="s">
        <v>370</v>
      </c>
      <c r="B644" s="130"/>
      <c r="C644" s="130"/>
      <c r="D644" s="130"/>
      <c r="E644" s="130"/>
      <c r="F644" s="130"/>
      <c r="G644" s="130"/>
      <c r="H644" s="130"/>
      <c r="J644" s="35"/>
      <c r="T644" s="34"/>
    </row>
    <row r="645" spans="1:20" s="83" customFormat="1" ht="15.75" customHeight="1" x14ac:dyDescent="0.35">
      <c r="A645" s="125">
        <v>1</v>
      </c>
      <c r="B645" s="125"/>
      <c r="C645" s="96" t="s">
        <v>371</v>
      </c>
      <c r="D645" s="96">
        <f t="shared" ref="D645:D661" si="158">(29.97)*10.764</f>
        <v>322.59707999999995</v>
      </c>
      <c r="E645" s="96">
        <f t="shared" ref="E645:E661" si="159">(1.7*1.2+2.95*0.75+2.45*1.13)*10.764</f>
        <v>75.574044000000001</v>
      </c>
      <c r="F645" s="96">
        <f>D645+E645</f>
        <v>398.17112399999996</v>
      </c>
      <c r="G645" s="96">
        <v>0</v>
      </c>
      <c r="H645" s="96">
        <f>F645*(($H$449)+1)+(IF(G645&lt;101,G645,IF(G645&lt;201,G645/2,IF(G645&lt;=301,G645/3,G645/4))))</f>
        <v>577.34812979999992</v>
      </c>
      <c r="I645" s="35"/>
      <c r="L645" s="122"/>
      <c r="M645" s="122"/>
      <c r="N645" s="35"/>
    </row>
    <row r="646" spans="1:20" s="83" customFormat="1" ht="15.75" customHeight="1" x14ac:dyDescent="0.35">
      <c r="A646" s="125">
        <f>A645+1</f>
        <v>2</v>
      </c>
      <c r="B646" s="125"/>
      <c r="C646" s="96" t="s">
        <v>371</v>
      </c>
      <c r="D646" s="96">
        <f t="shared" si="158"/>
        <v>322.59707999999995</v>
      </c>
      <c r="E646" s="96">
        <f t="shared" si="159"/>
        <v>75.574044000000001</v>
      </c>
      <c r="F646" s="96">
        <f>D646+E646</f>
        <v>398.17112399999996</v>
      </c>
      <c r="G646" s="96">
        <v>0</v>
      </c>
      <c r="H646" s="96">
        <f>F646*(($H$449)+1)+(IF(G646&lt;101,G646,IF(G646&lt;201,G646/2,IF(G646&lt;=301,G646/3,G646/4))))</f>
        <v>577.34812979999992</v>
      </c>
      <c r="I646" s="35"/>
      <c r="L646" s="122"/>
      <c r="M646" s="122"/>
      <c r="N646" s="35"/>
    </row>
    <row r="647" spans="1:20" s="83" customFormat="1" ht="15.75" customHeight="1" x14ac:dyDescent="0.35">
      <c r="A647" s="125">
        <f>A646+1</f>
        <v>3</v>
      </c>
      <c r="B647" s="125"/>
      <c r="C647" s="96" t="s">
        <v>371</v>
      </c>
      <c r="D647" s="96">
        <f t="shared" si="158"/>
        <v>322.59707999999995</v>
      </c>
      <c r="E647" s="96">
        <f t="shared" si="159"/>
        <v>75.574044000000001</v>
      </c>
      <c r="F647" s="96">
        <f>D647+E647</f>
        <v>398.17112399999996</v>
      </c>
      <c r="G647" s="96">
        <v>0</v>
      </c>
      <c r="H647" s="96">
        <f>F647*(($H$449)+1)+(IF(G647&lt;101,G647,IF(G647&lt;201,G647/2,IF(G647&lt;=301,G647/3,G647/4))))</f>
        <v>577.34812979999992</v>
      </c>
      <c r="I647" s="35"/>
      <c r="L647" s="122"/>
      <c r="M647" s="122"/>
      <c r="N647" s="35"/>
    </row>
    <row r="648" spans="1:20" s="83" customFormat="1" ht="15.75" customHeight="1" x14ac:dyDescent="0.35">
      <c r="A648" s="130" t="s">
        <v>372</v>
      </c>
      <c r="B648" s="130"/>
      <c r="C648" s="130"/>
      <c r="D648" s="130"/>
      <c r="E648" s="130"/>
      <c r="F648" s="130"/>
      <c r="G648" s="130"/>
      <c r="H648" s="130"/>
      <c r="J648" s="35"/>
    </row>
    <row r="649" spans="1:20" s="83" customFormat="1" ht="15.75" customHeight="1" x14ac:dyDescent="0.35">
      <c r="A649" s="125">
        <v>1</v>
      </c>
      <c r="B649" s="125"/>
      <c r="C649" s="96" t="s">
        <v>371</v>
      </c>
      <c r="D649" s="96">
        <f t="shared" si="158"/>
        <v>322.59707999999995</v>
      </c>
      <c r="E649" s="96">
        <f t="shared" si="159"/>
        <v>75.574044000000001</v>
      </c>
      <c r="F649" s="96">
        <f t="shared" ref="F649:F654" si="160">D649+E649</f>
        <v>398.17112399999996</v>
      </c>
      <c r="G649" s="96">
        <v>0</v>
      </c>
      <c r="H649" s="96">
        <f t="shared" ref="H649:H654" si="161">F649*(($H$449)+1)+(IF(G649&lt;101,G649,IF(G649&lt;201,G649/2,IF(G649&lt;=301,G649/3,G649/4))))</f>
        <v>577.34812979999992</v>
      </c>
      <c r="I649" s="35"/>
      <c r="L649" s="122"/>
      <c r="M649" s="122"/>
      <c r="N649" s="35"/>
    </row>
    <row r="650" spans="1:20" s="83" customFormat="1" ht="15.75" customHeight="1" x14ac:dyDescent="0.35">
      <c r="A650" s="125">
        <f>A649+1</f>
        <v>2</v>
      </c>
      <c r="B650" s="125"/>
      <c r="C650" s="96" t="s">
        <v>371</v>
      </c>
      <c r="D650" s="96">
        <f t="shared" si="158"/>
        <v>322.59707999999995</v>
      </c>
      <c r="E650" s="96">
        <f t="shared" si="159"/>
        <v>75.574044000000001</v>
      </c>
      <c r="F650" s="96">
        <f t="shared" si="160"/>
        <v>398.17112399999996</v>
      </c>
      <c r="G650" s="96">
        <v>0</v>
      </c>
      <c r="H650" s="96">
        <f t="shared" si="161"/>
        <v>577.34812979999992</v>
      </c>
      <c r="I650" s="35"/>
      <c r="L650" s="122"/>
      <c r="M650" s="122"/>
      <c r="N650" s="35"/>
    </row>
    <row r="651" spans="1:20" s="83" customFormat="1" ht="15.75" customHeight="1" x14ac:dyDescent="0.35">
      <c r="A651" s="125">
        <f>A650+1</f>
        <v>3</v>
      </c>
      <c r="B651" s="125"/>
      <c r="C651" s="96" t="s">
        <v>371</v>
      </c>
      <c r="D651" s="96">
        <f t="shared" si="158"/>
        <v>322.59707999999995</v>
      </c>
      <c r="E651" s="96">
        <f t="shared" si="159"/>
        <v>75.574044000000001</v>
      </c>
      <c r="F651" s="96">
        <f t="shared" si="160"/>
        <v>398.17112399999996</v>
      </c>
      <c r="G651" s="96">
        <v>0</v>
      </c>
      <c r="H651" s="96">
        <f t="shared" si="161"/>
        <v>577.34812979999992</v>
      </c>
      <c r="I651" s="35"/>
      <c r="L651" s="122"/>
      <c r="M651" s="122"/>
      <c r="N651" s="35"/>
    </row>
    <row r="652" spans="1:20" s="83" customFormat="1" ht="15.75" customHeight="1" x14ac:dyDescent="0.35">
      <c r="A652" s="125">
        <f>A651+1</f>
        <v>4</v>
      </c>
      <c r="B652" s="125"/>
      <c r="C652" s="96" t="s">
        <v>371</v>
      </c>
      <c r="D652" s="96">
        <f t="shared" si="158"/>
        <v>322.59707999999995</v>
      </c>
      <c r="E652" s="96">
        <f t="shared" si="159"/>
        <v>75.574044000000001</v>
      </c>
      <c r="F652" s="96">
        <f t="shared" si="160"/>
        <v>398.17112399999996</v>
      </c>
      <c r="G652" s="96">
        <f>(1.13*3.6+0.75*4.28)*10.764</f>
        <v>78.340391999999994</v>
      </c>
      <c r="H652" s="96">
        <f t="shared" si="161"/>
        <v>655.68852179999988</v>
      </c>
      <c r="I652" s="35"/>
      <c r="L652" s="122"/>
      <c r="M652" s="122"/>
      <c r="N652" s="35"/>
      <c r="T652" s="20"/>
    </row>
    <row r="653" spans="1:20" s="83" customFormat="1" ht="15.75" customHeight="1" x14ac:dyDescent="0.35">
      <c r="A653" s="125">
        <f>A652+1</f>
        <v>5</v>
      </c>
      <c r="B653" s="125"/>
      <c r="C653" s="96" t="s">
        <v>371</v>
      </c>
      <c r="D653" s="96">
        <f t="shared" si="158"/>
        <v>322.59707999999995</v>
      </c>
      <c r="E653" s="96">
        <f t="shared" si="159"/>
        <v>75.574044000000001</v>
      </c>
      <c r="F653" s="96">
        <f t="shared" si="160"/>
        <v>398.17112399999996</v>
      </c>
      <c r="G653" s="96">
        <f>(1.13*3.6+0.75*4.28)*10.764</f>
        <v>78.340391999999994</v>
      </c>
      <c r="H653" s="96">
        <f t="shared" si="161"/>
        <v>655.68852179999988</v>
      </c>
      <c r="I653" s="35"/>
      <c r="L653" s="122"/>
      <c r="M653" s="122"/>
      <c r="N653" s="35"/>
    </row>
    <row r="654" spans="1:20" s="83" customFormat="1" ht="15.75" customHeight="1" x14ac:dyDescent="0.35">
      <c r="A654" s="123">
        <f>A653+1</f>
        <v>6</v>
      </c>
      <c r="B654" s="124"/>
      <c r="C654" s="82" t="s">
        <v>371</v>
      </c>
      <c r="D654" s="82">
        <f t="shared" si="158"/>
        <v>322.59707999999995</v>
      </c>
      <c r="E654" s="82">
        <f t="shared" si="159"/>
        <v>75.574044000000001</v>
      </c>
      <c r="F654" s="82">
        <f t="shared" si="160"/>
        <v>398.17112399999996</v>
      </c>
      <c r="G654" s="82">
        <v>0</v>
      </c>
      <c r="H654" s="82">
        <f t="shared" si="161"/>
        <v>577.34812979999992</v>
      </c>
      <c r="I654" s="35"/>
      <c r="L654" s="122"/>
      <c r="M654" s="122"/>
      <c r="N654" s="35"/>
      <c r="T654" s="20"/>
    </row>
    <row r="655" spans="1:20" s="81" customFormat="1" ht="15.75" customHeight="1" x14ac:dyDescent="0.35">
      <c r="A655" s="126" t="s">
        <v>375</v>
      </c>
      <c r="B655" s="127"/>
      <c r="C655" s="127"/>
      <c r="D655" s="127"/>
      <c r="E655" s="127"/>
      <c r="F655" s="127"/>
      <c r="G655" s="127"/>
      <c r="H655" s="128"/>
      <c r="J655" s="35"/>
    </row>
    <row r="656" spans="1:20" s="81" customFormat="1" ht="15.75" customHeight="1" x14ac:dyDescent="0.35">
      <c r="A656" s="123">
        <v>1</v>
      </c>
      <c r="B656" s="124"/>
      <c r="C656" s="80" t="s">
        <v>371</v>
      </c>
      <c r="D656" s="82">
        <f t="shared" si="158"/>
        <v>322.59707999999995</v>
      </c>
      <c r="E656" s="82">
        <f t="shared" si="159"/>
        <v>75.574044000000001</v>
      </c>
      <c r="F656" s="80">
        <f t="shared" ref="F656:F661" si="162">D656+E656</f>
        <v>398.17112399999996</v>
      </c>
      <c r="G656" s="80">
        <v>0</v>
      </c>
      <c r="H656" s="80">
        <f t="shared" ref="H656:H661" si="163">F656*(($H$449)+1)+(IF(G656&lt;101,G656,IF(G656&lt;201,G656/2,IF(G656&lt;=301,G656/3,G656/4))))</f>
        <v>577.34812979999992</v>
      </c>
      <c r="I656" s="35"/>
      <c r="L656" s="122"/>
      <c r="M656" s="122"/>
      <c r="N656" s="35"/>
    </row>
    <row r="657" spans="1:20" s="81" customFormat="1" ht="15.75" customHeight="1" x14ac:dyDescent="0.35">
      <c r="A657" s="123">
        <f>A656+1</f>
        <v>2</v>
      </c>
      <c r="B657" s="124"/>
      <c r="C657" s="82" t="s">
        <v>371</v>
      </c>
      <c r="D657" s="82">
        <f t="shared" si="158"/>
        <v>322.59707999999995</v>
      </c>
      <c r="E657" s="82">
        <f t="shared" si="159"/>
        <v>75.574044000000001</v>
      </c>
      <c r="F657" s="80">
        <f t="shared" si="162"/>
        <v>398.17112399999996</v>
      </c>
      <c r="G657" s="80">
        <v>0</v>
      </c>
      <c r="H657" s="80">
        <f t="shared" si="163"/>
        <v>577.34812979999992</v>
      </c>
      <c r="I657" s="35"/>
      <c r="L657" s="122"/>
      <c r="M657" s="122"/>
      <c r="N657" s="35"/>
    </row>
    <row r="658" spans="1:20" s="81" customFormat="1" ht="15.75" customHeight="1" x14ac:dyDescent="0.35">
      <c r="A658" s="123">
        <f>A657+1</f>
        <v>3</v>
      </c>
      <c r="B658" s="124"/>
      <c r="C658" s="82" t="s">
        <v>371</v>
      </c>
      <c r="D658" s="82">
        <f t="shared" si="158"/>
        <v>322.59707999999995</v>
      </c>
      <c r="E658" s="82">
        <f t="shared" si="159"/>
        <v>75.574044000000001</v>
      </c>
      <c r="F658" s="80">
        <f t="shared" si="162"/>
        <v>398.17112399999996</v>
      </c>
      <c r="G658" s="80">
        <v>0</v>
      </c>
      <c r="H658" s="80">
        <f t="shared" si="163"/>
        <v>577.34812979999992</v>
      </c>
      <c r="I658" s="35"/>
      <c r="L658" s="122"/>
      <c r="M658" s="122"/>
      <c r="N658" s="35"/>
    </row>
    <row r="659" spans="1:20" s="81" customFormat="1" ht="15.75" customHeight="1" x14ac:dyDescent="0.35">
      <c r="A659" s="123">
        <f>A658+1</f>
        <v>4</v>
      </c>
      <c r="B659" s="124"/>
      <c r="C659" s="82" t="s">
        <v>371</v>
      </c>
      <c r="D659" s="82">
        <f t="shared" si="158"/>
        <v>322.59707999999995</v>
      </c>
      <c r="E659" s="82">
        <f t="shared" si="159"/>
        <v>75.574044000000001</v>
      </c>
      <c r="F659" s="80">
        <f t="shared" si="162"/>
        <v>398.17112399999996</v>
      </c>
      <c r="G659" s="80">
        <v>0</v>
      </c>
      <c r="H659" s="80">
        <f t="shared" si="163"/>
        <v>577.34812979999992</v>
      </c>
      <c r="I659" s="35"/>
      <c r="L659" s="122"/>
      <c r="M659" s="122"/>
      <c r="N659" s="35"/>
      <c r="T659" s="20"/>
    </row>
    <row r="660" spans="1:20" s="83" customFormat="1" ht="15.75" customHeight="1" x14ac:dyDescent="0.35">
      <c r="A660" s="123">
        <f>A659+1</f>
        <v>5</v>
      </c>
      <c r="B660" s="124"/>
      <c r="C660" s="82" t="s">
        <v>371</v>
      </c>
      <c r="D660" s="82">
        <f t="shared" si="158"/>
        <v>322.59707999999995</v>
      </c>
      <c r="E660" s="82">
        <f t="shared" si="159"/>
        <v>75.574044000000001</v>
      </c>
      <c r="F660" s="82">
        <f t="shared" si="162"/>
        <v>398.17112399999996</v>
      </c>
      <c r="G660" s="82">
        <v>0</v>
      </c>
      <c r="H660" s="82">
        <f t="shared" si="163"/>
        <v>577.34812979999992</v>
      </c>
      <c r="I660" s="35"/>
      <c r="L660" s="122"/>
      <c r="M660" s="122"/>
      <c r="N660" s="35"/>
    </row>
    <row r="661" spans="1:20" s="83" customFormat="1" ht="15.75" customHeight="1" x14ac:dyDescent="0.35">
      <c r="A661" s="123">
        <f>A660+1</f>
        <v>6</v>
      </c>
      <c r="B661" s="124"/>
      <c r="C661" s="82" t="s">
        <v>371</v>
      </c>
      <c r="D661" s="82">
        <f t="shared" si="158"/>
        <v>322.59707999999995</v>
      </c>
      <c r="E661" s="82">
        <f t="shared" si="159"/>
        <v>75.574044000000001</v>
      </c>
      <c r="F661" s="82">
        <f t="shared" si="162"/>
        <v>398.17112399999996</v>
      </c>
      <c r="G661" s="82">
        <v>0</v>
      </c>
      <c r="H661" s="82">
        <f t="shared" si="163"/>
        <v>577.34812979999992</v>
      </c>
      <c r="I661" s="35"/>
      <c r="L661" s="122"/>
      <c r="M661" s="122"/>
      <c r="N661" s="35"/>
      <c r="T661" s="20"/>
    </row>
    <row r="662" spans="1:20" s="83" customFormat="1" x14ac:dyDescent="0.35">
      <c r="A662" s="126" t="s">
        <v>384</v>
      </c>
      <c r="B662" s="127"/>
      <c r="C662" s="127"/>
      <c r="D662" s="127"/>
      <c r="E662" s="127"/>
      <c r="F662" s="127"/>
      <c r="G662" s="127"/>
      <c r="H662" s="128"/>
      <c r="J662" s="35"/>
    </row>
    <row r="663" spans="1:20" s="83" customFormat="1" x14ac:dyDescent="0.35">
      <c r="A663" s="126" t="s">
        <v>394</v>
      </c>
      <c r="B663" s="127"/>
      <c r="C663" s="127"/>
      <c r="D663" s="127"/>
      <c r="E663" s="127"/>
      <c r="F663" s="127"/>
      <c r="G663" s="127"/>
      <c r="H663" s="128"/>
      <c r="I663" s="84"/>
      <c r="J663" s="35"/>
    </row>
    <row r="664" spans="1:20" s="83" customFormat="1" ht="15.75" customHeight="1" x14ac:dyDescent="0.35">
      <c r="A664" s="123">
        <v>1</v>
      </c>
      <c r="B664" s="124"/>
      <c r="C664" s="82" t="s">
        <v>371</v>
      </c>
      <c r="D664" s="82">
        <f t="shared" ref="D664:D670" si="164">(29.97)*10.764</f>
        <v>322.59707999999995</v>
      </c>
      <c r="E664" s="82">
        <f t="shared" ref="E664:E670" si="165">(1.7*1.2+2.95*0.75+2.45*1.13)*10.764</f>
        <v>75.574044000000001</v>
      </c>
      <c r="F664" s="82">
        <f t="shared" ref="F664:F670" si="166">D664+E664</f>
        <v>398.17112399999996</v>
      </c>
      <c r="G664" s="82">
        <v>0</v>
      </c>
      <c r="H664" s="82">
        <f t="shared" ref="H664:H670" si="167">F664*(($H$449)+1)+(IF(G664&lt;101,G664,IF(G664&lt;201,G664/2,IF(G664&lt;=301,G664/3,G664/4))))</f>
        <v>577.34812979999992</v>
      </c>
      <c r="I664" s="35"/>
      <c r="L664" s="122"/>
      <c r="M664" s="122"/>
      <c r="N664" s="35"/>
    </row>
    <row r="665" spans="1:20" s="83" customFormat="1" ht="15.75" customHeight="1" x14ac:dyDescent="0.35">
      <c r="A665" s="123">
        <f t="shared" ref="A665:A670" si="168">A664+1</f>
        <v>2</v>
      </c>
      <c r="B665" s="124"/>
      <c r="C665" s="82" t="s">
        <v>371</v>
      </c>
      <c r="D665" s="82">
        <f t="shared" si="164"/>
        <v>322.59707999999995</v>
      </c>
      <c r="E665" s="82">
        <f t="shared" si="165"/>
        <v>75.574044000000001</v>
      </c>
      <c r="F665" s="82">
        <f t="shared" si="166"/>
        <v>398.17112399999996</v>
      </c>
      <c r="G665" s="82">
        <v>0</v>
      </c>
      <c r="H665" s="82">
        <f t="shared" si="167"/>
        <v>577.34812979999992</v>
      </c>
      <c r="I665" s="35"/>
      <c r="L665" s="122"/>
      <c r="M665" s="122"/>
      <c r="N665" s="35"/>
    </row>
    <row r="666" spans="1:20" s="83" customFormat="1" ht="15.75" customHeight="1" x14ac:dyDescent="0.35">
      <c r="A666" s="123">
        <f t="shared" si="168"/>
        <v>3</v>
      </c>
      <c r="B666" s="124"/>
      <c r="C666" s="82" t="s">
        <v>371</v>
      </c>
      <c r="D666" s="82">
        <f t="shared" si="164"/>
        <v>322.59707999999995</v>
      </c>
      <c r="E666" s="82">
        <f t="shared" si="165"/>
        <v>75.574044000000001</v>
      </c>
      <c r="F666" s="82">
        <f t="shared" si="166"/>
        <v>398.17112399999996</v>
      </c>
      <c r="G666" s="82">
        <v>0</v>
      </c>
      <c r="H666" s="82">
        <f t="shared" si="167"/>
        <v>577.34812979999992</v>
      </c>
      <c r="I666" s="35"/>
      <c r="L666" s="122"/>
      <c r="M666" s="122"/>
      <c r="N666" s="35"/>
    </row>
    <row r="667" spans="1:20" s="83" customFormat="1" ht="15.75" customHeight="1" x14ac:dyDescent="0.35">
      <c r="A667" s="123">
        <f t="shared" si="168"/>
        <v>4</v>
      </c>
      <c r="B667" s="124"/>
      <c r="C667" s="82" t="s">
        <v>371</v>
      </c>
      <c r="D667" s="82">
        <f t="shared" si="164"/>
        <v>322.59707999999995</v>
      </c>
      <c r="E667" s="82">
        <f t="shared" si="165"/>
        <v>75.574044000000001</v>
      </c>
      <c r="F667" s="82">
        <f t="shared" si="166"/>
        <v>398.17112399999996</v>
      </c>
      <c r="G667" s="82">
        <v>0</v>
      </c>
      <c r="H667" s="82">
        <f t="shared" si="167"/>
        <v>577.34812979999992</v>
      </c>
      <c r="I667" s="35"/>
      <c r="L667" s="122"/>
      <c r="M667" s="122"/>
      <c r="N667" s="35"/>
      <c r="T667" s="20"/>
    </row>
    <row r="668" spans="1:20" s="83" customFormat="1" ht="15.75" customHeight="1" x14ac:dyDescent="0.35">
      <c r="A668" s="123">
        <f t="shared" si="168"/>
        <v>5</v>
      </c>
      <c r="B668" s="124"/>
      <c r="C668" s="82" t="s">
        <v>371</v>
      </c>
      <c r="D668" s="82">
        <f t="shared" si="164"/>
        <v>322.59707999999995</v>
      </c>
      <c r="E668" s="82">
        <f t="shared" si="165"/>
        <v>75.574044000000001</v>
      </c>
      <c r="F668" s="82">
        <f t="shared" si="166"/>
        <v>398.17112399999996</v>
      </c>
      <c r="G668" s="82">
        <v>0</v>
      </c>
      <c r="H668" s="82">
        <f t="shared" si="167"/>
        <v>577.34812979999992</v>
      </c>
      <c r="I668" s="35"/>
      <c r="L668" s="122"/>
      <c r="M668" s="122"/>
      <c r="N668" s="35"/>
    </row>
    <row r="669" spans="1:20" s="83" customFormat="1" ht="15.75" customHeight="1" x14ac:dyDescent="0.35">
      <c r="A669" s="123">
        <f t="shared" si="168"/>
        <v>6</v>
      </c>
      <c r="B669" s="124"/>
      <c r="C669" s="82" t="s">
        <v>371</v>
      </c>
      <c r="D669" s="82">
        <f t="shared" si="164"/>
        <v>322.59707999999995</v>
      </c>
      <c r="E669" s="82">
        <f t="shared" si="165"/>
        <v>75.574044000000001</v>
      </c>
      <c r="F669" s="82">
        <f t="shared" si="166"/>
        <v>398.17112399999996</v>
      </c>
      <c r="G669" s="82">
        <v>0</v>
      </c>
      <c r="H669" s="82">
        <f t="shared" si="167"/>
        <v>577.34812979999992</v>
      </c>
      <c r="I669" s="35"/>
      <c r="L669" s="122"/>
      <c r="M669" s="122"/>
      <c r="N669" s="35"/>
    </row>
    <row r="670" spans="1:20" s="83" customFormat="1" ht="15.75" customHeight="1" x14ac:dyDescent="0.35">
      <c r="A670" s="123">
        <f t="shared" si="168"/>
        <v>7</v>
      </c>
      <c r="B670" s="124"/>
      <c r="C670" s="82" t="s">
        <v>371</v>
      </c>
      <c r="D670" s="82">
        <f t="shared" si="164"/>
        <v>322.59707999999995</v>
      </c>
      <c r="E670" s="82">
        <f t="shared" si="165"/>
        <v>75.574044000000001</v>
      </c>
      <c r="F670" s="82">
        <f t="shared" si="166"/>
        <v>398.17112399999996</v>
      </c>
      <c r="G670" s="82">
        <v>0</v>
      </c>
      <c r="H670" s="82">
        <f t="shared" si="167"/>
        <v>577.34812979999992</v>
      </c>
      <c r="I670" s="35"/>
      <c r="L670" s="122"/>
      <c r="M670" s="122"/>
      <c r="N670" s="35"/>
      <c r="T670" s="20"/>
    </row>
    <row r="671" spans="1:20" s="83" customFormat="1" x14ac:dyDescent="0.35">
      <c r="A671" s="126" t="s">
        <v>392</v>
      </c>
      <c r="B671" s="127"/>
      <c r="C671" s="127"/>
      <c r="D671" s="127"/>
      <c r="E671" s="127"/>
      <c r="F671" s="127"/>
      <c r="G671" s="127"/>
      <c r="H671" s="128"/>
      <c r="J671" s="35"/>
    </row>
    <row r="672" spans="1:20" s="83" customFormat="1" ht="15.75" customHeight="1" x14ac:dyDescent="0.35">
      <c r="A672" s="123">
        <v>1</v>
      </c>
      <c r="B672" s="124"/>
      <c r="C672" s="82" t="s">
        <v>371</v>
      </c>
      <c r="D672" s="82">
        <f t="shared" ref="D672:D679" si="169">(29.97)*10.764</f>
        <v>322.59707999999995</v>
      </c>
      <c r="E672" s="82">
        <f t="shared" ref="E672:E679" si="170">(1.7*1.2+2.95*0.75+2.45*1.13)*10.764</f>
        <v>75.574044000000001</v>
      </c>
      <c r="F672" s="82">
        <f t="shared" ref="F672:F679" si="171">D672+E672</f>
        <v>398.17112399999996</v>
      </c>
      <c r="G672" s="82">
        <v>0</v>
      </c>
      <c r="H672" s="82">
        <f t="shared" ref="H672:H679" si="172">F672*(($H$449)+1)+(IF(G672&lt;101,G672,IF(G672&lt;201,G672/2,IF(G672&lt;=301,G672/3,G672/4))))</f>
        <v>577.34812979999992</v>
      </c>
      <c r="I672" s="35"/>
      <c r="L672" s="122"/>
      <c r="M672" s="122"/>
      <c r="N672" s="35"/>
    </row>
    <row r="673" spans="1:20" s="83" customFormat="1" ht="15.75" customHeight="1" x14ac:dyDescent="0.35">
      <c r="A673" s="123">
        <f>A672+1</f>
        <v>2</v>
      </c>
      <c r="B673" s="124"/>
      <c r="C673" s="82" t="s">
        <v>371</v>
      </c>
      <c r="D673" s="82">
        <f t="shared" si="169"/>
        <v>322.59707999999995</v>
      </c>
      <c r="E673" s="82">
        <f t="shared" si="170"/>
        <v>75.574044000000001</v>
      </c>
      <c r="F673" s="82">
        <f t="shared" si="171"/>
        <v>398.17112399999996</v>
      </c>
      <c r="G673" s="82">
        <v>0</v>
      </c>
      <c r="H673" s="82">
        <f t="shared" si="172"/>
        <v>577.34812979999992</v>
      </c>
      <c r="I673" s="35"/>
      <c r="L673" s="122"/>
      <c r="M673" s="122"/>
      <c r="N673" s="35"/>
    </row>
    <row r="674" spans="1:20" s="83" customFormat="1" ht="15.75" customHeight="1" x14ac:dyDescent="0.35">
      <c r="A674" s="123">
        <f>A673+1</f>
        <v>3</v>
      </c>
      <c r="B674" s="124"/>
      <c r="C674" s="82" t="s">
        <v>371</v>
      </c>
      <c r="D674" s="82">
        <f t="shared" si="169"/>
        <v>322.59707999999995</v>
      </c>
      <c r="E674" s="82">
        <f t="shared" si="170"/>
        <v>75.574044000000001</v>
      </c>
      <c r="F674" s="82">
        <f t="shared" si="171"/>
        <v>398.17112399999996</v>
      </c>
      <c r="G674" s="82">
        <v>0</v>
      </c>
      <c r="H674" s="82">
        <f t="shared" si="172"/>
        <v>577.34812979999992</v>
      </c>
      <c r="I674" s="35"/>
      <c r="L674" s="122"/>
      <c r="M674" s="122"/>
      <c r="N674" s="35"/>
    </row>
    <row r="675" spans="1:20" s="83" customFormat="1" ht="15.75" customHeight="1" x14ac:dyDescent="0.35">
      <c r="A675" s="123">
        <f>A674+1</f>
        <v>4</v>
      </c>
      <c r="B675" s="124"/>
      <c r="C675" s="82" t="s">
        <v>371</v>
      </c>
      <c r="D675" s="82">
        <f t="shared" si="169"/>
        <v>322.59707999999995</v>
      </c>
      <c r="E675" s="82">
        <f t="shared" si="170"/>
        <v>75.574044000000001</v>
      </c>
      <c r="F675" s="82">
        <f t="shared" si="171"/>
        <v>398.17112399999996</v>
      </c>
      <c r="G675" s="82">
        <v>0</v>
      </c>
      <c r="H675" s="82">
        <f t="shared" si="172"/>
        <v>577.34812979999992</v>
      </c>
      <c r="I675" s="35"/>
      <c r="L675" s="122"/>
      <c r="M675" s="122"/>
      <c r="N675" s="35"/>
      <c r="T675" s="20"/>
    </row>
    <row r="676" spans="1:20" s="83" customFormat="1" ht="15.75" customHeight="1" x14ac:dyDescent="0.35">
      <c r="A676" s="123">
        <f t="shared" ref="A676:A679" si="173">A675+1</f>
        <v>5</v>
      </c>
      <c r="B676" s="124"/>
      <c r="C676" s="82" t="s">
        <v>371</v>
      </c>
      <c r="D676" s="82">
        <f t="shared" si="169"/>
        <v>322.59707999999995</v>
      </c>
      <c r="E676" s="82">
        <f t="shared" si="170"/>
        <v>75.574044000000001</v>
      </c>
      <c r="F676" s="82">
        <f t="shared" si="171"/>
        <v>398.17112399999996</v>
      </c>
      <c r="G676" s="82">
        <v>0</v>
      </c>
      <c r="H676" s="82">
        <f t="shared" si="172"/>
        <v>577.34812979999992</v>
      </c>
      <c r="I676" s="35"/>
      <c r="L676" s="122"/>
      <c r="M676" s="122"/>
      <c r="N676" s="35"/>
    </row>
    <row r="677" spans="1:20" s="83" customFormat="1" ht="15.75" customHeight="1" x14ac:dyDescent="0.35">
      <c r="A677" s="123">
        <f t="shared" si="173"/>
        <v>6</v>
      </c>
      <c r="B677" s="124"/>
      <c r="C677" s="82" t="s">
        <v>371</v>
      </c>
      <c r="D677" s="82">
        <f t="shared" si="169"/>
        <v>322.59707999999995</v>
      </c>
      <c r="E677" s="82">
        <f t="shared" si="170"/>
        <v>75.574044000000001</v>
      </c>
      <c r="F677" s="82">
        <f t="shared" si="171"/>
        <v>398.17112399999996</v>
      </c>
      <c r="G677" s="82">
        <v>0</v>
      </c>
      <c r="H677" s="82">
        <f t="shared" si="172"/>
        <v>577.34812979999992</v>
      </c>
      <c r="I677" s="35"/>
      <c r="L677" s="122"/>
      <c r="M677" s="122"/>
      <c r="N677" s="35"/>
    </row>
    <row r="678" spans="1:20" s="83" customFormat="1" ht="15.75" customHeight="1" x14ac:dyDescent="0.35">
      <c r="A678" s="123">
        <f t="shared" si="173"/>
        <v>7</v>
      </c>
      <c r="B678" s="124"/>
      <c r="C678" s="82" t="s">
        <v>371</v>
      </c>
      <c r="D678" s="82">
        <f t="shared" si="169"/>
        <v>322.59707999999995</v>
      </c>
      <c r="E678" s="82">
        <f t="shared" si="170"/>
        <v>75.574044000000001</v>
      </c>
      <c r="F678" s="82">
        <f t="shared" si="171"/>
        <v>398.17112399999996</v>
      </c>
      <c r="G678" s="82">
        <v>0</v>
      </c>
      <c r="H678" s="82">
        <f t="shared" si="172"/>
        <v>577.34812979999992</v>
      </c>
      <c r="I678" s="35"/>
      <c r="L678" s="122"/>
      <c r="M678" s="122"/>
      <c r="N678" s="35"/>
    </row>
    <row r="679" spans="1:20" s="83" customFormat="1" ht="15.75" customHeight="1" x14ac:dyDescent="0.35">
      <c r="A679" s="123">
        <f t="shared" si="173"/>
        <v>8</v>
      </c>
      <c r="B679" s="124"/>
      <c r="C679" s="82" t="s">
        <v>371</v>
      </c>
      <c r="D679" s="82">
        <f t="shared" si="169"/>
        <v>322.59707999999995</v>
      </c>
      <c r="E679" s="82">
        <f t="shared" si="170"/>
        <v>75.574044000000001</v>
      </c>
      <c r="F679" s="82">
        <f t="shared" si="171"/>
        <v>398.17112399999996</v>
      </c>
      <c r="G679" s="82">
        <v>0</v>
      </c>
      <c r="H679" s="82">
        <f t="shared" si="172"/>
        <v>577.34812979999992</v>
      </c>
      <c r="I679" s="35"/>
      <c r="L679" s="122"/>
      <c r="M679" s="122"/>
      <c r="N679" s="35"/>
      <c r="T679" s="20"/>
    </row>
    <row r="680" spans="1:20" s="83" customFormat="1" x14ac:dyDescent="0.35">
      <c r="A680" s="134" t="s">
        <v>385</v>
      </c>
      <c r="B680" s="135"/>
      <c r="C680" s="135"/>
      <c r="D680" s="135"/>
      <c r="E680" s="135"/>
      <c r="F680" s="135"/>
      <c r="G680" s="135"/>
      <c r="H680" s="136"/>
      <c r="J680" s="35"/>
      <c r="T680" s="34"/>
    </row>
    <row r="681" spans="1:20" s="83" customFormat="1" x14ac:dyDescent="0.35">
      <c r="A681" s="126" t="s">
        <v>389</v>
      </c>
      <c r="B681" s="127"/>
      <c r="C681" s="127"/>
      <c r="D681" s="127"/>
      <c r="E681" s="127"/>
      <c r="F681" s="127"/>
      <c r="G681" s="127"/>
      <c r="H681" s="128"/>
      <c r="J681" s="35"/>
      <c r="T681" s="34"/>
    </row>
    <row r="682" spans="1:20" s="83" customFormat="1" ht="15.75" customHeight="1" x14ac:dyDescent="0.35">
      <c r="A682" s="123">
        <v>1</v>
      </c>
      <c r="B682" s="124"/>
      <c r="C682" s="82" t="s">
        <v>371</v>
      </c>
      <c r="D682" s="82">
        <f t="shared" ref="D682:D684" si="174">(29.97)*10.764</f>
        <v>322.59707999999995</v>
      </c>
      <c r="E682" s="82">
        <f t="shared" ref="E682:E684" si="175">(1.7*1.2+2.95*0.75+2.45*1.13)*10.764</f>
        <v>75.574044000000001</v>
      </c>
      <c r="F682" s="82">
        <f>D682+E682</f>
        <v>398.17112399999996</v>
      </c>
      <c r="G682" s="82">
        <v>0</v>
      </c>
      <c r="H682" s="82">
        <f>F682*(($H$449)+1)+(IF(G682&lt;101,G682,IF(G682&lt;201,G682/2,IF(G682&lt;=301,G682/3,G682/4))))</f>
        <v>577.34812979999992</v>
      </c>
      <c r="I682" s="35"/>
      <c r="L682" s="122"/>
      <c r="M682" s="122"/>
      <c r="N682" s="35"/>
    </row>
    <row r="683" spans="1:20" s="83" customFormat="1" ht="15.75" customHeight="1" x14ac:dyDescent="0.35">
      <c r="A683" s="123">
        <f>A682+1</f>
        <v>2</v>
      </c>
      <c r="B683" s="124"/>
      <c r="C683" s="82" t="s">
        <v>371</v>
      </c>
      <c r="D683" s="82">
        <f t="shared" si="174"/>
        <v>322.59707999999995</v>
      </c>
      <c r="E683" s="82">
        <f t="shared" si="175"/>
        <v>75.574044000000001</v>
      </c>
      <c r="F683" s="82">
        <f>D683+E683</f>
        <v>398.17112399999996</v>
      </c>
      <c r="G683" s="82">
        <v>0</v>
      </c>
      <c r="H683" s="82">
        <f>F683*(($H$449)+1)+(IF(G683&lt;101,G683,IF(G683&lt;201,G683/2,IF(G683&lt;=301,G683/3,G683/4))))</f>
        <v>577.34812979999992</v>
      </c>
      <c r="I683" s="35"/>
      <c r="L683" s="122"/>
      <c r="M683" s="122"/>
      <c r="N683" s="35"/>
    </row>
    <row r="684" spans="1:20" s="83" customFormat="1" ht="15.75" customHeight="1" x14ac:dyDescent="0.35">
      <c r="A684" s="123">
        <f>A683+1</f>
        <v>3</v>
      </c>
      <c r="B684" s="124"/>
      <c r="C684" s="82" t="s">
        <v>371</v>
      </c>
      <c r="D684" s="82">
        <f t="shared" si="174"/>
        <v>322.59707999999995</v>
      </c>
      <c r="E684" s="82">
        <f t="shared" si="175"/>
        <v>75.574044000000001</v>
      </c>
      <c r="F684" s="82">
        <f>D684+E684</f>
        <v>398.17112399999996</v>
      </c>
      <c r="G684" s="82">
        <v>0</v>
      </c>
      <c r="H684" s="82">
        <f>F684*(($H$449)+1)+(IF(G684&lt;101,G684,IF(G684&lt;201,G684/2,IF(G684&lt;=301,G684/3,G684/4))))</f>
        <v>577.34812979999992</v>
      </c>
      <c r="I684" s="35"/>
      <c r="L684" s="122"/>
      <c r="M684" s="122"/>
      <c r="N684" s="35"/>
    </row>
    <row r="685" spans="1:20" s="83" customFormat="1" ht="15.75" customHeight="1" x14ac:dyDescent="0.35">
      <c r="A685" s="123" t="s">
        <v>390</v>
      </c>
      <c r="B685" s="124"/>
      <c r="C685" s="123" t="s">
        <v>391</v>
      </c>
      <c r="D685" s="129"/>
      <c r="E685" s="129"/>
      <c r="F685" s="129"/>
      <c r="G685" s="129"/>
      <c r="H685" s="124"/>
      <c r="I685" s="35"/>
      <c r="L685" s="122"/>
      <c r="M685" s="122"/>
      <c r="N685" s="35"/>
      <c r="T685" s="20"/>
    </row>
    <row r="686" spans="1:20" s="83" customFormat="1" x14ac:dyDescent="0.35">
      <c r="A686" s="130" t="s">
        <v>392</v>
      </c>
      <c r="B686" s="130"/>
      <c r="C686" s="130"/>
      <c r="D686" s="130"/>
      <c r="E686" s="130"/>
      <c r="F686" s="130"/>
      <c r="G686" s="130"/>
      <c r="H686" s="130"/>
      <c r="J686" s="35"/>
    </row>
    <row r="687" spans="1:20" s="83" customFormat="1" ht="15.75" customHeight="1" x14ac:dyDescent="0.35">
      <c r="A687" s="125">
        <v>1</v>
      </c>
      <c r="B687" s="125"/>
      <c r="C687" s="96" t="s">
        <v>371</v>
      </c>
      <c r="D687" s="96">
        <f t="shared" ref="D687:D694" si="176">(29.97)*10.764</f>
        <v>322.59707999999995</v>
      </c>
      <c r="E687" s="96">
        <f t="shared" ref="E687:E694" si="177">(1.7*1.2+2.95*0.75+2.45*1.13)*10.764</f>
        <v>75.574044000000001</v>
      </c>
      <c r="F687" s="96">
        <f t="shared" ref="F687:F694" si="178">D687+E687</f>
        <v>398.17112399999996</v>
      </c>
      <c r="G687" s="96">
        <v>0</v>
      </c>
      <c r="H687" s="96">
        <f t="shared" ref="H687:H694" si="179">F687*(($H$449)+1)+(IF(G687&lt;101,G687,IF(G687&lt;201,G687/2,IF(G687&lt;=301,G687/3,G687/4))))</f>
        <v>577.34812979999992</v>
      </c>
      <c r="I687" s="35"/>
      <c r="L687" s="122"/>
      <c r="M687" s="122"/>
      <c r="N687" s="35"/>
    </row>
    <row r="688" spans="1:20" s="83" customFormat="1" ht="15.75" customHeight="1" x14ac:dyDescent="0.35">
      <c r="A688" s="125">
        <f>A687+1</f>
        <v>2</v>
      </c>
      <c r="B688" s="125"/>
      <c r="C688" s="96" t="s">
        <v>371</v>
      </c>
      <c r="D688" s="96">
        <f t="shared" si="176"/>
        <v>322.59707999999995</v>
      </c>
      <c r="E688" s="96">
        <f t="shared" si="177"/>
        <v>75.574044000000001</v>
      </c>
      <c r="F688" s="96">
        <f t="shared" si="178"/>
        <v>398.17112399999996</v>
      </c>
      <c r="G688" s="96">
        <v>0</v>
      </c>
      <c r="H688" s="96">
        <f t="shared" si="179"/>
        <v>577.34812979999992</v>
      </c>
      <c r="I688" s="35"/>
      <c r="L688" s="122"/>
      <c r="M688" s="122"/>
      <c r="N688" s="35"/>
    </row>
    <row r="689" spans="1:20" s="83" customFormat="1" ht="15.75" customHeight="1" x14ac:dyDescent="0.35">
      <c r="A689" s="125">
        <f>A688+1</f>
        <v>3</v>
      </c>
      <c r="B689" s="125"/>
      <c r="C689" s="96" t="s">
        <v>371</v>
      </c>
      <c r="D689" s="96">
        <f t="shared" si="176"/>
        <v>322.59707999999995</v>
      </c>
      <c r="E689" s="96">
        <f t="shared" si="177"/>
        <v>75.574044000000001</v>
      </c>
      <c r="F689" s="96">
        <f t="shared" si="178"/>
        <v>398.17112399999996</v>
      </c>
      <c r="G689" s="96">
        <v>0</v>
      </c>
      <c r="H689" s="96">
        <f t="shared" si="179"/>
        <v>577.34812979999992</v>
      </c>
      <c r="I689" s="35"/>
      <c r="L689" s="122"/>
      <c r="M689" s="122"/>
      <c r="N689" s="35"/>
    </row>
    <row r="690" spans="1:20" s="83" customFormat="1" ht="15.75" customHeight="1" x14ac:dyDescent="0.35">
      <c r="A690" s="125">
        <f>A689+1</f>
        <v>4</v>
      </c>
      <c r="B690" s="125"/>
      <c r="C690" s="96" t="s">
        <v>371</v>
      </c>
      <c r="D690" s="96">
        <f t="shared" si="176"/>
        <v>322.59707999999995</v>
      </c>
      <c r="E690" s="96">
        <f t="shared" si="177"/>
        <v>75.574044000000001</v>
      </c>
      <c r="F690" s="96">
        <f t="shared" si="178"/>
        <v>398.17112399999996</v>
      </c>
      <c r="G690" s="96">
        <v>0</v>
      </c>
      <c r="H690" s="96">
        <f t="shared" si="179"/>
        <v>577.34812979999992</v>
      </c>
      <c r="I690" s="35"/>
      <c r="L690" s="122"/>
      <c r="M690" s="122"/>
      <c r="N690" s="35"/>
      <c r="T690" s="20"/>
    </row>
    <row r="691" spans="1:20" s="83" customFormat="1" ht="15.75" customHeight="1" x14ac:dyDescent="0.35">
      <c r="A691" s="125">
        <f t="shared" ref="A691:A694" si="180">A690+1</f>
        <v>5</v>
      </c>
      <c r="B691" s="125"/>
      <c r="C691" s="96" t="s">
        <v>371</v>
      </c>
      <c r="D691" s="96">
        <f t="shared" si="176"/>
        <v>322.59707999999995</v>
      </c>
      <c r="E691" s="96">
        <f t="shared" si="177"/>
        <v>75.574044000000001</v>
      </c>
      <c r="F691" s="96">
        <f t="shared" si="178"/>
        <v>398.17112399999996</v>
      </c>
      <c r="G691" s="96">
        <v>0</v>
      </c>
      <c r="H691" s="96">
        <f t="shared" si="179"/>
        <v>577.34812979999992</v>
      </c>
      <c r="I691" s="35"/>
      <c r="L691" s="122"/>
      <c r="M691" s="122"/>
      <c r="N691" s="35"/>
    </row>
    <row r="692" spans="1:20" s="83" customFormat="1" ht="15.75" customHeight="1" x14ac:dyDescent="0.35">
      <c r="A692" s="125">
        <f t="shared" si="180"/>
        <v>6</v>
      </c>
      <c r="B692" s="125"/>
      <c r="C692" s="96" t="s">
        <v>371</v>
      </c>
      <c r="D692" s="96">
        <f t="shared" si="176"/>
        <v>322.59707999999995</v>
      </c>
      <c r="E692" s="96">
        <f t="shared" si="177"/>
        <v>75.574044000000001</v>
      </c>
      <c r="F692" s="96">
        <f t="shared" si="178"/>
        <v>398.17112399999996</v>
      </c>
      <c r="G692" s="96">
        <v>0</v>
      </c>
      <c r="H692" s="96">
        <f t="shared" si="179"/>
        <v>577.34812979999992</v>
      </c>
      <c r="I692" s="35"/>
      <c r="L692" s="122"/>
      <c r="M692" s="122"/>
      <c r="N692" s="35"/>
    </row>
    <row r="693" spans="1:20" s="83" customFormat="1" ht="15.75" customHeight="1" x14ac:dyDescent="0.35">
      <c r="A693" s="125">
        <f t="shared" si="180"/>
        <v>7</v>
      </c>
      <c r="B693" s="125"/>
      <c r="C693" s="96" t="s">
        <v>371</v>
      </c>
      <c r="D693" s="96">
        <f t="shared" si="176"/>
        <v>322.59707999999995</v>
      </c>
      <c r="E693" s="96">
        <f t="shared" si="177"/>
        <v>75.574044000000001</v>
      </c>
      <c r="F693" s="96">
        <f t="shared" si="178"/>
        <v>398.17112399999996</v>
      </c>
      <c r="G693" s="96">
        <v>0</v>
      </c>
      <c r="H693" s="96">
        <f t="shared" si="179"/>
        <v>577.34812979999992</v>
      </c>
      <c r="I693" s="35"/>
      <c r="L693" s="122"/>
      <c r="M693" s="122"/>
      <c r="N693" s="35"/>
    </row>
    <row r="694" spans="1:20" s="83" customFormat="1" ht="15.75" customHeight="1" x14ac:dyDescent="0.35">
      <c r="A694" s="125">
        <f t="shared" si="180"/>
        <v>8</v>
      </c>
      <c r="B694" s="125"/>
      <c r="C694" s="96" t="s">
        <v>371</v>
      </c>
      <c r="D694" s="96">
        <f t="shared" si="176"/>
        <v>322.59707999999995</v>
      </c>
      <c r="E694" s="96">
        <f t="shared" si="177"/>
        <v>75.574044000000001</v>
      </c>
      <c r="F694" s="96">
        <f t="shared" si="178"/>
        <v>398.17112399999996</v>
      </c>
      <c r="G694" s="96">
        <v>0</v>
      </c>
      <c r="H694" s="96">
        <f t="shared" si="179"/>
        <v>577.34812979999992</v>
      </c>
      <c r="I694" s="35"/>
      <c r="L694" s="122"/>
      <c r="M694" s="122"/>
      <c r="N694" s="35"/>
      <c r="T694" s="20"/>
    </row>
    <row r="695" spans="1:20" s="83" customFormat="1" x14ac:dyDescent="0.35">
      <c r="A695" s="134" t="s">
        <v>386</v>
      </c>
      <c r="B695" s="135"/>
      <c r="C695" s="135"/>
      <c r="D695" s="135"/>
      <c r="E695" s="135"/>
      <c r="F695" s="135"/>
      <c r="G695" s="135"/>
      <c r="H695" s="136"/>
      <c r="J695" s="35"/>
      <c r="T695" s="34"/>
    </row>
    <row r="696" spans="1:20" s="83" customFormat="1" x14ac:dyDescent="0.35">
      <c r="A696" s="126" t="s">
        <v>374</v>
      </c>
      <c r="B696" s="127"/>
      <c r="C696" s="127"/>
      <c r="D696" s="127"/>
      <c r="E696" s="127"/>
      <c r="F696" s="127"/>
      <c r="G696" s="127"/>
      <c r="H696" s="128"/>
      <c r="J696" s="35"/>
      <c r="T696" s="34"/>
    </row>
    <row r="697" spans="1:20" s="83" customFormat="1" ht="15.75" customHeight="1" x14ac:dyDescent="0.35">
      <c r="A697" s="123">
        <v>1</v>
      </c>
      <c r="B697" s="124"/>
      <c r="C697" s="82" t="s">
        <v>371</v>
      </c>
      <c r="D697" s="82">
        <f t="shared" ref="D697:D700" si="181">(29.97)*10.764</f>
        <v>322.59707999999995</v>
      </c>
      <c r="E697" s="82">
        <f t="shared" ref="E697:E699" si="182">(1.7*1.2+2.95*0.75+2.45*1.13)*10.764</f>
        <v>75.574044000000001</v>
      </c>
      <c r="F697" s="82">
        <f>D697+E697</f>
        <v>398.17112399999996</v>
      </c>
      <c r="G697" s="82">
        <v>0</v>
      </c>
      <c r="H697" s="82">
        <f>F697*(($H$449)+1)+(IF(G697&lt;101,G697,IF(G697&lt;201,G697/2,IF(G697&lt;=301,G697/3,G697/4))))</f>
        <v>577.34812979999992</v>
      </c>
      <c r="I697" s="35"/>
      <c r="L697" s="122"/>
      <c r="M697" s="122"/>
      <c r="N697" s="35"/>
    </row>
    <row r="698" spans="1:20" s="83" customFormat="1" ht="15.75" customHeight="1" x14ac:dyDescent="0.35">
      <c r="A698" s="123">
        <f>A697+1</f>
        <v>2</v>
      </c>
      <c r="B698" s="124"/>
      <c r="C698" s="82" t="s">
        <v>371</v>
      </c>
      <c r="D698" s="82">
        <f t="shared" si="181"/>
        <v>322.59707999999995</v>
      </c>
      <c r="E698" s="82">
        <f t="shared" si="182"/>
        <v>75.574044000000001</v>
      </c>
      <c r="F698" s="82">
        <f>D698+E698</f>
        <v>398.17112399999996</v>
      </c>
      <c r="G698" s="82">
        <v>0</v>
      </c>
      <c r="H698" s="82">
        <f>F698*(($H$449)+1)+(IF(G698&lt;101,G698,IF(G698&lt;201,G698/2,IF(G698&lt;=301,G698/3,G698/4))))</f>
        <v>577.34812979999992</v>
      </c>
      <c r="I698" s="35"/>
      <c r="L698" s="122"/>
      <c r="M698" s="122"/>
      <c r="N698" s="35"/>
    </row>
    <row r="699" spans="1:20" s="83" customFormat="1" ht="15.75" customHeight="1" x14ac:dyDescent="0.35">
      <c r="A699" s="123">
        <f>A698+1</f>
        <v>3</v>
      </c>
      <c r="B699" s="124"/>
      <c r="C699" s="82" t="s">
        <v>371</v>
      </c>
      <c r="D699" s="82">
        <f t="shared" si="181"/>
        <v>322.59707999999995</v>
      </c>
      <c r="E699" s="82">
        <f t="shared" si="182"/>
        <v>75.574044000000001</v>
      </c>
      <c r="F699" s="82">
        <f>D699+E699</f>
        <v>398.17112399999996</v>
      </c>
      <c r="G699" s="82">
        <v>0</v>
      </c>
      <c r="H699" s="82">
        <f>F699*(($H$449)+1)+(IF(G699&lt;101,G699,IF(G699&lt;201,G699/2,IF(G699&lt;=301,G699/3,G699/4))))</f>
        <v>577.34812979999992</v>
      </c>
      <c r="I699" s="35"/>
      <c r="L699" s="122"/>
      <c r="M699" s="122"/>
      <c r="N699" s="35"/>
    </row>
    <row r="700" spans="1:20" s="83" customFormat="1" ht="15.75" hidden="1" customHeight="1" x14ac:dyDescent="0.35">
      <c r="A700" s="123">
        <f>A699+1</f>
        <v>4</v>
      </c>
      <c r="B700" s="124"/>
      <c r="C700" s="82"/>
      <c r="D700" s="82">
        <f t="shared" si="181"/>
        <v>322.59707999999995</v>
      </c>
      <c r="E700" s="82">
        <v>0</v>
      </c>
      <c r="F700" s="82">
        <f>D700+E700</f>
        <v>322.59707999999995</v>
      </c>
      <c r="G700" s="82">
        <v>0</v>
      </c>
      <c r="H700" s="82">
        <f>F700*(($H$449)+1)+(IF(G700&lt;101,G700,IF(G700&lt;201,G700/2,IF(G700&lt;=301,G700/3,G700/4))))</f>
        <v>467.76576599999993</v>
      </c>
      <c r="I700" s="35"/>
      <c r="L700" s="122"/>
      <c r="M700" s="122"/>
      <c r="N700" s="35"/>
      <c r="T700" s="20"/>
    </row>
    <row r="701" spans="1:20" s="83" customFormat="1" x14ac:dyDescent="0.35">
      <c r="A701" s="126" t="s">
        <v>372</v>
      </c>
      <c r="B701" s="127"/>
      <c r="C701" s="127"/>
      <c r="D701" s="127"/>
      <c r="E701" s="127"/>
      <c r="F701" s="127"/>
      <c r="G701" s="127"/>
      <c r="H701" s="128"/>
      <c r="J701" s="35"/>
    </row>
    <row r="702" spans="1:20" s="83" customFormat="1" ht="15.75" customHeight="1" x14ac:dyDescent="0.35">
      <c r="A702" s="123">
        <v>1</v>
      </c>
      <c r="B702" s="124"/>
      <c r="C702" s="82" t="s">
        <v>371</v>
      </c>
      <c r="D702" s="82">
        <f t="shared" ref="D702:D718" si="183">(29.97)*10.764</f>
        <v>322.59707999999995</v>
      </c>
      <c r="E702" s="82">
        <f t="shared" ref="E702:E718" si="184">(1.7*1.2+2.95*0.75+2.45*1.13)*10.764</f>
        <v>75.574044000000001</v>
      </c>
      <c r="F702" s="82">
        <f t="shared" ref="F702:F709" si="185">D702+E702</f>
        <v>398.17112399999996</v>
      </c>
      <c r="G702" s="82">
        <v>0</v>
      </c>
      <c r="H702" s="82">
        <f t="shared" ref="H702:H709" si="186">F702*(($H$449)+1)+(IF(G702&lt;101,G702,IF(G702&lt;201,G702/2,IF(G702&lt;=301,G702/3,G702/4))))</f>
        <v>577.34812979999992</v>
      </c>
      <c r="I702" s="35"/>
      <c r="L702" s="122"/>
      <c r="M702" s="122"/>
      <c r="N702" s="35"/>
    </row>
    <row r="703" spans="1:20" s="83" customFormat="1" ht="15.75" customHeight="1" x14ac:dyDescent="0.35">
      <c r="A703" s="123">
        <f>A702+1</f>
        <v>2</v>
      </c>
      <c r="B703" s="124"/>
      <c r="C703" s="82" t="s">
        <v>371</v>
      </c>
      <c r="D703" s="82">
        <f t="shared" si="183"/>
        <v>322.59707999999995</v>
      </c>
      <c r="E703" s="82">
        <f t="shared" si="184"/>
        <v>75.574044000000001</v>
      </c>
      <c r="F703" s="82">
        <f t="shared" si="185"/>
        <v>398.17112399999996</v>
      </c>
      <c r="G703" s="82">
        <v>0</v>
      </c>
      <c r="H703" s="82">
        <f t="shared" si="186"/>
        <v>577.34812979999992</v>
      </c>
      <c r="I703" s="35"/>
      <c r="L703" s="122"/>
      <c r="M703" s="122"/>
      <c r="N703" s="35"/>
    </row>
    <row r="704" spans="1:20" s="83" customFormat="1" ht="15.75" customHeight="1" x14ac:dyDescent="0.35">
      <c r="A704" s="123">
        <f>A703+1</f>
        <v>3</v>
      </c>
      <c r="B704" s="124"/>
      <c r="C704" s="82" t="s">
        <v>371</v>
      </c>
      <c r="D704" s="82">
        <f t="shared" si="183"/>
        <v>322.59707999999995</v>
      </c>
      <c r="E704" s="82">
        <f t="shared" si="184"/>
        <v>75.574044000000001</v>
      </c>
      <c r="F704" s="82">
        <f t="shared" si="185"/>
        <v>398.17112399999996</v>
      </c>
      <c r="G704" s="82">
        <f>(1.13*2.95+1.7*1.6)*10.764</f>
        <v>65.159873999999988</v>
      </c>
      <c r="H704" s="82">
        <f t="shared" si="186"/>
        <v>642.50800379999987</v>
      </c>
      <c r="I704" s="35"/>
      <c r="L704" s="122"/>
      <c r="M704" s="122"/>
      <c r="N704" s="35"/>
    </row>
    <row r="705" spans="1:20" s="83" customFormat="1" ht="15.75" customHeight="1" x14ac:dyDescent="0.35">
      <c r="A705" s="123">
        <f>A704+1</f>
        <v>4</v>
      </c>
      <c r="B705" s="124"/>
      <c r="C705" s="82" t="s">
        <v>371</v>
      </c>
      <c r="D705" s="82">
        <f t="shared" si="183"/>
        <v>322.59707999999995</v>
      </c>
      <c r="E705" s="82">
        <f t="shared" si="184"/>
        <v>75.574044000000001</v>
      </c>
      <c r="F705" s="82">
        <f t="shared" si="185"/>
        <v>398.17112399999996</v>
      </c>
      <c r="G705" s="82">
        <f>(1.13*2.95+1.7*1.6+1.375*4.95)*10.764</f>
        <v>138.422349</v>
      </c>
      <c r="H705" s="82">
        <f t="shared" si="186"/>
        <v>646.55930429999989</v>
      </c>
      <c r="I705" s="35"/>
      <c r="L705" s="122"/>
      <c r="M705" s="122"/>
      <c r="N705" s="35"/>
      <c r="T705" s="20"/>
    </row>
    <row r="706" spans="1:20" s="83" customFormat="1" ht="15.75" customHeight="1" x14ac:dyDescent="0.35">
      <c r="A706" s="123">
        <f t="shared" ref="A706:A709" si="187">A705+1</f>
        <v>5</v>
      </c>
      <c r="B706" s="124"/>
      <c r="C706" s="82" t="s">
        <v>371</v>
      </c>
      <c r="D706" s="82">
        <f t="shared" si="183"/>
        <v>322.59707999999995</v>
      </c>
      <c r="E706" s="82">
        <f t="shared" si="184"/>
        <v>75.574044000000001</v>
      </c>
      <c r="F706" s="82">
        <f t="shared" si="185"/>
        <v>398.17112399999996</v>
      </c>
      <c r="G706" s="82">
        <f>(1.13*2.95+1.7*1.6+1.375*4.95)*10.764</f>
        <v>138.422349</v>
      </c>
      <c r="H706" s="82">
        <f t="shared" si="186"/>
        <v>646.55930429999989</v>
      </c>
      <c r="I706" s="35"/>
      <c r="L706" s="122"/>
      <c r="M706" s="122"/>
      <c r="N706" s="35"/>
    </row>
    <row r="707" spans="1:20" s="83" customFormat="1" ht="15.75" customHeight="1" x14ac:dyDescent="0.35">
      <c r="A707" s="123">
        <f t="shared" si="187"/>
        <v>6</v>
      </c>
      <c r="B707" s="124"/>
      <c r="C707" s="82" t="s">
        <v>371</v>
      </c>
      <c r="D707" s="82">
        <f t="shared" si="183"/>
        <v>322.59707999999995</v>
      </c>
      <c r="E707" s="82">
        <f t="shared" si="184"/>
        <v>75.574044000000001</v>
      </c>
      <c r="F707" s="82">
        <f t="shared" si="185"/>
        <v>398.17112399999996</v>
      </c>
      <c r="G707" s="82">
        <f>(1.13*2.95+1.7*1.6)*10.764</f>
        <v>65.159873999999988</v>
      </c>
      <c r="H707" s="82">
        <f t="shared" si="186"/>
        <v>642.50800379999987</v>
      </c>
      <c r="I707" s="35"/>
      <c r="L707" s="122"/>
      <c r="M707" s="122"/>
      <c r="N707" s="35"/>
    </row>
    <row r="708" spans="1:20" s="83" customFormat="1" ht="15.75" customHeight="1" x14ac:dyDescent="0.35">
      <c r="A708" s="123">
        <f t="shared" si="187"/>
        <v>7</v>
      </c>
      <c r="B708" s="124"/>
      <c r="C708" s="82" t="s">
        <v>371</v>
      </c>
      <c r="D708" s="82">
        <f t="shared" si="183"/>
        <v>322.59707999999995</v>
      </c>
      <c r="E708" s="82">
        <f t="shared" si="184"/>
        <v>75.574044000000001</v>
      </c>
      <c r="F708" s="82">
        <f t="shared" si="185"/>
        <v>398.17112399999996</v>
      </c>
      <c r="G708" s="82">
        <v>0</v>
      </c>
      <c r="H708" s="82">
        <f t="shared" si="186"/>
        <v>577.34812979999992</v>
      </c>
      <c r="I708" s="35"/>
      <c r="L708" s="122"/>
      <c r="M708" s="122"/>
      <c r="N708" s="35"/>
    </row>
    <row r="709" spans="1:20" s="83" customFormat="1" ht="15.75" customHeight="1" x14ac:dyDescent="0.35">
      <c r="A709" s="123">
        <f t="shared" si="187"/>
        <v>8</v>
      </c>
      <c r="B709" s="124"/>
      <c r="C709" s="82" t="s">
        <v>371</v>
      </c>
      <c r="D709" s="82">
        <f t="shared" si="183"/>
        <v>322.59707999999995</v>
      </c>
      <c r="E709" s="82">
        <f t="shared" si="184"/>
        <v>75.574044000000001</v>
      </c>
      <c r="F709" s="82">
        <f t="shared" si="185"/>
        <v>398.17112399999996</v>
      </c>
      <c r="G709" s="82">
        <v>0</v>
      </c>
      <c r="H709" s="82">
        <f t="shared" si="186"/>
        <v>577.34812979999992</v>
      </c>
      <c r="I709" s="35"/>
      <c r="L709" s="122"/>
      <c r="M709" s="122"/>
      <c r="N709" s="35"/>
      <c r="T709" s="20"/>
    </row>
    <row r="710" spans="1:20" s="83" customFormat="1" x14ac:dyDescent="0.35">
      <c r="A710" s="126" t="s">
        <v>375</v>
      </c>
      <c r="B710" s="127"/>
      <c r="C710" s="127"/>
      <c r="D710" s="127"/>
      <c r="E710" s="127"/>
      <c r="F710" s="127"/>
      <c r="G710" s="127"/>
      <c r="H710" s="128"/>
      <c r="J710" s="35"/>
    </row>
    <row r="711" spans="1:20" s="83" customFormat="1" ht="15.75" customHeight="1" x14ac:dyDescent="0.35">
      <c r="A711" s="123">
        <v>1</v>
      </c>
      <c r="B711" s="124"/>
      <c r="C711" s="82" t="s">
        <v>371</v>
      </c>
      <c r="D711" s="82">
        <f t="shared" si="183"/>
        <v>322.59707999999995</v>
      </c>
      <c r="E711" s="82">
        <f t="shared" si="184"/>
        <v>75.574044000000001</v>
      </c>
      <c r="F711" s="82">
        <f t="shared" ref="F711:F718" si="188">D711+E711</f>
        <v>398.17112399999996</v>
      </c>
      <c r="G711" s="82">
        <v>0</v>
      </c>
      <c r="H711" s="82">
        <f t="shared" ref="H711:H718" si="189">F711*(($H$449)+1)+(IF(G711&lt;101,G711,IF(G711&lt;201,G711/2,IF(G711&lt;=301,G711/3,G711/4))))</f>
        <v>577.34812979999992</v>
      </c>
      <c r="I711" s="35"/>
      <c r="L711" s="122"/>
      <c r="M711" s="122"/>
      <c r="N711" s="35"/>
    </row>
    <row r="712" spans="1:20" s="83" customFormat="1" ht="15.75" customHeight="1" x14ac:dyDescent="0.35">
      <c r="A712" s="123">
        <f>A711+1</f>
        <v>2</v>
      </c>
      <c r="B712" s="124"/>
      <c r="C712" s="82" t="s">
        <v>371</v>
      </c>
      <c r="D712" s="82">
        <f t="shared" si="183"/>
        <v>322.59707999999995</v>
      </c>
      <c r="E712" s="82">
        <f t="shared" si="184"/>
        <v>75.574044000000001</v>
      </c>
      <c r="F712" s="82">
        <f t="shared" si="188"/>
        <v>398.17112399999996</v>
      </c>
      <c r="G712" s="82">
        <v>0</v>
      </c>
      <c r="H712" s="82">
        <f t="shared" si="189"/>
        <v>577.34812979999992</v>
      </c>
      <c r="I712" s="35"/>
      <c r="L712" s="122"/>
      <c r="M712" s="122"/>
      <c r="N712" s="35"/>
    </row>
    <row r="713" spans="1:20" s="83" customFormat="1" ht="15.75" customHeight="1" x14ac:dyDescent="0.35">
      <c r="A713" s="123">
        <f>A712+1</f>
        <v>3</v>
      </c>
      <c r="B713" s="124"/>
      <c r="C713" s="82" t="s">
        <v>371</v>
      </c>
      <c r="D713" s="82">
        <f t="shared" si="183"/>
        <v>322.59707999999995</v>
      </c>
      <c r="E713" s="82">
        <f t="shared" si="184"/>
        <v>75.574044000000001</v>
      </c>
      <c r="F713" s="82">
        <f t="shared" si="188"/>
        <v>398.17112399999996</v>
      </c>
      <c r="G713" s="82">
        <v>0</v>
      </c>
      <c r="H713" s="82">
        <f t="shared" si="189"/>
        <v>577.34812979999992</v>
      </c>
      <c r="I713" s="35"/>
      <c r="L713" s="122"/>
      <c r="M713" s="122"/>
      <c r="N713" s="35"/>
    </row>
    <row r="714" spans="1:20" s="83" customFormat="1" ht="15.75" customHeight="1" x14ac:dyDescent="0.35">
      <c r="A714" s="123">
        <f>A713+1</f>
        <v>4</v>
      </c>
      <c r="B714" s="124"/>
      <c r="C714" s="82" t="s">
        <v>371</v>
      </c>
      <c r="D714" s="82">
        <f t="shared" si="183"/>
        <v>322.59707999999995</v>
      </c>
      <c r="E714" s="82">
        <f t="shared" si="184"/>
        <v>75.574044000000001</v>
      </c>
      <c r="F714" s="82">
        <f t="shared" si="188"/>
        <v>398.17112399999996</v>
      </c>
      <c r="G714" s="82">
        <v>0</v>
      </c>
      <c r="H714" s="82">
        <f t="shared" si="189"/>
        <v>577.34812979999992</v>
      </c>
      <c r="I714" s="35"/>
      <c r="L714" s="122"/>
      <c r="M714" s="122"/>
      <c r="N714" s="35"/>
      <c r="T714" s="20"/>
    </row>
    <row r="715" spans="1:20" s="83" customFormat="1" ht="15.75" customHeight="1" x14ac:dyDescent="0.35">
      <c r="A715" s="123">
        <f t="shared" ref="A715:A718" si="190">A714+1</f>
        <v>5</v>
      </c>
      <c r="B715" s="124"/>
      <c r="C715" s="82" t="s">
        <v>371</v>
      </c>
      <c r="D715" s="82">
        <f t="shared" si="183"/>
        <v>322.59707999999995</v>
      </c>
      <c r="E715" s="82">
        <f t="shared" si="184"/>
        <v>75.574044000000001</v>
      </c>
      <c r="F715" s="82">
        <f t="shared" si="188"/>
        <v>398.17112399999996</v>
      </c>
      <c r="G715" s="82">
        <v>0</v>
      </c>
      <c r="H715" s="82">
        <f t="shared" si="189"/>
        <v>577.34812979999992</v>
      </c>
      <c r="I715" s="35"/>
      <c r="L715" s="122"/>
      <c r="M715" s="122"/>
      <c r="N715" s="35"/>
    </row>
    <row r="716" spans="1:20" s="83" customFormat="1" ht="15.75" customHeight="1" x14ac:dyDescent="0.35">
      <c r="A716" s="123">
        <f t="shared" si="190"/>
        <v>6</v>
      </c>
      <c r="B716" s="124"/>
      <c r="C716" s="82" t="s">
        <v>371</v>
      </c>
      <c r="D716" s="82">
        <f t="shared" si="183"/>
        <v>322.59707999999995</v>
      </c>
      <c r="E716" s="82">
        <f t="shared" si="184"/>
        <v>75.574044000000001</v>
      </c>
      <c r="F716" s="82">
        <f t="shared" si="188"/>
        <v>398.17112399999996</v>
      </c>
      <c r="G716" s="82">
        <v>0</v>
      </c>
      <c r="H716" s="82">
        <f t="shared" si="189"/>
        <v>577.34812979999992</v>
      </c>
      <c r="I716" s="35"/>
      <c r="L716" s="122"/>
      <c r="M716" s="122"/>
      <c r="N716" s="35"/>
    </row>
    <row r="717" spans="1:20" s="83" customFormat="1" ht="15.75" customHeight="1" x14ac:dyDescent="0.35">
      <c r="A717" s="123">
        <f t="shared" si="190"/>
        <v>7</v>
      </c>
      <c r="B717" s="124"/>
      <c r="C717" s="82" t="s">
        <v>371</v>
      </c>
      <c r="D717" s="82">
        <f t="shared" si="183"/>
        <v>322.59707999999995</v>
      </c>
      <c r="E717" s="82">
        <f t="shared" si="184"/>
        <v>75.574044000000001</v>
      </c>
      <c r="F717" s="82">
        <f t="shared" si="188"/>
        <v>398.17112399999996</v>
      </c>
      <c r="G717" s="82">
        <v>0</v>
      </c>
      <c r="H717" s="82">
        <f t="shared" si="189"/>
        <v>577.34812979999992</v>
      </c>
      <c r="I717" s="35"/>
      <c r="L717" s="122"/>
      <c r="M717" s="122"/>
      <c r="N717" s="35"/>
    </row>
    <row r="718" spans="1:20" s="83" customFormat="1" ht="15.75" customHeight="1" x14ac:dyDescent="0.35">
      <c r="A718" s="123">
        <f t="shared" si="190"/>
        <v>8</v>
      </c>
      <c r="B718" s="124"/>
      <c r="C718" s="82" t="s">
        <v>371</v>
      </c>
      <c r="D718" s="82">
        <f t="shared" si="183"/>
        <v>322.59707999999995</v>
      </c>
      <c r="E718" s="82">
        <f t="shared" si="184"/>
        <v>75.574044000000001</v>
      </c>
      <c r="F718" s="82">
        <f t="shared" si="188"/>
        <v>398.17112399999996</v>
      </c>
      <c r="G718" s="82">
        <v>0</v>
      </c>
      <c r="H718" s="82">
        <f t="shared" si="189"/>
        <v>577.34812979999992</v>
      </c>
      <c r="I718" s="35"/>
      <c r="L718" s="122"/>
      <c r="M718" s="122"/>
      <c r="N718" s="35"/>
      <c r="T718" s="20"/>
    </row>
    <row r="719" spans="1:20" s="83" customFormat="1" ht="15.75" customHeight="1" x14ac:dyDescent="0.35">
      <c r="A719" s="126" t="s">
        <v>387</v>
      </c>
      <c r="B719" s="127"/>
      <c r="C719" s="127"/>
      <c r="D719" s="127"/>
      <c r="E719" s="127"/>
      <c r="F719" s="127"/>
      <c r="G719" s="127"/>
      <c r="H719" s="128"/>
      <c r="J719" s="35"/>
    </row>
    <row r="720" spans="1:20" s="81" customFormat="1" ht="15.75" customHeight="1" x14ac:dyDescent="0.35">
      <c r="A720" s="126" t="s">
        <v>395</v>
      </c>
      <c r="B720" s="127"/>
      <c r="C720" s="127"/>
      <c r="D720" s="127"/>
      <c r="E720" s="127"/>
      <c r="F720" s="127"/>
      <c r="G720" s="127"/>
      <c r="H720" s="128"/>
      <c r="J720" s="35"/>
    </row>
    <row r="721" spans="1:20" s="81" customFormat="1" ht="15.75" customHeight="1" x14ac:dyDescent="0.35">
      <c r="A721" s="123">
        <v>1</v>
      </c>
      <c r="B721" s="124"/>
      <c r="C721" s="80" t="s">
        <v>371</v>
      </c>
      <c r="D721" s="82">
        <f t="shared" ref="D721:D745" si="191">(29.97)*10.764</f>
        <v>322.59707999999995</v>
      </c>
      <c r="E721" s="82">
        <f t="shared" ref="E721:E745" si="192">(1.7*1.2+2.95*0.75+2.45*1.13)*10.764</f>
        <v>75.574044000000001</v>
      </c>
      <c r="F721" s="80">
        <f>D721+E721</f>
        <v>398.17112399999996</v>
      </c>
      <c r="G721" s="80">
        <v>0</v>
      </c>
      <c r="H721" s="80">
        <f>F721*(($H$449)+1)+(IF(G721&lt;101,G721,IF(G721&lt;201,G721/2,IF(G721&lt;=301,G721/3,G721/4))))</f>
        <v>577.34812979999992</v>
      </c>
      <c r="I721" s="35"/>
      <c r="L721" s="122"/>
      <c r="M721" s="122"/>
      <c r="N721" s="35"/>
    </row>
    <row r="722" spans="1:20" s="81" customFormat="1" ht="15.75" customHeight="1" x14ac:dyDescent="0.35">
      <c r="A722" s="123">
        <f>A721+1</f>
        <v>2</v>
      </c>
      <c r="B722" s="124"/>
      <c r="C722" s="82" t="s">
        <v>371</v>
      </c>
      <c r="D722" s="82">
        <f t="shared" si="191"/>
        <v>322.59707999999995</v>
      </c>
      <c r="E722" s="82">
        <f t="shared" si="192"/>
        <v>75.574044000000001</v>
      </c>
      <c r="F722" s="80">
        <f>D722+E722</f>
        <v>398.17112399999996</v>
      </c>
      <c r="G722" s="80">
        <v>0</v>
      </c>
      <c r="H722" s="80">
        <f>F722*(($H$449)+1)+(IF(G722&lt;101,G722,IF(G722&lt;201,G722/2,IF(G722&lt;=301,G722/3,G722/4))))</f>
        <v>577.34812979999992</v>
      </c>
      <c r="I722" s="35"/>
      <c r="L722" s="122"/>
      <c r="M722" s="122"/>
      <c r="N722" s="35"/>
    </row>
    <row r="723" spans="1:20" s="81" customFormat="1" ht="15.75" customHeight="1" x14ac:dyDescent="0.35">
      <c r="A723" s="123">
        <f>A722+1</f>
        <v>3</v>
      </c>
      <c r="B723" s="124"/>
      <c r="C723" s="82" t="s">
        <v>371</v>
      </c>
      <c r="D723" s="82">
        <f t="shared" si="191"/>
        <v>322.59707999999995</v>
      </c>
      <c r="E723" s="82">
        <f t="shared" si="192"/>
        <v>75.574044000000001</v>
      </c>
      <c r="F723" s="80">
        <f>D723+E723</f>
        <v>398.17112399999996</v>
      </c>
      <c r="G723" s="80">
        <v>0</v>
      </c>
      <c r="H723" s="80">
        <f>F723*(($H$449)+1)+(IF(G723&lt;101,G723,IF(G723&lt;201,G723/2,IF(G723&lt;=301,G723/3,G723/4))))</f>
        <v>577.34812979999992</v>
      </c>
      <c r="I723" s="35"/>
      <c r="L723" s="122"/>
      <c r="M723" s="122"/>
      <c r="N723" s="35"/>
    </row>
    <row r="724" spans="1:20" s="83" customFormat="1" ht="15.75" customHeight="1" x14ac:dyDescent="0.35">
      <c r="A724" s="126" t="s">
        <v>372</v>
      </c>
      <c r="B724" s="127"/>
      <c r="C724" s="127"/>
      <c r="D724" s="127"/>
      <c r="E724" s="127"/>
      <c r="F724" s="127"/>
      <c r="G724" s="127"/>
      <c r="H724" s="128"/>
      <c r="J724" s="35"/>
    </row>
    <row r="725" spans="1:20" s="83" customFormat="1" ht="15.75" customHeight="1" x14ac:dyDescent="0.35">
      <c r="A725" s="123">
        <v>1</v>
      </c>
      <c r="B725" s="124"/>
      <c r="C725" s="82" t="s">
        <v>371</v>
      </c>
      <c r="D725" s="82">
        <f t="shared" si="191"/>
        <v>322.59707999999995</v>
      </c>
      <c r="E725" s="82">
        <f t="shared" si="192"/>
        <v>75.574044000000001</v>
      </c>
      <c r="F725" s="82">
        <f t="shared" ref="F725:F734" si="193">D725+E725</f>
        <v>398.17112399999996</v>
      </c>
      <c r="G725" s="82">
        <v>0</v>
      </c>
      <c r="H725" s="82">
        <f t="shared" ref="H725:H734" si="194">F725*(($H$449)+1)+(IF(G725&lt;101,G725,IF(G725&lt;201,G725/2,IF(G725&lt;=301,G725/3,G725/4))))</f>
        <v>577.34812979999992</v>
      </c>
      <c r="I725" s="35"/>
      <c r="L725" s="122"/>
      <c r="M725" s="122"/>
      <c r="N725" s="35"/>
    </row>
    <row r="726" spans="1:20" s="83" customFormat="1" ht="15.75" customHeight="1" x14ac:dyDescent="0.35">
      <c r="A726" s="123">
        <f>A725+1</f>
        <v>2</v>
      </c>
      <c r="B726" s="124"/>
      <c r="C726" s="82" t="s">
        <v>371</v>
      </c>
      <c r="D726" s="82">
        <f t="shared" si="191"/>
        <v>322.59707999999995</v>
      </c>
      <c r="E726" s="82">
        <f t="shared" si="192"/>
        <v>75.574044000000001</v>
      </c>
      <c r="F726" s="82">
        <f t="shared" si="193"/>
        <v>398.17112399999996</v>
      </c>
      <c r="G726" s="82">
        <v>0</v>
      </c>
      <c r="H726" s="82">
        <f t="shared" si="194"/>
        <v>577.34812979999992</v>
      </c>
      <c r="I726" s="35"/>
      <c r="L726" s="122"/>
      <c r="M726" s="122"/>
      <c r="N726" s="35"/>
    </row>
    <row r="727" spans="1:20" s="83" customFormat="1" ht="15.75" customHeight="1" x14ac:dyDescent="0.35">
      <c r="A727" s="123">
        <f>A726+1</f>
        <v>3</v>
      </c>
      <c r="B727" s="124"/>
      <c r="C727" s="82" t="s">
        <v>371</v>
      </c>
      <c r="D727" s="82">
        <f t="shared" si="191"/>
        <v>322.59707999999995</v>
      </c>
      <c r="E727" s="82">
        <f t="shared" si="192"/>
        <v>75.574044000000001</v>
      </c>
      <c r="F727" s="82">
        <f t="shared" si="193"/>
        <v>398.17112399999996</v>
      </c>
      <c r="G727" s="82">
        <v>0</v>
      </c>
      <c r="H727" s="82">
        <f t="shared" si="194"/>
        <v>577.34812979999992</v>
      </c>
      <c r="I727" s="35"/>
      <c r="L727" s="122"/>
      <c r="M727" s="122"/>
      <c r="N727" s="35"/>
    </row>
    <row r="728" spans="1:20" s="83" customFormat="1" ht="15.75" customHeight="1" x14ac:dyDescent="0.35">
      <c r="A728" s="123">
        <f>A727+1</f>
        <v>4</v>
      </c>
      <c r="B728" s="124"/>
      <c r="C728" s="82" t="s">
        <v>371</v>
      </c>
      <c r="D728" s="82">
        <f t="shared" si="191"/>
        <v>322.59707999999995</v>
      </c>
      <c r="E728" s="82">
        <f t="shared" si="192"/>
        <v>75.574044000000001</v>
      </c>
      <c r="F728" s="82">
        <f t="shared" si="193"/>
        <v>398.17112399999996</v>
      </c>
      <c r="G728" s="82">
        <v>0</v>
      </c>
      <c r="H728" s="82">
        <f t="shared" si="194"/>
        <v>577.34812979999992</v>
      </c>
      <c r="I728" s="35"/>
      <c r="L728" s="122"/>
      <c r="M728" s="122"/>
      <c r="N728" s="35"/>
      <c r="T728" s="20"/>
    </row>
    <row r="729" spans="1:20" s="83" customFormat="1" ht="15.75" customHeight="1" x14ac:dyDescent="0.35">
      <c r="A729" s="123">
        <f t="shared" ref="A729:A732" si="195">A728+1</f>
        <v>5</v>
      </c>
      <c r="B729" s="124"/>
      <c r="C729" s="82" t="s">
        <v>371</v>
      </c>
      <c r="D729" s="82">
        <f t="shared" si="191"/>
        <v>322.59707999999995</v>
      </c>
      <c r="E729" s="82">
        <f t="shared" si="192"/>
        <v>75.574044000000001</v>
      </c>
      <c r="F729" s="82">
        <f t="shared" si="193"/>
        <v>398.17112399999996</v>
      </c>
      <c r="G729" s="82">
        <v>0</v>
      </c>
      <c r="H729" s="82">
        <f t="shared" si="194"/>
        <v>577.34812979999992</v>
      </c>
      <c r="I729" s="35"/>
      <c r="L729" s="122"/>
      <c r="M729" s="122"/>
      <c r="N729" s="35"/>
    </row>
    <row r="730" spans="1:20" s="83" customFormat="1" ht="15.75" customHeight="1" x14ac:dyDescent="0.35">
      <c r="A730" s="123">
        <f t="shared" si="195"/>
        <v>6</v>
      </c>
      <c r="B730" s="124"/>
      <c r="C730" s="82" t="s">
        <v>371</v>
      </c>
      <c r="D730" s="82">
        <f t="shared" si="191"/>
        <v>322.59707999999995</v>
      </c>
      <c r="E730" s="82">
        <f t="shared" si="192"/>
        <v>75.574044000000001</v>
      </c>
      <c r="F730" s="82">
        <f t="shared" si="193"/>
        <v>398.17112399999996</v>
      </c>
      <c r="G730" s="82">
        <f>(1.13*3.6+0.75*4.28)*10.764</f>
        <v>78.340391999999994</v>
      </c>
      <c r="H730" s="82">
        <f t="shared" si="194"/>
        <v>655.68852179999988</v>
      </c>
      <c r="I730" s="35"/>
      <c r="L730" s="122"/>
      <c r="M730" s="122"/>
      <c r="N730" s="35"/>
    </row>
    <row r="731" spans="1:20" s="83" customFormat="1" ht="15.75" customHeight="1" x14ac:dyDescent="0.35">
      <c r="A731" s="123">
        <f t="shared" si="195"/>
        <v>7</v>
      </c>
      <c r="B731" s="124"/>
      <c r="C731" s="82" t="s">
        <v>371</v>
      </c>
      <c r="D731" s="82">
        <f t="shared" si="191"/>
        <v>322.59707999999995</v>
      </c>
      <c r="E731" s="82">
        <f t="shared" si="192"/>
        <v>75.574044000000001</v>
      </c>
      <c r="F731" s="82">
        <f t="shared" si="193"/>
        <v>398.17112399999996</v>
      </c>
      <c r="G731" s="82">
        <f>(1.13*3.6+0.75*4.28)*10.764</f>
        <v>78.340391999999994</v>
      </c>
      <c r="H731" s="82">
        <f t="shared" si="194"/>
        <v>655.68852179999988</v>
      </c>
      <c r="I731" s="35"/>
      <c r="L731" s="122"/>
      <c r="M731" s="122"/>
      <c r="N731" s="35"/>
    </row>
    <row r="732" spans="1:20" s="83" customFormat="1" ht="15.75" customHeight="1" x14ac:dyDescent="0.35">
      <c r="A732" s="123">
        <f t="shared" si="195"/>
        <v>8</v>
      </c>
      <c r="B732" s="124"/>
      <c r="C732" s="82" t="s">
        <v>371</v>
      </c>
      <c r="D732" s="82">
        <f t="shared" si="191"/>
        <v>322.59707999999995</v>
      </c>
      <c r="E732" s="82">
        <f t="shared" si="192"/>
        <v>75.574044000000001</v>
      </c>
      <c r="F732" s="82">
        <f t="shared" si="193"/>
        <v>398.17112399999996</v>
      </c>
      <c r="G732" s="82">
        <v>0</v>
      </c>
      <c r="H732" s="82">
        <f t="shared" si="194"/>
        <v>577.34812979999992</v>
      </c>
      <c r="I732" s="35"/>
      <c r="L732" s="122"/>
      <c r="M732" s="122"/>
      <c r="N732" s="35"/>
      <c r="T732" s="20"/>
    </row>
    <row r="733" spans="1:20" s="83" customFormat="1" ht="15.75" customHeight="1" x14ac:dyDescent="0.35">
      <c r="A733" s="123">
        <f t="shared" ref="A733:A734" si="196">A732+1</f>
        <v>9</v>
      </c>
      <c r="B733" s="124"/>
      <c r="C733" s="82" t="s">
        <v>371</v>
      </c>
      <c r="D733" s="82">
        <f t="shared" si="191"/>
        <v>322.59707999999995</v>
      </c>
      <c r="E733" s="82">
        <f t="shared" si="192"/>
        <v>75.574044000000001</v>
      </c>
      <c r="F733" s="82">
        <f t="shared" si="193"/>
        <v>398.17112399999996</v>
      </c>
      <c r="G733" s="82">
        <v>0</v>
      </c>
      <c r="H733" s="82">
        <f t="shared" si="194"/>
        <v>577.34812979999992</v>
      </c>
      <c r="I733" s="35"/>
      <c r="L733" s="122"/>
      <c r="M733" s="122"/>
      <c r="N733" s="35"/>
    </row>
    <row r="734" spans="1:20" s="83" customFormat="1" ht="15.75" customHeight="1" x14ac:dyDescent="0.35">
      <c r="A734" s="123">
        <f t="shared" si="196"/>
        <v>10</v>
      </c>
      <c r="B734" s="124"/>
      <c r="C734" s="82" t="s">
        <v>371</v>
      </c>
      <c r="D734" s="82">
        <f t="shared" si="191"/>
        <v>322.59707999999995</v>
      </c>
      <c r="E734" s="82">
        <f t="shared" si="192"/>
        <v>75.574044000000001</v>
      </c>
      <c r="F734" s="82">
        <f t="shared" si="193"/>
        <v>398.17112399999996</v>
      </c>
      <c r="G734" s="82">
        <v>0</v>
      </c>
      <c r="H734" s="82">
        <f t="shared" si="194"/>
        <v>577.34812979999992</v>
      </c>
      <c r="I734" s="35"/>
      <c r="L734" s="122"/>
      <c r="M734" s="122"/>
      <c r="N734" s="35"/>
      <c r="T734" s="20"/>
    </row>
    <row r="735" spans="1:20" s="83" customFormat="1" ht="15.75" customHeight="1" x14ac:dyDescent="0.35">
      <c r="A735" s="130" t="s">
        <v>375</v>
      </c>
      <c r="B735" s="130"/>
      <c r="C735" s="130"/>
      <c r="D735" s="130"/>
      <c r="E735" s="130"/>
      <c r="F735" s="130"/>
      <c r="G735" s="130"/>
      <c r="H735" s="130"/>
      <c r="J735" s="35"/>
    </row>
    <row r="736" spans="1:20" s="83" customFormat="1" ht="15.75" customHeight="1" x14ac:dyDescent="0.35">
      <c r="A736" s="125">
        <v>1</v>
      </c>
      <c r="B736" s="125"/>
      <c r="C736" s="96" t="s">
        <v>371</v>
      </c>
      <c r="D736" s="96">
        <f t="shared" si="191"/>
        <v>322.59707999999995</v>
      </c>
      <c r="E736" s="96">
        <f t="shared" si="192"/>
        <v>75.574044000000001</v>
      </c>
      <c r="F736" s="96">
        <f t="shared" ref="F736:F745" si="197">D736+E736</f>
        <v>398.17112399999996</v>
      </c>
      <c r="G736" s="96">
        <v>0</v>
      </c>
      <c r="H736" s="96">
        <f t="shared" ref="H736:H745" si="198">F736*(($H$449)+1)+(IF(G736&lt;101,G736,IF(G736&lt;201,G736/2,IF(G736&lt;=301,G736/3,G736/4))))</f>
        <v>577.34812979999992</v>
      </c>
      <c r="I736" s="35"/>
      <c r="L736" s="122"/>
      <c r="M736" s="122"/>
      <c r="N736" s="35"/>
    </row>
    <row r="737" spans="1:20" s="83" customFormat="1" ht="15.75" customHeight="1" x14ac:dyDescent="0.35">
      <c r="A737" s="125">
        <f t="shared" ref="A737:A745" si="199">A736+1</f>
        <v>2</v>
      </c>
      <c r="B737" s="125"/>
      <c r="C737" s="96" t="s">
        <v>371</v>
      </c>
      <c r="D737" s="96">
        <f t="shared" si="191"/>
        <v>322.59707999999995</v>
      </c>
      <c r="E737" s="96">
        <f t="shared" si="192"/>
        <v>75.574044000000001</v>
      </c>
      <c r="F737" s="96">
        <f t="shared" si="197"/>
        <v>398.17112399999996</v>
      </c>
      <c r="G737" s="96">
        <v>0</v>
      </c>
      <c r="H737" s="96">
        <f t="shared" si="198"/>
        <v>577.34812979999992</v>
      </c>
      <c r="I737" s="35"/>
      <c r="L737" s="122"/>
      <c r="M737" s="122"/>
      <c r="N737" s="35"/>
    </row>
    <row r="738" spans="1:20" s="83" customFormat="1" ht="15.75" customHeight="1" x14ac:dyDescent="0.35">
      <c r="A738" s="125">
        <f t="shared" si="199"/>
        <v>3</v>
      </c>
      <c r="B738" s="125"/>
      <c r="C738" s="96" t="s">
        <v>371</v>
      </c>
      <c r="D738" s="96">
        <f t="shared" si="191"/>
        <v>322.59707999999995</v>
      </c>
      <c r="E738" s="96">
        <f t="shared" si="192"/>
        <v>75.574044000000001</v>
      </c>
      <c r="F738" s="96">
        <f t="shared" si="197"/>
        <v>398.17112399999996</v>
      </c>
      <c r="G738" s="96">
        <v>0</v>
      </c>
      <c r="H738" s="96">
        <f t="shared" si="198"/>
        <v>577.34812979999992</v>
      </c>
      <c r="I738" s="35"/>
      <c r="L738" s="122"/>
      <c r="M738" s="122"/>
      <c r="N738" s="35"/>
    </row>
    <row r="739" spans="1:20" s="83" customFormat="1" ht="15.75" customHeight="1" x14ac:dyDescent="0.35">
      <c r="A739" s="125">
        <f t="shared" si="199"/>
        <v>4</v>
      </c>
      <c r="B739" s="125"/>
      <c r="C739" s="96" t="s">
        <v>371</v>
      </c>
      <c r="D739" s="96">
        <f t="shared" si="191"/>
        <v>322.59707999999995</v>
      </c>
      <c r="E739" s="96">
        <f t="shared" si="192"/>
        <v>75.574044000000001</v>
      </c>
      <c r="F739" s="96">
        <f t="shared" si="197"/>
        <v>398.17112399999996</v>
      </c>
      <c r="G739" s="96">
        <v>0</v>
      </c>
      <c r="H739" s="96">
        <f t="shared" si="198"/>
        <v>577.34812979999992</v>
      </c>
      <c r="I739" s="35"/>
      <c r="L739" s="122"/>
      <c r="M739" s="122"/>
      <c r="N739" s="35"/>
      <c r="T739" s="20"/>
    </row>
    <row r="740" spans="1:20" s="83" customFormat="1" ht="15.75" customHeight="1" x14ac:dyDescent="0.35">
      <c r="A740" s="125">
        <f t="shared" si="199"/>
        <v>5</v>
      </c>
      <c r="B740" s="125"/>
      <c r="C740" s="96" t="s">
        <v>371</v>
      </c>
      <c r="D740" s="96">
        <f t="shared" si="191"/>
        <v>322.59707999999995</v>
      </c>
      <c r="E740" s="96">
        <f t="shared" si="192"/>
        <v>75.574044000000001</v>
      </c>
      <c r="F740" s="96">
        <f t="shared" si="197"/>
        <v>398.17112399999996</v>
      </c>
      <c r="G740" s="96">
        <v>0</v>
      </c>
      <c r="H740" s="96">
        <f t="shared" si="198"/>
        <v>577.34812979999992</v>
      </c>
      <c r="I740" s="35"/>
      <c r="L740" s="122"/>
      <c r="M740" s="122"/>
      <c r="N740" s="35"/>
    </row>
    <row r="741" spans="1:20" s="83" customFormat="1" ht="15.75" customHeight="1" x14ac:dyDescent="0.35">
      <c r="A741" s="123">
        <f t="shared" si="199"/>
        <v>6</v>
      </c>
      <c r="B741" s="124"/>
      <c r="C741" s="82" t="s">
        <v>371</v>
      </c>
      <c r="D741" s="82">
        <f t="shared" si="191"/>
        <v>322.59707999999995</v>
      </c>
      <c r="E741" s="82">
        <f t="shared" si="192"/>
        <v>75.574044000000001</v>
      </c>
      <c r="F741" s="82">
        <f t="shared" si="197"/>
        <v>398.17112399999996</v>
      </c>
      <c r="G741" s="82">
        <v>0</v>
      </c>
      <c r="H741" s="82">
        <f t="shared" si="198"/>
        <v>577.34812979999992</v>
      </c>
      <c r="I741" s="35"/>
      <c r="L741" s="122"/>
      <c r="M741" s="122"/>
      <c r="N741" s="35"/>
      <c r="T741" s="20"/>
    </row>
    <row r="742" spans="1:20" s="83" customFormat="1" ht="15.75" customHeight="1" x14ac:dyDescent="0.35">
      <c r="A742" s="123">
        <f t="shared" si="199"/>
        <v>7</v>
      </c>
      <c r="B742" s="124"/>
      <c r="C742" s="82" t="s">
        <v>371</v>
      </c>
      <c r="D742" s="82">
        <f t="shared" si="191"/>
        <v>322.59707999999995</v>
      </c>
      <c r="E742" s="82">
        <f t="shared" si="192"/>
        <v>75.574044000000001</v>
      </c>
      <c r="F742" s="82">
        <f t="shared" si="197"/>
        <v>398.17112399999996</v>
      </c>
      <c r="G742" s="82">
        <v>0</v>
      </c>
      <c r="H742" s="82">
        <f t="shared" si="198"/>
        <v>577.34812979999992</v>
      </c>
      <c r="I742" s="35"/>
      <c r="L742" s="122"/>
      <c r="M742" s="122"/>
      <c r="N742" s="35"/>
    </row>
    <row r="743" spans="1:20" s="83" customFormat="1" ht="15.75" customHeight="1" x14ac:dyDescent="0.35">
      <c r="A743" s="123">
        <f t="shared" si="199"/>
        <v>8</v>
      </c>
      <c r="B743" s="124"/>
      <c r="C743" s="82" t="s">
        <v>371</v>
      </c>
      <c r="D743" s="82">
        <f t="shared" si="191"/>
        <v>322.59707999999995</v>
      </c>
      <c r="E743" s="82">
        <f t="shared" si="192"/>
        <v>75.574044000000001</v>
      </c>
      <c r="F743" s="82">
        <f t="shared" si="197"/>
        <v>398.17112399999996</v>
      </c>
      <c r="G743" s="82">
        <v>0</v>
      </c>
      <c r="H743" s="82">
        <f t="shared" si="198"/>
        <v>577.34812979999992</v>
      </c>
      <c r="I743" s="35"/>
      <c r="L743" s="122"/>
      <c r="M743" s="122"/>
      <c r="N743" s="35"/>
      <c r="T743" s="20"/>
    </row>
    <row r="744" spans="1:20" s="83" customFormat="1" ht="15.75" customHeight="1" x14ac:dyDescent="0.35">
      <c r="A744" s="123">
        <f t="shared" si="199"/>
        <v>9</v>
      </c>
      <c r="B744" s="124"/>
      <c r="C744" s="82" t="s">
        <v>371</v>
      </c>
      <c r="D744" s="82">
        <f t="shared" si="191"/>
        <v>322.59707999999995</v>
      </c>
      <c r="E744" s="82">
        <f t="shared" si="192"/>
        <v>75.574044000000001</v>
      </c>
      <c r="F744" s="82">
        <f t="shared" si="197"/>
        <v>398.17112399999996</v>
      </c>
      <c r="G744" s="82">
        <v>0</v>
      </c>
      <c r="H744" s="82">
        <f t="shared" si="198"/>
        <v>577.34812979999992</v>
      </c>
      <c r="I744" s="35"/>
      <c r="L744" s="122"/>
      <c r="M744" s="122"/>
      <c r="N744" s="35"/>
    </row>
    <row r="745" spans="1:20" s="83" customFormat="1" ht="15.75" customHeight="1" x14ac:dyDescent="0.35">
      <c r="A745" s="123">
        <f t="shared" si="199"/>
        <v>10</v>
      </c>
      <c r="B745" s="124"/>
      <c r="C745" s="82" t="s">
        <v>371</v>
      </c>
      <c r="D745" s="82">
        <f t="shared" si="191"/>
        <v>322.59707999999995</v>
      </c>
      <c r="E745" s="82">
        <f t="shared" si="192"/>
        <v>75.574044000000001</v>
      </c>
      <c r="F745" s="82">
        <f t="shared" si="197"/>
        <v>398.17112399999996</v>
      </c>
      <c r="G745" s="82">
        <v>0</v>
      </c>
      <c r="H745" s="82">
        <f t="shared" si="198"/>
        <v>577.34812979999992</v>
      </c>
      <c r="I745" s="35"/>
      <c r="L745" s="122"/>
      <c r="M745" s="122"/>
      <c r="N745" s="35"/>
      <c r="T745" s="20"/>
    </row>
    <row r="746" spans="1:20" s="83" customFormat="1" ht="15.75" customHeight="1" x14ac:dyDescent="0.35">
      <c r="A746" s="126" t="s">
        <v>388</v>
      </c>
      <c r="B746" s="127"/>
      <c r="C746" s="127"/>
      <c r="D746" s="127"/>
      <c r="E746" s="127"/>
      <c r="F746" s="127"/>
      <c r="G746" s="127"/>
      <c r="H746" s="128"/>
      <c r="J746" s="35"/>
    </row>
    <row r="747" spans="1:20" s="83" customFormat="1" ht="15.75" customHeight="1" x14ac:dyDescent="0.35">
      <c r="A747" s="126" t="s">
        <v>394</v>
      </c>
      <c r="B747" s="127"/>
      <c r="C747" s="127"/>
      <c r="D747" s="127"/>
      <c r="E747" s="127"/>
      <c r="F747" s="127"/>
      <c r="G747" s="127"/>
      <c r="H747" s="128"/>
      <c r="J747" s="35"/>
    </row>
    <row r="748" spans="1:20" s="83" customFormat="1" ht="15.75" customHeight="1" x14ac:dyDescent="0.35">
      <c r="A748" s="123">
        <v>1</v>
      </c>
      <c r="B748" s="124"/>
      <c r="C748" s="82" t="s">
        <v>371</v>
      </c>
      <c r="D748" s="82">
        <f t="shared" ref="D748:D750" si="200">(29.97)*10.764</f>
        <v>322.59707999999995</v>
      </c>
      <c r="E748" s="82">
        <f t="shared" ref="E748:E750" si="201">(1.7*1.2+2.95*0.75+2.45*1.13)*10.764</f>
        <v>75.574044000000001</v>
      </c>
      <c r="F748" s="82">
        <f>D748+E748</f>
        <v>398.17112399999996</v>
      </c>
      <c r="G748" s="82">
        <v>0</v>
      </c>
      <c r="H748" s="82">
        <f>F748*(($H$449)+1)+(IF(G748&lt;101,G748,IF(G748&lt;201,G748/2,IF(G748&lt;=301,G748/3,G748/4))))</f>
        <v>577.34812979999992</v>
      </c>
      <c r="I748" s="35"/>
      <c r="L748" s="122"/>
      <c r="M748" s="122"/>
      <c r="N748" s="35"/>
    </row>
    <row r="749" spans="1:20" s="83" customFormat="1" ht="15.75" customHeight="1" x14ac:dyDescent="0.35">
      <c r="A749" s="123">
        <f>A748+1</f>
        <v>2</v>
      </c>
      <c r="B749" s="124"/>
      <c r="C749" s="82" t="s">
        <v>371</v>
      </c>
      <c r="D749" s="82">
        <f t="shared" si="200"/>
        <v>322.59707999999995</v>
      </c>
      <c r="E749" s="82">
        <f t="shared" si="201"/>
        <v>75.574044000000001</v>
      </c>
      <c r="F749" s="82">
        <f>D749+E749</f>
        <v>398.17112399999996</v>
      </c>
      <c r="G749" s="82">
        <v>0</v>
      </c>
      <c r="H749" s="82">
        <f>F749*(($H$449)+1)+(IF(G749&lt;101,G749,IF(G749&lt;201,G749/2,IF(G749&lt;=301,G749/3,G749/4))))</f>
        <v>577.34812979999992</v>
      </c>
      <c r="I749" s="35"/>
      <c r="L749" s="122"/>
      <c r="M749" s="122"/>
      <c r="N749" s="35"/>
    </row>
    <row r="750" spans="1:20" s="83" customFormat="1" ht="15.75" customHeight="1" x14ac:dyDescent="0.35">
      <c r="A750" s="123">
        <f>A749+1</f>
        <v>3</v>
      </c>
      <c r="B750" s="124"/>
      <c r="C750" s="82" t="s">
        <v>371</v>
      </c>
      <c r="D750" s="82">
        <f t="shared" si="200"/>
        <v>322.59707999999995</v>
      </c>
      <c r="E750" s="82">
        <f t="shared" si="201"/>
        <v>75.574044000000001</v>
      </c>
      <c r="F750" s="82">
        <f>D750+E750</f>
        <v>398.17112399999996</v>
      </c>
      <c r="G750" s="82">
        <v>0</v>
      </c>
      <c r="H750" s="82">
        <f>F750*(($H$449)+1)+(IF(G750&lt;101,G750,IF(G750&lt;201,G750/2,IF(G750&lt;=301,G750/3,G750/4))))</f>
        <v>577.34812979999992</v>
      </c>
      <c r="I750" s="35"/>
      <c r="L750" s="122"/>
      <c r="M750" s="122"/>
      <c r="N750" s="35"/>
    </row>
    <row r="751" spans="1:20" s="83" customFormat="1" x14ac:dyDescent="0.35">
      <c r="A751" s="130" t="s">
        <v>392</v>
      </c>
      <c r="B751" s="130"/>
      <c r="C751" s="130"/>
      <c r="D751" s="130"/>
      <c r="E751" s="130"/>
      <c r="F751" s="130"/>
      <c r="G751" s="130"/>
      <c r="H751" s="130"/>
      <c r="J751" s="35"/>
    </row>
    <row r="752" spans="1:20" s="83" customFormat="1" ht="15.75" customHeight="1" x14ac:dyDescent="0.35">
      <c r="A752" s="125">
        <v>1</v>
      </c>
      <c r="B752" s="125"/>
      <c r="C752" s="110" t="s">
        <v>371</v>
      </c>
      <c r="D752" s="110">
        <f t="shared" ref="D752:D759" si="202">(29.97)*10.764</f>
        <v>322.59707999999995</v>
      </c>
      <c r="E752" s="110">
        <f t="shared" ref="E752:E759" si="203">(1.7*1.2+2.95*0.75+2.45*1.13)*10.764</f>
        <v>75.574044000000001</v>
      </c>
      <c r="F752" s="110">
        <f t="shared" ref="F752:F759" si="204">D752+E752</f>
        <v>398.17112399999996</v>
      </c>
      <c r="G752" s="110">
        <v>0</v>
      </c>
      <c r="H752" s="110">
        <f t="shared" ref="H752:H759" si="205">F752*(($H$449)+1)+(IF(G752&lt;101,G752,IF(G752&lt;201,G752/2,IF(G752&lt;=301,G752/3,G752/4))))</f>
        <v>577.34812979999992</v>
      </c>
      <c r="I752" s="35"/>
      <c r="L752" s="122"/>
      <c r="M752" s="122"/>
      <c r="N752" s="35"/>
    </row>
    <row r="753" spans="1:20" s="83" customFormat="1" ht="15.75" customHeight="1" x14ac:dyDescent="0.35">
      <c r="A753" s="125">
        <f>A752+1</f>
        <v>2</v>
      </c>
      <c r="B753" s="125"/>
      <c r="C753" s="110" t="s">
        <v>371</v>
      </c>
      <c r="D753" s="110">
        <f t="shared" si="202"/>
        <v>322.59707999999995</v>
      </c>
      <c r="E753" s="110">
        <f t="shared" si="203"/>
        <v>75.574044000000001</v>
      </c>
      <c r="F753" s="110">
        <f t="shared" si="204"/>
        <v>398.17112399999996</v>
      </c>
      <c r="G753" s="110">
        <v>0</v>
      </c>
      <c r="H753" s="110">
        <f t="shared" si="205"/>
        <v>577.34812979999992</v>
      </c>
      <c r="I753" s="35"/>
      <c r="L753" s="122"/>
      <c r="M753" s="122"/>
      <c r="N753" s="35"/>
    </row>
    <row r="754" spans="1:20" s="83" customFormat="1" ht="15.75" customHeight="1" x14ac:dyDescent="0.35">
      <c r="A754" s="125">
        <f>A753+1</f>
        <v>3</v>
      </c>
      <c r="B754" s="125"/>
      <c r="C754" s="110" t="s">
        <v>371</v>
      </c>
      <c r="D754" s="110">
        <f t="shared" si="202"/>
        <v>322.59707999999995</v>
      </c>
      <c r="E754" s="110">
        <f t="shared" si="203"/>
        <v>75.574044000000001</v>
      </c>
      <c r="F754" s="110">
        <f t="shared" si="204"/>
        <v>398.17112399999996</v>
      </c>
      <c r="G754" s="110">
        <v>0</v>
      </c>
      <c r="H754" s="110">
        <f t="shared" si="205"/>
        <v>577.34812979999992</v>
      </c>
      <c r="I754" s="35"/>
      <c r="L754" s="122"/>
      <c r="M754" s="122"/>
      <c r="N754" s="35"/>
    </row>
    <row r="755" spans="1:20" s="83" customFormat="1" ht="15.75" customHeight="1" x14ac:dyDescent="0.35">
      <c r="A755" s="125">
        <f>A754+1</f>
        <v>4</v>
      </c>
      <c r="B755" s="125"/>
      <c r="C755" s="110" t="s">
        <v>371</v>
      </c>
      <c r="D755" s="110">
        <f t="shared" si="202"/>
        <v>322.59707999999995</v>
      </c>
      <c r="E755" s="110">
        <f t="shared" si="203"/>
        <v>75.574044000000001</v>
      </c>
      <c r="F755" s="110">
        <f t="shared" si="204"/>
        <v>398.17112399999996</v>
      </c>
      <c r="G755" s="110">
        <v>0</v>
      </c>
      <c r="H755" s="110">
        <f t="shared" si="205"/>
        <v>577.34812979999992</v>
      </c>
      <c r="I755" s="35"/>
      <c r="L755" s="122"/>
      <c r="M755" s="122"/>
      <c r="N755" s="35"/>
      <c r="T755" s="20"/>
    </row>
    <row r="756" spans="1:20" s="83" customFormat="1" ht="15.75" customHeight="1" x14ac:dyDescent="0.35">
      <c r="A756" s="125">
        <f t="shared" ref="A756:A759" si="206">A755+1</f>
        <v>5</v>
      </c>
      <c r="B756" s="125"/>
      <c r="C756" s="110" t="s">
        <v>371</v>
      </c>
      <c r="D756" s="110">
        <f t="shared" si="202"/>
        <v>322.59707999999995</v>
      </c>
      <c r="E756" s="110">
        <f t="shared" si="203"/>
        <v>75.574044000000001</v>
      </c>
      <c r="F756" s="110">
        <f t="shared" si="204"/>
        <v>398.17112399999996</v>
      </c>
      <c r="G756" s="110">
        <v>0</v>
      </c>
      <c r="H756" s="110">
        <f t="shared" si="205"/>
        <v>577.34812979999992</v>
      </c>
      <c r="I756" s="35"/>
      <c r="L756" s="122"/>
      <c r="M756" s="122"/>
      <c r="N756" s="35"/>
    </row>
    <row r="757" spans="1:20" s="83" customFormat="1" ht="15.75" customHeight="1" x14ac:dyDescent="0.35">
      <c r="A757" s="125">
        <f t="shared" si="206"/>
        <v>6</v>
      </c>
      <c r="B757" s="125"/>
      <c r="C757" s="110" t="s">
        <v>371</v>
      </c>
      <c r="D757" s="110">
        <f t="shared" si="202"/>
        <v>322.59707999999995</v>
      </c>
      <c r="E757" s="110">
        <f t="shared" si="203"/>
        <v>75.574044000000001</v>
      </c>
      <c r="F757" s="110">
        <f t="shared" si="204"/>
        <v>398.17112399999996</v>
      </c>
      <c r="G757" s="110">
        <v>0</v>
      </c>
      <c r="H757" s="110">
        <f t="shared" si="205"/>
        <v>577.34812979999992</v>
      </c>
      <c r="I757" s="35"/>
      <c r="L757" s="122"/>
      <c r="M757" s="122"/>
      <c r="N757" s="35"/>
    </row>
    <row r="758" spans="1:20" s="83" customFormat="1" ht="15.75" customHeight="1" x14ac:dyDescent="0.35">
      <c r="A758" s="125">
        <f t="shared" si="206"/>
        <v>7</v>
      </c>
      <c r="B758" s="125"/>
      <c r="C758" s="110" t="s">
        <v>371</v>
      </c>
      <c r="D758" s="110">
        <f t="shared" si="202"/>
        <v>322.59707999999995</v>
      </c>
      <c r="E758" s="110">
        <f t="shared" si="203"/>
        <v>75.574044000000001</v>
      </c>
      <c r="F758" s="110">
        <f t="shared" si="204"/>
        <v>398.17112399999996</v>
      </c>
      <c r="G758" s="110">
        <v>0</v>
      </c>
      <c r="H758" s="110">
        <f t="shared" si="205"/>
        <v>577.34812979999992</v>
      </c>
      <c r="I758" s="35"/>
      <c r="L758" s="122"/>
      <c r="M758" s="122"/>
      <c r="N758" s="35"/>
    </row>
    <row r="759" spans="1:20" s="83" customFormat="1" ht="15.75" customHeight="1" x14ac:dyDescent="0.35">
      <c r="A759" s="125">
        <f t="shared" si="206"/>
        <v>8</v>
      </c>
      <c r="B759" s="125"/>
      <c r="C759" s="110" t="s">
        <v>371</v>
      </c>
      <c r="D759" s="110">
        <f t="shared" si="202"/>
        <v>322.59707999999995</v>
      </c>
      <c r="E759" s="110">
        <f t="shared" si="203"/>
        <v>75.574044000000001</v>
      </c>
      <c r="F759" s="110">
        <f t="shared" si="204"/>
        <v>398.17112399999996</v>
      </c>
      <c r="G759" s="110">
        <v>0</v>
      </c>
      <c r="H759" s="110">
        <f t="shared" si="205"/>
        <v>577.34812979999992</v>
      </c>
      <c r="I759" s="35"/>
      <c r="L759" s="122"/>
      <c r="M759" s="122"/>
      <c r="N759" s="35"/>
      <c r="T759" s="20"/>
    </row>
    <row r="760" spans="1:20" s="83" customFormat="1" ht="15.75" hidden="1" customHeight="1" x14ac:dyDescent="0.35">
      <c r="A760" s="130" t="s">
        <v>116</v>
      </c>
      <c r="B760" s="130"/>
      <c r="C760" s="130"/>
      <c r="D760" s="130"/>
      <c r="E760" s="130"/>
      <c r="F760" s="130"/>
      <c r="G760" s="130"/>
      <c r="H760" s="130"/>
      <c r="J760" s="35"/>
    </row>
    <row r="761" spans="1:20" s="83" customFormat="1" ht="15.75" hidden="1" customHeight="1" x14ac:dyDescent="0.35">
      <c r="A761" s="125">
        <v>1</v>
      </c>
      <c r="B761" s="125"/>
      <c r="C761" s="110"/>
      <c r="D761" s="110"/>
      <c r="E761" s="110">
        <v>0</v>
      </c>
      <c r="F761" s="110">
        <f>D761+E761</f>
        <v>0</v>
      </c>
      <c r="G761" s="110">
        <v>0</v>
      </c>
      <c r="H761" s="110">
        <f>F761*(($H$449)+1)+(IF(G761&lt;101,G761,IF(G761&lt;201,G761/2,IF(G761&lt;=301,G761/3,G761/4))))</f>
        <v>0</v>
      </c>
      <c r="I761" s="35"/>
      <c r="L761" s="122"/>
      <c r="M761" s="122"/>
      <c r="N761" s="35"/>
    </row>
    <row r="762" spans="1:20" s="83" customFormat="1" ht="15.75" hidden="1" customHeight="1" x14ac:dyDescent="0.35">
      <c r="A762" s="125">
        <f>A761+1</f>
        <v>2</v>
      </c>
      <c r="B762" s="125"/>
      <c r="C762" s="110"/>
      <c r="D762" s="110"/>
      <c r="E762" s="110">
        <v>0</v>
      </c>
      <c r="F762" s="110">
        <f>D762+E762</f>
        <v>0</v>
      </c>
      <c r="G762" s="110">
        <v>0</v>
      </c>
      <c r="H762" s="110">
        <f>F762*(($H$449)+1)+(IF(G762&lt;101,G762,IF(G762&lt;201,G762/2,IF(G762&lt;=301,G762/3,G762/4))))</f>
        <v>0</v>
      </c>
      <c r="I762" s="35"/>
      <c r="L762" s="122"/>
      <c r="M762" s="122"/>
      <c r="N762" s="35"/>
    </row>
    <row r="763" spans="1:20" s="83" customFormat="1" ht="15.75" hidden="1" customHeight="1" x14ac:dyDescent="0.35">
      <c r="A763" s="125">
        <f>A762+1</f>
        <v>3</v>
      </c>
      <c r="B763" s="125"/>
      <c r="C763" s="110"/>
      <c r="D763" s="110"/>
      <c r="E763" s="110">
        <v>0</v>
      </c>
      <c r="F763" s="110">
        <f>D763+E763</f>
        <v>0</v>
      </c>
      <c r="G763" s="110">
        <v>0</v>
      </c>
      <c r="H763" s="110">
        <f>F763*(($H$449)+1)+(IF(G763&lt;101,G763,IF(G763&lt;201,G763/2,IF(G763&lt;=301,G763/3,G763/4))))</f>
        <v>0</v>
      </c>
      <c r="I763" s="35"/>
      <c r="L763" s="122"/>
      <c r="M763" s="122"/>
      <c r="N763" s="35"/>
    </row>
    <row r="764" spans="1:20" s="83" customFormat="1" ht="15.75" hidden="1" customHeight="1" x14ac:dyDescent="0.35">
      <c r="A764" s="125">
        <f>A763+1</f>
        <v>4</v>
      </c>
      <c r="B764" s="125"/>
      <c r="C764" s="110"/>
      <c r="D764" s="110"/>
      <c r="E764" s="110">
        <v>0</v>
      </c>
      <c r="F764" s="110">
        <f>D764+E764</f>
        <v>0</v>
      </c>
      <c r="G764" s="110">
        <v>0</v>
      </c>
      <c r="H764" s="110">
        <f>F764*(($H$449)+1)+(IF(G764&lt;101,G764,IF(G764&lt;201,G764/2,IF(G764&lt;=301,G764/3,G764/4))))</f>
        <v>0</v>
      </c>
      <c r="I764" s="35"/>
      <c r="L764" s="122"/>
      <c r="M764" s="122"/>
      <c r="N764" s="35"/>
      <c r="T764" s="20"/>
    </row>
    <row r="765" spans="1:20" s="36" customFormat="1" hidden="1" x14ac:dyDescent="0.35">
      <c r="A765" s="130" t="s">
        <v>117</v>
      </c>
      <c r="B765" s="130"/>
      <c r="C765" s="130"/>
      <c r="D765" s="130"/>
      <c r="E765" s="130"/>
      <c r="F765" s="130"/>
      <c r="G765" s="130"/>
      <c r="H765" s="130"/>
      <c r="I765" s="35"/>
      <c r="L765" s="122"/>
      <c r="M765" s="122"/>
    </row>
    <row r="766" spans="1:20" s="36" customFormat="1" hidden="1" x14ac:dyDescent="0.35">
      <c r="A766" s="125">
        <f>LEFT(A765,SUM(LEN(A765)-LEN(SUBSTITUTE(A765,{"0","1","2","3","4","5","6","7","8","9"},""))))*100+1</f>
        <v>201</v>
      </c>
      <c r="B766" s="125"/>
      <c r="C766" s="110"/>
      <c r="D766" s="110"/>
      <c r="E766" s="110">
        <v>0</v>
      </c>
      <c r="F766" s="110">
        <f>D766+E766</f>
        <v>0</v>
      </c>
      <c r="G766" s="110">
        <v>0</v>
      </c>
      <c r="H766" s="110">
        <f>F766*(($H$449)+1)+(IF(G766&lt;101,G766,IF(G766&lt;201,G766/2,IF(G766&lt;=301,G766/3,G766/4))))</f>
        <v>0</v>
      </c>
      <c r="I766" s="35"/>
      <c r="N766" s="35"/>
    </row>
    <row r="767" spans="1:20" s="36" customFormat="1" hidden="1" x14ac:dyDescent="0.35">
      <c r="A767" s="125">
        <f>A766+1</f>
        <v>202</v>
      </c>
      <c r="B767" s="125"/>
      <c r="C767" s="110"/>
      <c r="D767" s="110"/>
      <c r="E767" s="110">
        <v>0</v>
      </c>
      <c r="F767" s="110">
        <f>D767+E767</f>
        <v>0</v>
      </c>
      <c r="G767" s="110">
        <v>0</v>
      </c>
      <c r="H767" s="110">
        <f>F767*(($H$449)+1)+(IF(G767&lt;101,G767,IF(G767&lt;201,G767/2,IF(G767&lt;=301,G767/3,G767/4))))</f>
        <v>0</v>
      </c>
      <c r="I767" s="35"/>
      <c r="N767" s="35"/>
    </row>
    <row r="768" spans="1:20" s="36" customFormat="1" hidden="1" x14ac:dyDescent="0.35">
      <c r="A768" s="125">
        <f>A767+1</f>
        <v>203</v>
      </c>
      <c r="B768" s="125"/>
      <c r="C768" s="110"/>
      <c r="D768" s="110"/>
      <c r="E768" s="110">
        <v>0</v>
      </c>
      <c r="F768" s="110">
        <f>D768+E768</f>
        <v>0</v>
      </c>
      <c r="G768" s="110">
        <v>0</v>
      </c>
      <c r="H768" s="110">
        <f>F768*(($H$449)+1)+(IF(G768&lt;101,G768,IF(G768&lt;201,G768/2,IF(G768&lt;=301,G768/3,G768/4))))</f>
        <v>0</v>
      </c>
      <c r="I768" s="35"/>
      <c r="N768" s="35"/>
    </row>
    <row r="769" spans="1:14" s="36" customFormat="1" hidden="1" x14ac:dyDescent="0.35">
      <c r="A769" s="125">
        <f>A768+1</f>
        <v>204</v>
      </c>
      <c r="B769" s="125"/>
      <c r="C769" s="110"/>
      <c r="D769" s="110"/>
      <c r="E769" s="110">
        <v>0</v>
      </c>
      <c r="F769" s="110">
        <f>D769+E769</f>
        <v>0</v>
      </c>
      <c r="G769" s="110">
        <v>0</v>
      </c>
      <c r="H769" s="110">
        <f>F769*(($H$449)+1)+(IF(G769&lt;101,G769,IF(G769&lt;201,G769/2,IF(G769&lt;=301,G769/3,G769/4))))</f>
        <v>0</v>
      </c>
      <c r="I769" s="35"/>
      <c r="N769" s="35"/>
    </row>
    <row r="770" spans="1:14" s="36" customFormat="1" hidden="1" x14ac:dyDescent="0.35">
      <c r="A770" s="125">
        <f>A769+1</f>
        <v>205</v>
      </c>
      <c r="B770" s="125"/>
      <c r="C770" s="110"/>
      <c r="D770" s="110"/>
      <c r="E770" s="110">
        <v>0</v>
      </c>
      <c r="F770" s="110">
        <f>D770+E770</f>
        <v>0</v>
      </c>
      <c r="G770" s="110">
        <v>0</v>
      </c>
      <c r="H770" s="110">
        <f>F770*(($H$449)+1)+(IF(G770&lt;101,G770,IF(G770&lt;201,G770/2,IF(G770&lt;=301,G770/3,G770/4))))</f>
        <v>0</v>
      </c>
      <c r="I770" s="35"/>
      <c r="N770" s="35"/>
    </row>
    <row r="771" spans="1:14" s="36" customFormat="1" ht="15.75" hidden="1" customHeight="1" x14ac:dyDescent="0.35">
      <c r="A771" s="130" t="s">
        <v>149</v>
      </c>
      <c r="B771" s="130"/>
      <c r="C771" s="130"/>
      <c r="D771" s="130"/>
      <c r="E771" s="130"/>
      <c r="F771" s="130"/>
      <c r="G771" s="130"/>
      <c r="H771" s="130"/>
      <c r="I771" s="35"/>
    </row>
    <row r="772" spans="1:14" s="36" customFormat="1" ht="15.75" hidden="1" customHeight="1" x14ac:dyDescent="0.35">
      <c r="A772" s="125" t="str">
        <f ca="1">(SUMPRODUCT(MID(0&amp;(LEFT(A771,SUM(LEN(A771)-LEN(SUBSTITUTE(A771,{"0","1","2"},""))))), LARGE(INDEX(ISNUMBER(--MID((LEFT(A771,SUM(LEN(A771)-LEN(SUBSTITUTE(A771,{"0","1","2"},""))))), ROW(INDIRECT("1:"&amp;LEN((LEFT(A771,SUM(LEN(A771)-LEN(SUBSTITUTE(A771,{"0","1","2"},"")))))))), 1)) * ROW(INDIRECT("1:"&amp;LEN((LEFT(A771,SUM(LEN(A771)-LEN(SUBSTITUTE(A771,{"0","1","2"},"")))))))), 0), ROW(INDIRECT("1:"&amp;LEN((LEFT(A771,SUM(LEN(A771)-LEN(SUBSTITUTE(A771,{"0","1","2"},"")))))))))+1, 1) * 10^ROW(INDIRECT("1:"&amp;LEN((LEFT(A771,SUM(LEN(A771)-LEN(SUBSTITUTE(A771,{"0","1","2"},""))))))))/10))*100+1&amp;""&amp;" ,.., "&amp;""&amp;(SUMPRODUCT(MID(0&amp;(--TRIM(RIGHT(SUBSTITUTE(LEFT(A771,_xlfn.AGGREGATE(16,6,FIND({0,1,2,3,4,5,6,7,8,9},A771,ROW(INDIRECT("1:"&amp;LEN(A771)))),1))," ",REPT(" ",LEN(A771))),LEN(A771)))), LARGE(INDEX(ISNUMBER(--MID((--TRIM(RIGHT(SUBSTITUTE(LEFT(A771,_xlfn.AGGREGATE(16,6,FIND({0,1,2,3,4,5,6,7,8,9},A771,ROW(INDIRECT("1:"&amp;LEN(A771)))),1))," ",REPT(" ",LEN(A771))),LEN(A771)))), ROW(INDIRECT("1:"&amp;LEN((--TRIM(RIGHT(SUBSTITUTE(LEFT(A771,_xlfn.AGGREGATE(16,6,FIND({0,1,2,3,4,5,6,7,8,9},A771,ROW(INDIRECT("1:"&amp;LEN(A771)))),1))," ",REPT(" ",LEN(A771))),LEN(A771))))))), 1)) * ROW(INDIRECT("1:"&amp;LEN((--TRIM(RIGHT(SUBSTITUTE(LEFT(A771,_xlfn.AGGREGATE(16,6,FIND({0,1,2,3,4,5,6,7,8,9},A771,ROW(INDIRECT("1:"&amp;LEN(A771)))),1))," ",REPT(" ",LEN(A771))),LEN(A771))))))), 0), ROW(INDIRECT("1:"&amp;LEN((--TRIM(RIGHT(SUBSTITUTE(LEFT(A771,_xlfn.AGGREGATE(16,6,FIND({0,1,2,3,4,5,6,7,8,9},A771,ROW(INDIRECT("1:"&amp;LEN(A771)))),1))," ",REPT(" ",LEN(A771))),LEN(A771))))))))+1, 1) * 10^ROW(INDIRECT("1:"&amp;LEN((--TRIM(RIGHT(SUBSTITUTE(LEFT(A771,_xlfn.AGGREGATE(16,6,FIND({0,1,2,3,4,5,6,7,8,9},A771,ROW(INDIRECT("1:"&amp;LEN(A771)))),1))," ",REPT(" ",LEN(A771))),LEN(A771)))))))/10))*100+1</f>
        <v>301 ,.., 1501</v>
      </c>
      <c r="B772" s="125"/>
      <c r="C772" s="110"/>
      <c r="D772" s="110"/>
      <c r="E772" s="110">
        <v>0</v>
      </c>
      <c r="F772" s="110">
        <f>D772+E772</f>
        <v>0</v>
      </c>
      <c r="G772" s="110">
        <v>0</v>
      </c>
      <c r="H772" s="110">
        <f>F772*(($H$449)+1)+(IF(G772&lt;101,G772,IF(G772&lt;201,G772/2,IF(G772&lt;=301,G772/3,G772/4))))</f>
        <v>0</v>
      </c>
      <c r="I772" s="35"/>
    </row>
    <row r="773" spans="1:14" s="36" customFormat="1" ht="15.75" hidden="1" customHeight="1" x14ac:dyDescent="0.35">
      <c r="A773" s="125" t="str">
        <f ca="1">(SUMPRODUCT(MID(0&amp;(LEFT(A772,SUM(LEN(A772)-LEN(SUBSTITUTE(A772,{"0","1","2"},""))))), LARGE(INDEX(ISNUMBER(--MID((LEFT(A772,SUM(LEN(A772)-LEN(SUBSTITUTE(A772,{"0","1","2"},""))))), ROW(INDIRECT("1:"&amp;LEN((LEFT(A772,SUM(LEN(A772)-LEN(SUBSTITUTE(A772,{"0","1","2"},"")))))))), 1)) * ROW(INDIRECT("1:"&amp;LEN((LEFT(A772,SUM(LEN(A772)-LEN(SUBSTITUTE(A772,{"0","1","2"},"")))))))), 0), ROW(INDIRECT("1:"&amp;LEN((LEFT(A772,SUM(LEN(A772)-LEN(SUBSTITUTE(A772,{"0","1","2"},"")))))))))+1, 1) * 10^ROW(INDIRECT("1:"&amp;LEN((LEFT(A772,SUM(LEN(A772)-LEN(SUBSTITUTE(A772,{"0","1","2"},""))))))))/10))*1+1&amp;""&amp;" ,.., "&amp;""&amp;(SUMPRODUCT(MID(0&amp;(--TRIM(RIGHT(SUBSTITUTE(LEFT(A772,_xlfn.AGGREGATE(16,6,FIND({0,1,2,3,4,5,6,7,8,9},A772,ROW(INDIRECT("1:"&amp;LEN(A772)))),1))," ",REPT(" ",LEN(A772))),LEN(A772)))), LARGE(INDEX(ISNUMBER(--MID((--TRIM(RIGHT(SUBSTITUTE(LEFT(A772,_xlfn.AGGREGATE(16,6,FIND({0,1,2,3,4,5,6,7,8,9},A772,ROW(INDIRECT("1:"&amp;LEN(A772)))),1))," ",REPT(" ",LEN(A772))),LEN(A772)))), ROW(INDIRECT("1:"&amp;LEN((--TRIM(RIGHT(SUBSTITUTE(LEFT(A772,_xlfn.AGGREGATE(16,6,FIND({0,1,2,3,4,5,6,7,8,9},A772,ROW(INDIRECT("1:"&amp;LEN(A772)))),1))," ",REPT(" ",LEN(A772))),LEN(A772))))))), 1)) * ROW(INDIRECT("1:"&amp;LEN((--TRIM(RIGHT(SUBSTITUTE(LEFT(A772,_xlfn.AGGREGATE(16,6,FIND({0,1,2,3,4,5,6,7,8,9},A772,ROW(INDIRECT("1:"&amp;LEN(A772)))),1))," ",REPT(" ",LEN(A772))),LEN(A772))))))), 0), ROW(INDIRECT("1:"&amp;LEN((--TRIM(RIGHT(SUBSTITUTE(LEFT(A772,_xlfn.AGGREGATE(16,6,FIND({0,1,2,3,4,5,6,7,8,9},A772,ROW(INDIRECT("1:"&amp;LEN(A772)))),1))," ",REPT(" ",LEN(A772))),LEN(A772))))))))+1, 1) * 10^ROW(INDIRECT("1:"&amp;LEN((--TRIM(RIGHT(SUBSTITUTE(LEFT(A772,_xlfn.AGGREGATE(16,6,FIND({0,1,2,3,4,5,6,7,8,9},A772,ROW(INDIRECT("1:"&amp;LEN(A772)))),1))," ",REPT(" ",LEN(A772))),LEN(A772)))))))/10))*1+1</f>
        <v>302 ,.., 1502</v>
      </c>
      <c r="B773" s="125"/>
      <c r="C773" s="110"/>
      <c r="D773" s="110"/>
      <c r="E773" s="110">
        <v>0</v>
      </c>
      <c r="F773" s="110">
        <f>D773+E773</f>
        <v>0</v>
      </c>
      <c r="G773" s="110">
        <v>0</v>
      </c>
      <c r="H773" s="110">
        <f>F773*(($H$449)+1)+(IF(G773&lt;101,G773,IF(G773&lt;201,G773/2,IF(G773&lt;=301,G773/3,G773/4))))</f>
        <v>0</v>
      </c>
      <c r="I773" s="35"/>
    </row>
    <row r="774" spans="1:14" s="36" customFormat="1" ht="15.75" hidden="1" customHeight="1" x14ac:dyDescent="0.35">
      <c r="A774" s="125" t="str">
        <f ca="1">(SUMPRODUCT(MID(0&amp;(LEFT(A773,SUM(LEN(A773)-LEN(SUBSTITUTE(A773,{"0","1","2"},""))))), LARGE(INDEX(ISNUMBER(--MID((LEFT(A773,SUM(LEN(A773)-LEN(SUBSTITUTE(A773,{"0","1","2"},""))))), ROW(INDIRECT("1:"&amp;LEN((LEFT(A773,SUM(LEN(A773)-LEN(SUBSTITUTE(A773,{"0","1","2"},"")))))))), 1)) * ROW(INDIRECT("1:"&amp;LEN((LEFT(A773,SUM(LEN(A773)-LEN(SUBSTITUTE(A773,{"0","1","2"},"")))))))), 0), ROW(INDIRECT("1:"&amp;LEN((LEFT(A773,SUM(LEN(A773)-LEN(SUBSTITUTE(A773,{"0","1","2"},"")))))))))+1, 1) * 10^ROW(INDIRECT("1:"&amp;LEN((LEFT(A773,SUM(LEN(A773)-LEN(SUBSTITUTE(A773,{"0","1","2"},""))))))))/10))*1+1&amp;""&amp;" ,.., "&amp;""&amp;(SUMPRODUCT(MID(0&amp;(--TRIM(RIGHT(SUBSTITUTE(LEFT(A773,_xlfn.AGGREGATE(16,6,FIND({0,1,2,3,4,5,6,7,8,9},A773,ROW(INDIRECT("1:"&amp;LEN(A773)))),1))," ",REPT(" ",LEN(A773))),LEN(A773)))), LARGE(INDEX(ISNUMBER(--MID((--TRIM(RIGHT(SUBSTITUTE(LEFT(A773,_xlfn.AGGREGATE(16,6,FIND({0,1,2,3,4,5,6,7,8,9},A773,ROW(INDIRECT("1:"&amp;LEN(A773)))),1))," ",REPT(" ",LEN(A773))),LEN(A773)))), ROW(INDIRECT("1:"&amp;LEN((--TRIM(RIGHT(SUBSTITUTE(LEFT(A773,_xlfn.AGGREGATE(16,6,FIND({0,1,2,3,4,5,6,7,8,9},A773,ROW(INDIRECT("1:"&amp;LEN(A773)))),1))," ",REPT(" ",LEN(A773))),LEN(A773))))))), 1)) * ROW(INDIRECT("1:"&amp;LEN((--TRIM(RIGHT(SUBSTITUTE(LEFT(A773,_xlfn.AGGREGATE(16,6,FIND({0,1,2,3,4,5,6,7,8,9},A773,ROW(INDIRECT("1:"&amp;LEN(A773)))),1))," ",REPT(" ",LEN(A773))),LEN(A773))))))), 0), ROW(INDIRECT("1:"&amp;LEN((--TRIM(RIGHT(SUBSTITUTE(LEFT(A773,_xlfn.AGGREGATE(16,6,FIND({0,1,2,3,4,5,6,7,8,9},A773,ROW(INDIRECT("1:"&amp;LEN(A773)))),1))," ",REPT(" ",LEN(A773))),LEN(A773))))))))+1, 1) * 10^ROW(INDIRECT("1:"&amp;LEN((--TRIM(RIGHT(SUBSTITUTE(LEFT(A773,_xlfn.AGGREGATE(16,6,FIND({0,1,2,3,4,5,6,7,8,9},A773,ROW(INDIRECT("1:"&amp;LEN(A773)))),1))," ",REPT(" ",LEN(A773))),LEN(A773)))))))/10))*1+1</f>
        <v>303 ,.., 1503</v>
      </c>
      <c r="B774" s="125"/>
      <c r="C774" s="110"/>
      <c r="D774" s="110"/>
      <c r="E774" s="110">
        <v>0</v>
      </c>
      <c r="F774" s="110">
        <f>D774+E774</f>
        <v>0</v>
      </c>
      <c r="G774" s="110">
        <v>0</v>
      </c>
      <c r="H774" s="110">
        <f>F774*(($H$449)+1)+(IF(G774&lt;101,G774,IF(G774&lt;201,G774/2,IF(G774&lt;=301,G774/3,G774/4))))</f>
        <v>0</v>
      </c>
      <c r="I774" s="35"/>
    </row>
    <row r="775" spans="1:14" s="36" customFormat="1" ht="15.75" hidden="1" customHeight="1" x14ac:dyDescent="0.35">
      <c r="A775" s="125" t="str">
        <f ca="1">(SUMPRODUCT(MID(0&amp;(LEFT(A774,SUM(LEN(A774)-LEN(SUBSTITUTE(A774,{"0","1","2"},""))))), LARGE(INDEX(ISNUMBER(--MID((LEFT(A774,SUM(LEN(A774)-LEN(SUBSTITUTE(A774,{"0","1","2"},""))))), ROW(INDIRECT("1:"&amp;LEN((LEFT(A774,SUM(LEN(A774)-LEN(SUBSTITUTE(A774,{"0","1","2"},"")))))))), 1)) * ROW(INDIRECT("1:"&amp;LEN((LEFT(A774,SUM(LEN(A774)-LEN(SUBSTITUTE(A774,{"0","1","2"},"")))))))), 0), ROW(INDIRECT("1:"&amp;LEN((LEFT(A774,SUM(LEN(A774)-LEN(SUBSTITUTE(A774,{"0","1","2"},"")))))))))+1, 1) * 10^ROW(INDIRECT("1:"&amp;LEN((LEFT(A774,SUM(LEN(A774)-LEN(SUBSTITUTE(A774,{"0","1","2"},""))))))))/10))*1+1&amp;""&amp;" ,.., "&amp;""&amp;(SUMPRODUCT(MID(0&amp;(--TRIM(RIGHT(SUBSTITUTE(LEFT(A774,_xlfn.AGGREGATE(16,6,FIND({0,1,2,3,4,5,6,7,8,9},A774,ROW(INDIRECT("1:"&amp;LEN(A774)))),1))," ",REPT(" ",LEN(A774))),LEN(A774)))), LARGE(INDEX(ISNUMBER(--MID((--TRIM(RIGHT(SUBSTITUTE(LEFT(A774,_xlfn.AGGREGATE(16,6,FIND({0,1,2,3,4,5,6,7,8,9},A774,ROW(INDIRECT("1:"&amp;LEN(A774)))),1))," ",REPT(" ",LEN(A774))),LEN(A774)))), ROW(INDIRECT("1:"&amp;LEN((--TRIM(RIGHT(SUBSTITUTE(LEFT(A774,_xlfn.AGGREGATE(16,6,FIND({0,1,2,3,4,5,6,7,8,9},A774,ROW(INDIRECT("1:"&amp;LEN(A774)))),1))," ",REPT(" ",LEN(A774))),LEN(A774))))))), 1)) * ROW(INDIRECT("1:"&amp;LEN((--TRIM(RIGHT(SUBSTITUTE(LEFT(A774,_xlfn.AGGREGATE(16,6,FIND({0,1,2,3,4,5,6,7,8,9},A774,ROW(INDIRECT("1:"&amp;LEN(A774)))),1))," ",REPT(" ",LEN(A774))),LEN(A774))))))), 0), ROW(INDIRECT("1:"&amp;LEN((--TRIM(RIGHT(SUBSTITUTE(LEFT(A774,_xlfn.AGGREGATE(16,6,FIND({0,1,2,3,4,5,6,7,8,9},A774,ROW(INDIRECT("1:"&amp;LEN(A774)))),1))," ",REPT(" ",LEN(A774))),LEN(A774))))))))+1, 1) * 10^ROW(INDIRECT("1:"&amp;LEN((--TRIM(RIGHT(SUBSTITUTE(LEFT(A774,_xlfn.AGGREGATE(16,6,FIND({0,1,2,3,4,5,6,7,8,9},A774,ROW(INDIRECT("1:"&amp;LEN(A774)))),1))," ",REPT(" ",LEN(A774))),LEN(A774)))))))/10))*1+1</f>
        <v>304 ,.., 1504</v>
      </c>
      <c r="B775" s="125"/>
      <c r="C775" s="110"/>
      <c r="D775" s="110"/>
      <c r="E775" s="110">
        <v>0</v>
      </c>
      <c r="F775" s="110">
        <f>D775+E775</f>
        <v>0</v>
      </c>
      <c r="G775" s="110">
        <v>0</v>
      </c>
      <c r="H775" s="110">
        <f>F775*(($H$449)+1)+(IF(G775&lt;101,G775,IF(G775&lt;201,G775/2,IF(G775&lt;=301,G775/3,G775/4))))</f>
        <v>0</v>
      </c>
      <c r="I775" s="35"/>
    </row>
    <row r="776" spans="1:14" s="36" customFormat="1" ht="15.75" hidden="1" customHeight="1" x14ac:dyDescent="0.35">
      <c r="A776" s="125" t="str">
        <f ca="1">(SUMPRODUCT(MID(0&amp;(LEFT(A775,SUM(LEN(A775)-LEN(SUBSTITUTE(A775,{"0","1","2"},""))))), LARGE(INDEX(ISNUMBER(--MID((LEFT(A775,SUM(LEN(A775)-LEN(SUBSTITUTE(A775,{"0","1","2"},""))))), ROW(INDIRECT("1:"&amp;LEN((LEFT(A775,SUM(LEN(A775)-LEN(SUBSTITUTE(A775,{"0","1","2"},"")))))))), 1)) * ROW(INDIRECT("1:"&amp;LEN((LEFT(A775,SUM(LEN(A775)-LEN(SUBSTITUTE(A775,{"0","1","2"},"")))))))), 0), ROW(INDIRECT("1:"&amp;LEN((LEFT(A775,SUM(LEN(A775)-LEN(SUBSTITUTE(A775,{"0","1","2"},"")))))))))+1, 1) * 10^ROW(INDIRECT("1:"&amp;LEN((LEFT(A775,SUM(LEN(A775)-LEN(SUBSTITUTE(A775,{"0","1","2"},""))))))))/10))*1+1&amp;""&amp;" ,.., "&amp;""&amp;(SUMPRODUCT(MID(0&amp;(--TRIM(RIGHT(SUBSTITUTE(LEFT(A775,_xlfn.AGGREGATE(16,6,FIND({0,1,2,3,4,5,6,7,8,9},A775,ROW(INDIRECT("1:"&amp;LEN(A775)))),1))," ",REPT(" ",LEN(A775))),LEN(A775)))), LARGE(INDEX(ISNUMBER(--MID((--TRIM(RIGHT(SUBSTITUTE(LEFT(A775,_xlfn.AGGREGATE(16,6,FIND({0,1,2,3,4,5,6,7,8,9},A775,ROW(INDIRECT("1:"&amp;LEN(A775)))),1))," ",REPT(" ",LEN(A775))),LEN(A775)))), ROW(INDIRECT("1:"&amp;LEN((--TRIM(RIGHT(SUBSTITUTE(LEFT(A775,_xlfn.AGGREGATE(16,6,FIND({0,1,2,3,4,5,6,7,8,9},A775,ROW(INDIRECT("1:"&amp;LEN(A775)))),1))," ",REPT(" ",LEN(A775))),LEN(A775))))))), 1)) * ROW(INDIRECT("1:"&amp;LEN((--TRIM(RIGHT(SUBSTITUTE(LEFT(A775,_xlfn.AGGREGATE(16,6,FIND({0,1,2,3,4,5,6,7,8,9},A775,ROW(INDIRECT("1:"&amp;LEN(A775)))),1))," ",REPT(" ",LEN(A775))),LEN(A775))))))), 0), ROW(INDIRECT("1:"&amp;LEN((--TRIM(RIGHT(SUBSTITUTE(LEFT(A775,_xlfn.AGGREGATE(16,6,FIND({0,1,2,3,4,5,6,7,8,9},A775,ROW(INDIRECT("1:"&amp;LEN(A775)))),1))," ",REPT(" ",LEN(A775))),LEN(A775))))))))+1, 1) * 10^ROW(INDIRECT("1:"&amp;LEN((--TRIM(RIGHT(SUBSTITUTE(LEFT(A775,_xlfn.AGGREGATE(16,6,FIND({0,1,2,3,4,5,6,7,8,9},A775,ROW(INDIRECT("1:"&amp;LEN(A775)))),1))," ",REPT(" ",LEN(A775))),LEN(A775)))))))/10))*1+1</f>
        <v>305 ,.., 1505</v>
      </c>
      <c r="B776" s="125"/>
      <c r="C776" s="110"/>
      <c r="D776" s="110"/>
      <c r="E776" s="110">
        <v>0</v>
      </c>
      <c r="F776" s="110">
        <f>D776+E776</f>
        <v>0</v>
      </c>
      <c r="G776" s="110">
        <v>0</v>
      </c>
      <c r="H776" s="110">
        <f>F776*(($H$449)+1)+(IF(G776&lt;101,G776,IF(G776&lt;201,G776/2,IF(G776&lt;=301,G776/3,G776/4))))</f>
        <v>0</v>
      </c>
      <c r="I776" s="35"/>
    </row>
    <row r="777" spans="1:14" s="36" customFormat="1" hidden="1" x14ac:dyDescent="0.35">
      <c r="A777" s="130" t="s">
        <v>143</v>
      </c>
      <c r="B777" s="130"/>
      <c r="C777" s="130"/>
      <c r="D777" s="130"/>
      <c r="E777" s="130"/>
      <c r="F777" s="130"/>
      <c r="G777" s="130"/>
      <c r="H777" s="130"/>
      <c r="I777" s="35"/>
    </row>
    <row r="778" spans="1:14" s="36" customFormat="1" ht="15.75" hidden="1" customHeight="1" x14ac:dyDescent="0.35">
      <c r="A778" s="125" t="str">
        <f ca="1">(SUMPRODUCT(MID(0&amp;(LEFT(A777,SUM(LEN(A777)-LEN(SUBSTITUTE(A777,{"0","1","2"},""))))), LARGE(INDEX(ISNUMBER(--MID((LEFT(A777,SUM(LEN(A777)-LEN(SUBSTITUTE(A777,{"0","1","2"},""))))), ROW(INDIRECT("1:"&amp;LEN((LEFT(A777,SUM(LEN(A777)-LEN(SUBSTITUTE(A777,{"0","1","2"},"")))))))), 1)) * ROW(INDIRECT("1:"&amp;LEN((LEFT(A777,SUM(LEN(A777)-LEN(SUBSTITUTE(A777,{"0","1","2"},"")))))))), 0), ROW(INDIRECT("1:"&amp;LEN((LEFT(A777,SUM(LEN(A777)-LEN(SUBSTITUTE(A777,{"0","1","2"},"")))))))))+1, 1) * 10^ROW(INDIRECT("1:"&amp;LEN((LEFT(A777,SUM(LEN(A777)-LEN(SUBSTITUTE(A777,{"0","1","2"},""))))))))/10))*100+1&amp;""&amp;" to "&amp;""&amp;(SUMPRODUCT(MID(0&amp;(--TRIM(RIGHT(SUBSTITUTE(LEFT(A777,_xlfn.AGGREGATE(16,6,FIND({0,1,2,3,4,5,6,7,8,9},A777,ROW(INDIRECT("1:"&amp;LEN(A777)))),1))," ",REPT(" ",LEN(A777))),LEN(A777)))), LARGE(INDEX(ISNUMBER(--MID((--TRIM(RIGHT(SUBSTITUTE(LEFT(A777,_xlfn.AGGREGATE(16,6,FIND({0,1,2,3,4,5,6,7,8,9},A777,ROW(INDIRECT("1:"&amp;LEN(A777)))),1))," ",REPT(" ",LEN(A777))),LEN(A777)))), ROW(INDIRECT("1:"&amp;LEN((--TRIM(RIGHT(SUBSTITUTE(LEFT(A777,_xlfn.AGGREGATE(16,6,FIND({0,1,2,3,4,5,6,7,8,9},A777,ROW(INDIRECT("1:"&amp;LEN(A777)))),1))," ",REPT(" ",LEN(A777))),LEN(A777))))))), 1)) * ROW(INDIRECT("1:"&amp;LEN((--TRIM(RIGHT(SUBSTITUTE(LEFT(A777,_xlfn.AGGREGATE(16,6,FIND({0,1,2,3,4,5,6,7,8,9},A777,ROW(INDIRECT("1:"&amp;LEN(A777)))),1))," ",REPT(" ",LEN(A777))),LEN(A777))))))), 0), ROW(INDIRECT("1:"&amp;LEN((--TRIM(RIGHT(SUBSTITUTE(LEFT(A777,_xlfn.AGGREGATE(16,6,FIND({0,1,2,3,4,5,6,7,8,9},A777,ROW(INDIRECT("1:"&amp;LEN(A777)))),1))," ",REPT(" ",LEN(A777))),LEN(A777))))))))+1, 1) * 10^ROW(INDIRECT("1:"&amp;LEN((--TRIM(RIGHT(SUBSTITUTE(LEFT(A777,_xlfn.AGGREGATE(16,6,FIND({0,1,2,3,4,5,6,7,8,9},A777,ROW(INDIRECT("1:"&amp;LEN(A777)))),1))," ",REPT(" ",LEN(A777))),LEN(A777)))))))/10))*100+1</f>
        <v>201 to 501</v>
      </c>
      <c r="B778" s="125"/>
      <c r="C778" s="110"/>
      <c r="D778" s="110"/>
      <c r="E778" s="110">
        <v>0</v>
      </c>
      <c r="F778" s="110">
        <f>D778+E778</f>
        <v>0</v>
      </c>
      <c r="G778" s="110">
        <v>0</v>
      </c>
      <c r="H778" s="110">
        <f>F778*(($H$449)+1)+(IF(G778&lt;101,G778,IF(G778&lt;201,G778/2,IF(G778&lt;=301,G778/3,G778/4))))</f>
        <v>0</v>
      </c>
      <c r="I778" s="35"/>
    </row>
    <row r="779" spans="1:14" s="36" customFormat="1" ht="15.75" hidden="1" customHeight="1" x14ac:dyDescent="0.35">
      <c r="A779" s="125" t="str">
        <f ca="1">(SUMPRODUCT(MID(0&amp;(LEFT(A778,SUM(LEN(A778)-LEN(SUBSTITUTE(A778,{"0","1","2"},""))))), LARGE(INDEX(ISNUMBER(--MID((LEFT(A778,SUM(LEN(A778)-LEN(SUBSTITUTE(A778,{"0","1","2"},""))))), ROW(INDIRECT("1:"&amp;LEN((LEFT(A778,SUM(LEN(A778)-LEN(SUBSTITUTE(A778,{"0","1","2"},"")))))))), 1)) * ROW(INDIRECT("1:"&amp;LEN((LEFT(A778,SUM(LEN(A778)-LEN(SUBSTITUTE(A778,{"0","1","2"},"")))))))), 0), ROW(INDIRECT("1:"&amp;LEN((LEFT(A778,SUM(LEN(A778)-LEN(SUBSTITUTE(A778,{"0","1","2"},"")))))))))+1, 1) * 10^ROW(INDIRECT("1:"&amp;LEN((LEFT(A778,SUM(LEN(A778)-LEN(SUBSTITUTE(A778,{"0","1","2"},""))))))))/10))*1+1&amp;""&amp;" to "&amp;""&amp;(SUMPRODUCT(MID(0&amp;(--TRIM(RIGHT(SUBSTITUTE(LEFT(A778,_xlfn.AGGREGATE(16,6,FIND({0,1,2,3,4,5,6,7,8,9},A778,ROW(INDIRECT("1:"&amp;LEN(A778)))),1))," ",REPT(" ",LEN(A778))),LEN(A778)))), LARGE(INDEX(ISNUMBER(--MID((--TRIM(RIGHT(SUBSTITUTE(LEFT(A778,_xlfn.AGGREGATE(16,6,FIND({0,1,2,3,4,5,6,7,8,9},A778,ROW(INDIRECT("1:"&amp;LEN(A778)))),1))," ",REPT(" ",LEN(A778))),LEN(A778)))), ROW(INDIRECT("1:"&amp;LEN((--TRIM(RIGHT(SUBSTITUTE(LEFT(A778,_xlfn.AGGREGATE(16,6,FIND({0,1,2,3,4,5,6,7,8,9},A778,ROW(INDIRECT("1:"&amp;LEN(A778)))),1))," ",REPT(" ",LEN(A778))),LEN(A778))))))), 1)) * ROW(INDIRECT("1:"&amp;LEN((--TRIM(RIGHT(SUBSTITUTE(LEFT(A778,_xlfn.AGGREGATE(16,6,FIND({0,1,2,3,4,5,6,7,8,9},A778,ROW(INDIRECT("1:"&amp;LEN(A778)))),1))," ",REPT(" ",LEN(A778))),LEN(A778))))))), 0), ROW(INDIRECT("1:"&amp;LEN((--TRIM(RIGHT(SUBSTITUTE(LEFT(A778,_xlfn.AGGREGATE(16,6,FIND({0,1,2,3,4,5,6,7,8,9},A778,ROW(INDIRECT("1:"&amp;LEN(A778)))),1))," ",REPT(" ",LEN(A778))),LEN(A778))))))))+1, 1) * 10^ROW(INDIRECT("1:"&amp;LEN((--TRIM(RIGHT(SUBSTITUTE(LEFT(A778,_xlfn.AGGREGATE(16,6,FIND({0,1,2,3,4,5,6,7,8,9},A778,ROW(INDIRECT("1:"&amp;LEN(A778)))),1))," ",REPT(" ",LEN(A778))),LEN(A778)))))))/10))*1+1</f>
        <v>202 to 502</v>
      </c>
      <c r="B779" s="125"/>
      <c r="C779" s="110"/>
      <c r="D779" s="110"/>
      <c r="E779" s="110">
        <v>0</v>
      </c>
      <c r="F779" s="110">
        <f>D779+E779</f>
        <v>0</v>
      </c>
      <c r="G779" s="110">
        <v>0</v>
      </c>
      <c r="H779" s="110">
        <f>F779*(($H$449)+1)+(IF(G779&lt;101,G779,IF(G779&lt;201,G779/2,IF(G779&lt;=301,G779/3,G779/4))))</f>
        <v>0</v>
      </c>
      <c r="I779" s="35"/>
    </row>
    <row r="780" spans="1:14" s="36" customFormat="1" ht="15.75" hidden="1" customHeight="1" x14ac:dyDescent="0.35">
      <c r="A780" s="125" t="str">
        <f ca="1">(SUMPRODUCT(MID(0&amp;(LEFT(A779,SUM(LEN(A779)-LEN(SUBSTITUTE(A779,{"0","1","2"},""))))), LARGE(INDEX(ISNUMBER(--MID((LEFT(A779,SUM(LEN(A779)-LEN(SUBSTITUTE(A779,{"0","1","2"},""))))), ROW(INDIRECT("1:"&amp;LEN((LEFT(A779,SUM(LEN(A779)-LEN(SUBSTITUTE(A779,{"0","1","2"},"")))))))), 1)) * ROW(INDIRECT("1:"&amp;LEN((LEFT(A779,SUM(LEN(A779)-LEN(SUBSTITUTE(A779,{"0","1","2"},"")))))))), 0), ROW(INDIRECT("1:"&amp;LEN((LEFT(A779,SUM(LEN(A779)-LEN(SUBSTITUTE(A779,{"0","1","2"},"")))))))))+1, 1) * 10^ROW(INDIRECT("1:"&amp;LEN((LEFT(A779,SUM(LEN(A779)-LEN(SUBSTITUTE(A779,{"0","1","2"},""))))))))/10))*1+1&amp;""&amp;" to "&amp;""&amp;(SUMPRODUCT(MID(0&amp;(--TRIM(RIGHT(SUBSTITUTE(LEFT(A779,_xlfn.AGGREGATE(16,6,FIND({0,1,2,3,4,5,6,7,8,9},A779,ROW(INDIRECT("1:"&amp;LEN(A779)))),1))," ",REPT(" ",LEN(A779))),LEN(A779)))), LARGE(INDEX(ISNUMBER(--MID((--TRIM(RIGHT(SUBSTITUTE(LEFT(A779,_xlfn.AGGREGATE(16,6,FIND({0,1,2,3,4,5,6,7,8,9},A779,ROW(INDIRECT("1:"&amp;LEN(A779)))),1))," ",REPT(" ",LEN(A779))),LEN(A779)))), ROW(INDIRECT("1:"&amp;LEN((--TRIM(RIGHT(SUBSTITUTE(LEFT(A779,_xlfn.AGGREGATE(16,6,FIND({0,1,2,3,4,5,6,7,8,9},A779,ROW(INDIRECT("1:"&amp;LEN(A779)))),1))," ",REPT(" ",LEN(A779))),LEN(A779))))))), 1)) * ROW(INDIRECT("1:"&amp;LEN((--TRIM(RIGHT(SUBSTITUTE(LEFT(A779,_xlfn.AGGREGATE(16,6,FIND({0,1,2,3,4,5,6,7,8,9},A779,ROW(INDIRECT("1:"&amp;LEN(A779)))),1))," ",REPT(" ",LEN(A779))),LEN(A779))))))), 0), ROW(INDIRECT("1:"&amp;LEN((--TRIM(RIGHT(SUBSTITUTE(LEFT(A779,_xlfn.AGGREGATE(16,6,FIND({0,1,2,3,4,5,6,7,8,9},A779,ROW(INDIRECT("1:"&amp;LEN(A779)))),1))," ",REPT(" ",LEN(A779))),LEN(A779))))))))+1, 1) * 10^ROW(INDIRECT("1:"&amp;LEN((--TRIM(RIGHT(SUBSTITUTE(LEFT(A779,_xlfn.AGGREGATE(16,6,FIND({0,1,2,3,4,5,6,7,8,9},A779,ROW(INDIRECT("1:"&amp;LEN(A779)))),1))," ",REPT(" ",LEN(A779))),LEN(A779)))))))/10))*1+1</f>
        <v>203 to 503</v>
      </c>
      <c r="B780" s="125"/>
      <c r="C780" s="110"/>
      <c r="D780" s="110"/>
      <c r="E780" s="110">
        <v>0</v>
      </c>
      <c r="F780" s="110">
        <f>D780+E780</f>
        <v>0</v>
      </c>
      <c r="G780" s="110">
        <v>0</v>
      </c>
      <c r="H780" s="110">
        <f>F780*(($H$449)+1)+(IF(G780&lt;101,G780,IF(G780&lt;201,G780/2,IF(G780&lt;=301,G780/3,G780/4))))</f>
        <v>0</v>
      </c>
      <c r="I780" s="35"/>
    </row>
    <row r="781" spans="1:14" s="36" customFormat="1" ht="15.75" hidden="1" customHeight="1" x14ac:dyDescent="0.35">
      <c r="A781" s="125" t="str">
        <f ca="1">(SUMPRODUCT(MID(0&amp;(LEFT(A780,SUM(LEN(A780)-LEN(SUBSTITUTE(A780,{"0","1","2"},""))))), LARGE(INDEX(ISNUMBER(--MID((LEFT(A780,SUM(LEN(A780)-LEN(SUBSTITUTE(A780,{"0","1","2"},""))))), ROW(INDIRECT("1:"&amp;LEN((LEFT(A780,SUM(LEN(A780)-LEN(SUBSTITUTE(A780,{"0","1","2"},"")))))))), 1)) * ROW(INDIRECT("1:"&amp;LEN((LEFT(A780,SUM(LEN(A780)-LEN(SUBSTITUTE(A780,{"0","1","2"},"")))))))), 0), ROW(INDIRECT("1:"&amp;LEN((LEFT(A780,SUM(LEN(A780)-LEN(SUBSTITUTE(A780,{"0","1","2"},"")))))))))+1, 1) * 10^ROW(INDIRECT("1:"&amp;LEN((LEFT(A780,SUM(LEN(A780)-LEN(SUBSTITUTE(A780,{"0","1","2"},""))))))))/10))*1+1&amp;""&amp;" to "&amp;""&amp;(SUMPRODUCT(MID(0&amp;(--TRIM(RIGHT(SUBSTITUTE(LEFT(A780,_xlfn.AGGREGATE(16,6,FIND({0,1,2,3,4,5,6,7,8,9},A780,ROW(INDIRECT("1:"&amp;LEN(A780)))),1))," ",REPT(" ",LEN(A780))),LEN(A780)))), LARGE(INDEX(ISNUMBER(--MID((--TRIM(RIGHT(SUBSTITUTE(LEFT(A780,_xlfn.AGGREGATE(16,6,FIND({0,1,2,3,4,5,6,7,8,9},A780,ROW(INDIRECT("1:"&amp;LEN(A780)))),1))," ",REPT(" ",LEN(A780))),LEN(A780)))), ROW(INDIRECT("1:"&amp;LEN((--TRIM(RIGHT(SUBSTITUTE(LEFT(A780,_xlfn.AGGREGATE(16,6,FIND({0,1,2,3,4,5,6,7,8,9},A780,ROW(INDIRECT("1:"&amp;LEN(A780)))),1))," ",REPT(" ",LEN(A780))),LEN(A780))))))), 1)) * ROW(INDIRECT("1:"&amp;LEN((--TRIM(RIGHT(SUBSTITUTE(LEFT(A780,_xlfn.AGGREGATE(16,6,FIND({0,1,2,3,4,5,6,7,8,9},A780,ROW(INDIRECT("1:"&amp;LEN(A780)))),1))," ",REPT(" ",LEN(A780))),LEN(A780))))))), 0), ROW(INDIRECT("1:"&amp;LEN((--TRIM(RIGHT(SUBSTITUTE(LEFT(A780,_xlfn.AGGREGATE(16,6,FIND({0,1,2,3,4,5,6,7,8,9},A780,ROW(INDIRECT("1:"&amp;LEN(A780)))),1))," ",REPT(" ",LEN(A780))),LEN(A780))))))))+1, 1) * 10^ROW(INDIRECT("1:"&amp;LEN((--TRIM(RIGHT(SUBSTITUTE(LEFT(A780,_xlfn.AGGREGATE(16,6,FIND({0,1,2,3,4,5,6,7,8,9},A780,ROW(INDIRECT("1:"&amp;LEN(A780)))),1))," ",REPT(" ",LEN(A780))),LEN(A780)))))))/10))*1+1</f>
        <v>204 to 504</v>
      </c>
      <c r="B781" s="125"/>
      <c r="C781" s="110"/>
      <c r="D781" s="110"/>
      <c r="E781" s="110">
        <v>0</v>
      </c>
      <c r="F781" s="110">
        <f>D781+E781</f>
        <v>0</v>
      </c>
      <c r="G781" s="110">
        <v>0</v>
      </c>
      <c r="H781" s="110">
        <f>F781*(($H$449)+1)+(IF(G781&lt;101,G781,IF(G781&lt;201,G781/2,IF(G781&lt;=301,G781/3,G781/4))))</f>
        <v>0</v>
      </c>
      <c r="I781" s="35"/>
    </row>
    <row r="782" spans="1:14" s="36" customFormat="1" ht="15.75" hidden="1" customHeight="1" x14ac:dyDescent="0.35">
      <c r="A782" s="125" t="str">
        <f ca="1">(SUMPRODUCT(MID(0&amp;(LEFT(A781,SUM(LEN(A781)-LEN(SUBSTITUTE(A781,{"0","1","2"},""))))), LARGE(INDEX(ISNUMBER(--MID((LEFT(A781,SUM(LEN(A781)-LEN(SUBSTITUTE(A781,{"0","1","2"},""))))), ROW(INDIRECT("1:"&amp;LEN((LEFT(A781,SUM(LEN(A781)-LEN(SUBSTITUTE(A781,{"0","1","2"},"")))))))), 1)) * ROW(INDIRECT("1:"&amp;LEN((LEFT(A781,SUM(LEN(A781)-LEN(SUBSTITUTE(A781,{"0","1","2"},"")))))))), 0), ROW(INDIRECT("1:"&amp;LEN((LEFT(A781,SUM(LEN(A781)-LEN(SUBSTITUTE(A781,{"0","1","2"},"")))))))))+1, 1) * 10^ROW(INDIRECT("1:"&amp;LEN((LEFT(A781,SUM(LEN(A781)-LEN(SUBSTITUTE(A781,{"0","1","2"},""))))))))/10))*1+1&amp;""&amp;" to "&amp;""&amp;(SUMPRODUCT(MID(0&amp;(--TRIM(RIGHT(SUBSTITUTE(LEFT(A781,_xlfn.AGGREGATE(16,6,FIND({0,1,2,3,4,5,6,7,8,9},A781,ROW(INDIRECT("1:"&amp;LEN(A781)))),1))," ",REPT(" ",LEN(A781))),LEN(A781)))), LARGE(INDEX(ISNUMBER(--MID((--TRIM(RIGHT(SUBSTITUTE(LEFT(A781,_xlfn.AGGREGATE(16,6,FIND({0,1,2,3,4,5,6,7,8,9},A781,ROW(INDIRECT("1:"&amp;LEN(A781)))),1))," ",REPT(" ",LEN(A781))),LEN(A781)))), ROW(INDIRECT("1:"&amp;LEN((--TRIM(RIGHT(SUBSTITUTE(LEFT(A781,_xlfn.AGGREGATE(16,6,FIND({0,1,2,3,4,5,6,7,8,9},A781,ROW(INDIRECT("1:"&amp;LEN(A781)))),1))," ",REPT(" ",LEN(A781))),LEN(A781))))))), 1)) * ROW(INDIRECT("1:"&amp;LEN((--TRIM(RIGHT(SUBSTITUTE(LEFT(A781,_xlfn.AGGREGATE(16,6,FIND({0,1,2,3,4,5,6,7,8,9},A781,ROW(INDIRECT("1:"&amp;LEN(A781)))),1))," ",REPT(" ",LEN(A781))),LEN(A781))))))), 0), ROW(INDIRECT("1:"&amp;LEN((--TRIM(RIGHT(SUBSTITUTE(LEFT(A781,_xlfn.AGGREGATE(16,6,FIND({0,1,2,3,4,5,6,7,8,9},A781,ROW(INDIRECT("1:"&amp;LEN(A781)))),1))," ",REPT(" ",LEN(A781))),LEN(A781))))))))+1, 1) * 10^ROW(INDIRECT("1:"&amp;LEN((--TRIM(RIGHT(SUBSTITUTE(LEFT(A781,_xlfn.AGGREGATE(16,6,FIND({0,1,2,3,4,5,6,7,8,9},A781,ROW(INDIRECT("1:"&amp;LEN(A781)))),1))," ",REPT(" ",LEN(A781))),LEN(A781)))))))/10))*1+1</f>
        <v>205 to 505</v>
      </c>
      <c r="B782" s="125"/>
      <c r="C782" s="110"/>
      <c r="D782" s="110"/>
      <c r="E782" s="110">
        <v>0</v>
      </c>
      <c r="F782" s="110">
        <f>D782+E782</f>
        <v>0</v>
      </c>
      <c r="G782" s="110">
        <v>0</v>
      </c>
      <c r="H782" s="110">
        <f>F782*(($H$449)+1)+(IF(G782&lt;101,G782,IF(G782&lt;201,G782/2,IF(G782&lt;=301,G782/3,G782/4))))</f>
        <v>0</v>
      </c>
      <c r="I782" s="35"/>
    </row>
    <row r="783" spans="1:14" s="36" customFormat="1" hidden="1" x14ac:dyDescent="0.35">
      <c r="A783" s="130" t="s">
        <v>144</v>
      </c>
      <c r="B783" s="130"/>
      <c r="C783" s="130"/>
      <c r="D783" s="130"/>
      <c r="E783" s="130"/>
      <c r="F783" s="130"/>
      <c r="G783" s="130"/>
      <c r="H783" s="130"/>
      <c r="I783" s="35"/>
    </row>
    <row r="784" spans="1:14" s="36" customFormat="1" ht="15.75" hidden="1" customHeight="1" x14ac:dyDescent="0.35">
      <c r="A784" s="125" t="str">
        <f ca="1">(SUMPRODUCT(MID(0&amp;(LEFT(A783,SUM(LEN(A783)-LEN(SUBSTITUTE(A783,{"0","1","2"},""))))), LARGE(INDEX(ISNUMBER(--MID((LEFT(A783,SUM(LEN(A783)-LEN(SUBSTITUTE(A783,{"0","1","2"},""))))), ROW(INDIRECT("1:"&amp;LEN((LEFT(A783,SUM(LEN(A783)-LEN(SUBSTITUTE(A783,{"0","1","2"},"")))))))), 1)) * ROW(INDIRECT("1:"&amp;LEN((LEFT(A783,SUM(LEN(A783)-LEN(SUBSTITUTE(A783,{"0","1","2"},"")))))))), 0), ROW(INDIRECT("1:"&amp;LEN((LEFT(A783,SUM(LEN(A783)-LEN(SUBSTITUTE(A783,{"0","1","2"},"")))))))))+1, 1) * 10^ROW(INDIRECT("1:"&amp;LEN((LEFT(A783,SUM(LEN(A783)-LEN(SUBSTITUTE(A783,{"0","1","2"},""))))))))/10))*100+1&amp;""&amp;" &amp; "&amp;""&amp;(SUMPRODUCT(MID(0&amp;(--TRIM(RIGHT(SUBSTITUTE(LEFT(A783,_xlfn.AGGREGATE(16,6,FIND({0,1,2,3,4,5,6,7,8,9},A783,ROW(INDIRECT("1:"&amp;LEN(A783)))),1))," ",REPT(" ",LEN(A783))),LEN(A783)))), LARGE(INDEX(ISNUMBER(--MID((--TRIM(RIGHT(SUBSTITUTE(LEFT(A783,_xlfn.AGGREGATE(16,6,FIND({0,1,2,3,4,5,6,7,8,9},A783,ROW(INDIRECT("1:"&amp;LEN(A783)))),1))," ",REPT(" ",LEN(A783))),LEN(A783)))), ROW(INDIRECT("1:"&amp;LEN((--TRIM(RIGHT(SUBSTITUTE(LEFT(A783,_xlfn.AGGREGATE(16,6,FIND({0,1,2,3,4,5,6,7,8,9},A783,ROW(INDIRECT("1:"&amp;LEN(A783)))),1))," ",REPT(" ",LEN(A783))),LEN(A783))))))), 1)) * ROW(INDIRECT("1:"&amp;LEN((--TRIM(RIGHT(SUBSTITUTE(LEFT(A783,_xlfn.AGGREGATE(16,6,FIND({0,1,2,3,4,5,6,7,8,9},A783,ROW(INDIRECT("1:"&amp;LEN(A783)))),1))," ",REPT(" ",LEN(A783))),LEN(A783))))))), 0), ROW(INDIRECT("1:"&amp;LEN((--TRIM(RIGHT(SUBSTITUTE(LEFT(A783,_xlfn.AGGREGATE(16,6,FIND({0,1,2,3,4,5,6,7,8,9},A783,ROW(INDIRECT("1:"&amp;LEN(A783)))),1))," ",REPT(" ",LEN(A783))),LEN(A783))))))))+1, 1) * 10^ROW(INDIRECT("1:"&amp;LEN((--TRIM(RIGHT(SUBSTITUTE(LEFT(A783,_xlfn.AGGREGATE(16,6,FIND({0,1,2,3,4,5,6,7,8,9},A783,ROW(INDIRECT("1:"&amp;LEN(A783)))),1))," ",REPT(" ",LEN(A783))),LEN(A783)))))))/10))*100+1</f>
        <v>201 &amp; 501</v>
      </c>
      <c r="B784" s="125"/>
      <c r="C784" s="110"/>
      <c r="D784" s="110"/>
      <c r="E784" s="110">
        <v>0</v>
      </c>
      <c r="F784" s="110">
        <f>D784+E784</f>
        <v>0</v>
      </c>
      <c r="G784" s="110">
        <v>0</v>
      </c>
      <c r="H784" s="110">
        <f>F784*(($H$449)+1)+(IF(G784&lt;101,G784,IF(G784&lt;201,G784/2,IF(G784&lt;=301,G784/3,G784/4))))</f>
        <v>0</v>
      </c>
      <c r="I784" s="35"/>
    </row>
    <row r="785" spans="1:20" s="36" customFormat="1" ht="15.75" hidden="1" customHeight="1" x14ac:dyDescent="0.35">
      <c r="A785" s="125" t="str">
        <f ca="1">(SUMPRODUCT(MID(0&amp;(LEFT(A784,SUM(LEN(A784)-LEN(SUBSTITUTE(A784,{"0","1","2"},""))))), LARGE(INDEX(ISNUMBER(--MID((LEFT(A784,SUM(LEN(A784)-LEN(SUBSTITUTE(A784,{"0","1","2"},""))))), ROW(INDIRECT("1:"&amp;LEN((LEFT(A784,SUM(LEN(A784)-LEN(SUBSTITUTE(A784,{"0","1","2"},"")))))))), 1)) * ROW(INDIRECT("1:"&amp;LEN((LEFT(A784,SUM(LEN(A784)-LEN(SUBSTITUTE(A784,{"0","1","2"},"")))))))), 0), ROW(INDIRECT("1:"&amp;LEN((LEFT(A784,SUM(LEN(A784)-LEN(SUBSTITUTE(A784,{"0","1","2"},"")))))))))+1, 1) * 10^ROW(INDIRECT("1:"&amp;LEN((LEFT(A784,SUM(LEN(A784)-LEN(SUBSTITUTE(A784,{"0","1","2"},""))))))))/10))*1+1&amp;""&amp;" &amp; "&amp;""&amp;(SUMPRODUCT(MID(0&amp;(--TRIM(RIGHT(SUBSTITUTE(LEFT(A784,_xlfn.AGGREGATE(16,6,FIND({0,1,2,3,4,5,6,7,8,9},A784,ROW(INDIRECT("1:"&amp;LEN(A784)))),1))," ",REPT(" ",LEN(A784))),LEN(A784)))), LARGE(INDEX(ISNUMBER(--MID((--TRIM(RIGHT(SUBSTITUTE(LEFT(A784,_xlfn.AGGREGATE(16,6,FIND({0,1,2,3,4,5,6,7,8,9},A784,ROW(INDIRECT("1:"&amp;LEN(A784)))),1))," ",REPT(" ",LEN(A784))),LEN(A784)))), ROW(INDIRECT("1:"&amp;LEN((--TRIM(RIGHT(SUBSTITUTE(LEFT(A784,_xlfn.AGGREGATE(16,6,FIND({0,1,2,3,4,5,6,7,8,9},A784,ROW(INDIRECT("1:"&amp;LEN(A784)))),1))," ",REPT(" ",LEN(A784))),LEN(A784))))))), 1)) * ROW(INDIRECT("1:"&amp;LEN((--TRIM(RIGHT(SUBSTITUTE(LEFT(A784,_xlfn.AGGREGATE(16,6,FIND({0,1,2,3,4,5,6,7,8,9},A784,ROW(INDIRECT("1:"&amp;LEN(A784)))),1))," ",REPT(" ",LEN(A784))),LEN(A784))))))), 0), ROW(INDIRECT("1:"&amp;LEN((--TRIM(RIGHT(SUBSTITUTE(LEFT(A784,_xlfn.AGGREGATE(16,6,FIND({0,1,2,3,4,5,6,7,8,9},A784,ROW(INDIRECT("1:"&amp;LEN(A784)))),1))," ",REPT(" ",LEN(A784))),LEN(A784))))))))+1, 1) * 10^ROW(INDIRECT("1:"&amp;LEN((--TRIM(RIGHT(SUBSTITUTE(LEFT(A784,_xlfn.AGGREGATE(16,6,FIND({0,1,2,3,4,5,6,7,8,9},A784,ROW(INDIRECT("1:"&amp;LEN(A784)))),1))," ",REPT(" ",LEN(A784))),LEN(A784)))))))/10))*1+1</f>
        <v>202 &amp; 502</v>
      </c>
      <c r="B785" s="125"/>
      <c r="C785" s="110"/>
      <c r="D785" s="110"/>
      <c r="E785" s="110">
        <v>0</v>
      </c>
      <c r="F785" s="110">
        <f>D785+E785</f>
        <v>0</v>
      </c>
      <c r="G785" s="110">
        <v>0</v>
      </c>
      <c r="H785" s="110">
        <f>F785*(($H$449)+1)+(IF(G785&lt;101,G785,IF(G785&lt;201,G785/2,IF(G785&lt;=301,G785/3,G785/4))))</f>
        <v>0</v>
      </c>
      <c r="I785" s="35"/>
    </row>
    <row r="786" spans="1:20" s="36" customFormat="1" ht="15.75" hidden="1" customHeight="1" x14ac:dyDescent="0.35">
      <c r="A786" s="125" t="str">
        <f ca="1">(SUMPRODUCT(MID(0&amp;(LEFT(A785,SUM(LEN(A785)-LEN(SUBSTITUTE(A785,{"0","1","2"},""))))), LARGE(INDEX(ISNUMBER(--MID((LEFT(A785,SUM(LEN(A785)-LEN(SUBSTITUTE(A785,{"0","1","2"},""))))), ROW(INDIRECT("1:"&amp;LEN((LEFT(A785,SUM(LEN(A785)-LEN(SUBSTITUTE(A785,{"0","1","2"},"")))))))), 1)) * ROW(INDIRECT("1:"&amp;LEN((LEFT(A785,SUM(LEN(A785)-LEN(SUBSTITUTE(A785,{"0","1","2"},"")))))))), 0), ROW(INDIRECT("1:"&amp;LEN((LEFT(A785,SUM(LEN(A785)-LEN(SUBSTITUTE(A785,{"0","1","2"},"")))))))))+1, 1) * 10^ROW(INDIRECT("1:"&amp;LEN((LEFT(A785,SUM(LEN(A785)-LEN(SUBSTITUTE(A785,{"0","1","2"},""))))))))/10))*1+1&amp;""&amp;" &amp; "&amp;""&amp;(SUMPRODUCT(MID(0&amp;(--TRIM(RIGHT(SUBSTITUTE(LEFT(A785,_xlfn.AGGREGATE(16,6,FIND({0,1,2,3,4,5,6,7,8,9},A785,ROW(INDIRECT("1:"&amp;LEN(A785)))),1))," ",REPT(" ",LEN(A785))),LEN(A785)))), LARGE(INDEX(ISNUMBER(--MID((--TRIM(RIGHT(SUBSTITUTE(LEFT(A785,_xlfn.AGGREGATE(16,6,FIND({0,1,2,3,4,5,6,7,8,9},A785,ROW(INDIRECT("1:"&amp;LEN(A785)))),1))," ",REPT(" ",LEN(A785))),LEN(A785)))), ROW(INDIRECT("1:"&amp;LEN((--TRIM(RIGHT(SUBSTITUTE(LEFT(A785,_xlfn.AGGREGATE(16,6,FIND({0,1,2,3,4,5,6,7,8,9},A785,ROW(INDIRECT("1:"&amp;LEN(A785)))),1))," ",REPT(" ",LEN(A785))),LEN(A785))))))), 1)) * ROW(INDIRECT("1:"&amp;LEN((--TRIM(RIGHT(SUBSTITUTE(LEFT(A785,_xlfn.AGGREGATE(16,6,FIND({0,1,2,3,4,5,6,7,8,9},A785,ROW(INDIRECT("1:"&amp;LEN(A785)))),1))," ",REPT(" ",LEN(A785))),LEN(A785))))))), 0), ROW(INDIRECT("1:"&amp;LEN((--TRIM(RIGHT(SUBSTITUTE(LEFT(A785,_xlfn.AGGREGATE(16,6,FIND({0,1,2,3,4,5,6,7,8,9},A785,ROW(INDIRECT("1:"&amp;LEN(A785)))),1))," ",REPT(" ",LEN(A785))),LEN(A785))))))))+1, 1) * 10^ROW(INDIRECT("1:"&amp;LEN((--TRIM(RIGHT(SUBSTITUTE(LEFT(A785,_xlfn.AGGREGATE(16,6,FIND({0,1,2,3,4,5,6,7,8,9},A785,ROW(INDIRECT("1:"&amp;LEN(A785)))),1))," ",REPT(" ",LEN(A785))),LEN(A785)))))))/10))*1+1</f>
        <v>203 &amp; 503</v>
      </c>
      <c r="B786" s="125"/>
      <c r="C786" s="110"/>
      <c r="D786" s="110"/>
      <c r="E786" s="110">
        <v>0</v>
      </c>
      <c r="F786" s="110">
        <f>D786+E786</f>
        <v>0</v>
      </c>
      <c r="G786" s="110">
        <v>0</v>
      </c>
      <c r="H786" s="110">
        <f>F786*(($H$449)+1)+(IF(G786&lt;101,G786,IF(G786&lt;201,G786/2,IF(G786&lt;=301,G786/3,G786/4))))</f>
        <v>0</v>
      </c>
      <c r="I786" s="35"/>
    </row>
    <row r="787" spans="1:20" s="36" customFormat="1" ht="15.75" hidden="1" customHeight="1" x14ac:dyDescent="0.35">
      <c r="A787" s="125" t="str">
        <f ca="1">(SUMPRODUCT(MID(0&amp;(LEFT(A786,SUM(LEN(A786)-LEN(SUBSTITUTE(A786,{"0","1","2"},""))))), LARGE(INDEX(ISNUMBER(--MID((LEFT(A786,SUM(LEN(A786)-LEN(SUBSTITUTE(A786,{"0","1","2"},""))))), ROW(INDIRECT("1:"&amp;LEN((LEFT(A786,SUM(LEN(A786)-LEN(SUBSTITUTE(A786,{"0","1","2"},"")))))))), 1)) * ROW(INDIRECT("1:"&amp;LEN((LEFT(A786,SUM(LEN(A786)-LEN(SUBSTITUTE(A786,{"0","1","2"},"")))))))), 0), ROW(INDIRECT("1:"&amp;LEN((LEFT(A786,SUM(LEN(A786)-LEN(SUBSTITUTE(A786,{"0","1","2"},"")))))))))+1, 1) * 10^ROW(INDIRECT("1:"&amp;LEN((LEFT(A786,SUM(LEN(A786)-LEN(SUBSTITUTE(A786,{"0","1","2"},""))))))))/10))*1+1&amp;""&amp;" &amp; "&amp;""&amp;(SUMPRODUCT(MID(0&amp;(--TRIM(RIGHT(SUBSTITUTE(LEFT(A786,_xlfn.AGGREGATE(16,6,FIND({0,1,2,3,4,5,6,7,8,9},A786,ROW(INDIRECT("1:"&amp;LEN(A786)))),1))," ",REPT(" ",LEN(A786))),LEN(A786)))), LARGE(INDEX(ISNUMBER(--MID((--TRIM(RIGHT(SUBSTITUTE(LEFT(A786,_xlfn.AGGREGATE(16,6,FIND({0,1,2,3,4,5,6,7,8,9},A786,ROW(INDIRECT("1:"&amp;LEN(A786)))),1))," ",REPT(" ",LEN(A786))),LEN(A786)))), ROW(INDIRECT("1:"&amp;LEN((--TRIM(RIGHT(SUBSTITUTE(LEFT(A786,_xlfn.AGGREGATE(16,6,FIND({0,1,2,3,4,5,6,7,8,9},A786,ROW(INDIRECT("1:"&amp;LEN(A786)))),1))," ",REPT(" ",LEN(A786))),LEN(A786))))))), 1)) * ROW(INDIRECT("1:"&amp;LEN((--TRIM(RIGHT(SUBSTITUTE(LEFT(A786,_xlfn.AGGREGATE(16,6,FIND({0,1,2,3,4,5,6,7,8,9},A786,ROW(INDIRECT("1:"&amp;LEN(A786)))),1))," ",REPT(" ",LEN(A786))),LEN(A786))))))), 0), ROW(INDIRECT("1:"&amp;LEN((--TRIM(RIGHT(SUBSTITUTE(LEFT(A786,_xlfn.AGGREGATE(16,6,FIND({0,1,2,3,4,5,6,7,8,9},A786,ROW(INDIRECT("1:"&amp;LEN(A786)))),1))," ",REPT(" ",LEN(A786))),LEN(A786))))))))+1, 1) * 10^ROW(INDIRECT("1:"&amp;LEN((--TRIM(RIGHT(SUBSTITUTE(LEFT(A786,_xlfn.AGGREGATE(16,6,FIND({0,1,2,3,4,5,6,7,8,9},A786,ROW(INDIRECT("1:"&amp;LEN(A786)))),1))," ",REPT(" ",LEN(A786))),LEN(A786)))))))/10))*1+1</f>
        <v>204 &amp; 504</v>
      </c>
      <c r="B787" s="125"/>
      <c r="C787" s="110"/>
      <c r="D787" s="110"/>
      <c r="E787" s="110">
        <v>0</v>
      </c>
      <c r="F787" s="110">
        <f>D787+E787</f>
        <v>0</v>
      </c>
      <c r="G787" s="110">
        <v>0</v>
      </c>
      <c r="H787" s="110">
        <f>F787*(($H$449)+1)+(IF(G787&lt;101,G787,IF(G787&lt;201,G787/2,IF(G787&lt;=301,G787/3,G787/4))))</f>
        <v>0</v>
      </c>
      <c r="I787" s="35"/>
    </row>
    <row r="788" spans="1:20" s="36" customFormat="1" ht="15.75" hidden="1" customHeight="1" x14ac:dyDescent="0.35">
      <c r="A788" s="125" t="str">
        <f ca="1">(SUMPRODUCT(MID(0&amp;(LEFT(A787,SUM(LEN(A787)-LEN(SUBSTITUTE(A787,{"0","1","2"},""))))), LARGE(INDEX(ISNUMBER(--MID((LEFT(A787,SUM(LEN(A787)-LEN(SUBSTITUTE(A787,{"0","1","2"},""))))), ROW(INDIRECT("1:"&amp;LEN((LEFT(A787,SUM(LEN(A787)-LEN(SUBSTITUTE(A787,{"0","1","2"},"")))))))), 1)) * ROW(INDIRECT("1:"&amp;LEN((LEFT(A787,SUM(LEN(A787)-LEN(SUBSTITUTE(A787,{"0","1","2"},"")))))))), 0), ROW(INDIRECT("1:"&amp;LEN((LEFT(A787,SUM(LEN(A787)-LEN(SUBSTITUTE(A787,{"0","1","2"},"")))))))))+1, 1) * 10^ROW(INDIRECT("1:"&amp;LEN((LEFT(A787,SUM(LEN(A787)-LEN(SUBSTITUTE(A787,{"0","1","2"},""))))))))/10))*1+1&amp;""&amp;" &amp; "&amp;""&amp;(SUMPRODUCT(MID(0&amp;(--TRIM(RIGHT(SUBSTITUTE(LEFT(A787,_xlfn.AGGREGATE(16,6,FIND({0,1,2,3,4,5,6,7,8,9},A787,ROW(INDIRECT("1:"&amp;LEN(A787)))),1))," ",REPT(" ",LEN(A787))),LEN(A787)))), LARGE(INDEX(ISNUMBER(--MID((--TRIM(RIGHT(SUBSTITUTE(LEFT(A787,_xlfn.AGGREGATE(16,6,FIND({0,1,2,3,4,5,6,7,8,9},A787,ROW(INDIRECT("1:"&amp;LEN(A787)))),1))," ",REPT(" ",LEN(A787))),LEN(A787)))), ROW(INDIRECT("1:"&amp;LEN((--TRIM(RIGHT(SUBSTITUTE(LEFT(A787,_xlfn.AGGREGATE(16,6,FIND({0,1,2,3,4,5,6,7,8,9},A787,ROW(INDIRECT("1:"&amp;LEN(A787)))),1))," ",REPT(" ",LEN(A787))),LEN(A787))))))), 1)) * ROW(INDIRECT("1:"&amp;LEN((--TRIM(RIGHT(SUBSTITUTE(LEFT(A787,_xlfn.AGGREGATE(16,6,FIND({0,1,2,3,4,5,6,7,8,9},A787,ROW(INDIRECT("1:"&amp;LEN(A787)))),1))," ",REPT(" ",LEN(A787))),LEN(A787))))))), 0), ROW(INDIRECT("1:"&amp;LEN((--TRIM(RIGHT(SUBSTITUTE(LEFT(A787,_xlfn.AGGREGATE(16,6,FIND({0,1,2,3,4,5,6,7,8,9},A787,ROW(INDIRECT("1:"&amp;LEN(A787)))),1))," ",REPT(" ",LEN(A787))),LEN(A787))))))))+1, 1) * 10^ROW(INDIRECT("1:"&amp;LEN((--TRIM(RIGHT(SUBSTITUTE(LEFT(A787,_xlfn.AGGREGATE(16,6,FIND({0,1,2,3,4,5,6,7,8,9},A787,ROW(INDIRECT("1:"&amp;LEN(A787)))),1))," ",REPT(" ",LEN(A787))),LEN(A787)))))))/10))*1+1</f>
        <v>205 &amp; 505</v>
      </c>
      <c r="B788" s="125"/>
      <c r="C788" s="110"/>
      <c r="D788" s="110"/>
      <c r="E788" s="110">
        <v>0</v>
      </c>
      <c r="F788" s="110">
        <f>D788+E788</f>
        <v>0</v>
      </c>
      <c r="G788" s="110">
        <v>0</v>
      </c>
      <c r="H788" s="110">
        <f>F788*(($H$449)+1)+(IF(G788&lt;101,G788,IF(G788&lt;201,G788/2,IF(G788&lt;=301,G788/3,G788/4))))</f>
        <v>0</v>
      </c>
      <c r="I788" s="35"/>
    </row>
    <row r="789" spans="1:20" s="34" customFormat="1" x14ac:dyDescent="0.35">
      <c r="A789" s="194" t="s">
        <v>65</v>
      </c>
      <c r="B789" s="194"/>
      <c r="C789" s="194"/>
      <c r="D789" s="194"/>
      <c r="E789" s="194"/>
      <c r="F789" s="194"/>
      <c r="G789" s="194"/>
      <c r="H789" s="194"/>
      <c r="T789" s="36"/>
    </row>
    <row r="790" spans="1:20" s="34" customFormat="1" ht="79.5" customHeight="1" x14ac:dyDescent="0.35">
      <c r="A790" s="111" t="s">
        <v>153</v>
      </c>
      <c r="B790" s="261" t="s">
        <v>434</v>
      </c>
      <c r="C790" s="261"/>
      <c r="D790" s="261"/>
      <c r="E790" s="261"/>
      <c r="F790" s="261"/>
      <c r="G790" s="261"/>
      <c r="H790" s="261"/>
      <c r="T790" s="36"/>
    </row>
    <row r="791" spans="1:20" s="34" customFormat="1" x14ac:dyDescent="0.35">
      <c r="A791" s="111" t="s">
        <v>153</v>
      </c>
      <c r="B791" s="261" t="str">
        <f>(IF(H448="Saleable area Loading :","We have considered Saleable area of Flats as per our Calculation.","We considered Saleable area of Flat as per Builder area Sheet."))</f>
        <v>We have considered Saleable area of Flats as per our Calculation.</v>
      </c>
      <c r="C791" s="261"/>
      <c r="D791" s="261"/>
      <c r="E791" s="261"/>
      <c r="F791" s="261"/>
      <c r="G791" s="261"/>
      <c r="H791" s="261"/>
      <c r="T791" s="36"/>
    </row>
    <row r="792" spans="1:20" s="34" customFormat="1" x14ac:dyDescent="0.35">
      <c r="A792" s="43" t="s">
        <v>153</v>
      </c>
      <c r="B792" s="241" t="str">
        <f>(IF(H386="Saleable area Loading :","We have considered Saleable area of Commercial as per our Calculation.","We considered Saleable area of Commercial as per Builder area Sheet."))</f>
        <v>We have considered Saleable area of Commercial as per our Calculation.</v>
      </c>
      <c r="C792" s="242"/>
      <c r="D792" s="242"/>
      <c r="E792" s="242"/>
      <c r="F792" s="242"/>
      <c r="G792" s="242"/>
      <c r="H792" s="243"/>
      <c r="T792" s="36"/>
    </row>
    <row r="793" spans="1:20" s="34" customFormat="1" x14ac:dyDescent="0.35">
      <c r="A793" s="43" t="s">
        <v>153</v>
      </c>
      <c r="B793" s="119" t="s">
        <v>120</v>
      </c>
      <c r="C793" s="120"/>
      <c r="D793" s="120"/>
      <c r="E793" s="120"/>
      <c r="F793" s="120"/>
      <c r="G793" s="120"/>
      <c r="H793" s="121"/>
      <c r="T793" s="36"/>
    </row>
    <row r="794" spans="1:20" s="34" customFormat="1" ht="18" customHeight="1" x14ac:dyDescent="0.35">
      <c r="A794" s="43" t="s">
        <v>153</v>
      </c>
      <c r="B794" s="119" t="s">
        <v>396</v>
      </c>
      <c r="C794" s="120"/>
      <c r="D794" s="120"/>
      <c r="E794" s="120"/>
      <c r="F794" s="120"/>
      <c r="G794" s="120"/>
      <c r="H794" s="121"/>
      <c r="T794" s="36"/>
    </row>
    <row r="795" spans="1:20" s="34" customFormat="1" x14ac:dyDescent="0.35">
      <c r="A795" s="43" t="s">
        <v>153</v>
      </c>
      <c r="B795" s="119" t="s">
        <v>152</v>
      </c>
      <c r="C795" s="120"/>
      <c r="D795" s="120"/>
      <c r="E795" s="120"/>
      <c r="F795" s="120"/>
      <c r="G795" s="120"/>
      <c r="H795" s="121"/>
    </row>
    <row r="796" spans="1:20" s="34" customFormat="1" x14ac:dyDescent="0.35">
      <c r="A796" s="43" t="s">
        <v>153</v>
      </c>
      <c r="B796" s="119" t="s">
        <v>121</v>
      </c>
      <c r="C796" s="120"/>
      <c r="D796" s="120"/>
      <c r="E796" s="120"/>
      <c r="F796" s="120"/>
      <c r="G796" s="120"/>
      <c r="H796" s="121"/>
    </row>
    <row r="797" spans="1:20" s="34" customFormat="1" ht="34.5" customHeight="1" x14ac:dyDescent="0.35">
      <c r="A797" s="43" t="s">
        <v>153</v>
      </c>
      <c r="B797" s="119" t="s">
        <v>154</v>
      </c>
      <c r="C797" s="120"/>
      <c r="D797" s="120"/>
      <c r="E797" s="120"/>
      <c r="F797" s="120"/>
      <c r="G797" s="120"/>
      <c r="H797" s="121"/>
    </row>
    <row r="798" spans="1:20" s="34" customFormat="1" x14ac:dyDescent="0.35">
      <c r="A798" s="43" t="s">
        <v>153</v>
      </c>
      <c r="B798" s="119" t="s">
        <v>122</v>
      </c>
      <c r="C798" s="120"/>
      <c r="D798" s="120"/>
      <c r="E798" s="120"/>
      <c r="F798" s="120"/>
      <c r="G798" s="120"/>
      <c r="H798" s="121"/>
    </row>
    <row r="799" spans="1:20" s="34" customFormat="1" ht="32.25" hidden="1" customHeight="1" x14ac:dyDescent="0.35">
      <c r="A799" s="50" t="s">
        <v>153</v>
      </c>
      <c r="B799" s="206" t="s">
        <v>179</v>
      </c>
      <c r="C799" s="207"/>
      <c r="D799" s="207"/>
      <c r="E799" s="207"/>
      <c r="F799" s="207"/>
      <c r="G799" s="207"/>
      <c r="H799" s="208"/>
    </row>
    <row r="800" spans="1:20" s="34" customFormat="1" x14ac:dyDescent="0.35">
      <c r="A800" s="95" t="s">
        <v>153</v>
      </c>
      <c r="B800" s="119" t="s">
        <v>422</v>
      </c>
      <c r="C800" s="120"/>
      <c r="D800" s="120"/>
      <c r="E800" s="120"/>
      <c r="F800" s="120"/>
      <c r="G800" s="120"/>
      <c r="H800" s="121"/>
    </row>
    <row r="801" spans="1:20" s="34" customFormat="1" x14ac:dyDescent="0.35">
      <c r="A801" s="102" t="s">
        <v>153</v>
      </c>
      <c r="B801" s="119" t="s">
        <v>426</v>
      </c>
      <c r="C801" s="120"/>
      <c r="D801" s="120"/>
      <c r="E801" s="120"/>
      <c r="F801" s="120"/>
      <c r="G801" s="120"/>
      <c r="H801" s="121"/>
    </row>
    <row r="802" spans="1:20" x14ac:dyDescent="0.35">
      <c r="A802" s="205" t="s">
        <v>58</v>
      </c>
      <c r="B802" s="205"/>
      <c r="C802" s="205"/>
      <c r="D802" s="205"/>
      <c r="E802" s="205"/>
      <c r="F802" s="205"/>
      <c r="G802" s="205"/>
      <c r="H802" s="205"/>
      <c r="T802" s="34"/>
    </row>
    <row r="803" spans="1:20" x14ac:dyDescent="0.35">
      <c r="A803" s="117" t="s">
        <v>59</v>
      </c>
      <c r="B803" s="117"/>
      <c r="C803" s="117"/>
      <c r="D803" s="117"/>
      <c r="E803" s="117"/>
      <c r="F803" s="117"/>
      <c r="G803" s="117"/>
      <c r="H803" s="117"/>
      <c r="T803" s="34"/>
    </row>
    <row r="804" spans="1:20" ht="15.75" customHeight="1" x14ac:dyDescent="0.35">
      <c r="A804" s="159" t="s">
        <v>60</v>
      </c>
      <c r="B804" s="159"/>
      <c r="C804" s="159"/>
      <c r="D804" s="159"/>
      <c r="E804" s="159"/>
      <c r="F804" s="159"/>
      <c r="G804" s="159"/>
      <c r="H804" s="159"/>
      <c r="T804" s="34"/>
    </row>
    <row r="805" spans="1:20" x14ac:dyDescent="0.35">
      <c r="A805" s="117" t="s">
        <v>61</v>
      </c>
      <c r="B805" s="117"/>
      <c r="C805" s="117"/>
      <c r="D805" s="117"/>
      <c r="E805" s="117"/>
      <c r="F805" s="117"/>
      <c r="G805" s="117"/>
      <c r="H805" s="117"/>
      <c r="T805" s="34"/>
    </row>
    <row r="806" spans="1:20" x14ac:dyDescent="0.35">
      <c r="A806" s="117" t="s">
        <v>62</v>
      </c>
      <c r="B806" s="117"/>
      <c r="C806" s="117"/>
      <c r="D806" s="117"/>
      <c r="E806" s="117"/>
      <c r="F806" s="117"/>
      <c r="G806" s="117"/>
      <c r="H806" s="117"/>
      <c r="T806" s="34"/>
    </row>
    <row r="807" spans="1:20" x14ac:dyDescent="0.35">
      <c r="A807" s="117" t="s">
        <v>123</v>
      </c>
      <c r="B807" s="117"/>
      <c r="C807" s="117"/>
      <c r="D807" s="117"/>
      <c r="E807" s="117"/>
      <c r="F807" s="117"/>
      <c r="G807" s="117"/>
      <c r="H807" s="117"/>
      <c r="T807" s="34"/>
    </row>
    <row r="808" spans="1:20" ht="34" customHeight="1" x14ac:dyDescent="0.35">
      <c r="A808" s="156" t="s">
        <v>124</v>
      </c>
      <c r="B808" s="156"/>
      <c r="C808" s="156"/>
      <c r="D808" s="156"/>
      <c r="E808" s="156"/>
      <c r="F808" s="156"/>
      <c r="G808" s="156"/>
      <c r="H808" s="156"/>
    </row>
    <row r="809" spans="1:20" x14ac:dyDescent="0.35">
      <c r="A809" s="202" t="s">
        <v>74</v>
      </c>
      <c r="B809" s="202"/>
      <c r="C809" s="202" t="s">
        <v>433</v>
      </c>
      <c r="D809" s="202"/>
      <c r="E809" s="202" t="s">
        <v>103</v>
      </c>
      <c r="F809" s="202"/>
      <c r="G809" s="203" t="s">
        <v>419</v>
      </c>
      <c r="H809" s="203"/>
    </row>
    <row r="810" spans="1:20" x14ac:dyDescent="0.35">
      <c r="A810" s="201" t="s">
        <v>76</v>
      </c>
      <c r="B810" s="201"/>
      <c r="C810" s="201"/>
      <c r="D810" s="201"/>
      <c r="E810" s="201"/>
      <c r="F810" s="201"/>
      <c r="G810" s="201"/>
      <c r="H810" s="201"/>
    </row>
    <row r="811" spans="1:20" x14ac:dyDescent="0.35">
      <c r="A811" s="201"/>
      <c r="B811" s="201"/>
      <c r="C811" s="201"/>
      <c r="D811" s="201"/>
      <c r="E811" s="201"/>
      <c r="F811" s="201"/>
      <c r="G811" s="201"/>
      <c r="H811" s="201"/>
    </row>
    <row r="812" spans="1:20" x14ac:dyDescent="0.35">
      <c r="A812" s="201"/>
      <c r="B812" s="201"/>
      <c r="C812" s="201"/>
      <c r="D812" s="201"/>
      <c r="E812" s="201"/>
      <c r="F812" s="201"/>
      <c r="G812" s="201"/>
      <c r="H812" s="201"/>
    </row>
    <row r="813" spans="1:20" x14ac:dyDescent="0.35">
      <c r="A813" s="201"/>
      <c r="B813" s="201"/>
      <c r="C813" s="201"/>
      <c r="D813" s="201"/>
      <c r="E813" s="201"/>
      <c r="F813" s="201"/>
      <c r="G813" s="201"/>
      <c r="H813" s="201"/>
    </row>
    <row r="814" spans="1:20" x14ac:dyDescent="0.35">
      <c r="A814" s="37" t="s">
        <v>63</v>
      </c>
      <c r="B814" s="38"/>
      <c r="C814" s="38"/>
      <c r="D814" s="37" t="str">
        <f>E9</f>
        <v>Shubharambh Phase I</v>
      </c>
      <c r="F814" s="38"/>
      <c r="G814" s="38"/>
      <c r="H814" s="38"/>
    </row>
    <row r="815" spans="1:20" x14ac:dyDescent="0.35">
      <c r="A815" s="38"/>
      <c r="B815" s="38"/>
      <c r="C815" s="38"/>
      <c r="D815" s="38"/>
      <c r="E815" s="38"/>
      <c r="F815" s="38"/>
      <c r="G815" s="38"/>
      <c r="H815" s="38"/>
    </row>
    <row r="816" spans="1:20" x14ac:dyDescent="0.35">
      <c r="A816" s="38"/>
      <c r="B816" s="38"/>
      <c r="C816" s="38"/>
      <c r="D816" s="38"/>
      <c r="E816" s="38"/>
      <c r="F816" s="38"/>
      <c r="G816" s="38"/>
      <c r="H816" s="38"/>
    </row>
    <row r="817" ht="15" customHeight="1" x14ac:dyDescent="0.35"/>
    <row r="857" spans="1:8" x14ac:dyDescent="0.35">
      <c r="A857" s="37" t="s">
        <v>63</v>
      </c>
      <c r="B857" s="38"/>
      <c r="C857" s="38"/>
      <c r="D857" s="37" t="str">
        <f>E9</f>
        <v>Shubharambh Phase I</v>
      </c>
      <c r="F857" s="38"/>
      <c r="G857" s="38"/>
      <c r="H857" s="38"/>
    </row>
    <row r="858" spans="1:8" x14ac:dyDescent="0.35">
      <c r="A858" s="38"/>
      <c r="B858" s="38"/>
      <c r="C858" s="38"/>
      <c r="D858" s="38"/>
      <c r="E858" s="38"/>
      <c r="F858" s="38"/>
      <c r="G858" s="38"/>
      <c r="H858" s="38"/>
    </row>
    <row r="859" spans="1:8" x14ac:dyDescent="0.35">
      <c r="A859" s="38"/>
      <c r="B859" s="38"/>
      <c r="C859" s="38"/>
      <c r="D859" s="38"/>
      <c r="E859" s="38"/>
      <c r="F859" s="38"/>
      <c r="G859" s="38"/>
      <c r="H859" s="38"/>
    </row>
    <row r="860" spans="1:8" ht="15" customHeight="1" x14ac:dyDescent="0.35"/>
    <row r="900" spans="1:1" x14ac:dyDescent="0.35">
      <c r="A900" s="40" t="s">
        <v>164</v>
      </c>
    </row>
    <row r="943" spans="1:1" x14ac:dyDescent="0.35">
      <c r="A943" s="40" t="s">
        <v>64</v>
      </c>
    </row>
  </sheetData>
  <mergeCells count="1400">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12:B112"/>
    <mergeCell ref="A113:B113"/>
    <mergeCell ref="A114:B114"/>
    <mergeCell ref="A115:B115"/>
    <mergeCell ref="A116:B116"/>
    <mergeCell ref="C56:E56"/>
    <mergeCell ref="G56:H56"/>
    <mergeCell ref="C57:H57"/>
    <mergeCell ref="A52:B57"/>
    <mergeCell ref="A117:B117"/>
    <mergeCell ref="C117:H117"/>
    <mergeCell ref="A119:B119"/>
    <mergeCell ref="C119:H119"/>
    <mergeCell ref="A120:B120"/>
    <mergeCell ref="E120:F120"/>
    <mergeCell ref="G120:H120"/>
    <mergeCell ref="A121:B121"/>
    <mergeCell ref="E121:F130"/>
    <mergeCell ref="G121:H130"/>
    <mergeCell ref="A122:B122"/>
    <mergeCell ref="A123:B123"/>
    <mergeCell ref="A124:B124"/>
    <mergeCell ref="A125:B125"/>
    <mergeCell ref="A126:B126"/>
    <mergeCell ref="A127:B127"/>
    <mergeCell ref="A128:B128"/>
    <mergeCell ref="A129:B129"/>
    <mergeCell ref="A130:B130"/>
    <mergeCell ref="D87:H87"/>
    <mergeCell ref="C52:E52"/>
    <mergeCell ref="D68:H68"/>
    <mergeCell ref="D69:H69"/>
    <mergeCell ref="G52:H52"/>
    <mergeCell ref="A63:H63"/>
    <mergeCell ref="A64:C64"/>
    <mergeCell ref="A65:C65"/>
    <mergeCell ref="D65:H65"/>
    <mergeCell ref="A751:H751"/>
    <mergeCell ref="A752:B752"/>
    <mergeCell ref="L752:M752"/>
    <mergeCell ref="A753:B753"/>
    <mergeCell ref="L753:M753"/>
    <mergeCell ref="A754:B754"/>
    <mergeCell ref="L754:M754"/>
    <mergeCell ref="A755:B755"/>
    <mergeCell ref="L755:M755"/>
    <mergeCell ref="A91:B91"/>
    <mergeCell ref="C91:H91"/>
    <mergeCell ref="A92:B92"/>
    <mergeCell ref="E92:F92"/>
    <mergeCell ref="G92:H92"/>
    <mergeCell ref="A93:B93"/>
    <mergeCell ref="E93:F102"/>
    <mergeCell ref="G93:H102"/>
    <mergeCell ref="A94:B94"/>
    <mergeCell ref="A95:B95"/>
    <mergeCell ref="A96:B96"/>
    <mergeCell ref="A97:B97"/>
    <mergeCell ref="A98:B98"/>
    <mergeCell ref="A99:B99"/>
    <mergeCell ref="A100:B100"/>
    <mergeCell ref="A101:B101"/>
    <mergeCell ref="A102:B102"/>
    <mergeCell ref="A733:B733"/>
    <mergeCell ref="L733:M733"/>
    <mergeCell ref="A734:B734"/>
    <mergeCell ref="L734:M734"/>
    <mergeCell ref="A747:H747"/>
    <mergeCell ref="A748:B748"/>
    <mergeCell ref="A760:H760"/>
    <mergeCell ref="A761:B761"/>
    <mergeCell ref="L761:M761"/>
    <mergeCell ref="A762:B762"/>
    <mergeCell ref="L762:M762"/>
    <mergeCell ref="A763:B763"/>
    <mergeCell ref="L763:M763"/>
    <mergeCell ref="A764:B764"/>
    <mergeCell ref="L764:M764"/>
    <mergeCell ref="A750:B750"/>
    <mergeCell ref="L750:M750"/>
    <mergeCell ref="A740:B740"/>
    <mergeCell ref="L740:M740"/>
    <mergeCell ref="A741:B741"/>
    <mergeCell ref="L741:M741"/>
    <mergeCell ref="A742:B742"/>
    <mergeCell ref="L742:M742"/>
    <mergeCell ref="A743:B743"/>
    <mergeCell ref="L743:M743"/>
    <mergeCell ref="A744:B744"/>
    <mergeCell ref="L744:M744"/>
    <mergeCell ref="A745:B745"/>
    <mergeCell ref="L745:M745"/>
    <mergeCell ref="A746:H746"/>
    <mergeCell ref="A756:B756"/>
    <mergeCell ref="L756:M756"/>
    <mergeCell ref="A757:B757"/>
    <mergeCell ref="L757:M757"/>
    <mergeCell ref="A758:B758"/>
    <mergeCell ref="L758:M758"/>
    <mergeCell ref="A759:B759"/>
    <mergeCell ref="L759:M759"/>
    <mergeCell ref="L748:M748"/>
    <mergeCell ref="A749:B749"/>
    <mergeCell ref="L749:M749"/>
    <mergeCell ref="A719:H719"/>
    <mergeCell ref="A729:B729"/>
    <mergeCell ref="L729:M729"/>
    <mergeCell ref="A730:B730"/>
    <mergeCell ref="L730:M730"/>
    <mergeCell ref="A731:B731"/>
    <mergeCell ref="L731:M731"/>
    <mergeCell ref="A732:B732"/>
    <mergeCell ref="L732:M732"/>
    <mergeCell ref="A735:H735"/>
    <mergeCell ref="A736:B736"/>
    <mergeCell ref="L736:M736"/>
    <mergeCell ref="A737:B737"/>
    <mergeCell ref="L737:M737"/>
    <mergeCell ref="A738:B738"/>
    <mergeCell ref="L738:M738"/>
    <mergeCell ref="A739:B739"/>
    <mergeCell ref="L739:M739"/>
    <mergeCell ref="A724:H724"/>
    <mergeCell ref="A725:B725"/>
    <mergeCell ref="L725:M725"/>
    <mergeCell ref="A726:B726"/>
    <mergeCell ref="L726:M726"/>
    <mergeCell ref="A727:B727"/>
    <mergeCell ref="L727:M727"/>
    <mergeCell ref="A728:B728"/>
    <mergeCell ref="L728:M728"/>
    <mergeCell ref="A723:B723"/>
    <mergeCell ref="L723:M723"/>
    <mergeCell ref="A717:B717"/>
    <mergeCell ref="L717:M717"/>
    <mergeCell ref="A718:B718"/>
    <mergeCell ref="L718:M718"/>
    <mergeCell ref="A445:B445"/>
    <mergeCell ref="L445:M445"/>
    <mergeCell ref="A446:B446"/>
    <mergeCell ref="L446:M446"/>
    <mergeCell ref="A711:B711"/>
    <mergeCell ref="L711:M711"/>
    <mergeCell ref="A712:B712"/>
    <mergeCell ref="L712:M712"/>
    <mergeCell ref="A713:B713"/>
    <mergeCell ref="L713:M713"/>
    <mergeCell ref="A714:B714"/>
    <mergeCell ref="L714:M714"/>
    <mergeCell ref="A715:B715"/>
    <mergeCell ref="L715:M715"/>
    <mergeCell ref="A706:B706"/>
    <mergeCell ref="L706:M706"/>
    <mergeCell ref="A707:B707"/>
    <mergeCell ref="L707:M707"/>
    <mergeCell ref="A708:B708"/>
    <mergeCell ref="L708:M708"/>
    <mergeCell ref="A709:B709"/>
    <mergeCell ref="L709:M709"/>
    <mergeCell ref="A710:H710"/>
    <mergeCell ref="A701:H701"/>
    <mergeCell ref="A702:B702"/>
    <mergeCell ref="L702:M702"/>
    <mergeCell ref="A704:B704"/>
    <mergeCell ref="L704:M704"/>
    <mergeCell ref="A705:B705"/>
    <mergeCell ref="L705:M705"/>
    <mergeCell ref="A695:H695"/>
    <mergeCell ref="A696:H696"/>
    <mergeCell ref="A697:B697"/>
    <mergeCell ref="L697:M697"/>
    <mergeCell ref="A698:B698"/>
    <mergeCell ref="L698:M698"/>
    <mergeCell ref="A699:B699"/>
    <mergeCell ref="L699:M699"/>
    <mergeCell ref="A700:B700"/>
    <mergeCell ref="L700:M700"/>
    <mergeCell ref="A694:B694"/>
    <mergeCell ref="L694:M694"/>
    <mergeCell ref="A716:B716"/>
    <mergeCell ref="L716:M716"/>
    <mergeCell ref="A431:H431"/>
    <mergeCell ref="A432:B432"/>
    <mergeCell ref="L432:M432"/>
    <mergeCell ref="A433:B433"/>
    <mergeCell ref="L433:M433"/>
    <mergeCell ref="A434:B434"/>
    <mergeCell ref="L434:M434"/>
    <mergeCell ref="A435:B435"/>
    <mergeCell ref="L435:M435"/>
    <mergeCell ref="A436:B436"/>
    <mergeCell ref="L436:M436"/>
    <mergeCell ref="A437:B437"/>
    <mergeCell ref="L437:M437"/>
    <mergeCell ref="A438:B438"/>
    <mergeCell ref="L438:M438"/>
    <mergeCell ref="A439:H439"/>
    <mergeCell ref="A703:B703"/>
    <mergeCell ref="L703:M703"/>
    <mergeCell ref="A689:B689"/>
    <mergeCell ref="L689:M689"/>
    <mergeCell ref="A690:B690"/>
    <mergeCell ref="L690:M690"/>
    <mergeCell ref="A691:B691"/>
    <mergeCell ref="L691:M691"/>
    <mergeCell ref="A692:B692"/>
    <mergeCell ref="L692:M692"/>
    <mergeCell ref="A693:B693"/>
    <mergeCell ref="L693:M693"/>
    <mergeCell ref="A684:B684"/>
    <mergeCell ref="L684:M684"/>
    <mergeCell ref="A685:B685"/>
    <mergeCell ref="C685:H685"/>
    <mergeCell ref="L685:M685"/>
    <mergeCell ref="A686:H686"/>
    <mergeCell ref="A687:B687"/>
    <mergeCell ref="L687:M687"/>
    <mergeCell ref="A688:B688"/>
    <mergeCell ref="L688:M688"/>
    <mergeCell ref="A678:B678"/>
    <mergeCell ref="L678:M678"/>
    <mergeCell ref="A679:B679"/>
    <mergeCell ref="L679:M679"/>
    <mergeCell ref="A680:H680"/>
    <mergeCell ref="A681:H681"/>
    <mergeCell ref="A682:B682"/>
    <mergeCell ref="L682:M682"/>
    <mergeCell ref="A683:B683"/>
    <mergeCell ref="L683:M683"/>
    <mergeCell ref="A673:B673"/>
    <mergeCell ref="L673:M673"/>
    <mergeCell ref="A674:B674"/>
    <mergeCell ref="L674:M674"/>
    <mergeCell ref="A675:B675"/>
    <mergeCell ref="L675:M675"/>
    <mergeCell ref="A676:B676"/>
    <mergeCell ref="L676:M676"/>
    <mergeCell ref="A677:B677"/>
    <mergeCell ref="L677:M677"/>
    <mergeCell ref="A668:B668"/>
    <mergeCell ref="L668:M668"/>
    <mergeCell ref="A669:B669"/>
    <mergeCell ref="L669:M669"/>
    <mergeCell ref="A670:B670"/>
    <mergeCell ref="L670:M670"/>
    <mergeCell ref="A671:H671"/>
    <mergeCell ref="A672:B672"/>
    <mergeCell ref="L672:M672"/>
    <mergeCell ref="A663:H663"/>
    <mergeCell ref="A664:B664"/>
    <mergeCell ref="L664:M664"/>
    <mergeCell ref="A665:B665"/>
    <mergeCell ref="L665:M665"/>
    <mergeCell ref="A666:B666"/>
    <mergeCell ref="L666:M666"/>
    <mergeCell ref="A667:B667"/>
    <mergeCell ref="L667:M667"/>
    <mergeCell ref="A653:B653"/>
    <mergeCell ref="L653:M653"/>
    <mergeCell ref="A654:B654"/>
    <mergeCell ref="L654:M654"/>
    <mergeCell ref="A660:B660"/>
    <mergeCell ref="L660:M660"/>
    <mergeCell ref="A661:B661"/>
    <mergeCell ref="L661:M661"/>
    <mergeCell ref="A662:H662"/>
    <mergeCell ref="A648:H648"/>
    <mergeCell ref="A649:B649"/>
    <mergeCell ref="L649:M649"/>
    <mergeCell ref="A650:B650"/>
    <mergeCell ref="L650:M650"/>
    <mergeCell ref="A651:B651"/>
    <mergeCell ref="L651:M651"/>
    <mergeCell ref="A652:B652"/>
    <mergeCell ref="L652:M652"/>
    <mergeCell ref="A656:B656"/>
    <mergeCell ref="L656:M656"/>
    <mergeCell ref="A657:B657"/>
    <mergeCell ref="L657:M657"/>
    <mergeCell ref="A658:B658"/>
    <mergeCell ref="L658:M658"/>
    <mergeCell ref="A659:B659"/>
    <mergeCell ref="L659:M659"/>
    <mergeCell ref="A643:H643"/>
    <mergeCell ref="A644:H644"/>
    <mergeCell ref="A645:B645"/>
    <mergeCell ref="L645:M645"/>
    <mergeCell ref="A646:B646"/>
    <mergeCell ref="L646:M646"/>
    <mergeCell ref="A647:B647"/>
    <mergeCell ref="L647:M647"/>
    <mergeCell ref="A638:B638"/>
    <mergeCell ref="L638:M638"/>
    <mergeCell ref="A639:B639"/>
    <mergeCell ref="L639:M639"/>
    <mergeCell ref="A640:B640"/>
    <mergeCell ref="L640:M640"/>
    <mergeCell ref="A641:B641"/>
    <mergeCell ref="L641:M641"/>
    <mergeCell ref="A642:B642"/>
    <mergeCell ref="L642:M642"/>
    <mergeCell ref="A633:B633"/>
    <mergeCell ref="L633:M633"/>
    <mergeCell ref="A634:H634"/>
    <mergeCell ref="A635:B635"/>
    <mergeCell ref="L635:M635"/>
    <mergeCell ref="A636:B636"/>
    <mergeCell ref="L636:M636"/>
    <mergeCell ref="A637:B637"/>
    <mergeCell ref="L637:M637"/>
    <mergeCell ref="A629:B629"/>
    <mergeCell ref="L629:M629"/>
    <mergeCell ref="A630:B630"/>
    <mergeCell ref="L630:M630"/>
    <mergeCell ref="A631:B631"/>
    <mergeCell ref="L631:M631"/>
    <mergeCell ref="A632:B632"/>
    <mergeCell ref="L632:M632"/>
    <mergeCell ref="A625:H625"/>
    <mergeCell ref="A626:H626"/>
    <mergeCell ref="A627:B627"/>
    <mergeCell ref="L627:M627"/>
    <mergeCell ref="A619:B619"/>
    <mergeCell ref="L619:M619"/>
    <mergeCell ref="A620:B620"/>
    <mergeCell ref="L620:M620"/>
    <mergeCell ref="A621:B621"/>
    <mergeCell ref="L621:M621"/>
    <mergeCell ref="A612:B612"/>
    <mergeCell ref="L612:M612"/>
    <mergeCell ref="A613:B613"/>
    <mergeCell ref="L613:M613"/>
    <mergeCell ref="A614:B614"/>
    <mergeCell ref="L614:M614"/>
    <mergeCell ref="A615:B615"/>
    <mergeCell ref="L615:M615"/>
    <mergeCell ref="A616:H616"/>
    <mergeCell ref="A628:B628"/>
    <mergeCell ref="L628:M628"/>
    <mergeCell ref="L610:M610"/>
    <mergeCell ref="A611:B611"/>
    <mergeCell ref="L611:M611"/>
    <mergeCell ref="A586:B586"/>
    <mergeCell ref="L586:M586"/>
    <mergeCell ref="A587:B587"/>
    <mergeCell ref="L587:M587"/>
    <mergeCell ref="A588:B588"/>
    <mergeCell ref="L588:M588"/>
    <mergeCell ref="A589:B589"/>
    <mergeCell ref="L589:M589"/>
    <mergeCell ref="A590:B590"/>
    <mergeCell ref="L590:M590"/>
    <mergeCell ref="A617:B617"/>
    <mergeCell ref="L617:M617"/>
    <mergeCell ref="A618:B618"/>
    <mergeCell ref="L618:M618"/>
    <mergeCell ref="A601:B601"/>
    <mergeCell ref="L591:M591"/>
    <mergeCell ref="A607:H607"/>
    <mergeCell ref="A608:H608"/>
    <mergeCell ref="A609:B609"/>
    <mergeCell ref="L609:M609"/>
    <mergeCell ref="A610:B610"/>
    <mergeCell ref="A622:B622"/>
    <mergeCell ref="L622:M622"/>
    <mergeCell ref="A623:B623"/>
    <mergeCell ref="L623:M623"/>
    <mergeCell ref="A624:B624"/>
    <mergeCell ref="L624:M624"/>
    <mergeCell ref="A172:B172"/>
    <mergeCell ref="A592:H592"/>
    <mergeCell ref="A593:H593"/>
    <mergeCell ref="A594:B594"/>
    <mergeCell ref="L594:M594"/>
    <mergeCell ref="A595:B595"/>
    <mergeCell ref="L595:M595"/>
    <mergeCell ref="A596:B596"/>
    <mergeCell ref="L596:M596"/>
    <mergeCell ref="A568:H568"/>
    <mergeCell ref="A569:H569"/>
    <mergeCell ref="A570:B570"/>
    <mergeCell ref="L570:M570"/>
    <mergeCell ref="A571:B571"/>
    <mergeCell ref="L571:M571"/>
    <mergeCell ref="A572:B572"/>
    <mergeCell ref="L572:M572"/>
    <mergeCell ref="A573:B573"/>
    <mergeCell ref="L573:M573"/>
    <mergeCell ref="A574:H574"/>
    <mergeCell ref="A575:B575"/>
    <mergeCell ref="L575:M575"/>
    <mergeCell ref="A576:B576"/>
    <mergeCell ref="E204:F204"/>
    <mergeCell ref="G204:H204"/>
    <mergeCell ref="A205:B205"/>
    <mergeCell ref="E205:F214"/>
    <mergeCell ref="G205:H214"/>
    <mergeCell ref="A206:B206"/>
    <mergeCell ref="A207:B207"/>
    <mergeCell ref="A208:B208"/>
    <mergeCell ref="A430:H430"/>
    <mergeCell ref="B797:H797"/>
    <mergeCell ref="A787:B787"/>
    <mergeCell ref="B790:H790"/>
    <mergeCell ref="B791:H791"/>
    <mergeCell ref="B793:H793"/>
    <mergeCell ref="A194:B194"/>
    <mergeCell ref="A195:B195"/>
    <mergeCell ref="A196:B196"/>
    <mergeCell ref="A197:B197"/>
    <mergeCell ref="A776:B776"/>
    <mergeCell ref="C386:C387"/>
    <mergeCell ref="B448:B449"/>
    <mergeCell ref="B792:H792"/>
    <mergeCell ref="A148:B148"/>
    <mergeCell ref="E148:F148"/>
    <mergeCell ref="E149:F158"/>
    <mergeCell ref="A159:B159"/>
    <mergeCell ref="C159:H159"/>
    <mergeCell ref="A161:B161"/>
    <mergeCell ref="C161:H161"/>
    <mergeCell ref="A162:B162"/>
    <mergeCell ref="E162:F162"/>
    <mergeCell ref="G162:H162"/>
    <mergeCell ref="A163:B163"/>
    <mergeCell ref="E163:F172"/>
    <mergeCell ref="G163:H172"/>
    <mergeCell ref="A164:B164"/>
    <mergeCell ref="A165:B165"/>
    <mergeCell ref="A166:B166"/>
    <mergeCell ref="A167:B167"/>
    <mergeCell ref="A168:B168"/>
    <mergeCell ref="A169:B169"/>
    <mergeCell ref="A147:B147"/>
    <mergeCell ref="G386:G387"/>
    <mergeCell ref="A779:B779"/>
    <mergeCell ref="A137:B137"/>
    <mergeCell ref="E135:F144"/>
    <mergeCell ref="G135:H144"/>
    <mergeCell ref="A346:E346"/>
    <mergeCell ref="A382:B382"/>
    <mergeCell ref="E382:F382"/>
    <mergeCell ref="A352:E352"/>
    <mergeCell ref="G382:H382"/>
    <mergeCell ref="C358:D358"/>
    <mergeCell ref="E358:F358"/>
    <mergeCell ref="G358:H358"/>
    <mergeCell ref="A364:B364"/>
    <mergeCell ref="C364:D364"/>
    <mergeCell ref="E364:F364"/>
    <mergeCell ref="G364:H364"/>
    <mergeCell ref="A368:B368"/>
    <mergeCell ref="C368:D368"/>
    <mergeCell ref="E368:F368"/>
    <mergeCell ref="G368:H368"/>
    <mergeCell ref="A170:B170"/>
    <mergeCell ref="A198:B198"/>
    <mergeCell ref="A199:B199"/>
    <mergeCell ref="A200:B200"/>
    <mergeCell ref="A201:B201"/>
    <mergeCell ref="C201:H201"/>
    <mergeCell ref="A203:B203"/>
    <mergeCell ref="C203:H203"/>
    <mergeCell ref="A204:B204"/>
    <mergeCell ref="A171:B171"/>
    <mergeCell ref="L765:M765"/>
    <mergeCell ref="A770:B770"/>
    <mergeCell ref="A767:B767"/>
    <mergeCell ref="A768:B768"/>
    <mergeCell ref="A778:B778"/>
    <mergeCell ref="A40:B40"/>
    <mergeCell ref="C40:H40"/>
    <mergeCell ref="F386:F387"/>
    <mergeCell ref="C357:D357"/>
    <mergeCell ref="E357:F357"/>
    <mergeCell ref="B386:B387"/>
    <mergeCell ref="A386:A387"/>
    <mergeCell ref="C448:C449"/>
    <mergeCell ref="G448:G449"/>
    <mergeCell ref="L464:M464"/>
    <mergeCell ref="L461:M461"/>
    <mergeCell ref="A462:B462"/>
    <mergeCell ref="G383:H383"/>
    <mergeCell ref="L462:M462"/>
    <mergeCell ref="A463:B463"/>
    <mergeCell ref="L463:M463"/>
    <mergeCell ref="C55:H55"/>
    <mergeCell ref="A464:B464"/>
    <mergeCell ref="A134:B134"/>
    <mergeCell ref="A88:C88"/>
    <mergeCell ref="D88:H88"/>
    <mergeCell ref="C49:H49"/>
    <mergeCell ref="D67:H67"/>
    <mergeCell ref="A67:C81"/>
    <mergeCell ref="A89:B89"/>
    <mergeCell ref="C89:H89"/>
    <mergeCell ref="A86:C86"/>
    <mergeCell ref="A39:B39"/>
    <mergeCell ref="C39:H39"/>
    <mergeCell ref="A46:D46"/>
    <mergeCell ref="L393:M393"/>
    <mergeCell ref="L392:M392"/>
    <mergeCell ref="L391:M391"/>
    <mergeCell ref="L390:M390"/>
    <mergeCell ref="A142:B142"/>
    <mergeCell ref="C367:D367"/>
    <mergeCell ref="E367:F367"/>
    <mergeCell ref="G367:H367"/>
    <mergeCell ref="A342:E342"/>
    <mergeCell ref="A145:B145"/>
    <mergeCell ref="C145:H145"/>
    <mergeCell ref="A389:H389"/>
    <mergeCell ref="E386:E387"/>
    <mergeCell ref="A149:B149"/>
    <mergeCell ref="A47:D47"/>
    <mergeCell ref="A48:H48"/>
    <mergeCell ref="D66:H66"/>
    <mergeCell ref="A66:C66"/>
    <mergeCell ref="A141:B141"/>
    <mergeCell ref="C147:H147"/>
    <mergeCell ref="A45:D45"/>
    <mergeCell ref="A133:B133"/>
    <mergeCell ref="A131:B131"/>
    <mergeCell ref="C131:H131"/>
    <mergeCell ref="A84:C84"/>
    <mergeCell ref="D84:H84"/>
    <mergeCell ref="C133:H133"/>
    <mergeCell ref="A85:C85"/>
    <mergeCell ref="D85:H85"/>
    <mergeCell ref="A38:H38"/>
    <mergeCell ref="A37:B37"/>
    <mergeCell ref="C37:E37"/>
    <mergeCell ref="A42:D42"/>
    <mergeCell ref="E42:H42"/>
    <mergeCell ref="A41:H41"/>
    <mergeCell ref="A82:C82"/>
    <mergeCell ref="A83:C83"/>
    <mergeCell ref="D82:H82"/>
    <mergeCell ref="F37:H37"/>
    <mergeCell ref="C51:E51"/>
    <mergeCell ref="C50:E50"/>
    <mergeCell ref="G50:H50"/>
    <mergeCell ref="A51:B51"/>
    <mergeCell ref="G58:H58"/>
    <mergeCell ref="A60:B61"/>
    <mergeCell ref="C60:E60"/>
    <mergeCell ref="G60:H60"/>
    <mergeCell ref="G51:H51"/>
    <mergeCell ref="D72:H72"/>
    <mergeCell ref="D73:H73"/>
    <mergeCell ref="D74:H74"/>
    <mergeCell ref="D75:H75"/>
    <mergeCell ref="A44:D44"/>
    <mergeCell ref="E44:H44"/>
    <mergeCell ref="E45:H45"/>
    <mergeCell ref="E46:H46"/>
    <mergeCell ref="E47:H47"/>
    <mergeCell ref="C59:H59"/>
    <mergeCell ref="C61:H61"/>
    <mergeCell ref="A49:B49"/>
    <mergeCell ref="D70:H70"/>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2:B22"/>
    <mergeCell ref="C22:D22"/>
    <mergeCell ref="E22:F22"/>
    <mergeCell ref="G22:H22"/>
    <mergeCell ref="E27:H27"/>
    <mergeCell ref="A29:D29"/>
    <mergeCell ref="E29:H29"/>
    <mergeCell ref="A26:D26"/>
    <mergeCell ref="E26:H26"/>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810:H813"/>
    <mergeCell ref="A809:B809"/>
    <mergeCell ref="E809:F809"/>
    <mergeCell ref="C809:D809"/>
    <mergeCell ref="G809:H809"/>
    <mergeCell ref="A355:H355"/>
    <mergeCell ref="A353:E353"/>
    <mergeCell ref="F353:H353"/>
    <mergeCell ref="A354:E354"/>
    <mergeCell ref="F354:H354"/>
    <mergeCell ref="A765:H765"/>
    <mergeCell ref="A367:B367"/>
    <mergeCell ref="A774:B774"/>
    <mergeCell ref="A357:B357"/>
    <mergeCell ref="A805:H805"/>
    <mergeCell ref="A365:H365"/>
    <mergeCell ref="A808:H808"/>
    <mergeCell ref="A806:H806"/>
    <mergeCell ref="A802:H802"/>
    <mergeCell ref="G366:H366"/>
    <mergeCell ref="B795:H795"/>
    <mergeCell ref="D386:D387"/>
    <mergeCell ref="A780:B780"/>
    <mergeCell ref="A769:B769"/>
    <mergeCell ref="B799:H799"/>
    <mergeCell ref="A383:B383"/>
    <mergeCell ref="C383:D383"/>
    <mergeCell ref="E383:F383"/>
    <mergeCell ref="B798:H798"/>
    <mergeCell ref="B796:H796"/>
    <mergeCell ref="A785:B785"/>
    <mergeCell ref="A788:B788"/>
    <mergeCell ref="A135:B135"/>
    <mergeCell ref="G134:H134"/>
    <mergeCell ref="A143:B143"/>
    <mergeCell ref="A144:B144"/>
    <mergeCell ref="A139:B139"/>
    <mergeCell ref="A136:B136"/>
    <mergeCell ref="A138:B138"/>
    <mergeCell ref="E134:F134"/>
    <mergeCell ref="A150:B150"/>
    <mergeCell ref="A151:B151"/>
    <mergeCell ref="G149:H158"/>
    <mergeCell ref="A152:B152"/>
    <mergeCell ref="F343:H343"/>
    <mergeCell ref="A343:E343"/>
    <mergeCell ref="A345:E345"/>
    <mergeCell ref="A154:B154"/>
    <mergeCell ref="G148:H148"/>
    <mergeCell ref="A185:B185"/>
    <mergeCell ref="A186:B186"/>
    <mergeCell ref="A187:B187"/>
    <mergeCell ref="C187:H187"/>
    <mergeCell ref="A189:B189"/>
    <mergeCell ref="C189:H189"/>
    <mergeCell ref="A190:B190"/>
    <mergeCell ref="E190:F190"/>
    <mergeCell ref="G190:H190"/>
    <mergeCell ref="A191:B191"/>
    <mergeCell ref="E191:F200"/>
    <mergeCell ref="G191:H200"/>
    <mergeCell ref="A192:B192"/>
    <mergeCell ref="A193:B193"/>
    <mergeCell ref="A218:B218"/>
    <mergeCell ref="A803:H803"/>
    <mergeCell ref="F341:H341"/>
    <mergeCell ref="F346:H346"/>
    <mergeCell ref="A461:B461"/>
    <mergeCell ref="A393:B393"/>
    <mergeCell ref="A392:B392"/>
    <mergeCell ref="A348:E348"/>
    <mergeCell ref="F348:H348"/>
    <mergeCell ref="A350:E350"/>
    <mergeCell ref="F344:H344"/>
    <mergeCell ref="A349:E349"/>
    <mergeCell ref="A447:H447"/>
    <mergeCell ref="E366:F366"/>
    <mergeCell ref="A384:H384"/>
    <mergeCell ref="A448:A449"/>
    <mergeCell ref="F448:F449"/>
    <mergeCell ref="A772:B772"/>
    <mergeCell ref="A390:B390"/>
    <mergeCell ref="B794:H794"/>
    <mergeCell ref="A789:H789"/>
    <mergeCell ref="A781:B781"/>
    <mergeCell ref="A782:B782"/>
    <mergeCell ref="A777:H777"/>
    <mergeCell ref="A771:H771"/>
    <mergeCell ref="F345:H345"/>
    <mergeCell ref="A388:H388"/>
    <mergeCell ref="A397:H397"/>
    <mergeCell ref="A398:B398"/>
    <mergeCell ref="A454:B454"/>
    <mergeCell ref="A493:B493"/>
    <mergeCell ref="A369:B369"/>
    <mergeCell ref="C369:D369"/>
    <mergeCell ref="G62:H62"/>
    <mergeCell ref="C54:E54"/>
    <mergeCell ref="G54:H54"/>
    <mergeCell ref="A58:B59"/>
    <mergeCell ref="C58:E58"/>
    <mergeCell ref="A786:B786"/>
    <mergeCell ref="A783:H783"/>
    <mergeCell ref="A784:B784"/>
    <mergeCell ref="A62:B62"/>
    <mergeCell ref="C62:E62"/>
    <mergeCell ref="D64:H64"/>
    <mergeCell ref="A358:B358"/>
    <mergeCell ref="C366:D366"/>
    <mergeCell ref="D86:H86"/>
    <mergeCell ref="A87:C87"/>
    <mergeCell ref="A140:B140"/>
    <mergeCell ref="D71:H71"/>
    <mergeCell ref="D83:H83"/>
    <mergeCell ref="A156:B156"/>
    <mergeCell ref="A157:B157"/>
    <mergeCell ref="A344:E344"/>
    <mergeCell ref="A341:E341"/>
    <mergeCell ref="D76:H76"/>
    <mergeCell ref="D77:H77"/>
    <mergeCell ref="D78:H78"/>
    <mergeCell ref="D79:H79"/>
    <mergeCell ref="D80:H80"/>
    <mergeCell ref="D81:H81"/>
    <mergeCell ref="A215:B215"/>
    <mergeCell ref="C215:H215"/>
    <mergeCell ref="A217:B217"/>
    <mergeCell ref="C217:H217"/>
    <mergeCell ref="A807:H807"/>
    <mergeCell ref="A804:H804"/>
    <mergeCell ref="A766:B766"/>
    <mergeCell ref="A366:B366"/>
    <mergeCell ref="D448:D449"/>
    <mergeCell ref="E448:E449"/>
    <mergeCell ref="A153:B153"/>
    <mergeCell ref="A155:B155"/>
    <mergeCell ref="F342:H342"/>
    <mergeCell ref="G357:H357"/>
    <mergeCell ref="A158:B158"/>
    <mergeCell ref="F349:H349"/>
    <mergeCell ref="C356:D356"/>
    <mergeCell ref="C382:D382"/>
    <mergeCell ref="A460:H460"/>
    <mergeCell ref="A775:B775"/>
    <mergeCell ref="A173:B173"/>
    <mergeCell ref="C173:H173"/>
    <mergeCell ref="A175:B175"/>
    <mergeCell ref="C175:H175"/>
    <mergeCell ref="A176:B176"/>
    <mergeCell ref="E176:F176"/>
    <mergeCell ref="G176:H176"/>
    <mergeCell ref="A177:B177"/>
    <mergeCell ref="A773:B773"/>
    <mergeCell ref="A385:H385"/>
    <mergeCell ref="G356:H356"/>
    <mergeCell ref="A351:E351"/>
    <mergeCell ref="A391:B391"/>
    <mergeCell ref="F351:H351"/>
    <mergeCell ref="E356:F356"/>
    <mergeCell ref="A356:B356"/>
    <mergeCell ref="I15:P15"/>
    <mergeCell ref="F352:H352"/>
    <mergeCell ref="F350:H350"/>
    <mergeCell ref="E43:H43"/>
    <mergeCell ref="A43:D43"/>
    <mergeCell ref="A50:B50"/>
    <mergeCell ref="C53:H53"/>
    <mergeCell ref="F34:H34"/>
    <mergeCell ref="F35:H35"/>
    <mergeCell ref="A25:D25"/>
    <mergeCell ref="E25:H25"/>
    <mergeCell ref="E20:F20"/>
    <mergeCell ref="G20:H20"/>
    <mergeCell ref="A21:B21"/>
    <mergeCell ref="C21:D21"/>
    <mergeCell ref="E21:F21"/>
    <mergeCell ref="G21:H21"/>
    <mergeCell ref="E177:F186"/>
    <mergeCell ref="G177:H186"/>
    <mergeCell ref="A178:B178"/>
    <mergeCell ref="A179:B179"/>
    <mergeCell ref="A180:B180"/>
    <mergeCell ref="A181:B181"/>
    <mergeCell ref="A182:B182"/>
    <mergeCell ref="A183:B183"/>
    <mergeCell ref="A184:B184"/>
    <mergeCell ref="A209:B209"/>
    <mergeCell ref="A210:B210"/>
    <mergeCell ref="A211:B211"/>
    <mergeCell ref="A212:B212"/>
    <mergeCell ref="A213:B213"/>
    <mergeCell ref="A214:B214"/>
    <mergeCell ref="E218:F218"/>
    <mergeCell ref="G218:H218"/>
    <mergeCell ref="A219:B219"/>
    <mergeCell ref="E219:F228"/>
    <mergeCell ref="G219:H228"/>
    <mergeCell ref="A220:B220"/>
    <mergeCell ref="A221:B221"/>
    <mergeCell ref="A222:B222"/>
    <mergeCell ref="A223:B223"/>
    <mergeCell ref="A224:B224"/>
    <mergeCell ref="A225:B225"/>
    <mergeCell ref="A226:B226"/>
    <mergeCell ref="A227:B227"/>
    <mergeCell ref="A228:B228"/>
    <mergeCell ref="A229:B229"/>
    <mergeCell ref="C229:H229"/>
    <mergeCell ref="A231:B231"/>
    <mergeCell ref="C231:H231"/>
    <mergeCell ref="A232:B232"/>
    <mergeCell ref="E232:F232"/>
    <mergeCell ref="G232:H232"/>
    <mergeCell ref="A233:B233"/>
    <mergeCell ref="E233:F242"/>
    <mergeCell ref="G233:H242"/>
    <mergeCell ref="A234:B234"/>
    <mergeCell ref="A235:B235"/>
    <mergeCell ref="A236:B236"/>
    <mergeCell ref="A237:B237"/>
    <mergeCell ref="A238:B238"/>
    <mergeCell ref="A239:B239"/>
    <mergeCell ref="A240:B240"/>
    <mergeCell ref="A241:B241"/>
    <mergeCell ref="A242:B242"/>
    <mergeCell ref="A243:B243"/>
    <mergeCell ref="C243:H243"/>
    <mergeCell ref="A245:B245"/>
    <mergeCell ref="C245:H245"/>
    <mergeCell ref="A246:B246"/>
    <mergeCell ref="E246:F246"/>
    <mergeCell ref="G246:H246"/>
    <mergeCell ref="A247:B247"/>
    <mergeCell ref="E247:F256"/>
    <mergeCell ref="G247:H256"/>
    <mergeCell ref="A248:B248"/>
    <mergeCell ref="A249:B249"/>
    <mergeCell ref="A250:B250"/>
    <mergeCell ref="A251:B251"/>
    <mergeCell ref="A252:B252"/>
    <mergeCell ref="A253:B253"/>
    <mergeCell ref="A254:B254"/>
    <mergeCell ref="A255:B255"/>
    <mergeCell ref="A256:B256"/>
    <mergeCell ref="A257:B257"/>
    <mergeCell ref="C257:H257"/>
    <mergeCell ref="A259:B259"/>
    <mergeCell ref="C259:H259"/>
    <mergeCell ref="A260:B260"/>
    <mergeCell ref="E260:F260"/>
    <mergeCell ref="G260:H260"/>
    <mergeCell ref="A261:B261"/>
    <mergeCell ref="E261:F270"/>
    <mergeCell ref="G261:H270"/>
    <mergeCell ref="A262:B262"/>
    <mergeCell ref="A263:B263"/>
    <mergeCell ref="A264:B264"/>
    <mergeCell ref="A265:B265"/>
    <mergeCell ref="A266:B266"/>
    <mergeCell ref="A267:B267"/>
    <mergeCell ref="A268:B268"/>
    <mergeCell ref="A269:B269"/>
    <mergeCell ref="A270:B270"/>
    <mergeCell ref="A285:B285"/>
    <mergeCell ref="C285:H285"/>
    <mergeCell ref="A287:B287"/>
    <mergeCell ref="C287:H287"/>
    <mergeCell ref="A288:B288"/>
    <mergeCell ref="E288:F288"/>
    <mergeCell ref="G288:H288"/>
    <mergeCell ref="A289:B289"/>
    <mergeCell ref="E289:F298"/>
    <mergeCell ref="G289:H298"/>
    <mergeCell ref="A290:B290"/>
    <mergeCell ref="A291:B291"/>
    <mergeCell ref="A292:B292"/>
    <mergeCell ref="A293:B293"/>
    <mergeCell ref="A294:B294"/>
    <mergeCell ref="A295:B295"/>
    <mergeCell ref="A296:B296"/>
    <mergeCell ref="A297:B297"/>
    <mergeCell ref="A298:B298"/>
    <mergeCell ref="A299:B299"/>
    <mergeCell ref="C299:H299"/>
    <mergeCell ref="A301:B301"/>
    <mergeCell ref="C301:H301"/>
    <mergeCell ref="A302:B302"/>
    <mergeCell ref="E302:F302"/>
    <mergeCell ref="G302:H302"/>
    <mergeCell ref="A303:B303"/>
    <mergeCell ref="E303:F312"/>
    <mergeCell ref="G303:H312"/>
    <mergeCell ref="A304:B304"/>
    <mergeCell ref="A305:B305"/>
    <mergeCell ref="A306:B306"/>
    <mergeCell ref="A307:B307"/>
    <mergeCell ref="A308:B308"/>
    <mergeCell ref="A309:B309"/>
    <mergeCell ref="A310:B310"/>
    <mergeCell ref="A311:B311"/>
    <mergeCell ref="A312:B312"/>
    <mergeCell ref="A313:B313"/>
    <mergeCell ref="C313:H313"/>
    <mergeCell ref="A315:B315"/>
    <mergeCell ref="C315:H315"/>
    <mergeCell ref="A316:B316"/>
    <mergeCell ref="E316:F316"/>
    <mergeCell ref="G316:H316"/>
    <mergeCell ref="A317:B317"/>
    <mergeCell ref="E317:F326"/>
    <mergeCell ref="G317:H326"/>
    <mergeCell ref="A318:B318"/>
    <mergeCell ref="A319:B319"/>
    <mergeCell ref="A320:B320"/>
    <mergeCell ref="A321:B321"/>
    <mergeCell ref="A322:B322"/>
    <mergeCell ref="A323:B323"/>
    <mergeCell ref="A324:B324"/>
    <mergeCell ref="A325:B325"/>
    <mergeCell ref="A326:B326"/>
    <mergeCell ref="A327:B327"/>
    <mergeCell ref="C327:H327"/>
    <mergeCell ref="A329:B329"/>
    <mergeCell ref="C329:H329"/>
    <mergeCell ref="A330:B330"/>
    <mergeCell ref="E330:F330"/>
    <mergeCell ref="G330:H330"/>
    <mergeCell ref="A331:B331"/>
    <mergeCell ref="E331:F340"/>
    <mergeCell ref="G331:H340"/>
    <mergeCell ref="A332:B332"/>
    <mergeCell ref="A333:B333"/>
    <mergeCell ref="A334:B334"/>
    <mergeCell ref="A335:B335"/>
    <mergeCell ref="A336:B336"/>
    <mergeCell ref="A337:B337"/>
    <mergeCell ref="A338:B338"/>
    <mergeCell ref="A339:B339"/>
    <mergeCell ref="A340:B340"/>
    <mergeCell ref="L398:M398"/>
    <mergeCell ref="A399:B399"/>
    <mergeCell ref="L399:M399"/>
    <mergeCell ref="A400:B400"/>
    <mergeCell ref="L400:M400"/>
    <mergeCell ref="A401:B401"/>
    <mergeCell ref="L401:M401"/>
    <mergeCell ref="A394:B394"/>
    <mergeCell ref="L394:M394"/>
    <mergeCell ref="A395:B395"/>
    <mergeCell ref="L395:M395"/>
    <mergeCell ref="A450:H450"/>
    <mergeCell ref="A451:H451"/>
    <mergeCell ref="A452:B452"/>
    <mergeCell ref="L452:M452"/>
    <mergeCell ref="A453:B453"/>
    <mergeCell ref="L453:M453"/>
    <mergeCell ref="A443:B443"/>
    <mergeCell ref="L443:M443"/>
    <mergeCell ref="A444:B444"/>
    <mergeCell ref="L444:M444"/>
    <mergeCell ref="A413:H413"/>
    <mergeCell ref="A414:H414"/>
    <mergeCell ref="A415:B415"/>
    <mergeCell ref="L415:M415"/>
    <mergeCell ref="A416:B416"/>
    <mergeCell ref="L416:M416"/>
    <mergeCell ref="A440:H440"/>
    <mergeCell ref="A441:B441"/>
    <mergeCell ref="L441:M441"/>
    <mergeCell ref="A442:B442"/>
    <mergeCell ref="L442:M442"/>
    <mergeCell ref="L454:M454"/>
    <mergeCell ref="A455:B455"/>
    <mergeCell ref="L455:M455"/>
    <mergeCell ref="A456:B456"/>
    <mergeCell ref="L456:M456"/>
    <mergeCell ref="A457:B457"/>
    <mergeCell ref="L457:M457"/>
    <mergeCell ref="A458:B458"/>
    <mergeCell ref="L458:M458"/>
    <mergeCell ref="A459:B459"/>
    <mergeCell ref="L459:M459"/>
    <mergeCell ref="A492:H492"/>
    <mergeCell ref="A473:H473"/>
    <mergeCell ref="A474:B474"/>
    <mergeCell ref="L474:M474"/>
    <mergeCell ref="A475:B475"/>
    <mergeCell ref="L475:M475"/>
    <mergeCell ref="A476:B476"/>
    <mergeCell ref="L476:M476"/>
    <mergeCell ref="A477:B477"/>
    <mergeCell ref="L477:M477"/>
    <mergeCell ref="A478:B478"/>
    <mergeCell ref="L478:M478"/>
    <mergeCell ref="A479:B479"/>
    <mergeCell ref="L479:M479"/>
    <mergeCell ref="A480:B480"/>
    <mergeCell ref="L480:M480"/>
    <mergeCell ref="L485:M485"/>
    <mergeCell ref="L496:M496"/>
    <mergeCell ref="A465:B465"/>
    <mergeCell ref="L465:M465"/>
    <mergeCell ref="A466:B466"/>
    <mergeCell ref="L466:M466"/>
    <mergeCell ref="A467:B467"/>
    <mergeCell ref="L467:M467"/>
    <mergeCell ref="A468:B468"/>
    <mergeCell ref="L468:M468"/>
    <mergeCell ref="A469:B469"/>
    <mergeCell ref="L469:M469"/>
    <mergeCell ref="A470:B470"/>
    <mergeCell ref="L470:M470"/>
    <mergeCell ref="A471:B471"/>
    <mergeCell ref="L471:M471"/>
    <mergeCell ref="A472:B472"/>
    <mergeCell ref="L472:M472"/>
    <mergeCell ref="A481:B481"/>
    <mergeCell ref="L481:M481"/>
    <mergeCell ref="A482:B482"/>
    <mergeCell ref="L482:M482"/>
    <mergeCell ref="A483:B483"/>
    <mergeCell ref="L483:M483"/>
    <mergeCell ref="A484:B484"/>
    <mergeCell ref="L484:M484"/>
    <mergeCell ref="A485:B485"/>
    <mergeCell ref="L491:M491"/>
    <mergeCell ref="E369:F369"/>
    <mergeCell ref="G369:H369"/>
    <mergeCell ref="A370:B370"/>
    <mergeCell ref="C370:D370"/>
    <mergeCell ref="E370:F370"/>
    <mergeCell ref="G370:H370"/>
    <mergeCell ref="A371:B371"/>
    <mergeCell ref="C371:D371"/>
    <mergeCell ref="E371:F371"/>
    <mergeCell ref="G371:H371"/>
    <mergeCell ref="A372:B372"/>
    <mergeCell ref="C372:D372"/>
    <mergeCell ref="E372:F372"/>
    <mergeCell ref="G372:H372"/>
    <mergeCell ref="A373:B373"/>
    <mergeCell ref="C373:D373"/>
    <mergeCell ref="E373:F373"/>
    <mergeCell ref="G373:H373"/>
    <mergeCell ref="A375:B375"/>
    <mergeCell ref="C375:D375"/>
    <mergeCell ref="E375:F375"/>
    <mergeCell ref="G375:H375"/>
    <mergeCell ref="A501:H501"/>
    <mergeCell ref="A396:H396"/>
    <mergeCell ref="A402:B402"/>
    <mergeCell ref="L402:M402"/>
    <mergeCell ref="A403:B403"/>
    <mergeCell ref="L403:M403"/>
    <mergeCell ref="A404:B404"/>
    <mergeCell ref="L404:M404"/>
    <mergeCell ref="A424:B424"/>
    <mergeCell ref="L424:M424"/>
    <mergeCell ref="A425:B425"/>
    <mergeCell ref="L425:M425"/>
    <mergeCell ref="A426:B426"/>
    <mergeCell ref="L426:M426"/>
    <mergeCell ref="A427:B427"/>
    <mergeCell ref="L427:M427"/>
    <mergeCell ref="G380:H380"/>
    <mergeCell ref="A381:B381"/>
    <mergeCell ref="C381:D381"/>
    <mergeCell ref="E381:F381"/>
    <mergeCell ref="E377:F377"/>
    <mergeCell ref="G377:H377"/>
    <mergeCell ref="A378:B378"/>
    <mergeCell ref="C378:D378"/>
    <mergeCell ref="E378:F378"/>
    <mergeCell ref="G378:H378"/>
    <mergeCell ref="A422:H422"/>
    <mergeCell ref="A496:B496"/>
    <mergeCell ref="E359:F359"/>
    <mergeCell ref="G359:H359"/>
    <mergeCell ref="A359:B359"/>
    <mergeCell ref="C359:D359"/>
    <mergeCell ref="A504:B504"/>
    <mergeCell ref="L504:M504"/>
    <mergeCell ref="A505:B505"/>
    <mergeCell ref="L505:M505"/>
    <mergeCell ref="A406:H406"/>
    <mergeCell ref="A407:B407"/>
    <mergeCell ref="L407:M407"/>
    <mergeCell ref="A408:B408"/>
    <mergeCell ref="L408:M408"/>
    <mergeCell ref="A409:B409"/>
    <mergeCell ref="L409:M409"/>
    <mergeCell ref="A410:B410"/>
    <mergeCell ref="L410:M410"/>
    <mergeCell ref="A486:H486"/>
    <mergeCell ref="A487:H487"/>
    <mergeCell ref="A488:B488"/>
    <mergeCell ref="L488:M488"/>
    <mergeCell ref="A489:B489"/>
    <mergeCell ref="L489:M489"/>
    <mergeCell ref="A490:B490"/>
    <mergeCell ref="A497:B497"/>
    <mergeCell ref="L497:M497"/>
    <mergeCell ref="A498:B498"/>
    <mergeCell ref="L498:M498"/>
    <mergeCell ref="A499:B499"/>
    <mergeCell ref="L499:M499"/>
    <mergeCell ref="A500:B500"/>
    <mergeCell ref="L500:M500"/>
    <mergeCell ref="C361:D361"/>
    <mergeCell ref="E361:F361"/>
    <mergeCell ref="G361:H361"/>
    <mergeCell ref="A516:H516"/>
    <mergeCell ref="A515:B515"/>
    <mergeCell ref="L515:M515"/>
    <mergeCell ref="C515:H515"/>
    <mergeCell ref="A502:B502"/>
    <mergeCell ref="L502:M502"/>
    <mergeCell ref="A503:B503"/>
    <mergeCell ref="L503:M503"/>
    <mergeCell ref="A506:B506"/>
    <mergeCell ref="L506:M506"/>
    <mergeCell ref="A507:B507"/>
    <mergeCell ref="L507:M507"/>
    <mergeCell ref="A508:B508"/>
    <mergeCell ref="L508:M508"/>
    <mergeCell ref="A509:B509"/>
    <mergeCell ref="L509:M509"/>
    <mergeCell ref="A510:H510"/>
    <mergeCell ref="A511:H511"/>
    <mergeCell ref="A512:B512"/>
    <mergeCell ref="L512:M512"/>
    <mergeCell ref="A513:B513"/>
    <mergeCell ref="L513:M513"/>
    <mergeCell ref="L495:M495"/>
    <mergeCell ref="A514:B514"/>
    <mergeCell ref="A374:B374"/>
    <mergeCell ref="C374:D374"/>
    <mergeCell ref="E374:F374"/>
    <mergeCell ref="G374:H374"/>
    <mergeCell ref="L490:M490"/>
    <mergeCell ref="A360:B360"/>
    <mergeCell ref="C360:D360"/>
    <mergeCell ref="E360:F360"/>
    <mergeCell ref="G360:H360"/>
    <mergeCell ref="A405:H405"/>
    <mergeCell ref="A411:B411"/>
    <mergeCell ref="L411:M411"/>
    <mergeCell ref="A412:B412"/>
    <mergeCell ref="L412:M412"/>
    <mergeCell ref="E362:F362"/>
    <mergeCell ref="G362:H362"/>
    <mergeCell ref="A362:B362"/>
    <mergeCell ref="C362:D362"/>
    <mergeCell ref="A363:B363"/>
    <mergeCell ref="C363:D363"/>
    <mergeCell ref="E363:F363"/>
    <mergeCell ref="G363:H363"/>
    <mergeCell ref="A379:B379"/>
    <mergeCell ref="C379:D379"/>
    <mergeCell ref="E379:F379"/>
    <mergeCell ref="G379:H379"/>
    <mergeCell ref="A380:B380"/>
    <mergeCell ref="C380:D380"/>
    <mergeCell ref="E380:F380"/>
    <mergeCell ref="G381:H381"/>
    <mergeCell ref="A376:B376"/>
    <mergeCell ref="C376:D376"/>
    <mergeCell ref="E376:F376"/>
    <mergeCell ref="G376:H376"/>
    <mergeCell ref="A377:B377"/>
    <mergeCell ref="C377:D377"/>
    <mergeCell ref="A361:B361"/>
    <mergeCell ref="A428:B428"/>
    <mergeCell ref="L428:M428"/>
    <mergeCell ref="A429:B429"/>
    <mergeCell ref="L429:M429"/>
    <mergeCell ref="A417:B417"/>
    <mergeCell ref="L417:M417"/>
    <mergeCell ref="A418:B418"/>
    <mergeCell ref="L418:M418"/>
    <mergeCell ref="A419:B419"/>
    <mergeCell ref="L419:M419"/>
    <mergeCell ref="A420:B420"/>
    <mergeCell ref="L420:M420"/>
    <mergeCell ref="A421:B421"/>
    <mergeCell ref="L421:M421"/>
    <mergeCell ref="A526:H526"/>
    <mergeCell ref="A527:B527"/>
    <mergeCell ref="L527:M527"/>
    <mergeCell ref="A517:B517"/>
    <mergeCell ref="L517:M517"/>
    <mergeCell ref="A518:B518"/>
    <mergeCell ref="L518:M518"/>
    <mergeCell ref="A519:B519"/>
    <mergeCell ref="L519:M519"/>
    <mergeCell ref="A520:B520"/>
    <mergeCell ref="L520:M520"/>
    <mergeCell ref="L514:M514"/>
    <mergeCell ref="L493:M493"/>
    <mergeCell ref="A494:B494"/>
    <mergeCell ref="L494:M494"/>
    <mergeCell ref="A495:B495"/>
    <mergeCell ref="A491:B491"/>
    <mergeCell ref="A423:H423"/>
    <mergeCell ref="A528:B528"/>
    <mergeCell ref="L528:M528"/>
    <mergeCell ref="A529:B529"/>
    <mergeCell ref="L529:M529"/>
    <mergeCell ref="A530:B530"/>
    <mergeCell ref="L530:M530"/>
    <mergeCell ref="A521:B521"/>
    <mergeCell ref="L521:M521"/>
    <mergeCell ref="A522:B522"/>
    <mergeCell ref="L522:M522"/>
    <mergeCell ref="A523:B523"/>
    <mergeCell ref="L523:M523"/>
    <mergeCell ref="A524:B524"/>
    <mergeCell ref="L524:M524"/>
    <mergeCell ref="A525:H525"/>
    <mergeCell ref="A722:B722"/>
    <mergeCell ref="L722:M722"/>
    <mergeCell ref="A536:B536"/>
    <mergeCell ref="L536:M536"/>
    <mergeCell ref="A537:B537"/>
    <mergeCell ref="L537:M537"/>
    <mergeCell ref="A538:B538"/>
    <mergeCell ref="L538:M538"/>
    <mergeCell ref="A606:B606"/>
    <mergeCell ref="L606:M606"/>
    <mergeCell ref="L576:M576"/>
    <mergeCell ref="A577:B577"/>
    <mergeCell ref="L577:M577"/>
    <mergeCell ref="A578:B578"/>
    <mergeCell ref="A531:B531"/>
    <mergeCell ref="L531:M531"/>
    <mergeCell ref="A532:B532"/>
    <mergeCell ref="A599:B599"/>
    <mergeCell ref="L599:M599"/>
    <mergeCell ref="A600:B600"/>
    <mergeCell ref="L600:M600"/>
    <mergeCell ref="A552:B552"/>
    <mergeCell ref="L552:M552"/>
    <mergeCell ref="A553:B553"/>
    <mergeCell ref="L553:M553"/>
    <mergeCell ref="A554:B554"/>
    <mergeCell ref="L554:M554"/>
    <mergeCell ref="A555:B555"/>
    <mergeCell ref="L555:M555"/>
    <mergeCell ref="A556:B556"/>
    <mergeCell ref="L556:M556"/>
    <mergeCell ref="A557:B557"/>
    <mergeCell ref="L557:M557"/>
    <mergeCell ref="A558:B558"/>
    <mergeCell ref="L558:M558"/>
    <mergeCell ref="A559:H559"/>
    <mergeCell ref="A544:H544"/>
    <mergeCell ref="A545:B545"/>
    <mergeCell ref="L545:M545"/>
    <mergeCell ref="A546:B546"/>
    <mergeCell ref="L546:M546"/>
    <mergeCell ref="A547:B547"/>
    <mergeCell ref="L547:M547"/>
    <mergeCell ref="A548:B548"/>
    <mergeCell ref="L548:M548"/>
    <mergeCell ref="A597:B597"/>
    <mergeCell ref="C597:H597"/>
    <mergeCell ref="L597:M597"/>
    <mergeCell ref="A598:H598"/>
    <mergeCell ref="L584:M584"/>
    <mergeCell ref="A585:B585"/>
    <mergeCell ref="L585:M585"/>
    <mergeCell ref="A591:B591"/>
    <mergeCell ref="A720:H720"/>
    <mergeCell ref="A721:B721"/>
    <mergeCell ref="L721:M721"/>
    <mergeCell ref="L601:M601"/>
    <mergeCell ref="A602:B602"/>
    <mergeCell ref="L602:M602"/>
    <mergeCell ref="A603:B603"/>
    <mergeCell ref="L603:M603"/>
    <mergeCell ref="A604:B604"/>
    <mergeCell ref="L604:M604"/>
    <mergeCell ref="A605:B605"/>
    <mergeCell ref="L605:M605"/>
    <mergeCell ref="L532:M532"/>
    <mergeCell ref="A533:B533"/>
    <mergeCell ref="L533:M533"/>
    <mergeCell ref="A534:H534"/>
    <mergeCell ref="A535:B535"/>
    <mergeCell ref="L535:M535"/>
    <mergeCell ref="A543:H543"/>
    <mergeCell ref="A549:B549"/>
    <mergeCell ref="L549:M549"/>
    <mergeCell ref="A539:B539"/>
    <mergeCell ref="L539:M539"/>
    <mergeCell ref="A540:B540"/>
    <mergeCell ref="L540:M540"/>
    <mergeCell ref="A541:B541"/>
    <mergeCell ref="L541:M541"/>
    <mergeCell ref="A542:B542"/>
    <mergeCell ref="L542:M542"/>
    <mergeCell ref="A550:H550"/>
    <mergeCell ref="A551:B551"/>
    <mergeCell ref="L551:M551"/>
    <mergeCell ref="A347:E347"/>
    <mergeCell ref="F347:H347"/>
    <mergeCell ref="B801:H801"/>
    <mergeCell ref="B800:H800"/>
    <mergeCell ref="L578:M578"/>
    <mergeCell ref="A579:B579"/>
    <mergeCell ref="L579:M579"/>
    <mergeCell ref="A580:B580"/>
    <mergeCell ref="L580:M580"/>
    <mergeCell ref="A581:B581"/>
    <mergeCell ref="L581:M581"/>
    <mergeCell ref="A565:B565"/>
    <mergeCell ref="L565:M565"/>
    <mergeCell ref="A566:B566"/>
    <mergeCell ref="L566:M566"/>
    <mergeCell ref="A567:B567"/>
    <mergeCell ref="L567:M567"/>
    <mergeCell ref="A655:H655"/>
    <mergeCell ref="A560:B560"/>
    <mergeCell ref="L560:M560"/>
    <mergeCell ref="A561:B561"/>
    <mergeCell ref="L561:M561"/>
    <mergeCell ref="A562:B562"/>
    <mergeCell ref="L562:M562"/>
    <mergeCell ref="A563:B563"/>
    <mergeCell ref="L563:M563"/>
    <mergeCell ref="A564:B564"/>
    <mergeCell ref="L564:M564"/>
    <mergeCell ref="A582:B582"/>
    <mergeCell ref="L582:M582"/>
    <mergeCell ref="A583:H583"/>
    <mergeCell ref="A584:B584"/>
    <mergeCell ref="A271:B271"/>
    <mergeCell ref="C271:H271"/>
    <mergeCell ref="A273:B273"/>
    <mergeCell ref="C273:H273"/>
    <mergeCell ref="A274:B274"/>
    <mergeCell ref="E274:F274"/>
    <mergeCell ref="G274:H274"/>
    <mergeCell ref="A275:B275"/>
    <mergeCell ref="E275:F284"/>
    <mergeCell ref="G275:H284"/>
    <mergeCell ref="A276:B276"/>
    <mergeCell ref="A277:B277"/>
    <mergeCell ref="A278:B278"/>
    <mergeCell ref="A279:B279"/>
    <mergeCell ref="A280:B280"/>
    <mergeCell ref="A281:B281"/>
    <mergeCell ref="A282:B282"/>
    <mergeCell ref="A283:B283"/>
    <mergeCell ref="A284:B284"/>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386:E387">
      <formula1>"Attached Loft area,Attached Otla area,Attached Mezzanine area"</formula1>
    </dataValidation>
    <dataValidation type="list" allowBlank="1" showInputMessage="1" showErrorMessage="1" sqref="G809:H809">
      <formula1>"Kunal Kadam,Pranita Mhatre,Shruti Fule,Pooja Kawale,Gaurav Panchal,Shruti Tathare, Hitakshi Mhatre, Sachin Sawant"</formula1>
    </dataValidation>
    <dataValidation type="list" allowBlank="1" showInputMessage="1" showErrorMessage="1" sqref="F341:H341">
      <formula1>"On Saleable Area,On Builtup Area,On Carpet Area,On Plot Area"</formula1>
    </dataValidation>
    <dataValidation type="list" allowBlank="1" showInputMessage="1" showErrorMessage="1" sqref="B386:B387">
      <formula1>"Shop No. (Sale Plan),Sale / Rehab,Sale / Mhada"</formula1>
    </dataValidation>
    <dataValidation type="list" allowBlank="1" showInputMessage="1" showErrorMessage="1" sqref="B448:B44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448:E449">
      <formula1>"Fungible area,Balcony Area + FB Area + SS,Chajja Area,Cornice Area,AP Area,WS Area"</formula1>
    </dataValidation>
    <dataValidation type="list" allowBlank="1" showInputMessage="1" showErrorMessage="1" sqref="H387 H44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140 C154 C168 C182 C196 C210 C224 C238 C252 C266 C294 C308 C322 C336 C98 C126 C280 C112">
      <formula1>0</formula1>
      <formula2>H90</formula2>
    </dataValidation>
    <dataValidation type="list" allowBlank="1" showInputMessage="1" showErrorMessage="1" sqref="H386 H448">
      <formula1>"Saleable area Loading :,Builder Saleable Area"</formula1>
    </dataValidation>
    <dataValidation type="list" allowBlank="1" showInputMessage="1" showErrorMessage="1" sqref="D386:D387 D448:D44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813" max="16383" man="1"/>
    <brk id="856" max="16383" man="1"/>
    <brk id="899" max="16383" man="1"/>
    <brk id="94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56" t="s">
        <v>104</v>
      </c>
      <c r="C3" s="256"/>
      <c r="D3" s="256"/>
      <c r="E3" s="256"/>
      <c r="F3" s="256"/>
      <c r="G3" s="256"/>
      <c r="H3" s="256"/>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1"/>
      <c r="C4" s="51" t="s">
        <v>11</v>
      </c>
      <c r="D4" s="52" t="s">
        <v>180</v>
      </c>
      <c r="E4" s="52" t="s">
        <v>190</v>
      </c>
      <c r="F4" s="52" t="s">
        <v>173</v>
      </c>
      <c r="G4" s="52" t="s">
        <v>195</v>
      </c>
      <c r="H4" s="52" t="s">
        <v>213</v>
      </c>
      <c r="J4" t="s">
        <v>195</v>
      </c>
      <c r="K4" t="s">
        <v>211</v>
      </c>
    </row>
    <row r="5" spans="2:11" x14ac:dyDescent="0.35">
      <c r="B5" s="51"/>
      <c r="C5" s="51"/>
      <c r="D5" s="52" t="s">
        <v>181</v>
      </c>
      <c r="E5" s="52" t="s">
        <v>188</v>
      </c>
      <c r="F5" s="52" t="s">
        <v>210</v>
      </c>
      <c r="G5" s="52" t="s">
        <v>196</v>
      </c>
      <c r="H5" s="52" t="s">
        <v>214</v>
      </c>
    </row>
    <row r="6" spans="2:11" x14ac:dyDescent="0.35">
      <c r="B6" s="51"/>
      <c r="C6" s="51"/>
      <c r="D6" s="52" t="s">
        <v>182</v>
      </c>
      <c r="E6" s="52" t="s">
        <v>189</v>
      </c>
      <c r="F6" s="52" t="s">
        <v>211</v>
      </c>
      <c r="G6" s="52" t="s">
        <v>197</v>
      </c>
      <c r="H6" s="52" t="s">
        <v>227</v>
      </c>
    </row>
    <row r="7" spans="2:11" x14ac:dyDescent="0.35">
      <c r="B7" s="51"/>
      <c r="C7" s="51"/>
      <c r="D7" s="52" t="s">
        <v>183</v>
      </c>
      <c r="E7" s="52" t="s">
        <v>191</v>
      </c>
      <c r="F7" s="52" t="s">
        <v>212</v>
      </c>
      <c r="G7" s="52" t="s">
        <v>198</v>
      </c>
      <c r="H7" s="52" t="s">
        <v>215</v>
      </c>
    </row>
    <row r="8" spans="2:11" x14ac:dyDescent="0.35">
      <c r="B8" s="51"/>
      <c r="C8" s="51"/>
      <c r="D8" s="52" t="s">
        <v>184</v>
      </c>
      <c r="E8" s="52" t="s">
        <v>192</v>
      </c>
      <c r="F8" s="52"/>
      <c r="G8" s="52" t="s">
        <v>199</v>
      </c>
      <c r="H8" s="52" t="s">
        <v>216</v>
      </c>
    </row>
    <row r="9" spans="2:11" x14ac:dyDescent="0.35">
      <c r="B9" s="51"/>
      <c r="C9" s="51"/>
      <c r="D9" s="52" t="s">
        <v>185</v>
      </c>
      <c r="E9" s="52" t="s">
        <v>190</v>
      </c>
      <c r="F9" s="52"/>
      <c r="G9" s="52" t="s">
        <v>200</v>
      </c>
      <c r="H9" s="52" t="s">
        <v>217</v>
      </c>
    </row>
    <row r="10" spans="2:11" x14ac:dyDescent="0.35">
      <c r="B10" s="51"/>
      <c r="C10" s="51"/>
      <c r="D10" s="52" t="s">
        <v>186</v>
      </c>
      <c r="E10" s="52" t="s">
        <v>193</v>
      </c>
      <c r="F10" s="52"/>
      <c r="G10" s="52" t="s">
        <v>201</v>
      </c>
      <c r="H10" s="52" t="s">
        <v>218</v>
      </c>
    </row>
    <row r="11" spans="2:11" x14ac:dyDescent="0.35">
      <c r="B11" s="51"/>
      <c r="C11" s="51"/>
      <c r="D11" s="52" t="s">
        <v>187</v>
      </c>
      <c r="E11" s="52" t="s">
        <v>194</v>
      </c>
      <c r="F11" s="52"/>
      <c r="G11" s="52" t="s">
        <v>202</v>
      </c>
      <c r="H11" s="52" t="s">
        <v>219</v>
      </c>
    </row>
    <row r="12" spans="2:11" x14ac:dyDescent="0.35">
      <c r="B12" s="51"/>
      <c r="C12" s="51"/>
      <c r="D12" s="52"/>
      <c r="E12" s="52"/>
      <c r="F12" s="52"/>
      <c r="G12" s="52" t="s">
        <v>203</v>
      </c>
      <c r="H12" s="52" t="s">
        <v>220</v>
      </c>
    </row>
    <row r="13" spans="2:11" x14ac:dyDescent="0.35">
      <c r="B13" s="51"/>
      <c r="C13" s="51"/>
      <c r="D13" s="52"/>
      <c r="E13" s="52"/>
      <c r="F13" s="52"/>
      <c r="G13" s="52" t="s">
        <v>204</v>
      </c>
      <c r="H13" s="52" t="s">
        <v>221</v>
      </c>
    </row>
    <row r="14" spans="2:11" x14ac:dyDescent="0.35">
      <c r="B14" s="51"/>
      <c r="C14" s="51"/>
      <c r="D14" s="52"/>
      <c r="E14" s="52"/>
      <c r="F14" s="52"/>
      <c r="G14" s="52" t="s">
        <v>205</v>
      </c>
      <c r="H14" s="52" t="s">
        <v>222</v>
      </c>
    </row>
    <row r="15" spans="2:11" x14ac:dyDescent="0.35">
      <c r="B15" s="51"/>
      <c r="C15" s="51"/>
      <c r="D15" s="52"/>
      <c r="E15" s="52"/>
      <c r="F15" s="52"/>
      <c r="G15" s="52" t="s">
        <v>206</v>
      </c>
      <c r="H15" s="52" t="s">
        <v>223</v>
      </c>
    </row>
    <row r="16" spans="2:11" x14ac:dyDescent="0.35">
      <c r="B16" s="51"/>
      <c r="C16" s="51"/>
      <c r="D16" s="52"/>
      <c r="E16" s="52"/>
      <c r="F16" s="52"/>
      <c r="G16" s="52" t="s">
        <v>207</v>
      </c>
      <c r="H16" s="52" t="s">
        <v>224</v>
      </c>
    </row>
    <row r="17" spans="2:8" x14ac:dyDescent="0.35">
      <c r="B17" s="51"/>
      <c r="C17" s="51"/>
      <c r="D17" s="52"/>
      <c r="E17" s="52"/>
      <c r="F17" s="52"/>
      <c r="G17" s="52" t="s">
        <v>208</v>
      </c>
      <c r="H17" s="52" t="s">
        <v>225</v>
      </c>
    </row>
    <row r="18" spans="2:8" x14ac:dyDescent="0.35">
      <c r="B18" s="51"/>
      <c r="C18" s="51"/>
      <c r="D18" s="52"/>
      <c r="E18" s="52"/>
      <c r="F18" s="52"/>
      <c r="G18" s="52" t="s">
        <v>209</v>
      </c>
      <c r="H18" s="52" t="s">
        <v>226</v>
      </c>
    </row>
    <row r="24" spans="2:8" x14ac:dyDescent="0.35">
      <c r="C24" t="s">
        <v>170</v>
      </c>
    </row>
    <row r="25" spans="2:8" x14ac:dyDescent="0.35">
      <c r="C25" t="s">
        <v>228</v>
      </c>
    </row>
    <row r="26" spans="2:8" x14ac:dyDescent="0.35">
      <c r="C26" t="s">
        <v>229</v>
      </c>
    </row>
    <row r="27" spans="2:8" x14ac:dyDescent="0.35">
      <c r="C27" t="s">
        <v>230</v>
      </c>
    </row>
    <row r="28" spans="2:8" x14ac:dyDescent="0.35">
      <c r="C28" t="s">
        <v>231</v>
      </c>
    </row>
    <row r="29" spans="2:8" x14ac:dyDescent="0.35">
      <c r="C29" t="s">
        <v>232</v>
      </c>
    </row>
    <row r="30" spans="2:8" x14ac:dyDescent="0.35">
      <c r="C30" t="s">
        <v>170</v>
      </c>
    </row>
    <row r="33" spans="3:11" x14ac:dyDescent="0.35">
      <c r="J33">
        <v>1</v>
      </c>
      <c r="K33">
        <v>2</v>
      </c>
    </row>
    <row r="34" spans="3:11" x14ac:dyDescent="0.35">
      <c r="C34" s="54" t="s">
        <v>237</v>
      </c>
      <c r="D34" s="52" t="s">
        <v>235</v>
      </c>
      <c r="E34" s="52" t="s">
        <v>240</v>
      </c>
      <c r="F34" s="52" t="s">
        <v>238</v>
      </c>
      <c r="G34" s="52" t="s">
        <v>239</v>
      </c>
      <c r="H34" s="52" t="s">
        <v>241</v>
      </c>
      <c r="J34" t="s">
        <v>195</v>
      </c>
      <c r="K34" t="s">
        <v>211</v>
      </c>
    </row>
    <row r="35" spans="3:11" x14ac:dyDescent="0.35">
      <c r="C35" s="51" t="s">
        <v>236</v>
      </c>
      <c r="D35" s="52" t="s">
        <v>171</v>
      </c>
      <c r="E35" s="52" t="s">
        <v>245</v>
      </c>
      <c r="F35" s="52" t="s">
        <v>247</v>
      </c>
      <c r="G35" s="52" t="s">
        <v>249</v>
      </c>
      <c r="H35" s="52"/>
    </row>
    <row r="36" spans="3:11" x14ac:dyDescent="0.35">
      <c r="C36" s="51"/>
      <c r="D36" s="52" t="s">
        <v>242</v>
      </c>
      <c r="E36" s="52" t="s">
        <v>246</v>
      </c>
      <c r="F36" s="52" t="s">
        <v>248</v>
      </c>
      <c r="G36" s="52" t="s">
        <v>250</v>
      </c>
      <c r="H36" s="52"/>
    </row>
    <row r="37" spans="3:11" x14ac:dyDescent="0.35">
      <c r="C37" s="51"/>
      <c r="D37" s="52" t="s">
        <v>243</v>
      </c>
      <c r="E37" s="52"/>
      <c r="F37" s="52"/>
      <c r="G37" s="52" t="s">
        <v>251</v>
      </c>
      <c r="H37" s="52"/>
    </row>
    <row r="38" spans="3:11" x14ac:dyDescent="0.35">
      <c r="C38" s="51"/>
      <c r="D38" s="52" t="s">
        <v>244</v>
      </c>
      <c r="E38" s="52"/>
      <c r="F38" s="52"/>
      <c r="G38" s="52" t="s">
        <v>251</v>
      </c>
      <c r="H38" s="52"/>
    </row>
    <row r="39" spans="3:11" x14ac:dyDescent="0.35">
      <c r="C39" s="51"/>
      <c r="D39" s="52"/>
      <c r="E39" s="52"/>
      <c r="F39" s="52"/>
      <c r="G39" s="52" t="s">
        <v>252</v>
      </c>
      <c r="H39" s="52"/>
    </row>
    <row r="40" spans="3:11" x14ac:dyDescent="0.35">
      <c r="C40" s="51"/>
      <c r="D40" s="52"/>
      <c r="E40" s="52"/>
      <c r="F40" s="52"/>
      <c r="G40" s="52" t="s">
        <v>253</v>
      </c>
      <c r="H40" s="52"/>
    </row>
    <row r="41" spans="3:11" x14ac:dyDescent="0.35">
      <c r="C41" s="51"/>
      <c r="D41" s="52"/>
      <c r="E41" s="52"/>
      <c r="F41" s="52"/>
      <c r="G41" s="52"/>
      <c r="H41" s="52"/>
    </row>
    <row r="43" spans="3:11" x14ac:dyDescent="0.35">
      <c r="C43" t="s">
        <v>254</v>
      </c>
    </row>
    <row r="44" spans="3:11" x14ac:dyDescent="0.35">
      <c r="C44" t="s">
        <v>173</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180</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195</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190</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5">
        <v>1</v>
      </c>
      <c r="C2" s="58" t="s">
        <v>284</v>
      </c>
    </row>
    <row r="3" spans="2:3" x14ac:dyDescent="0.35">
      <c r="B3" s="55">
        <v>2</v>
      </c>
      <c r="C3" s="56" t="s">
        <v>285</v>
      </c>
    </row>
    <row r="4" spans="2:3" x14ac:dyDescent="0.35">
      <c r="B4" s="55">
        <v>3</v>
      </c>
      <c r="C4" s="57" t="s">
        <v>286</v>
      </c>
    </row>
    <row r="5" spans="2:3" x14ac:dyDescent="0.35">
      <c r="B5" s="55">
        <v>4</v>
      </c>
      <c r="C5" s="56" t="s">
        <v>287</v>
      </c>
    </row>
    <row r="6" spans="2:3" x14ac:dyDescent="0.35">
      <c r="B6" s="55">
        <v>5</v>
      </c>
      <c r="C6" s="57" t="s">
        <v>288</v>
      </c>
    </row>
    <row r="7" spans="2:3" ht="29" x14ac:dyDescent="0.35">
      <c r="B7" s="55">
        <v>6</v>
      </c>
      <c r="C7" s="56" t="s">
        <v>289</v>
      </c>
    </row>
    <row r="8" spans="2:3" ht="72.5" x14ac:dyDescent="0.35">
      <c r="B8" s="55">
        <v>7</v>
      </c>
      <c r="C8" s="56" t="s">
        <v>290</v>
      </c>
    </row>
    <row r="9" spans="2:3" x14ac:dyDescent="0.35">
      <c r="B9" s="55">
        <v>8</v>
      </c>
      <c r="C9" s="57" t="s">
        <v>291</v>
      </c>
    </row>
    <row r="10" spans="2:3" x14ac:dyDescent="0.35">
      <c r="B10" s="55">
        <v>9</v>
      </c>
      <c r="C10" s="57" t="s">
        <v>292</v>
      </c>
    </row>
    <row r="11" spans="2:3" x14ac:dyDescent="0.35">
      <c r="B11" s="55">
        <v>10</v>
      </c>
      <c r="C11" s="57" t="s">
        <v>293</v>
      </c>
    </row>
    <row r="12" spans="2:3" x14ac:dyDescent="0.35">
      <c r="B12" s="55">
        <v>11</v>
      </c>
      <c r="C12" s="57" t="s">
        <v>294</v>
      </c>
    </row>
    <row r="13" spans="2:3" x14ac:dyDescent="0.35">
      <c r="B13" s="55">
        <v>12</v>
      </c>
      <c r="C13" s="57" t="s">
        <v>295</v>
      </c>
    </row>
    <row r="14" spans="2:3" x14ac:dyDescent="0.35">
      <c r="B14" s="55">
        <v>13</v>
      </c>
      <c r="C14" s="57" t="s">
        <v>296</v>
      </c>
    </row>
    <row r="15" spans="2:3" x14ac:dyDescent="0.35">
      <c r="B15" s="55">
        <v>14</v>
      </c>
      <c r="C15" s="57" t="s">
        <v>286</v>
      </c>
    </row>
    <row r="16" spans="2:3" x14ac:dyDescent="0.35">
      <c r="B16" s="55">
        <v>15</v>
      </c>
      <c r="C16" s="57" t="s">
        <v>298</v>
      </c>
    </row>
    <row r="17" spans="2:3" ht="31.5" customHeight="1" x14ac:dyDescent="0.35">
      <c r="B17" s="78">
        <v>16</v>
      </c>
      <c r="C17" s="63" t="s">
        <v>299</v>
      </c>
    </row>
    <row r="18" spans="2:3" x14ac:dyDescent="0.35">
      <c r="B18" s="62">
        <v>17</v>
      </c>
      <c r="C18" s="63" t="s">
        <v>300</v>
      </c>
    </row>
    <row r="19" spans="2:3" x14ac:dyDescent="0.35">
      <c r="B19" s="61">
        <v>18</v>
      </c>
      <c r="C19" s="55" t="s">
        <v>301</v>
      </c>
    </row>
    <row r="20" spans="2:3" x14ac:dyDescent="0.35">
      <c r="B20" s="62">
        <v>19</v>
      </c>
      <c r="C20" s="55" t="s">
        <v>337</v>
      </c>
    </row>
    <row r="21" spans="2:3" x14ac:dyDescent="0.35">
      <c r="B21" s="64">
        <v>20</v>
      </c>
      <c r="C21" s="55" t="s">
        <v>302</v>
      </c>
    </row>
    <row r="22" spans="2:3" x14ac:dyDescent="0.35">
      <c r="B22" s="62">
        <v>21</v>
      </c>
      <c r="C22" s="55" t="s">
        <v>301</v>
      </c>
    </row>
    <row r="23" spans="2:3" s="72" customFormat="1" ht="29.25" customHeight="1" x14ac:dyDescent="0.35">
      <c r="B23" s="71">
        <v>22</v>
      </c>
      <c r="C23" s="58" t="s">
        <v>329</v>
      </c>
    </row>
    <row r="24" spans="2:3" s="72" customFormat="1" ht="30.75" customHeight="1" x14ac:dyDescent="0.35">
      <c r="B24" s="73">
        <v>23</v>
      </c>
      <c r="C24" s="58" t="s">
        <v>330</v>
      </c>
    </row>
    <row r="25" spans="2:3" x14ac:dyDescent="0.35">
      <c r="B25" s="64">
        <v>24</v>
      </c>
      <c r="C25" s="55" t="s">
        <v>333</v>
      </c>
    </row>
    <row r="26" spans="2:3" x14ac:dyDescent="0.35">
      <c r="B26" s="62">
        <v>25</v>
      </c>
      <c r="C26" s="55" t="s">
        <v>331</v>
      </c>
    </row>
    <row r="27" spans="2:3" x14ac:dyDescent="0.35">
      <c r="B27" s="73">
        <v>26</v>
      </c>
      <c r="C27" s="64" t="s">
        <v>332</v>
      </c>
    </row>
    <row r="28" spans="2:3" x14ac:dyDescent="0.35">
      <c r="B28" s="74">
        <v>27</v>
      </c>
      <c r="C28" s="55" t="s">
        <v>334</v>
      </c>
    </row>
    <row r="29" spans="2:3" ht="43.5" x14ac:dyDescent="0.35">
      <c r="B29" s="77">
        <v>28</v>
      </c>
      <c r="C29" s="56" t="s">
        <v>335</v>
      </c>
    </row>
    <row r="30" spans="2:3" x14ac:dyDescent="0.35">
      <c r="B30" s="73">
        <v>29</v>
      </c>
      <c r="C30" s="55" t="s">
        <v>336</v>
      </c>
    </row>
    <row r="31" spans="2:3" x14ac:dyDescent="0.35">
      <c r="B31" s="79">
        <v>30</v>
      </c>
      <c r="C31" s="55"/>
    </row>
    <row r="32" spans="2:3" x14ac:dyDescent="0.35">
      <c r="B32" s="73">
        <v>31</v>
      </c>
      <c r="C32" s="55"/>
    </row>
    <row r="33" spans="2:3" x14ac:dyDescent="0.35">
      <c r="B33" s="73">
        <v>32</v>
      </c>
      <c r="C33" s="55"/>
    </row>
    <row r="34" spans="2:3" x14ac:dyDescent="0.35">
      <c r="B34" s="79">
        <v>33</v>
      </c>
      <c r="C34" s="55"/>
    </row>
    <row r="35" spans="2:3" x14ac:dyDescent="0.35">
      <c r="B35" s="73">
        <v>34</v>
      </c>
      <c r="C35"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1"/>
    <col min="2" max="2" width="12.26953125" style="51" customWidth="1"/>
    <col min="3" max="16384" width="9.1796875" style="51"/>
  </cols>
  <sheetData>
    <row r="2" spans="1:12" x14ac:dyDescent="0.35">
      <c r="B2" s="65" t="s">
        <v>303</v>
      </c>
      <c r="C2" s="257"/>
      <c r="D2" s="257"/>
    </row>
    <row r="3" spans="1:12" x14ac:dyDescent="0.35">
      <c r="D3" s="66"/>
      <c r="E3" s="66"/>
      <c r="F3" s="66"/>
      <c r="G3" s="66"/>
      <c r="H3" s="66"/>
      <c r="I3" s="66"/>
    </row>
    <row r="4" spans="1:12" x14ac:dyDescent="0.35">
      <c r="A4" s="65" t="s">
        <v>66</v>
      </c>
      <c r="B4" s="67" t="s">
        <v>304</v>
      </c>
      <c r="C4" s="258" t="s">
        <v>305</v>
      </c>
      <c r="D4" s="258"/>
      <c r="E4" s="258"/>
      <c r="F4" s="67"/>
      <c r="G4" s="259" t="s">
        <v>306</v>
      </c>
      <c r="H4" s="259"/>
      <c r="I4" s="259"/>
      <c r="J4" s="260" t="s">
        <v>307</v>
      </c>
      <c r="K4" s="260"/>
      <c r="L4" s="260"/>
    </row>
    <row r="5" spans="1:12" x14ac:dyDescent="0.35">
      <c r="A5" s="65"/>
      <c r="B5" s="67"/>
      <c r="C5" s="67" t="s">
        <v>308</v>
      </c>
      <c r="D5" s="67" t="s">
        <v>309</v>
      </c>
      <c r="E5" s="67" t="s">
        <v>310</v>
      </c>
      <c r="F5" s="67"/>
      <c r="G5" s="67" t="s">
        <v>308</v>
      </c>
      <c r="H5" s="67" t="s">
        <v>309</v>
      </c>
      <c r="I5" s="67" t="s">
        <v>310</v>
      </c>
      <c r="J5" s="67" t="s">
        <v>308</v>
      </c>
      <c r="K5" s="67" t="s">
        <v>309</v>
      </c>
      <c r="L5" s="67" t="s">
        <v>310</v>
      </c>
    </row>
    <row r="6" spans="1:12" x14ac:dyDescent="0.35">
      <c r="B6" s="52" t="s">
        <v>311</v>
      </c>
      <c r="C6" s="52"/>
      <c r="D6" s="52"/>
      <c r="E6" s="52">
        <f>C6*D6</f>
        <v>0</v>
      </c>
      <c r="F6" s="52" t="s">
        <v>328</v>
      </c>
      <c r="G6" s="52"/>
      <c r="H6" s="52"/>
      <c r="I6" s="52">
        <f>G6*H6</f>
        <v>0</v>
      </c>
      <c r="J6" s="52"/>
      <c r="K6" s="52"/>
      <c r="L6" s="52">
        <f>J6*K6</f>
        <v>0</v>
      </c>
    </row>
    <row r="7" spans="1:12" x14ac:dyDescent="0.35">
      <c r="B7" s="52"/>
      <c r="C7" s="52"/>
      <c r="D7" s="52"/>
      <c r="E7" s="52">
        <f t="shared" ref="E7:E41" si="0">C7*D7</f>
        <v>0</v>
      </c>
      <c r="F7" s="52" t="s">
        <v>328</v>
      </c>
      <c r="G7" s="52"/>
      <c r="H7" s="52"/>
      <c r="I7" s="52">
        <f t="shared" ref="I7:I35" si="1">G7*H7</f>
        <v>0</v>
      </c>
      <c r="J7" s="52"/>
      <c r="K7" s="52"/>
      <c r="L7" s="52">
        <f t="shared" ref="L7:L35" si="2">J7*K7</f>
        <v>0</v>
      </c>
    </row>
    <row r="8" spans="1:12" x14ac:dyDescent="0.35">
      <c r="B8" s="52"/>
      <c r="C8" s="52"/>
      <c r="D8" s="52"/>
      <c r="E8" s="52">
        <f t="shared" si="0"/>
        <v>0</v>
      </c>
      <c r="F8" s="52"/>
      <c r="G8" s="52"/>
      <c r="H8" s="52"/>
      <c r="I8" s="52">
        <f t="shared" si="1"/>
        <v>0</v>
      </c>
      <c r="J8" s="52"/>
      <c r="K8" s="52"/>
      <c r="L8" s="52">
        <f t="shared" si="2"/>
        <v>0</v>
      </c>
    </row>
    <row r="9" spans="1:12" x14ac:dyDescent="0.35">
      <c r="B9" s="52"/>
      <c r="C9" s="52"/>
      <c r="D9" s="52"/>
      <c r="E9" s="52">
        <f t="shared" si="0"/>
        <v>0</v>
      </c>
      <c r="F9" s="52" t="s">
        <v>312</v>
      </c>
      <c r="G9" s="52"/>
      <c r="H9" s="52"/>
      <c r="I9" s="52">
        <f t="shared" si="1"/>
        <v>0</v>
      </c>
      <c r="J9" s="52"/>
      <c r="K9" s="52"/>
      <c r="L9" s="52">
        <f t="shared" si="2"/>
        <v>0</v>
      </c>
    </row>
    <row r="10" spans="1:12" x14ac:dyDescent="0.35">
      <c r="B10" s="52" t="s">
        <v>313</v>
      </c>
      <c r="C10" s="52"/>
      <c r="D10" s="52"/>
      <c r="E10" s="52">
        <f t="shared" si="0"/>
        <v>0</v>
      </c>
      <c r="F10" s="52" t="s">
        <v>312</v>
      </c>
      <c r="G10" s="52"/>
      <c r="H10" s="52"/>
      <c r="I10" s="52">
        <f t="shared" si="1"/>
        <v>0</v>
      </c>
      <c r="J10" s="52"/>
      <c r="K10" s="52"/>
      <c r="L10" s="52">
        <f t="shared" si="2"/>
        <v>0</v>
      </c>
    </row>
    <row r="11" spans="1:12" x14ac:dyDescent="0.35">
      <c r="B11" s="52"/>
      <c r="C11" s="52"/>
      <c r="D11" s="52"/>
      <c r="E11" s="52">
        <f t="shared" si="0"/>
        <v>0</v>
      </c>
      <c r="F11" s="52" t="s">
        <v>314</v>
      </c>
      <c r="G11" s="52"/>
      <c r="H11" s="52"/>
      <c r="I11" s="52">
        <f t="shared" si="1"/>
        <v>0</v>
      </c>
      <c r="J11" s="52"/>
      <c r="K11" s="52"/>
      <c r="L11" s="52">
        <f t="shared" si="2"/>
        <v>0</v>
      </c>
    </row>
    <row r="12" spans="1:12" x14ac:dyDescent="0.35">
      <c r="B12" s="52"/>
      <c r="C12" s="52"/>
      <c r="D12" s="52"/>
      <c r="E12" s="52">
        <f t="shared" si="0"/>
        <v>0</v>
      </c>
      <c r="F12" s="52"/>
      <c r="G12" s="52"/>
      <c r="H12" s="52"/>
      <c r="I12" s="52">
        <f t="shared" si="1"/>
        <v>0</v>
      </c>
      <c r="J12" s="52"/>
      <c r="K12" s="52"/>
      <c r="L12" s="52">
        <f t="shared" si="2"/>
        <v>0</v>
      </c>
    </row>
    <row r="13" spans="1:12" x14ac:dyDescent="0.35">
      <c r="B13" s="52"/>
      <c r="C13" s="52"/>
      <c r="D13" s="52"/>
      <c r="E13" s="52">
        <f t="shared" si="0"/>
        <v>0</v>
      </c>
      <c r="F13" s="52"/>
      <c r="G13" s="52"/>
      <c r="H13" s="52"/>
      <c r="I13" s="52">
        <f t="shared" si="1"/>
        <v>0</v>
      </c>
      <c r="J13" s="52"/>
      <c r="K13" s="52"/>
      <c r="L13" s="52">
        <f t="shared" si="2"/>
        <v>0</v>
      </c>
    </row>
    <row r="14" spans="1:12" x14ac:dyDescent="0.35">
      <c r="B14" s="52" t="s">
        <v>315</v>
      </c>
      <c r="C14" s="52"/>
      <c r="D14" s="52"/>
      <c r="E14" s="52">
        <f t="shared" si="0"/>
        <v>0</v>
      </c>
      <c r="F14" s="52" t="s">
        <v>312</v>
      </c>
      <c r="G14" s="52"/>
      <c r="H14" s="52"/>
      <c r="I14" s="52">
        <f t="shared" si="1"/>
        <v>0</v>
      </c>
      <c r="J14" s="52"/>
      <c r="K14" s="52"/>
      <c r="L14" s="52">
        <f t="shared" si="2"/>
        <v>0</v>
      </c>
    </row>
    <row r="15" spans="1:12" x14ac:dyDescent="0.35">
      <c r="B15" s="52"/>
      <c r="C15" s="52"/>
      <c r="D15" s="52"/>
      <c r="E15" s="52">
        <f t="shared" si="0"/>
        <v>0</v>
      </c>
      <c r="F15" s="52" t="s">
        <v>314</v>
      </c>
      <c r="G15" s="52"/>
      <c r="H15" s="52"/>
      <c r="I15" s="52">
        <f t="shared" si="1"/>
        <v>0</v>
      </c>
      <c r="J15" s="52"/>
      <c r="K15" s="52"/>
      <c r="L15" s="52">
        <f t="shared" si="2"/>
        <v>0</v>
      </c>
    </row>
    <row r="16" spans="1:12" x14ac:dyDescent="0.35">
      <c r="B16" s="52"/>
      <c r="C16" s="52"/>
      <c r="D16" s="52"/>
      <c r="E16" s="52">
        <f t="shared" si="0"/>
        <v>0</v>
      </c>
      <c r="F16" s="52"/>
      <c r="G16" s="52"/>
      <c r="H16" s="52"/>
      <c r="I16" s="52">
        <f t="shared" si="1"/>
        <v>0</v>
      </c>
      <c r="J16" s="52"/>
      <c r="K16" s="52"/>
      <c r="L16" s="52">
        <f t="shared" si="2"/>
        <v>0</v>
      </c>
    </row>
    <row r="17" spans="2:12" x14ac:dyDescent="0.35">
      <c r="B17" s="52"/>
      <c r="C17" s="52"/>
      <c r="D17" s="52"/>
      <c r="E17" s="52">
        <f t="shared" si="0"/>
        <v>0</v>
      </c>
      <c r="F17" s="52"/>
      <c r="G17" s="52"/>
      <c r="H17" s="52"/>
      <c r="I17" s="52">
        <f t="shared" si="1"/>
        <v>0</v>
      </c>
      <c r="J17" s="52"/>
      <c r="K17" s="52"/>
      <c r="L17" s="52">
        <f t="shared" si="2"/>
        <v>0</v>
      </c>
    </row>
    <row r="18" spans="2:12" x14ac:dyDescent="0.35">
      <c r="B18" s="52" t="s">
        <v>316</v>
      </c>
      <c r="C18" s="52"/>
      <c r="D18" s="52"/>
      <c r="E18" s="52">
        <f t="shared" si="0"/>
        <v>0</v>
      </c>
      <c r="F18" s="52" t="s">
        <v>312</v>
      </c>
      <c r="G18" s="52"/>
      <c r="H18" s="52"/>
      <c r="I18" s="52">
        <f t="shared" si="1"/>
        <v>0</v>
      </c>
      <c r="J18" s="52"/>
      <c r="K18" s="52"/>
      <c r="L18" s="52">
        <f t="shared" si="2"/>
        <v>0</v>
      </c>
    </row>
    <row r="19" spans="2:12" x14ac:dyDescent="0.35">
      <c r="B19" s="52"/>
      <c r="C19" s="52"/>
      <c r="D19" s="52"/>
      <c r="E19" s="52">
        <f t="shared" si="0"/>
        <v>0</v>
      </c>
      <c r="F19" s="52" t="s">
        <v>314</v>
      </c>
      <c r="G19" s="52"/>
      <c r="H19" s="52"/>
      <c r="I19" s="52">
        <f t="shared" si="1"/>
        <v>0</v>
      </c>
      <c r="J19" s="52"/>
      <c r="K19" s="52"/>
      <c r="L19" s="52">
        <f t="shared" si="2"/>
        <v>0</v>
      </c>
    </row>
    <row r="20" spans="2:12" x14ac:dyDescent="0.35">
      <c r="B20" s="52"/>
      <c r="C20" s="52"/>
      <c r="D20" s="52"/>
      <c r="E20" s="52">
        <f t="shared" si="0"/>
        <v>0</v>
      </c>
      <c r="F20" s="52"/>
      <c r="G20" s="52"/>
      <c r="H20" s="52"/>
      <c r="I20" s="52">
        <f t="shared" si="1"/>
        <v>0</v>
      </c>
      <c r="J20" s="52"/>
      <c r="K20" s="52"/>
      <c r="L20" s="52">
        <f t="shared" si="2"/>
        <v>0</v>
      </c>
    </row>
    <row r="21" spans="2:12" x14ac:dyDescent="0.35">
      <c r="B21" s="52" t="s">
        <v>317</v>
      </c>
      <c r="C21" s="52"/>
      <c r="D21" s="52"/>
      <c r="E21" s="52">
        <f t="shared" si="0"/>
        <v>0</v>
      </c>
      <c r="F21" s="52" t="s">
        <v>312</v>
      </c>
      <c r="G21" s="52"/>
      <c r="H21" s="52"/>
      <c r="I21" s="52">
        <f t="shared" si="1"/>
        <v>0</v>
      </c>
      <c r="J21" s="52"/>
      <c r="K21" s="52"/>
      <c r="L21" s="52">
        <f t="shared" si="2"/>
        <v>0</v>
      </c>
    </row>
    <row r="22" spans="2:12" x14ac:dyDescent="0.35">
      <c r="B22" s="52"/>
      <c r="C22" s="52"/>
      <c r="D22" s="52"/>
      <c r="E22" s="52">
        <f t="shared" si="0"/>
        <v>0</v>
      </c>
      <c r="F22" s="52" t="s">
        <v>314</v>
      </c>
      <c r="G22" s="52"/>
      <c r="H22" s="52"/>
      <c r="I22" s="52">
        <f t="shared" si="1"/>
        <v>0</v>
      </c>
      <c r="J22" s="52"/>
      <c r="K22" s="52"/>
      <c r="L22" s="52">
        <f t="shared" si="2"/>
        <v>0</v>
      </c>
    </row>
    <row r="23" spans="2:12" x14ac:dyDescent="0.35">
      <c r="B23" s="52"/>
      <c r="C23" s="52"/>
      <c r="D23" s="52"/>
      <c r="E23" s="52">
        <f t="shared" si="0"/>
        <v>0</v>
      </c>
      <c r="F23" s="52"/>
      <c r="G23" s="52"/>
      <c r="H23" s="52"/>
      <c r="I23" s="52">
        <f t="shared" si="1"/>
        <v>0</v>
      </c>
      <c r="J23" s="52"/>
      <c r="K23" s="52"/>
      <c r="L23" s="52">
        <f t="shared" si="2"/>
        <v>0</v>
      </c>
    </row>
    <row r="24" spans="2:12" x14ac:dyDescent="0.35">
      <c r="B24" s="52" t="s">
        <v>318</v>
      </c>
      <c r="C24" s="52"/>
      <c r="D24" s="52"/>
      <c r="E24" s="52">
        <f t="shared" si="0"/>
        <v>0</v>
      </c>
      <c r="F24" s="52" t="s">
        <v>319</v>
      </c>
      <c r="G24" s="52"/>
      <c r="H24" s="52"/>
      <c r="I24" s="52">
        <f t="shared" si="1"/>
        <v>0</v>
      </c>
      <c r="J24" s="52"/>
      <c r="K24" s="52"/>
      <c r="L24" s="52">
        <f t="shared" si="2"/>
        <v>0</v>
      </c>
    </row>
    <row r="25" spans="2:12" x14ac:dyDescent="0.35">
      <c r="B25" s="52"/>
      <c r="C25" s="52"/>
      <c r="D25" s="52"/>
      <c r="E25" s="52">
        <f t="shared" ref="E25:E27" si="3">C25*D25</f>
        <v>0</v>
      </c>
      <c r="F25" s="52" t="s">
        <v>319</v>
      </c>
      <c r="G25" s="52"/>
      <c r="H25" s="52"/>
      <c r="I25" s="52">
        <f t="shared" ref="I25:I27" si="4">G25*H25</f>
        <v>0</v>
      </c>
      <c r="J25" s="52"/>
      <c r="K25" s="52"/>
      <c r="L25" s="52">
        <f t="shared" ref="L25:L27" si="5">J25*K25</f>
        <v>0</v>
      </c>
    </row>
    <row r="26" spans="2:12" x14ac:dyDescent="0.35">
      <c r="B26" s="52"/>
      <c r="C26" s="52"/>
      <c r="D26" s="52"/>
      <c r="E26" s="52">
        <f t="shared" si="3"/>
        <v>0</v>
      </c>
      <c r="F26" s="52" t="s">
        <v>319</v>
      </c>
      <c r="G26" s="52"/>
      <c r="H26" s="52"/>
      <c r="I26" s="52">
        <f t="shared" si="4"/>
        <v>0</v>
      </c>
      <c r="J26" s="52"/>
      <c r="K26" s="52"/>
      <c r="L26" s="52">
        <f t="shared" si="5"/>
        <v>0</v>
      </c>
    </row>
    <row r="27" spans="2:12" x14ac:dyDescent="0.35">
      <c r="B27" s="52"/>
      <c r="C27" s="52"/>
      <c r="D27" s="52"/>
      <c r="E27" s="52">
        <f t="shared" si="3"/>
        <v>0</v>
      </c>
      <c r="F27" s="52" t="s">
        <v>319</v>
      </c>
      <c r="G27" s="52"/>
      <c r="H27" s="52"/>
      <c r="I27" s="52">
        <f t="shared" si="4"/>
        <v>0</v>
      </c>
      <c r="J27" s="52"/>
      <c r="K27" s="52"/>
      <c r="L27" s="52">
        <f t="shared" si="5"/>
        <v>0</v>
      </c>
    </row>
    <row r="28" spans="2:12" x14ac:dyDescent="0.35">
      <c r="B28" s="52" t="s">
        <v>320</v>
      </c>
      <c r="C28" s="52"/>
      <c r="D28" s="52"/>
      <c r="E28" s="52">
        <f t="shared" si="0"/>
        <v>0</v>
      </c>
      <c r="F28" s="52" t="s">
        <v>319</v>
      </c>
      <c r="G28" s="52"/>
      <c r="H28" s="52"/>
      <c r="I28" s="52">
        <f t="shared" si="1"/>
        <v>0</v>
      </c>
      <c r="J28" s="52"/>
      <c r="K28" s="52"/>
      <c r="L28" s="52">
        <f t="shared" si="2"/>
        <v>0</v>
      </c>
    </row>
    <row r="29" spans="2:12" x14ac:dyDescent="0.35">
      <c r="B29" s="52" t="s">
        <v>321</v>
      </c>
      <c r="C29" s="52"/>
      <c r="D29" s="52"/>
      <c r="E29" s="52">
        <f t="shared" si="0"/>
        <v>0</v>
      </c>
      <c r="F29" s="52" t="s">
        <v>319</v>
      </c>
      <c r="G29" s="52"/>
      <c r="H29" s="52"/>
      <c r="I29" s="52">
        <f t="shared" si="1"/>
        <v>0</v>
      </c>
      <c r="J29" s="52"/>
      <c r="K29" s="52"/>
      <c r="L29" s="52">
        <f t="shared" si="2"/>
        <v>0</v>
      </c>
    </row>
    <row r="30" spans="2:12" x14ac:dyDescent="0.35">
      <c r="B30" s="52" t="s">
        <v>325</v>
      </c>
      <c r="C30" s="52"/>
      <c r="D30" s="52"/>
      <c r="E30" s="52">
        <f t="shared" si="0"/>
        <v>0</v>
      </c>
      <c r="F30" s="52"/>
      <c r="G30" s="52"/>
      <c r="H30" s="52"/>
      <c r="I30" s="52">
        <f t="shared" si="1"/>
        <v>0</v>
      </c>
      <c r="J30" s="52"/>
      <c r="K30" s="52"/>
      <c r="L30" s="52">
        <f t="shared" si="2"/>
        <v>0</v>
      </c>
    </row>
    <row r="31" spans="2:12" x14ac:dyDescent="0.35">
      <c r="B31" s="52"/>
      <c r="C31" s="52"/>
      <c r="D31" s="52"/>
      <c r="E31" s="52">
        <f t="shared" ref="E31:E32" si="6">C31*D31</f>
        <v>0</v>
      </c>
      <c r="F31" s="52"/>
      <c r="G31" s="52"/>
      <c r="H31" s="52"/>
      <c r="I31" s="52">
        <f t="shared" ref="I31:I32" si="7">G31*H31</f>
        <v>0</v>
      </c>
      <c r="J31" s="52"/>
      <c r="K31" s="52"/>
      <c r="L31" s="52">
        <f t="shared" ref="L31:L32" si="8">J31*K31</f>
        <v>0</v>
      </c>
    </row>
    <row r="32" spans="2:12" x14ac:dyDescent="0.35">
      <c r="B32" s="52"/>
      <c r="C32" s="52"/>
      <c r="D32" s="52"/>
      <c r="E32" s="52">
        <f t="shared" si="6"/>
        <v>0</v>
      </c>
      <c r="F32" s="52"/>
      <c r="G32" s="52"/>
      <c r="H32" s="52"/>
      <c r="I32" s="52">
        <f t="shared" si="7"/>
        <v>0</v>
      </c>
      <c r="J32" s="52"/>
      <c r="K32" s="52"/>
      <c r="L32" s="52">
        <f t="shared" si="8"/>
        <v>0</v>
      </c>
    </row>
    <row r="33" spans="2:12" x14ac:dyDescent="0.35">
      <c r="B33" s="52" t="s">
        <v>322</v>
      </c>
      <c r="C33" s="52"/>
      <c r="D33" s="52"/>
      <c r="E33" s="52">
        <f t="shared" si="0"/>
        <v>0</v>
      </c>
      <c r="F33" s="52"/>
      <c r="G33" s="52"/>
      <c r="H33" s="52"/>
      <c r="I33" s="52">
        <f t="shared" si="1"/>
        <v>0</v>
      </c>
      <c r="J33" s="52"/>
      <c r="K33" s="52"/>
      <c r="L33" s="52">
        <f t="shared" si="2"/>
        <v>0</v>
      </c>
    </row>
    <row r="34" spans="2:12" x14ac:dyDescent="0.35">
      <c r="B34" s="52" t="s">
        <v>326</v>
      </c>
      <c r="C34" s="52"/>
      <c r="D34" s="52"/>
      <c r="E34" s="52">
        <f t="shared" si="0"/>
        <v>0</v>
      </c>
      <c r="F34" s="52"/>
      <c r="G34" s="52"/>
      <c r="H34" s="52"/>
      <c r="I34" s="52">
        <f t="shared" si="1"/>
        <v>0</v>
      </c>
      <c r="J34" s="52"/>
      <c r="K34" s="52"/>
      <c r="L34" s="52">
        <f t="shared" si="2"/>
        <v>0</v>
      </c>
    </row>
    <row r="35" spans="2:12" x14ac:dyDescent="0.35">
      <c r="B35" s="52" t="s">
        <v>323</v>
      </c>
      <c r="C35" s="52"/>
      <c r="D35" s="52"/>
      <c r="E35" s="52">
        <f t="shared" si="0"/>
        <v>0</v>
      </c>
      <c r="F35" s="52"/>
      <c r="G35" s="52"/>
      <c r="H35" s="52"/>
      <c r="I35" s="52">
        <f t="shared" si="1"/>
        <v>0</v>
      </c>
      <c r="J35" s="52"/>
      <c r="K35" s="52"/>
      <c r="L35" s="52">
        <f t="shared" si="2"/>
        <v>0</v>
      </c>
    </row>
    <row r="36" spans="2:12" x14ac:dyDescent="0.35">
      <c r="B36" s="52" t="s">
        <v>324</v>
      </c>
      <c r="C36" s="52"/>
      <c r="D36" s="52"/>
      <c r="E36" s="52">
        <f t="shared" si="0"/>
        <v>0</v>
      </c>
      <c r="F36" s="52"/>
      <c r="G36" s="52"/>
      <c r="H36" s="52"/>
      <c r="I36" s="52">
        <f>G36*H36</f>
        <v>0</v>
      </c>
      <c r="J36" s="52"/>
      <c r="K36" s="52"/>
      <c r="L36" s="52">
        <f>J36*K36</f>
        <v>0</v>
      </c>
    </row>
    <row r="37" spans="2:12" x14ac:dyDescent="0.35">
      <c r="B37" s="52"/>
      <c r="C37" s="52"/>
      <c r="D37" s="52"/>
      <c r="E37" s="52">
        <f t="shared" ref="E37:E38" si="9">C37*D37</f>
        <v>0</v>
      </c>
      <c r="F37" s="52"/>
      <c r="G37" s="52"/>
      <c r="H37" s="52"/>
      <c r="I37" s="52">
        <f t="shared" ref="I37:I38" si="10">G37*H37</f>
        <v>0</v>
      </c>
      <c r="J37" s="52"/>
      <c r="K37" s="52"/>
      <c r="L37" s="52">
        <f t="shared" ref="L37:L38" si="11">J37*K37</f>
        <v>0</v>
      </c>
    </row>
    <row r="38" spans="2:12" x14ac:dyDescent="0.35">
      <c r="B38" s="52" t="s">
        <v>327</v>
      </c>
      <c r="C38" s="52"/>
      <c r="D38" s="52"/>
      <c r="E38" s="52">
        <f t="shared" si="9"/>
        <v>0</v>
      </c>
      <c r="F38" s="52"/>
      <c r="G38" s="52"/>
      <c r="H38" s="52"/>
      <c r="I38" s="52">
        <f t="shared" si="10"/>
        <v>0</v>
      </c>
      <c r="J38" s="52"/>
      <c r="K38" s="52"/>
      <c r="L38" s="52">
        <f t="shared" si="11"/>
        <v>0</v>
      </c>
    </row>
    <row r="39" spans="2:12" x14ac:dyDescent="0.35">
      <c r="B39" s="52"/>
      <c r="C39" s="52"/>
      <c r="D39" s="52"/>
      <c r="E39" s="52">
        <f t="shared" si="0"/>
        <v>0</v>
      </c>
      <c r="F39" s="52"/>
      <c r="G39" s="52"/>
      <c r="H39" s="52"/>
      <c r="I39" s="52">
        <f>G39*H39</f>
        <v>0</v>
      </c>
      <c r="J39" s="52"/>
      <c r="K39" s="52"/>
      <c r="L39" s="52">
        <f>J39*K39</f>
        <v>0</v>
      </c>
    </row>
    <row r="40" spans="2:12" x14ac:dyDescent="0.35">
      <c r="B40" s="52"/>
      <c r="C40" s="52"/>
      <c r="D40" s="52"/>
      <c r="E40" s="52">
        <f t="shared" si="0"/>
        <v>0</v>
      </c>
      <c r="F40" s="52"/>
      <c r="G40" s="52"/>
      <c r="H40" s="52"/>
      <c r="I40" s="52">
        <f>G40*H40</f>
        <v>0</v>
      </c>
      <c r="J40" s="52"/>
      <c r="K40" s="52"/>
      <c r="L40" s="52">
        <f>J40*K40</f>
        <v>0</v>
      </c>
    </row>
    <row r="41" spans="2:12" x14ac:dyDescent="0.35">
      <c r="B41" s="52"/>
      <c r="C41" s="52"/>
      <c r="D41" s="52"/>
      <c r="E41" s="52">
        <f t="shared" si="0"/>
        <v>0</v>
      </c>
      <c r="F41" s="52"/>
      <c r="G41" s="52"/>
      <c r="H41" s="52"/>
      <c r="I41" s="52">
        <f>G41*H41</f>
        <v>0</v>
      </c>
      <c r="J41" s="52"/>
      <c r="K41" s="52"/>
      <c r="L41" s="52">
        <f>J41*K41</f>
        <v>0</v>
      </c>
    </row>
    <row r="42" spans="2:12" x14ac:dyDescent="0.35">
      <c r="B42" s="52" t="s">
        <v>150</v>
      </c>
      <c r="C42" s="52"/>
      <c r="D42" s="52">
        <f>E42*10.764</f>
        <v>0</v>
      </c>
      <c r="E42" s="70">
        <f>SUM(E6:E41)</f>
        <v>0</v>
      </c>
      <c r="F42" s="52"/>
      <c r="G42" s="52"/>
      <c r="H42" s="52">
        <f>I42*10.764</f>
        <v>0</v>
      </c>
      <c r="I42" s="69">
        <f>SUM(I6:I41)</f>
        <v>0</v>
      </c>
      <c r="J42" s="52"/>
      <c r="K42" s="52">
        <f>L42*10.764</f>
        <v>0</v>
      </c>
      <c r="L42" s="68">
        <f>SUM(L6:L41)</f>
        <v>0</v>
      </c>
    </row>
    <row r="44" spans="2:12" x14ac:dyDescent="0.3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2025-08-19T12:01:48Z</cp:lastPrinted>
  <dcterms:created xsi:type="dcterms:W3CDTF">2019-07-16T09:29:46Z</dcterms:created>
  <dcterms:modified xsi:type="dcterms:W3CDTF">2025-08-19T12:03:00Z</dcterms:modified>
</cp:coreProperties>
</file>