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1" l="1"/>
  <c r="G209" i="1"/>
  <c r="C209" i="1"/>
  <c r="D332" i="1"/>
  <c r="F332" i="1" s="1"/>
  <c r="D331" i="1"/>
  <c r="F331" i="1" s="1"/>
  <c r="D328" i="1"/>
  <c r="D329" i="1"/>
  <c r="D330" i="1"/>
  <c r="D327" i="1"/>
  <c r="D323" i="1"/>
  <c r="F323" i="1" s="1"/>
  <c r="D322" i="1"/>
  <c r="F322" i="1" s="1"/>
  <c r="D321" i="1"/>
  <c r="F321" i="1" s="1"/>
  <c r="D320" i="1"/>
  <c r="D319" i="1"/>
  <c r="D318" i="1"/>
  <c r="D317" i="1"/>
  <c r="D313" i="1"/>
  <c r="D312" i="1"/>
  <c r="D311" i="1"/>
  <c r="D310" i="1"/>
  <c r="D305" i="1"/>
  <c r="D304" i="1"/>
  <c r="D303" i="1"/>
  <c r="D299" i="1"/>
  <c r="D298" i="1"/>
  <c r="D297" i="1"/>
  <c r="D296" i="1"/>
  <c r="D295" i="1"/>
  <c r="D294" i="1"/>
  <c r="E289" i="1"/>
  <c r="D292" i="1"/>
  <c r="F292" i="1" s="1"/>
  <c r="D291" i="1"/>
  <c r="F291" i="1" s="1"/>
  <c r="D290" i="1"/>
  <c r="D289" i="1"/>
  <c r="E288" i="1"/>
  <c r="D288" i="1"/>
  <c r="D287" i="1"/>
  <c r="D283" i="1"/>
  <c r="D284" i="1"/>
  <c r="D282" i="1"/>
  <c r="D281" i="1"/>
  <c r="D280" i="1"/>
  <c r="D279" i="1"/>
  <c r="D274" i="1"/>
  <c r="F274" i="1" s="1"/>
  <c r="I274" i="1" s="1"/>
  <c r="E276" i="1"/>
  <c r="E275" i="1"/>
  <c r="D277" i="1"/>
  <c r="F277" i="1" s="1"/>
  <c r="I277" i="1" s="1"/>
  <c r="D276" i="1"/>
  <c r="D275" i="1"/>
  <c r="D273" i="1"/>
  <c r="D272" i="1"/>
  <c r="D227" i="1"/>
  <c r="F227" i="1" s="1"/>
  <c r="D226" i="1"/>
  <c r="F226" i="1" s="1"/>
  <c r="D225" i="1"/>
  <c r="L225" i="1" s="1"/>
  <c r="D224" i="1"/>
  <c r="F224" i="1" s="1"/>
  <c r="D223" i="1"/>
  <c r="F223" i="1" s="1"/>
  <c r="D222" i="1"/>
  <c r="L222" i="1" s="1"/>
  <c r="D221" i="1"/>
  <c r="D220" i="1"/>
  <c r="D219" i="1"/>
  <c r="D218" i="1"/>
  <c r="D217" i="1"/>
  <c r="D216" i="1"/>
  <c r="C69" i="1"/>
  <c r="E41" i="1"/>
  <c r="C206" i="1" l="1"/>
  <c r="E206" i="1"/>
  <c r="C203" i="1"/>
  <c r="E203" i="1"/>
  <c r="C207" i="1"/>
  <c r="E207" i="1"/>
  <c r="C195" i="1"/>
  <c r="E195" i="1"/>
  <c r="C204" i="1"/>
  <c r="E204" i="1"/>
  <c r="C205" i="1"/>
  <c r="E205" i="1"/>
  <c r="C202" i="1"/>
  <c r="E202" i="1"/>
  <c r="L227" i="1"/>
  <c r="F275" i="1"/>
  <c r="I275" i="1" s="1"/>
  <c r="L223" i="1"/>
  <c r="F276" i="1"/>
  <c r="I276" i="1" s="1"/>
  <c r="L226" i="1"/>
  <c r="L224" i="1"/>
  <c r="F222" i="1"/>
  <c r="I222" i="1" s="1"/>
  <c r="F225" i="1"/>
  <c r="J152" i="1"/>
  <c r="J151" i="1"/>
  <c r="J150" i="1"/>
  <c r="J149" i="1"/>
  <c r="J110" i="1"/>
  <c r="J109" i="1"/>
  <c r="J108" i="1"/>
  <c r="J107" i="1"/>
  <c r="H142" i="1"/>
  <c r="D152" i="1" l="1"/>
  <c r="D148" i="1"/>
  <c r="D145" i="1"/>
  <c r="J141" i="1"/>
  <c r="J143" i="1" s="1"/>
  <c r="D151" i="1"/>
  <c r="D147" i="1"/>
  <c r="J144" i="1"/>
  <c r="J146" i="1"/>
  <c r="D154" i="1"/>
  <c r="D150" i="1"/>
  <c r="D153" i="1"/>
  <c r="D149" i="1"/>
  <c r="J145" i="1"/>
  <c r="J147" i="1"/>
  <c r="J148" i="1" s="1"/>
  <c r="J153" i="1" s="1"/>
  <c r="J166" i="1"/>
  <c r="J165" i="1"/>
  <c r="J164" i="1"/>
  <c r="J163" i="1"/>
  <c r="J180" i="1"/>
  <c r="J179" i="1"/>
  <c r="J178" i="1"/>
  <c r="J177" i="1"/>
  <c r="J138" i="1"/>
  <c r="J137" i="1"/>
  <c r="J136" i="1"/>
  <c r="J135" i="1"/>
  <c r="H170" i="1"/>
  <c r="H128" i="1"/>
  <c r="H156" i="1"/>
  <c r="J154" i="1" l="1"/>
  <c r="C146" i="1" s="1"/>
  <c r="J160" i="1"/>
  <c r="J161" i="1"/>
  <c r="J162" i="1" s="1"/>
  <c r="J167" i="1" s="1"/>
  <c r="D159" i="1"/>
  <c r="D163" i="1"/>
  <c r="J159" i="1"/>
  <c r="D168" i="1"/>
  <c r="D166" i="1"/>
  <c r="D164" i="1"/>
  <c r="D162" i="1"/>
  <c r="J155" i="1"/>
  <c r="J157" i="1" s="1"/>
  <c r="D167" i="1"/>
  <c r="D165" i="1"/>
  <c r="D161" i="1"/>
  <c r="J158" i="1"/>
  <c r="D182" i="1"/>
  <c r="D180" i="1"/>
  <c r="D178" i="1"/>
  <c r="D176" i="1"/>
  <c r="J175" i="1"/>
  <c r="J176" i="1" s="1"/>
  <c r="J181" i="1" s="1"/>
  <c r="J182" i="1" s="1"/>
  <c r="C174" i="1" s="1"/>
  <c r="D174" i="1" s="1"/>
  <c r="J173" i="1"/>
  <c r="J172" i="1"/>
  <c r="D181" i="1"/>
  <c r="D179" i="1"/>
  <c r="D177" i="1"/>
  <c r="D175" i="1"/>
  <c r="J174" i="1"/>
  <c r="C173" i="1" s="1"/>
  <c r="J169" i="1"/>
  <c r="J171" i="1" s="1"/>
  <c r="D140" i="1"/>
  <c r="D138" i="1"/>
  <c r="D136" i="1"/>
  <c r="D134" i="1"/>
  <c r="D131" i="1"/>
  <c r="J127" i="1"/>
  <c r="J129" i="1" s="1"/>
  <c r="J133" i="1"/>
  <c r="J134" i="1" s="1"/>
  <c r="J139" i="1" s="1"/>
  <c r="J131" i="1"/>
  <c r="J130" i="1"/>
  <c r="D139" i="1"/>
  <c r="D137" i="1"/>
  <c r="D135" i="1"/>
  <c r="D133" i="1"/>
  <c r="J132" i="1"/>
  <c r="J96" i="1"/>
  <c r="J95" i="1"/>
  <c r="J94" i="1"/>
  <c r="J93" i="1"/>
  <c r="H86" i="1"/>
  <c r="D173" i="1" l="1"/>
  <c r="I170" i="1" s="1"/>
  <c r="I171" i="1" s="1"/>
  <c r="E173" i="1"/>
  <c r="E145" i="1"/>
  <c r="J142" i="1"/>
  <c r="D146" i="1"/>
  <c r="I142" i="1" s="1"/>
  <c r="G145" i="1"/>
  <c r="J168" i="1"/>
  <c r="G173" i="1"/>
  <c r="J140" i="1"/>
  <c r="C132" i="1" s="1"/>
  <c r="J90" i="1"/>
  <c r="D95" i="1"/>
  <c r="D91" i="1"/>
  <c r="D98" i="1"/>
  <c r="D96" i="1"/>
  <c r="D94" i="1"/>
  <c r="D92" i="1"/>
  <c r="D89" i="1"/>
  <c r="J85" i="1"/>
  <c r="J87" i="1" s="1"/>
  <c r="D97" i="1"/>
  <c r="D93" i="1"/>
  <c r="J91" i="1"/>
  <c r="J89" i="1"/>
  <c r="J88" i="1"/>
  <c r="K10" i="1"/>
  <c r="J10" i="1"/>
  <c r="J170" i="1" l="1"/>
  <c r="I169" i="1" s="1"/>
  <c r="C171" i="1" s="1"/>
  <c r="I143" i="1"/>
  <c r="I141" i="1" s="1"/>
  <c r="C143" i="1" s="1"/>
  <c r="J156" i="1"/>
  <c r="E159" i="1"/>
  <c r="D160" i="1"/>
  <c r="I156" i="1" s="1"/>
  <c r="G159" i="1"/>
  <c r="G131" i="1"/>
  <c r="D132" i="1"/>
  <c r="I128" i="1" s="1"/>
  <c r="I129" i="1" s="1"/>
  <c r="E131" i="1"/>
  <c r="J128" i="1"/>
  <c r="L10" i="1"/>
  <c r="J92" i="1"/>
  <c r="G287" i="1"/>
  <c r="G272" i="1"/>
  <c r="G262" i="1"/>
  <c r="G253" i="1"/>
  <c r="G243" i="1"/>
  <c r="G234" i="1"/>
  <c r="M216" i="1"/>
  <c r="D234" i="1"/>
  <c r="F234" i="1" s="1"/>
  <c r="C14" i="1"/>
  <c r="L11" i="1"/>
  <c r="K9" i="1"/>
  <c r="J9" i="1"/>
  <c r="I157" i="1" l="1"/>
  <c r="I155" i="1" s="1"/>
  <c r="C157" i="1" s="1"/>
  <c r="I127" i="1"/>
  <c r="C129" i="1" s="1"/>
  <c r="J97" i="1"/>
  <c r="L9" i="1"/>
  <c r="I234" i="1"/>
  <c r="F330" i="1"/>
  <c r="F329" i="1"/>
  <c r="F328" i="1"/>
  <c r="F327" i="1"/>
  <c r="G327" i="1"/>
  <c r="F320" i="1"/>
  <c r="F319" i="1"/>
  <c r="F318" i="1"/>
  <c r="F317" i="1"/>
  <c r="F313" i="1"/>
  <c r="F312" i="1"/>
  <c r="F311" i="1"/>
  <c r="F310" i="1"/>
  <c r="G317" i="1"/>
  <c r="G310" i="1"/>
  <c r="K303" i="1"/>
  <c r="J303" i="1"/>
  <c r="J216" i="1"/>
  <c r="L218" i="1"/>
  <c r="L217" i="1"/>
  <c r="F305" i="1"/>
  <c r="I305" i="1" s="1"/>
  <c r="F304" i="1"/>
  <c r="F303" i="1"/>
  <c r="G204" i="1" s="1"/>
  <c r="G303" i="1"/>
  <c r="F297" i="1"/>
  <c r="F298" i="1"/>
  <c r="F299" i="1"/>
  <c r="F296" i="1"/>
  <c r="F295" i="1"/>
  <c r="I295" i="1" s="1"/>
  <c r="F294" i="1"/>
  <c r="F290" i="1"/>
  <c r="F289" i="1"/>
  <c r="F288" i="1"/>
  <c r="F287" i="1"/>
  <c r="K272" i="1"/>
  <c r="J272" i="1"/>
  <c r="F284" i="1"/>
  <c r="F283" i="1"/>
  <c r="F280" i="1"/>
  <c r="F281" i="1"/>
  <c r="F282" i="1"/>
  <c r="F279" i="1"/>
  <c r="F273" i="1"/>
  <c r="I273" i="1" s="1"/>
  <c r="F272" i="1"/>
  <c r="G294" i="1"/>
  <c r="A288" i="1"/>
  <c r="A289" i="1" s="1"/>
  <c r="A290" i="1" s="1"/>
  <c r="A291" i="1" s="1"/>
  <c r="A292" i="1" s="1"/>
  <c r="G279" i="1"/>
  <c r="A273" i="1"/>
  <c r="A274" i="1" s="1"/>
  <c r="A275" i="1" s="1"/>
  <c r="A276" i="1" s="1"/>
  <c r="A277" i="1" s="1"/>
  <c r="D268" i="1"/>
  <c r="F268" i="1" s="1"/>
  <c r="D267" i="1"/>
  <c r="F267" i="1" s="1"/>
  <c r="D266" i="1"/>
  <c r="F266" i="1" s="1"/>
  <c r="D265" i="1"/>
  <c r="F265" i="1" s="1"/>
  <c r="D263" i="1"/>
  <c r="F263" i="1" s="1"/>
  <c r="D262" i="1"/>
  <c r="F262" i="1" s="1"/>
  <c r="D259" i="1"/>
  <c r="F259" i="1" s="1"/>
  <c r="D258" i="1"/>
  <c r="F258" i="1" s="1"/>
  <c r="D257" i="1"/>
  <c r="F257" i="1" s="1"/>
  <c r="I257" i="1" s="1"/>
  <c r="D256" i="1"/>
  <c r="F256" i="1" s="1"/>
  <c r="I256" i="1" s="1"/>
  <c r="D254" i="1"/>
  <c r="F254" i="1" s="1"/>
  <c r="D253" i="1"/>
  <c r="F253" i="1" s="1"/>
  <c r="G265" i="1"/>
  <c r="A263" i="1"/>
  <c r="G256" i="1"/>
  <c r="A254" i="1"/>
  <c r="D249" i="1"/>
  <c r="F249" i="1" s="1"/>
  <c r="D248" i="1"/>
  <c r="F248" i="1" s="1"/>
  <c r="D247" i="1"/>
  <c r="F247" i="1" s="1"/>
  <c r="D246" i="1"/>
  <c r="F246" i="1" s="1"/>
  <c r="D244" i="1"/>
  <c r="F244" i="1" s="1"/>
  <c r="I244" i="1" s="1"/>
  <c r="D243" i="1"/>
  <c r="F243" i="1" s="1"/>
  <c r="G246" i="1"/>
  <c r="A244" i="1"/>
  <c r="K237" i="1"/>
  <c r="J237" i="1"/>
  <c r="D240" i="1"/>
  <c r="F240" i="1" s="1"/>
  <c r="D239" i="1"/>
  <c r="F239" i="1" s="1"/>
  <c r="D238" i="1"/>
  <c r="F238" i="1" s="1"/>
  <c r="D237" i="1"/>
  <c r="F237" i="1" s="1"/>
  <c r="I237" i="1" s="1"/>
  <c r="K234" i="1"/>
  <c r="J234" i="1"/>
  <c r="D235" i="1"/>
  <c r="F235" i="1" s="1"/>
  <c r="A265" i="1"/>
  <c r="A256" i="1"/>
  <c r="A246" i="1"/>
  <c r="A279" i="1"/>
  <c r="A294" i="1"/>
  <c r="A303" i="1"/>
  <c r="A310" i="1"/>
  <c r="A317" i="1"/>
  <c r="A327" i="1"/>
  <c r="G203" i="1" l="1"/>
  <c r="G198" i="1"/>
  <c r="G206" i="1"/>
  <c r="G199" i="1"/>
  <c r="G201" i="1"/>
  <c r="G200" i="1"/>
  <c r="G202" i="1"/>
  <c r="G207" i="1"/>
  <c r="G205" i="1"/>
  <c r="J98" i="1"/>
  <c r="L235" i="1"/>
  <c r="I272" i="1"/>
  <c r="F221" i="1"/>
  <c r="L221" i="1"/>
  <c r="F220" i="1"/>
  <c r="L220" i="1"/>
  <c r="L219" i="1"/>
  <c r="F219" i="1"/>
  <c r="E198" i="1"/>
  <c r="E199" i="1"/>
  <c r="E200" i="1"/>
  <c r="E201" i="1"/>
  <c r="I303" i="1"/>
  <c r="L216" i="1"/>
  <c r="C198" i="1"/>
  <c r="C208" i="1" s="1"/>
  <c r="C199" i="1"/>
  <c r="C200" i="1"/>
  <c r="C201" i="1"/>
  <c r="J256" i="1"/>
  <c r="A266" i="1"/>
  <c r="A257" i="1"/>
  <c r="A311" i="1"/>
  <c r="A247" i="1"/>
  <c r="A328" i="1"/>
  <c r="A295" i="1"/>
  <c r="A280" i="1"/>
  <c r="A318" i="1"/>
  <c r="A304" i="1"/>
  <c r="E208" i="1" l="1"/>
  <c r="G208" i="1"/>
  <c r="J86" i="1"/>
  <c r="E89" i="1"/>
  <c r="G89" i="1"/>
  <c r="D67" i="1" s="1"/>
  <c r="D90" i="1"/>
  <c r="I86" i="1" s="1"/>
  <c r="I87" i="1" s="1"/>
  <c r="E29" i="1"/>
  <c r="A281" i="1"/>
  <c r="A329" i="1"/>
  <c r="A305" i="1"/>
  <c r="A267" i="1"/>
  <c r="A258" i="1"/>
  <c r="A312" i="1"/>
  <c r="A248" i="1"/>
  <c r="A319" i="1"/>
  <c r="A296" i="1"/>
  <c r="I85" i="1" l="1"/>
  <c r="C87" i="1" s="1"/>
  <c r="A235" i="1"/>
  <c r="A297" i="1"/>
  <c r="A330" i="1"/>
  <c r="A313" i="1"/>
  <c r="A268" i="1"/>
  <c r="A320" i="1"/>
  <c r="A282" i="1"/>
  <c r="A259" i="1"/>
  <c r="A249" i="1"/>
  <c r="F192" i="1" l="1"/>
  <c r="A283" i="1"/>
  <c r="A321" i="1"/>
  <c r="A331" i="1"/>
  <c r="A298" i="1"/>
  <c r="F217" i="1" l="1"/>
  <c r="I217" i="1" s="1"/>
  <c r="F218" i="1"/>
  <c r="I218" i="1" s="1"/>
  <c r="F216" i="1"/>
  <c r="A332" i="1"/>
  <c r="A299" i="1"/>
  <c r="A284" i="1"/>
  <c r="A322" i="1"/>
  <c r="G195" i="1" l="1"/>
  <c r="I216" i="1"/>
  <c r="B335" i="1"/>
  <c r="A323" i="1"/>
  <c r="A237" i="1"/>
  <c r="B336" i="1" l="1"/>
  <c r="A23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59" i="1"/>
  <c r="G237" i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G216" i="1"/>
  <c r="J124" i="1"/>
  <c r="J123" i="1"/>
  <c r="J122" i="1"/>
  <c r="J121" i="1"/>
  <c r="J82" i="1"/>
  <c r="J81" i="1"/>
  <c r="J80" i="1"/>
  <c r="J79" i="1"/>
  <c r="D55" i="1"/>
  <c r="E42" i="1"/>
  <c r="E43" i="1" s="1"/>
  <c r="E26" i="1"/>
  <c r="E24" i="1"/>
  <c r="E7" i="1"/>
  <c r="E3" i="1"/>
  <c r="I63" i="1" s="1"/>
  <c r="H70" i="1"/>
  <c r="H114" i="1"/>
  <c r="A239" i="1"/>
  <c r="D84" i="1" l="1"/>
  <c r="D82" i="1"/>
  <c r="D81" i="1"/>
  <c r="D80" i="1"/>
  <c r="D78" i="1"/>
  <c r="J69" i="1"/>
  <c r="D83" i="1"/>
  <c r="D79" i="1"/>
  <c r="J75" i="1"/>
  <c r="J76" i="1"/>
  <c r="C75" i="1" s="1"/>
  <c r="J74" i="1"/>
  <c r="J77" i="1"/>
  <c r="J78" i="1" s="1"/>
  <c r="J83" i="1" s="1"/>
  <c r="J84" i="1" s="1"/>
  <c r="C76" i="1" s="1"/>
  <c r="J113" i="1"/>
  <c r="J115" i="1" s="1"/>
  <c r="J117" i="1"/>
  <c r="D126" i="1"/>
  <c r="D124" i="1"/>
  <c r="D122" i="1"/>
  <c r="D120" i="1"/>
  <c r="J118" i="1"/>
  <c r="C117" i="1" s="1"/>
  <c r="J116" i="1"/>
  <c r="J119" i="1"/>
  <c r="J120" i="1" s="1"/>
  <c r="D125" i="1"/>
  <c r="D123" i="1"/>
  <c r="D121" i="1"/>
  <c r="A240" i="1"/>
  <c r="J125" i="1" l="1"/>
  <c r="J126" i="1" s="1"/>
  <c r="C118" i="1" s="1"/>
  <c r="G117" i="1" s="1"/>
  <c r="D119" i="1"/>
  <c r="D117" i="1"/>
  <c r="D77" i="1"/>
  <c r="J71" i="1"/>
  <c r="E75" i="1"/>
  <c r="D76" i="1"/>
  <c r="G75" i="1"/>
  <c r="D75" i="1"/>
  <c r="H100" i="1"/>
  <c r="D118" i="1" l="1"/>
  <c r="I114" i="1" s="1"/>
  <c r="E117" i="1"/>
  <c r="E103" i="1"/>
  <c r="D110" i="1"/>
  <c r="D106" i="1"/>
  <c r="D103" i="1"/>
  <c r="J99" i="1"/>
  <c r="J101" i="1" s="1"/>
  <c r="J104" i="1"/>
  <c r="D112" i="1"/>
  <c r="D108" i="1"/>
  <c r="D104" i="1"/>
  <c r="J103" i="1"/>
  <c r="D111" i="1"/>
  <c r="D107" i="1"/>
  <c r="J105" i="1"/>
  <c r="J106" i="1" s="1"/>
  <c r="J111" i="1" s="1"/>
  <c r="J112" i="1" s="1"/>
  <c r="J102" i="1"/>
  <c r="D109" i="1"/>
  <c r="D105" i="1"/>
  <c r="G103" i="1"/>
  <c r="J70" i="1"/>
  <c r="J114" i="1"/>
  <c r="I70" i="1"/>
  <c r="F68" i="1"/>
  <c r="D68" i="1"/>
  <c r="J100" i="1" l="1"/>
  <c r="I100" i="1"/>
  <c r="I101" i="1" s="1"/>
  <c r="I115" i="1"/>
  <c r="I113" i="1" s="1"/>
  <c r="C115" i="1" s="1"/>
  <c r="I71" i="1"/>
  <c r="I69" i="1" s="1"/>
  <c r="C71" i="1" s="1"/>
  <c r="I99" i="1" l="1"/>
  <c r="C101" i="1" s="1"/>
</calcChain>
</file>

<file path=xl/sharedStrings.xml><?xml version="1.0" encoding="utf-8"?>
<sst xmlns="http://schemas.openxmlformats.org/spreadsheetml/2006/main" count="666" uniqueCount="253">
  <si>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</si>
  <si>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</si>
  <si>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</si>
  <si>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</si>
  <si>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</si>
  <si>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</si>
  <si>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</si>
  <si>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</si>
  <si>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</si>
  <si>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</si>
  <si>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</si>
  <si>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</si>
  <si>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</si>
  <si>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</si>
  <si>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</si>
  <si>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</si>
  <si>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</si>
  <si>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</si>
  <si>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</si>
  <si>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</si>
  <si>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</si>
  <si>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</si>
  <si>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</si>
  <si>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</si>
  <si>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</si>
  <si>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</si>
  <si>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</si>
  <si>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</si>
  <si>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</si>
  <si>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</si>
  <si>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</si>
  <si>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</si>
  <si>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</si>
  <si>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</si>
  <si>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</si>
  <si>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</si>
  <si>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</si>
  <si>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</si>
  <si>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</si>
  <si>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</si>
  <si>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</si>
  <si>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</si>
  <si>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</si>
  <si>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</si>
  <si>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</si>
  <si>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</si>
  <si>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</si>
  <si>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</si>
  <si>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</si>
  <si>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</si>
  <si>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</si>
  <si>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</si>
  <si>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</si>
  <si>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</si>
  <si>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</si>
  <si>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</si>
  <si>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</si>
  <si>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</si>
  <si>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</si>
  <si>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</si>
  <si>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</si>
  <si>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</si>
  <si>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</si>
  <si>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</si>
  <si>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</si>
  <si>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</si>
  <si>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</si>
  <si>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</si>
  <si>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</si>
  <si>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</si>
  <si>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</si>
  <si>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</si>
  <si>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</si>
  <si>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</si>
  <si>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</si>
  <si>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</si>
  <si>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</si>
  <si>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</si>
  <si>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</si>
  <si>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</si>
  <si>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</si>
  <si>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</si>
  <si>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</si>
  <si>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</si>
  <si>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</si>
  <si>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</si>
  <si>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</si>
  <si>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</si>
  <si>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</si>
  <si>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</si>
  <si>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</si>
  <si>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</si>
  <si>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</si>
  <si>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</si>
  <si>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</si>
  <si>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</si>
  <si>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</si>
  <si>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</si>
  <si>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</si>
  <si>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</si>
  <si>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</si>
  <si>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</si>
  <si>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</si>
  <si>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</si>
  <si>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</si>
  <si>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</si>
  <si>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</si>
  <si>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</si>
  <si>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</si>
  <si>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</si>
  <si>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</si>
  <si>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</si>
  <si>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</si>
  <si>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</si>
  <si>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</si>
  <si>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</si>
  <si>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</si>
  <si>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</si>
  <si>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</si>
  <si>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</si>
  <si>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</si>
  <si>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</si>
  <si>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</si>
  <si>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</si>
  <si>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</si>
  <si>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</si>
  <si>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</si>
  <si>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</si>
  <si>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</si>
  <si>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</si>
  <si>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</si>
  <si>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</si>
  <si>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</si>
  <si>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</si>
  <si>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</si>
  <si>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</si>
  <si>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</si>
  <si>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</si>
  <si>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</si>
  <si>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</si>
  <si>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</si>
  <si>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</si>
  <si>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</si>
  <si>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</si>
  <si>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</si>
  <si>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</si>
  <si>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</si>
  <si>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</si>
  <si>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</si>
  <si>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</si>
  <si>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</si>
  <si>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</si>
  <si>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</si>
  <si>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</si>
  <si>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</si>
  <si>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</si>
  <si>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</si>
  <si>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</si>
  <si>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</si>
  <si>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</si>
  <si>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</si>
  <si>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</si>
  <si>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</si>
  <si>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</si>
  <si>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</si>
  <si>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P51700034220</t>
  </si>
  <si>
    <t>M/s. Shree Samruddhi Corporation</t>
  </si>
  <si>
    <t>Samruddhi Heights</t>
  </si>
  <si>
    <t>Approved Plans, CC, Sale Plans</t>
  </si>
  <si>
    <t>Thane</t>
  </si>
  <si>
    <t>Bhiwandi</t>
  </si>
  <si>
    <t>Survey No</t>
  </si>
  <si>
    <t>https://goo.gl/maps/3542a56HBupPYFEA9</t>
  </si>
  <si>
    <t>Bapgaon</t>
  </si>
  <si>
    <t>Kalyan Cancer Centre</t>
  </si>
  <si>
    <t>Kalyan Sape Road</t>
  </si>
  <si>
    <t>Shri Shankara Complex</t>
  </si>
  <si>
    <t>Bapgaon Village</t>
  </si>
  <si>
    <t>Open Plot</t>
  </si>
  <si>
    <t>As per RERA - 30/12/2025</t>
  </si>
  <si>
    <t>Kalyan-Sape Road</t>
  </si>
  <si>
    <t>6.00 KM from Kalyan Railway Station</t>
  </si>
  <si>
    <t>Building No. 2 (Wing A &amp; B)  = G + 1st to 7th Floor</t>
  </si>
  <si>
    <t>Building No. 1 to 6 - G + 1st to 7th Floor</t>
  </si>
  <si>
    <t>Wing A</t>
  </si>
  <si>
    <t>Ground Floor For Residential</t>
  </si>
  <si>
    <t>2BHK</t>
  </si>
  <si>
    <t>1BHK</t>
  </si>
  <si>
    <t>Wing B</t>
  </si>
  <si>
    <t>1RK</t>
  </si>
  <si>
    <t>Shop</t>
  </si>
  <si>
    <t>We considered Gross carpet area = Net carpet + Balcony.</t>
  </si>
  <si>
    <t>No. of Shops</t>
  </si>
  <si>
    <t>Axis Badlapur</t>
  </si>
  <si>
    <t>Seema Gaddam -7045373449</t>
  </si>
  <si>
    <t>Baapgaon Naka</t>
  </si>
  <si>
    <t>Kalyan west</t>
  </si>
  <si>
    <t>Town Planning, Thane</t>
  </si>
  <si>
    <t>Building No. 4</t>
  </si>
  <si>
    <t>Building No. 1</t>
  </si>
  <si>
    <t>Building No. 2</t>
  </si>
  <si>
    <t>Building No. 3</t>
  </si>
  <si>
    <t>Building No. 5</t>
  </si>
  <si>
    <t>Building No. 6</t>
  </si>
  <si>
    <t>1st, 2nd, 3rd, 4th, 5th, 6th, &amp; 7th Floor for Residential</t>
  </si>
  <si>
    <t>rate sheet</t>
  </si>
  <si>
    <t>shop -14500 - 17300</t>
  </si>
  <si>
    <t>flat - 4500</t>
  </si>
  <si>
    <t>market rate</t>
  </si>
  <si>
    <t>101/6E,107/3B,107/4/B, 107/6,107/9A,107/12/A, 107/13B,107/13/C, 107/18, 109/2B/3A/4A, 114/4/2A,114/4A</t>
  </si>
  <si>
    <t>Maintenance Charges</t>
  </si>
  <si>
    <t>Society Charges</t>
  </si>
  <si>
    <t>Site Meet Person Details ( Name &amp; Contect No.)</t>
  </si>
  <si>
    <t>Building No. 3 (Wing A &amp; B) = G + 1st to 7th Floor</t>
  </si>
  <si>
    <t>Building No. 4 &amp; 6  = G + 1st to 7th Floor
Building No. 5 (Wing A, B, C &amp; D) = G + 1st to 7th Floor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</si>
  <si>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</si>
  <si>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Building No. 6  = G + 1st to 7th Floor</t>
  </si>
  <si>
    <t>Building No. 4 = G + 1st to 7th Floor</t>
  </si>
  <si>
    <t>Building No. 5 (Wing C &amp; D) = G + 1st to 7th Floor</t>
  </si>
  <si>
    <t>Building No. 3 (Wing B) = G + 1st to 7th Floor</t>
  </si>
  <si>
    <t>Building No. 5 (Wing B) = G + 1st to 7th Floor</t>
  </si>
  <si>
    <t>Bldg 4 Kam chalu zala aahe call karun rashmi sobat confirm kelay 17/06/2024</t>
  </si>
  <si>
    <t>Building No. 5 (Wing A &amp; B) = G + 1st to 7th Floor</t>
  </si>
  <si>
    <t>Mr. Raj 8976777231 &amp; Miss. Namita 7304155753</t>
  </si>
  <si>
    <t>Building No. 1 = Gr + 1st to 7th Floor (2848.695 Sq.m)
Building No. 2 = Gr + 1st to 7th Floor (3165.4975 Sq.m)</t>
  </si>
  <si>
    <t xml:space="preserve">O. Certificate No.: 
Approved upto : 
</t>
  </si>
  <si>
    <t>60 Years After Completion</t>
  </si>
  <si>
    <t>We have updated approved OC For Building No. 1 &amp; 2 on 15/11/2024</t>
  </si>
  <si>
    <t>Kunal Kadam</t>
  </si>
  <si>
    <t>Mahsul/K-1/T-8/Sudarit.BP/M.Bapgaon-Bhiwandi/SR-35/2023</t>
  </si>
  <si>
    <t>Building No. 1 to 6 = G + 1st to 7th Floor
Bua = 17808.086sqm</t>
  </si>
  <si>
    <t>BS/Rekhankan/BP/M-Bapgaon/Tal-Bhiwandi/SSThane/5576</t>
  </si>
  <si>
    <t>Building No. 1 (Wing A &amp; B)  = G + 1st to 7th Floor
Building No. 2 (Wing A &amp; B)  = G + 1st to 7th Floor</t>
  </si>
  <si>
    <t>Layout:</t>
  </si>
  <si>
    <t>Ground Floor For Commercial, Society Offcie, Driver Room &amp; Parking</t>
  </si>
  <si>
    <t>1st Floor For Residential</t>
  </si>
  <si>
    <t>2nd, 3rd, 4th, 5th, 6th, &amp; 7th Floor for Residential</t>
  </si>
  <si>
    <t>1.5BHK</t>
  </si>
  <si>
    <t>Ground Floor For Stilt and Entrance Lobby</t>
  </si>
  <si>
    <t>We have updated approved Plans &amp; CC For Building No. 3 to 6 on 18/03/2025.</t>
  </si>
  <si>
    <t>Building no.5 (Wing C &amp; D ) has been eliminated from project as per latest approved plans dtd. 28/06/2023.</t>
  </si>
  <si>
    <t>Building No. 1(Wing A &amp; B) &amp; Building No. 2 (Wing A &amp; B) = All work completed. OC Received.
Building No. 3, 4, 5 (Wing A &amp; B) &amp; 6 = Construction work is in process at the time of Visit.</t>
  </si>
  <si>
    <t>Flats- 344, Shops- 12</t>
  </si>
  <si>
    <t xml:space="preserve">Mahasul/K-1/T-8/Bapgaon-Bhiwandi/ B.P/SR-01/2024
</t>
  </si>
  <si>
    <t>Latitude,Longitude</t>
  </si>
  <si>
    <t>19.281861,73.1472526</t>
  </si>
  <si>
    <t>Building No.1 (Wing A &amp; B)
Building No.2 (Wing A &amp; B)
Building No.3 (Wing A &amp; B)
Building No.4
Building No.5 (Wing A &amp; B)
Building No.6</t>
  </si>
  <si>
    <t>10 Wings</t>
  </si>
  <si>
    <t>Building No. 3 (Wing A) = G + 1st to 7th Floor</t>
  </si>
  <si>
    <t>Prem Yerunkar</t>
  </si>
  <si>
    <t>Grand Total</t>
  </si>
  <si>
    <t>Recommended Rates / Other charges of the Property have been revised on 06/06/2025.</t>
  </si>
  <si>
    <t>As discussed with Bhargav Sir, 4500 to 4850 06/06/2025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</si>
</sst>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0" fontId="24" fillId="0" borderId="29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1" fontId="6" fillId="0" borderId="2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8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3" fillId="0" borderId="17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67" fontId="12" fillId="0" borderId="7" xfId="9" applyNumberFormat="1" applyFont="1" applyFill="1" applyBorder="1" applyAlignment="1" applyProtection="1">
      <alignment horizontal="left" vertical="top"/>
      <protection locked="0"/>
    </xf>
    <xf numFmtId="167" fontId="12" fillId="0" borderId="20" xfId="9" applyNumberFormat="1" applyFont="1" applyFill="1" applyBorder="1" applyAlignment="1" applyProtection="1">
      <alignment horizontal="left" vertical="top"/>
      <protection locked="0"/>
    </xf>
    <xf numFmtId="167" fontId="12" fillId="0" borderId="8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1" fontId="8" fillId="0" borderId="34" xfId="0" applyNumberFormat="1" applyFont="1" applyBorder="1" applyAlignment="1" applyProtection="1">
      <alignment horizontal="center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9" fontId="13" fillId="0" borderId="16" xfId="1" applyNumberFormat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13" fillId="0" borderId="18" xfId="1" applyFont="1" applyBorder="1" applyAlignment="1" applyProtection="1">
      <alignment horizontal="center" vertical="center" wrapText="1"/>
      <protection locked="0"/>
    </xf>
    <xf numFmtId="0" fontId="13" fillId="0" borderId="19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emf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5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451</xdr:row>
      <xdr:rowOff>0</xdr:rowOff>
    </xdr:from>
    <xdr:to>
      <xdr:col>7</xdr:col>
      <xdr:colOff>4605</xdr:colOff>
      <xdr:row>470</xdr:row>
      <xdr:rowOff>159524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72494775"/>
          <a:ext cx="5110005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471</xdr:row>
      <xdr:rowOff>169164</xdr:rowOff>
    </xdr:from>
    <xdr:to>
      <xdr:col>7</xdr:col>
      <xdr:colOff>5066</xdr:colOff>
      <xdr:row>490</xdr:row>
      <xdr:rowOff>127001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0600" y="103864664"/>
          <a:ext cx="4989816" cy="36979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550213</xdr:colOff>
      <xdr:row>357</xdr:row>
      <xdr:rowOff>76200</xdr:rowOff>
    </xdr:from>
    <xdr:to>
      <xdr:col>13</xdr:col>
      <xdr:colOff>571500</xdr:colOff>
      <xdr:row>359</xdr:row>
      <xdr:rowOff>50291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9703738" y="66055875"/>
          <a:ext cx="1516712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1 A Wing</a:t>
          </a:r>
        </a:p>
      </xdr:txBody>
    </xdr:sp>
    <xdr:clientData/>
  </xdr:twoCellAnchor>
  <xdr:twoCellAnchor>
    <xdr:from>
      <xdr:col>12</xdr:col>
      <xdr:colOff>192936</xdr:colOff>
      <xdr:row>374</xdr:row>
      <xdr:rowOff>114301</xdr:rowOff>
    </xdr:from>
    <xdr:to>
      <xdr:col>13</xdr:col>
      <xdr:colOff>466725</xdr:colOff>
      <xdr:row>379</xdr:row>
      <xdr:rowOff>9526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10051311" y="69484876"/>
          <a:ext cx="1064364" cy="89535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2 A &amp; B Wing</a:t>
          </a:r>
        </a:p>
      </xdr:txBody>
    </xdr:sp>
    <xdr:clientData/>
  </xdr:twoCellAnchor>
  <xdr:twoCellAnchor>
    <xdr:from>
      <xdr:col>15</xdr:col>
      <xdr:colOff>194678</xdr:colOff>
      <xdr:row>375</xdr:row>
      <xdr:rowOff>76200</xdr:rowOff>
    </xdr:from>
    <xdr:to>
      <xdr:col>16</xdr:col>
      <xdr:colOff>466725</xdr:colOff>
      <xdr:row>377</xdr:row>
      <xdr:rowOff>50291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12339053" y="69646800"/>
          <a:ext cx="1053097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3</a:t>
          </a:r>
        </a:p>
      </xdr:txBody>
    </xdr:sp>
    <xdr:clientData/>
  </xdr:twoCellAnchor>
  <xdr:twoCellAnchor>
    <xdr:from>
      <xdr:col>11</xdr:col>
      <xdr:colOff>550213</xdr:colOff>
      <xdr:row>405</xdr:row>
      <xdr:rowOff>76200</xdr:rowOff>
    </xdr:from>
    <xdr:to>
      <xdr:col>13</xdr:col>
      <xdr:colOff>571500</xdr:colOff>
      <xdr:row>407</xdr:row>
      <xdr:rowOff>50291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>
          <a:off x="10151413" y="82327750"/>
          <a:ext cx="1583387" cy="36779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1 A Wing</a:t>
          </a:r>
        </a:p>
      </xdr:txBody>
    </xdr:sp>
    <xdr:clientData/>
  </xdr:twoCellAnchor>
  <xdr:twoCellAnchor>
    <xdr:from>
      <xdr:col>12</xdr:col>
      <xdr:colOff>192936</xdr:colOff>
      <xdr:row>422</xdr:row>
      <xdr:rowOff>114301</xdr:rowOff>
    </xdr:from>
    <xdr:to>
      <xdr:col>13</xdr:col>
      <xdr:colOff>466725</xdr:colOff>
      <xdr:row>427</xdr:row>
      <xdr:rowOff>9526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/>
      </xdr:nvSpPr>
      <xdr:spPr>
        <a:xfrm>
          <a:off x="10530736" y="85705951"/>
          <a:ext cx="1099289" cy="87947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2 A &amp; B Wing</a:t>
          </a:r>
        </a:p>
      </xdr:txBody>
    </xdr:sp>
    <xdr:clientData/>
  </xdr:twoCellAnchor>
  <xdr:twoCellAnchor>
    <xdr:from>
      <xdr:col>15</xdr:col>
      <xdr:colOff>194678</xdr:colOff>
      <xdr:row>423</xdr:row>
      <xdr:rowOff>76200</xdr:rowOff>
    </xdr:from>
    <xdr:to>
      <xdr:col>16</xdr:col>
      <xdr:colOff>466725</xdr:colOff>
      <xdr:row>425</xdr:row>
      <xdr:rowOff>50291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12920078" y="85864700"/>
          <a:ext cx="1091197" cy="36779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Bldg 3</a:t>
          </a:r>
        </a:p>
      </xdr:txBody>
    </xdr:sp>
    <xdr:clientData/>
  </xdr:twoCellAnchor>
  <xdr:twoCellAnchor>
    <xdr:from>
      <xdr:col>9</xdr:col>
      <xdr:colOff>228600</xdr:colOff>
      <xdr:row>358</xdr:row>
      <xdr:rowOff>182880</xdr:rowOff>
    </xdr:from>
    <xdr:to>
      <xdr:col>19</xdr:col>
      <xdr:colOff>198119</xdr:colOff>
      <xdr:row>402</xdr:row>
      <xdr:rowOff>175260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pSpPr/>
      </xdr:nvGrpSpPr>
      <xdr:grpSpPr>
        <a:xfrm>
          <a:off x="8915400" y="72896730"/>
          <a:ext cx="7037069" cy="8783955"/>
          <a:chOff x="0" y="121920"/>
          <a:chExt cx="7471315" cy="10500642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2947" y="8102562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0336" y="8102562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16" y="5442348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xmlns="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74767" y="544234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xmlns="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0282" y="5442348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xmlns="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1766" y="278213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83284" y="278213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xmlns="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2782134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xmlns="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30077" y="12192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xmlns="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83904" y="121920"/>
            <a:ext cx="3357334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9</xdr:col>
      <xdr:colOff>361950</xdr:colOff>
      <xdr:row>41</xdr:row>
      <xdr:rowOff>171450</xdr:rowOff>
    </xdr:from>
    <xdr:to>
      <xdr:col>13</xdr:col>
      <xdr:colOff>342532</xdr:colOff>
      <xdr:row>46</xdr:row>
      <xdr:rowOff>251325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0448925"/>
          <a:ext cx="29428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257175</xdr:colOff>
      <xdr:row>45</xdr:row>
      <xdr:rowOff>133350</xdr:rowOff>
    </xdr:from>
    <xdr:to>
      <xdr:col>13</xdr:col>
      <xdr:colOff>304800</xdr:colOff>
      <xdr:row>55</xdr:row>
      <xdr:rowOff>177163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81925" y="11210925"/>
          <a:ext cx="4171950" cy="36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407</xdr:row>
      <xdr:rowOff>47625</xdr:rowOff>
    </xdr:from>
    <xdr:to>
      <xdr:col>7</xdr:col>
      <xdr:colOff>1139886</xdr:colOff>
      <xdr:row>443</xdr:row>
      <xdr:rowOff>56250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838200" y="82553175"/>
          <a:ext cx="5997636" cy="7200000"/>
          <a:chOff x="838200" y="81402331"/>
          <a:chExt cx="6005480" cy="7258831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38200" y="81402331"/>
            <a:ext cx="5990890" cy="725883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 txBox="1"/>
        </xdr:nvSpPr>
        <xdr:spPr>
          <a:xfrm rot="1030554">
            <a:off x="3750609" y="83360559"/>
            <a:ext cx="1070162" cy="767042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 txBox="1"/>
        </xdr:nvSpPr>
        <xdr:spPr>
          <a:xfrm rot="20625472">
            <a:off x="5864344" y="86733948"/>
            <a:ext cx="704647" cy="683728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 txBox="1"/>
        </xdr:nvSpPr>
        <xdr:spPr>
          <a:xfrm rot="21238949">
            <a:off x="3827478" y="85910269"/>
            <a:ext cx="873141" cy="580742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xmlns="" id="{00000000-0008-0000-0000-000030000000}"/>
              </a:ext>
            </a:extLst>
          </xdr:cNvPr>
          <xdr:cNvSpPr txBox="1"/>
        </xdr:nvSpPr>
        <xdr:spPr>
          <a:xfrm rot="3807085">
            <a:off x="3052460" y="84826284"/>
            <a:ext cx="1452484" cy="765362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xmlns="" id="{00000000-0008-0000-0000-000031000000}"/>
              </a:ext>
            </a:extLst>
          </xdr:cNvPr>
          <xdr:cNvSpPr txBox="1"/>
        </xdr:nvSpPr>
        <xdr:spPr>
          <a:xfrm rot="3446411">
            <a:off x="4059886" y="84434280"/>
            <a:ext cx="1344282" cy="765361"/>
          </a:xfrm>
          <a:prstGeom prst="rect">
            <a:avLst/>
          </a:prstGeom>
          <a:noFill/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IN" sz="1100"/>
          </a:p>
        </xdr:txBody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>
            <a:off x="4782671" y="86683103"/>
            <a:ext cx="1225923" cy="1824878"/>
          </a:xfrm>
          <a:custGeom>
            <a:avLst/>
            <a:gdLst>
              <a:gd name="connsiteX0" fmla="*/ 323850 w 1219200"/>
              <a:gd name="connsiteY0" fmla="*/ 0 h 1809750"/>
              <a:gd name="connsiteX1" fmla="*/ 0 w 1219200"/>
              <a:gd name="connsiteY1" fmla="*/ 1552575 h 1809750"/>
              <a:gd name="connsiteX2" fmla="*/ 1162050 w 1219200"/>
              <a:gd name="connsiteY2" fmla="*/ 1809750 h 1809750"/>
              <a:gd name="connsiteX3" fmla="*/ 1219200 w 1219200"/>
              <a:gd name="connsiteY3" fmla="*/ 1104900 h 1809750"/>
              <a:gd name="connsiteX4" fmla="*/ 790575 w 1219200"/>
              <a:gd name="connsiteY4" fmla="*/ 942975 h 1809750"/>
              <a:gd name="connsiteX5" fmla="*/ 885825 w 1219200"/>
              <a:gd name="connsiteY5" fmla="*/ 209550 h 1809750"/>
              <a:gd name="connsiteX6" fmla="*/ 285750 w 1219200"/>
              <a:gd name="connsiteY6" fmla="*/ 47625 h 1809750"/>
              <a:gd name="connsiteX7" fmla="*/ 323850 w 1219200"/>
              <a:gd name="connsiteY7" fmla="*/ 0 h 18097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1219200" h="1809750">
                <a:moveTo>
                  <a:pt x="323850" y="0"/>
                </a:moveTo>
                <a:lnTo>
                  <a:pt x="0" y="1552575"/>
                </a:lnTo>
                <a:lnTo>
                  <a:pt x="1162050" y="1809750"/>
                </a:lnTo>
                <a:lnTo>
                  <a:pt x="1219200" y="1104900"/>
                </a:lnTo>
                <a:lnTo>
                  <a:pt x="790575" y="942975"/>
                </a:lnTo>
                <a:lnTo>
                  <a:pt x="885825" y="209550"/>
                </a:lnTo>
                <a:lnTo>
                  <a:pt x="285750" y="47625"/>
                </a:lnTo>
                <a:lnTo>
                  <a:pt x="323850" y="0"/>
                </a:lnTo>
                <a:close/>
              </a:path>
            </a:pathLst>
          </a:cu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4280647" y="82912324"/>
            <a:ext cx="301686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/>
              <a:t>1</a:t>
            </a: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xmlns="" id="{00000000-0008-0000-0000-000032000000}"/>
              </a:ext>
            </a:extLst>
          </xdr:cNvPr>
          <xdr:cNvSpPr txBox="1"/>
        </xdr:nvSpPr>
        <xdr:spPr>
          <a:xfrm>
            <a:off x="5096435" y="84164021"/>
            <a:ext cx="301686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/>
              <a:t>2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xmlns="" id="{00000000-0008-0000-0000-000033000000}"/>
              </a:ext>
            </a:extLst>
          </xdr:cNvPr>
          <xdr:cNvSpPr txBox="1"/>
        </xdr:nvSpPr>
        <xdr:spPr>
          <a:xfrm>
            <a:off x="4155141" y="86640521"/>
            <a:ext cx="301686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/>
              <a:t>4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xmlns="" id="{00000000-0008-0000-0000-000034000000}"/>
              </a:ext>
            </a:extLst>
          </xdr:cNvPr>
          <xdr:cNvSpPr txBox="1"/>
        </xdr:nvSpPr>
        <xdr:spPr>
          <a:xfrm>
            <a:off x="4453218" y="87610950"/>
            <a:ext cx="301686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/>
              <a:t>5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xmlns="" id="{00000000-0008-0000-0000-000035000000}"/>
              </a:ext>
            </a:extLst>
          </xdr:cNvPr>
          <xdr:cNvSpPr txBox="1"/>
        </xdr:nvSpPr>
        <xdr:spPr>
          <a:xfrm>
            <a:off x="2947146" y="85264438"/>
            <a:ext cx="336177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800" b="1"/>
              <a:t>3</a:t>
            </a: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xmlns="" id="{00000000-0008-0000-0000-00003D000000}"/>
              </a:ext>
            </a:extLst>
          </xdr:cNvPr>
          <xdr:cNvSpPr txBox="1"/>
        </xdr:nvSpPr>
        <xdr:spPr>
          <a:xfrm>
            <a:off x="6541994" y="86606903"/>
            <a:ext cx="301686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1"/>
              <a:t>6</a:t>
            </a:r>
          </a:p>
        </xdr:txBody>
      </xdr:sp>
    </xdr:grpSp>
    <xdr:clientData/>
  </xdr:twoCellAnchor>
  <xdr:twoCellAnchor editAs="oneCell">
    <xdr:from>
      <xdr:col>8</xdr:col>
      <xdr:colOff>291352</xdr:colOff>
      <xdr:row>265</xdr:row>
      <xdr:rowOff>1</xdr:rowOff>
    </xdr:from>
    <xdr:to>
      <xdr:col>18</xdr:col>
      <xdr:colOff>67234</xdr:colOff>
      <xdr:row>273</xdr:row>
      <xdr:rowOff>186354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1705" y="52118560"/>
          <a:ext cx="7407088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358589</xdr:colOff>
      <xdr:row>274</xdr:row>
      <xdr:rowOff>156883</xdr:rowOff>
    </xdr:from>
    <xdr:to>
      <xdr:col>21</xdr:col>
      <xdr:colOff>537882</xdr:colOff>
      <xdr:row>283</xdr:row>
      <xdr:rowOff>141530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8942" y="54090795"/>
          <a:ext cx="962585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582707</xdr:colOff>
      <xdr:row>289</xdr:row>
      <xdr:rowOff>33620</xdr:rowOff>
    </xdr:from>
    <xdr:to>
      <xdr:col>21</xdr:col>
      <xdr:colOff>345142</xdr:colOff>
      <xdr:row>301</xdr:row>
      <xdr:rowOff>133149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3060" y="55379473"/>
          <a:ext cx="9208994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818032</xdr:colOff>
      <xdr:row>302</xdr:row>
      <xdr:rowOff>78442</xdr:rowOff>
    </xdr:from>
    <xdr:to>
      <xdr:col>16</xdr:col>
      <xdr:colOff>448235</xdr:colOff>
      <xdr:row>311</xdr:row>
      <xdr:rowOff>63089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8385" y="58046471"/>
          <a:ext cx="6051174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493059</xdr:colOff>
      <xdr:row>312</xdr:row>
      <xdr:rowOff>44826</xdr:rowOff>
    </xdr:from>
    <xdr:to>
      <xdr:col>20</xdr:col>
      <xdr:colOff>490818</xdr:colOff>
      <xdr:row>326</xdr:row>
      <xdr:rowOff>100943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23412" y="60029914"/>
          <a:ext cx="8839200" cy="28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11206</xdr:colOff>
      <xdr:row>327</xdr:row>
      <xdr:rowOff>67236</xdr:rowOff>
    </xdr:from>
    <xdr:to>
      <xdr:col>18</xdr:col>
      <xdr:colOff>425823</xdr:colOff>
      <xdr:row>334</xdr:row>
      <xdr:rowOff>186353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06971" y="63077912"/>
          <a:ext cx="6880411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1013460</xdr:colOff>
      <xdr:row>356</xdr:row>
      <xdr:rowOff>179070</xdr:rowOff>
    </xdr:from>
    <xdr:to>
      <xdr:col>19</xdr:col>
      <xdr:colOff>98349</xdr:colOff>
      <xdr:row>393</xdr:row>
      <xdr:rowOff>91348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E06109A0-F207-6EB5-5255-F769C84837AD}"/>
            </a:ext>
          </a:extLst>
        </xdr:cNvPr>
        <xdr:cNvGrpSpPr/>
      </xdr:nvGrpSpPr>
      <xdr:grpSpPr>
        <a:xfrm>
          <a:off x="8538210" y="72492870"/>
          <a:ext cx="7314489" cy="7303678"/>
          <a:chOff x="139205" y="143499"/>
          <a:chExt cx="7463079" cy="7237003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A368BA5F-A091-49EF-EBEC-B01355F08897}"/>
              </a:ext>
            </a:extLst>
          </xdr:cNvPr>
          <xdr:cNvGrpSpPr/>
        </xdr:nvGrpSpPr>
        <xdr:grpSpPr>
          <a:xfrm>
            <a:off x="139205" y="143499"/>
            <a:ext cx="7463079" cy="2520000"/>
            <a:chOff x="139205" y="143499"/>
            <a:chExt cx="7463079" cy="25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xmlns="" id="{C8F4C5D7-E574-8E3A-455D-FA7B7A32186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9205" y="143499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xmlns="" id="{81FD33A8-7955-469F-B5B7-ACDDF5FE72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61158" y="14349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xmlns="" id="{E7DBE5F3-098E-4363-DB73-91064A1EB3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714253" y="14349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1A068005-FF34-1C1E-081B-81723CCEA2E2}"/>
              </a:ext>
            </a:extLst>
          </xdr:cNvPr>
          <xdr:cNvGrpSpPr/>
        </xdr:nvGrpSpPr>
        <xdr:grpSpPr>
          <a:xfrm>
            <a:off x="901965" y="2862943"/>
            <a:ext cx="5937558" cy="2520000"/>
            <a:chOff x="844766" y="2862943"/>
            <a:chExt cx="5937558" cy="252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xmlns="" id="{68E7156C-69E8-DCEE-3600-DB46029448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94293" y="286294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xmlns="" id="{F58A1EDD-4B6A-4873-9E81-6582FE97E1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44766" y="286294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xmlns="" id="{93793EF2-F83E-2163-6B8E-9CF27ECDB6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70787" y="286294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381FBB6A-3B3A-FE5A-36C9-AF021ACB8761}"/>
              </a:ext>
            </a:extLst>
          </xdr:cNvPr>
          <xdr:cNvGrpSpPr/>
        </xdr:nvGrpSpPr>
        <xdr:grpSpPr>
          <a:xfrm>
            <a:off x="657867" y="5580502"/>
            <a:ext cx="6425755" cy="1800000"/>
            <a:chOff x="335019" y="5580502"/>
            <a:chExt cx="6425755" cy="180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xmlns="" id="{C81FB0C0-05DE-9429-D2A7-0BE20ACE8AA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2996" y="5580502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xmlns="" id="{BA0C570F-F241-2A9B-733E-9DDEE7EA94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70787" y="5580502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xmlns="" id="{4F0F594A-989A-8F17-3D56-670C1CA7D4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019" y="5580502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295275</xdr:colOff>
      <xdr:row>359</xdr:row>
      <xdr:rowOff>152400</xdr:rowOff>
    </xdr:from>
    <xdr:to>
      <xdr:col>7</xdr:col>
      <xdr:colOff>1512089</xdr:colOff>
      <xdr:row>402</xdr:row>
      <xdr:rowOff>159698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xmlns="" id="{E1776242-D583-49C9-9CC7-0B62C2895EB1}"/>
            </a:ext>
          </a:extLst>
        </xdr:cNvPr>
        <xdr:cNvGrpSpPr/>
      </xdr:nvGrpSpPr>
      <xdr:grpSpPr>
        <a:xfrm>
          <a:off x="295275" y="73066275"/>
          <a:ext cx="6912764" cy="8598848"/>
          <a:chOff x="-213297" y="143435"/>
          <a:chExt cx="6912764" cy="8598848"/>
        </a:xfrm>
      </xdr:grpSpPr>
      <xdr:grpSp>
        <xdr:nvGrpSpPr>
          <xdr:cNvPr id="69" name="Group 68">
            <a:extLst>
              <a:ext uri="{FF2B5EF4-FFF2-40B4-BE49-F238E27FC236}">
                <a16:creationId xmlns:a16="http://schemas.microsoft.com/office/drawing/2014/main" xmlns="" id="{8081F6DE-C9D9-4E2D-B80F-01502E2B26A4}"/>
              </a:ext>
            </a:extLst>
          </xdr:cNvPr>
          <xdr:cNvGrpSpPr/>
        </xdr:nvGrpSpPr>
        <xdr:grpSpPr>
          <a:xfrm>
            <a:off x="-213297" y="143435"/>
            <a:ext cx="6912764" cy="8598848"/>
            <a:chOff x="-213297" y="143435"/>
            <a:chExt cx="6912764" cy="8598848"/>
          </a:xfrm>
        </xdr:grpSpPr>
        <xdr:pic>
          <xdr:nvPicPr>
            <xdr:cNvPr id="79" name="Picture 78">
              <a:extLst>
                <a:ext uri="{FF2B5EF4-FFF2-40B4-BE49-F238E27FC236}">
                  <a16:creationId xmlns:a16="http://schemas.microsoft.com/office/drawing/2014/main" xmlns="" id="{91EB8ED3-8903-427D-8253-D86E3D621A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10515" y="280192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xmlns="" id="{1DA23343-FA5C-4434-BA74-888988857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2600" y="14343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1" name="Picture 80">
              <a:extLst>
                <a:ext uri="{FF2B5EF4-FFF2-40B4-BE49-F238E27FC236}">
                  <a16:creationId xmlns:a16="http://schemas.microsoft.com/office/drawing/2014/main" xmlns="" id="{8FCC556E-69C0-4268-9CCF-ABB215A439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9875" y="280192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2" name="Picture 81">
              <a:extLst>
                <a:ext uri="{FF2B5EF4-FFF2-40B4-BE49-F238E27FC236}">
                  <a16:creationId xmlns:a16="http://schemas.microsoft.com/office/drawing/2014/main" xmlns="" id="{71A1E86E-DFF1-4C76-9B55-5667B7C18B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13297" y="280192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3" name="Picture 82">
              <a:extLst>
                <a:ext uri="{FF2B5EF4-FFF2-40B4-BE49-F238E27FC236}">
                  <a16:creationId xmlns:a16="http://schemas.microsoft.com/office/drawing/2014/main" xmlns="" id="{6D0D93AF-7D0D-4D28-821E-D77910B81B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6631" y="14343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4" name="Picture 83">
              <a:extLst>
                <a:ext uri="{FF2B5EF4-FFF2-40B4-BE49-F238E27FC236}">
                  <a16:creationId xmlns:a16="http://schemas.microsoft.com/office/drawing/2014/main" xmlns="" id="{FD75E454-7B0D-4144-9FFB-491C9EB44F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14172" y="143435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5" name="Picture 84">
              <a:extLst>
                <a:ext uri="{FF2B5EF4-FFF2-40B4-BE49-F238E27FC236}">
                  <a16:creationId xmlns:a16="http://schemas.microsoft.com/office/drawing/2014/main" xmlns="" id="{CCA0BC9B-9CC0-4DEA-A328-099865D333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55295" y="517354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6" name="Picture 85">
              <a:extLst>
                <a:ext uri="{FF2B5EF4-FFF2-40B4-BE49-F238E27FC236}">
                  <a16:creationId xmlns:a16="http://schemas.microsoft.com/office/drawing/2014/main" xmlns="" id="{5B417979-1AAC-48C1-B694-1D81A7D579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00825" y="517354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7" name="Picture 86">
              <a:extLst>
                <a:ext uri="{FF2B5EF4-FFF2-40B4-BE49-F238E27FC236}">
                  <a16:creationId xmlns:a16="http://schemas.microsoft.com/office/drawing/2014/main" xmlns="" id="{9263444A-BD07-4250-8E62-B8955D8FF9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56945" y="5173548"/>
              <a:ext cx="239809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8" name="Picture 87">
              <a:extLst>
                <a:ext uri="{FF2B5EF4-FFF2-40B4-BE49-F238E27FC236}">
                  <a16:creationId xmlns:a16="http://schemas.microsoft.com/office/drawing/2014/main" xmlns="" id="{F88A4A35-0559-4875-B735-C976597B65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81155" y="2801928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9" name="Picture 88">
              <a:extLst>
                <a:ext uri="{FF2B5EF4-FFF2-40B4-BE49-F238E27FC236}">
                  <a16:creationId xmlns:a16="http://schemas.microsoft.com/office/drawing/2014/main" xmlns="" id="{BADE483E-C056-40AC-9C70-8259024252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262566" y="517354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0" name="Picture 89">
              <a:extLst>
                <a:ext uri="{FF2B5EF4-FFF2-40B4-BE49-F238E27FC236}">
                  <a16:creationId xmlns:a16="http://schemas.microsoft.com/office/drawing/2014/main" xmlns="" id="{2E71BF34-ECD7-4B53-B2BF-2D18D2950F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5638" y="7105703"/>
              <a:ext cx="2158286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1" name="Picture 90">
              <a:extLst>
                <a:ext uri="{FF2B5EF4-FFF2-40B4-BE49-F238E27FC236}">
                  <a16:creationId xmlns:a16="http://schemas.microsoft.com/office/drawing/2014/main" xmlns="" id="{BE36A977-66A4-413D-A05B-13E90D96AB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92896" y="7105703"/>
              <a:ext cx="1213735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2" name="Picture 91">
              <a:extLst>
                <a:ext uri="{FF2B5EF4-FFF2-40B4-BE49-F238E27FC236}">
                  <a16:creationId xmlns:a16="http://schemas.microsoft.com/office/drawing/2014/main" xmlns="" id="{AF23DAFC-1702-46FE-84E5-E612408860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65603" y="7122283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0" name="TextBox 133">
            <a:extLst>
              <a:ext uri="{FF2B5EF4-FFF2-40B4-BE49-F238E27FC236}">
                <a16:creationId xmlns:a16="http://schemas.microsoft.com/office/drawing/2014/main" xmlns="" id="{62389EDE-58D5-414C-8AF6-58AF466850F9}"/>
              </a:ext>
            </a:extLst>
          </xdr:cNvPr>
          <xdr:cNvSpPr txBox="1"/>
        </xdr:nvSpPr>
        <xdr:spPr>
          <a:xfrm>
            <a:off x="1126169" y="233631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3A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1" name="TextBox 134">
            <a:extLst>
              <a:ext uri="{FF2B5EF4-FFF2-40B4-BE49-F238E27FC236}">
                <a16:creationId xmlns:a16="http://schemas.microsoft.com/office/drawing/2014/main" xmlns="" id="{DCBC0D6F-6F14-4E20-8B17-AD58E7C08A49}"/>
              </a:ext>
            </a:extLst>
          </xdr:cNvPr>
          <xdr:cNvSpPr txBox="1"/>
        </xdr:nvSpPr>
        <xdr:spPr>
          <a:xfrm>
            <a:off x="2718160" y="288821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3B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2" name="TextBox 135">
            <a:extLst>
              <a:ext uri="{FF2B5EF4-FFF2-40B4-BE49-F238E27FC236}">
                <a16:creationId xmlns:a16="http://schemas.microsoft.com/office/drawing/2014/main" xmlns="" id="{19CFE2DA-D7BF-40FA-AB11-72F8328A74C8}"/>
              </a:ext>
            </a:extLst>
          </xdr:cNvPr>
          <xdr:cNvSpPr txBox="1"/>
        </xdr:nvSpPr>
        <xdr:spPr>
          <a:xfrm>
            <a:off x="5262566" y="217051"/>
            <a:ext cx="30168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4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3" name="TextBox 136">
            <a:extLst>
              <a:ext uri="{FF2B5EF4-FFF2-40B4-BE49-F238E27FC236}">
                <a16:creationId xmlns:a16="http://schemas.microsoft.com/office/drawing/2014/main" xmlns="" id="{55887A59-0C2C-4F39-8ECB-BBA612DE1CB1}"/>
              </a:ext>
            </a:extLst>
          </xdr:cNvPr>
          <xdr:cNvSpPr txBox="1"/>
        </xdr:nvSpPr>
        <xdr:spPr>
          <a:xfrm>
            <a:off x="775638" y="2842642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5A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4" name="TextBox 137">
            <a:extLst>
              <a:ext uri="{FF2B5EF4-FFF2-40B4-BE49-F238E27FC236}">
                <a16:creationId xmlns:a16="http://schemas.microsoft.com/office/drawing/2014/main" xmlns="" id="{B8918D61-8DB8-418F-880A-308DE3B615DC}"/>
              </a:ext>
            </a:extLst>
          </xdr:cNvPr>
          <xdr:cNvSpPr txBox="1"/>
        </xdr:nvSpPr>
        <xdr:spPr>
          <a:xfrm>
            <a:off x="1993627" y="3027308"/>
            <a:ext cx="4315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5B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5" name="TextBox 138">
            <a:extLst>
              <a:ext uri="{FF2B5EF4-FFF2-40B4-BE49-F238E27FC236}">
                <a16:creationId xmlns:a16="http://schemas.microsoft.com/office/drawing/2014/main" xmlns="" id="{CD3666B9-DA11-4477-B00A-D8B7D33BEE31}"/>
              </a:ext>
            </a:extLst>
          </xdr:cNvPr>
          <xdr:cNvSpPr txBox="1"/>
        </xdr:nvSpPr>
        <xdr:spPr>
          <a:xfrm>
            <a:off x="3429000" y="3027308"/>
            <a:ext cx="30168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6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6" name="TextBox 139">
            <a:extLst>
              <a:ext uri="{FF2B5EF4-FFF2-40B4-BE49-F238E27FC236}">
                <a16:creationId xmlns:a16="http://schemas.microsoft.com/office/drawing/2014/main" xmlns="" id="{4E82D336-EABA-42E5-829A-662B080D8E4F}"/>
              </a:ext>
            </a:extLst>
          </xdr:cNvPr>
          <xdr:cNvSpPr txBox="1"/>
        </xdr:nvSpPr>
        <xdr:spPr>
          <a:xfrm>
            <a:off x="5250646" y="2911597"/>
            <a:ext cx="82586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 6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7" name="TextBox 140">
            <a:extLst>
              <a:ext uri="{FF2B5EF4-FFF2-40B4-BE49-F238E27FC236}">
                <a16:creationId xmlns:a16="http://schemas.microsoft.com/office/drawing/2014/main" xmlns="" id="{CD347262-70B3-4840-9E1C-289F7F58CA0D}"/>
              </a:ext>
            </a:extLst>
          </xdr:cNvPr>
          <xdr:cNvSpPr txBox="1"/>
        </xdr:nvSpPr>
        <xdr:spPr>
          <a:xfrm>
            <a:off x="1539875" y="5196418"/>
            <a:ext cx="4411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1A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78" name="TextBox 141">
            <a:extLst>
              <a:ext uri="{FF2B5EF4-FFF2-40B4-BE49-F238E27FC236}">
                <a16:creationId xmlns:a16="http://schemas.microsoft.com/office/drawing/2014/main" xmlns="" id="{2B2FACA7-A47D-43CA-AFEE-DA715A061C0D}"/>
              </a:ext>
            </a:extLst>
          </xdr:cNvPr>
          <xdr:cNvSpPr txBox="1"/>
        </xdr:nvSpPr>
        <xdr:spPr>
          <a:xfrm>
            <a:off x="2888469" y="5198678"/>
            <a:ext cx="95571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2A &amp; 2B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87180</xdr:rowOff>
    </xdr:from>
    <xdr:to>
      <xdr:col>6</xdr:col>
      <xdr:colOff>4566</xdr:colOff>
      <xdr:row>56</xdr:row>
      <xdr:rowOff>67680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14688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</xdr:row>
      <xdr:rowOff>55020</xdr:rowOff>
    </xdr:from>
    <xdr:to>
      <xdr:col>6</xdr:col>
      <xdr:colOff>4566</xdr:colOff>
      <xdr:row>36</xdr:row>
      <xdr:rowOff>35520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30472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437383</xdr:colOff>
      <xdr:row>36</xdr:row>
      <xdr:rowOff>35520</xdr:rowOff>
    </xdr:from>
    <xdr:to>
      <xdr:col>15</xdr:col>
      <xdr:colOff>329891</xdr:colOff>
      <xdr:row>55</xdr:row>
      <xdr:rowOff>16020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8648" y="690472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437383</xdr:colOff>
      <xdr:row>16</xdr:row>
      <xdr:rowOff>0</xdr:rowOff>
    </xdr:from>
    <xdr:to>
      <xdr:col>15</xdr:col>
      <xdr:colOff>329891</xdr:colOff>
      <xdr:row>34</xdr:row>
      <xdr:rowOff>171000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8648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542a56HBupPYFEA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0"/>
  <sheetViews>
    <sheetView tabSelected="1" view="pageBreakPreview" zoomScaleNormal="100" zoomScaleSheetLayoutView="100" workbookViewId="0">
      <selection activeCell="E8" sqref="E8:H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27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3" t="s">
        <v>215</v>
      </c>
      <c r="B1" s="173"/>
      <c r="C1" s="173"/>
      <c r="D1" s="173"/>
      <c r="E1" s="173"/>
      <c r="F1" s="173"/>
      <c r="G1" s="173"/>
      <c r="H1" s="173"/>
    </row>
    <row r="2" spans="1:12" ht="16.5" customHeight="1" x14ac:dyDescent="0.25">
      <c r="A2" s="174" t="s">
        <v>0</v>
      </c>
      <c r="B2" s="174"/>
      <c r="C2" s="174"/>
      <c r="D2" s="174"/>
      <c r="E2" s="174"/>
      <c r="F2" s="174"/>
      <c r="G2" s="174"/>
      <c r="H2" s="174"/>
    </row>
    <row r="3" spans="1:12" x14ac:dyDescent="0.25">
      <c r="A3" s="132" t="s">
        <v>1</v>
      </c>
      <c r="B3" s="132"/>
      <c r="C3" s="132"/>
      <c r="D3" s="132"/>
      <c r="E3" s="132" t="str">
        <f ca="1">TEXT(TODAY(),"DD/MM/YYYY")</f>
        <v>26/08/2025</v>
      </c>
      <c r="F3" s="132"/>
      <c r="G3" s="132"/>
      <c r="H3" s="132"/>
    </row>
    <row r="4" spans="1:12" ht="15" customHeight="1" x14ac:dyDescent="0.25">
      <c r="A4" s="132" t="s">
        <v>2</v>
      </c>
      <c r="B4" s="132"/>
      <c r="C4" s="132"/>
      <c r="D4" s="132"/>
      <c r="E4" s="132" t="s">
        <v>193</v>
      </c>
      <c r="F4" s="132"/>
      <c r="G4" s="132"/>
      <c r="H4" s="132"/>
    </row>
    <row r="5" spans="1:12" x14ac:dyDescent="0.25">
      <c r="A5" s="132" t="s">
        <v>3</v>
      </c>
      <c r="B5" s="132"/>
      <c r="C5" s="132"/>
      <c r="D5" s="132"/>
      <c r="E5" s="175">
        <v>45880</v>
      </c>
      <c r="F5" s="132"/>
      <c r="G5" s="132"/>
      <c r="H5" s="132"/>
    </row>
    <row r="6" spans="1:12" ht="16.5" customHeight="1" x14ac:dyDescent="0.25">
      <c r="A6" s="132" t="s">
        <v>4</v>
      </c>
      <c r="B6" s="132"/>
      <c r="C6" s="132"/>
      <c r="D6" s="132"/>
      <c r="E6" s="132" t="s">
        <v>166</v>
      </c>
      <c r="F6" s="132"/>
      <c r="G6" s="132"/>
      <c r="H6" s="132"/>
    </row>
    <row r="7" spans="1:12" ht="15" customHeight="1" x14ac:dyDescent="0.25">
      <c r="A7" s="132" t="s">
        <v>5</v>
      </c>
      <c r="B7" s="132"/>
      <c r="C7" s="132"/>
      <c r="D7" s="132"/>
      <c r="E7" s="132" t="str">
        <f>E6</f>
        <v>M/s. Shree Samruddhi Corporation</v>
      </c>
      <c r="F7" s="132"/>
      <c r="G7" s="132"/>
      <c r="H7" s="132"/>
    </row>
    <row r="8" spans="1:12" x14ac:dyDescent="0.25">
      <c r="A8" s="132" t="s">
        <v>6</v>
      </c>
      <c r="B8" s="132"/>
      <c r="C8" s="132"/>
      <c r="D8" s="132"/>
      <c r="E8" s="91" t="s">
        <v>167</v>
      </c>
      <c r="F8" s="91"/>
      <c r="G8" s="91"/>
      <c r="H8" s="91"/>
    </row>
    <row r="9" spans="1:12" x14ac:dyDescent="0.25">
      <c r="A9" s="132" t="s">
        <v>121</v>
      </c>
      <c r="B9" s="132"/>
      <c r="C9" s="132"/>
      <c r="D9" s="132"/>
      <c r="E9" s="132" t="s">
        <v>194</v>
      </c>
      <c r="F9" s="132"/>
      <c r="G9" s="132"/>
      <c r="H9" s="132"/>
      <c r="J9" s="21">
        <f>(4.3*2.75+3.05*2.2+3.05*3+1.8*1.2+1.8*1.2+0.5*1.2)</f>
        <v>32.604999999999997</v>
      </c>
      <c r="K9" s="21">
        <f>(3.25*1.2)</f>
        <v>3.9</v>
      </c>
      <c r="L9" s="21">
        <f>J9+K9</f>
        <v>36.504999999999995</v>
      </c>
    </row>
    <row r="10" spans="1:12" x14ac:dyDescent="0.25">
      <c r="A10" s="132" t="s">
        <v>212</v>
      </c>
      <c r="B10" s="132"/>
      <c r="C10" s="132"/>
      <c r="D10" s="132"/>
      <c r="E10" s="132" t="s">
        <v>223</v>
      </c>
      <c r="F10" s="132"/>
      <c r="G10" s="132"/>
      <c r="H10" s="132"/>
      <c r="J10" s="21">
        <f>(4.3*2.75+3.05*2.2+3.05*3+1.8*1.2+1.8*1.2+0.5*1.2)</f>
        <v>32.604999999999997</v>
      </c>
      <c r="K10" s="21">
        <f>(3.25*1.2)</f>
        <v>3.9</v>
      </c>
      <c r="L10" s="21">
        <f>J10+K10</f>
        <v>36.504999999999995</v>
      </c>
    </row>
    <row r="11" spans="1:12" ht="96.75" customHeight="1" x14ac:dyDescent="0.25">
      <c r="A11" s="132" t="s">
        <v>7</v>
      </c>
      <c r="B11" s="132"/>
      <c r="C11" s="132"/>
      <c r="D11" s="132"/>
      <c r="E11" s="92" t="s">
        <v>246</v>
      </c>
      <c r="F11" s="132"/>
      <c r="G11" s="132"/>
      <c r="H11" s="132"/>
      <c r="J11" s="21">
        <v>29.802</v>
      </c>
      <c r="K11" s="21">
        <v>9</v>
      </c>
      <c r="L11" s="21">
        <f>J11+K11</f>
        <v>38.802</v>
      </c>
    </row>
    <row r="12" spans="1:12" ht="15.75" customHeight="1" x14ac:dyDescent="0.25">
      <c r="A12" s="94" t="s">
        <v>8</v>
      </c>
      <c r="B12" s="94"/>
      <c r="C12" s="94"/>
      <c r="D12" s="94"/>
      <c r="E12" s="92" t="s">
        <v>168</v>
      </c>
      <c r="F12" s="92"/>
      <c r="G12" s="92"/>
      <c r="H12" s="92"/>
    </row>
    <row r="13" spans="1:12" x14ac:dyDescent="0.25">
      <c r="A13" s="94" t="s">
        <v>9</v>
      </c>
      <c r="B13" s="94"/>
      <c r="C13" s="94"/>
      <c r="D13" s="94"/>
      <c r="E13" s="92" t="s">
        <v>165</v>
      </c>
      <c r="F13" s="132"/>
      <c r="G13" s="132"/>
      <c r="H13" s="132"/>
    </row>
    <row r="14" spans="1:12" ht="48.75" customHeight="1" x14ac:dyDescent="0.25">
      <c r="A14" s="131" t="s">
        <v>10</v>
      </c>
      <c r="B14" s="131"/>
      <c r="C14" s="13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Samruddhi Heights, Survey No.101/6E,107/3B,107/4/B, 107/6,107/9A,107/12/A, 107/13B,107/13/C, 107/18, 109/2B/3A/4A, 114/4/2A,114/4A, near Kalyan Cancer Centre, Kalyan-Sape Road, Baapgaon Naka, Bapgaon, Kalyan west, Bhiwandi, Thane - 421302.</v>
      </c>
      <c r="D14" s="131"/>
      <c r="E14" s="131"/>
      <c r="F14" s="131"/>
      <c r="G14" s="131"/>
      <c r="H14" s="131"/>
    </row>
    <row r="15" spans="1:12" ht="34.5" customHeight="1" x14ac:dyDescent="0.25">
      <c r="A15" s="92" t="s">
        <v>171</v>
      </c>
      <c r="B15" s="92"/>
      <c r="C15" s="92" t="s">
        <v>209</v>
      </c>
      <c r="D15" s="92"/>
      <c r="E15" s="92"/>
      <c r="F15" s="92"/>
      <c r="G15" s="92"/>
      <c r="H15" s="92"/>
    </row>
    <row r="16" spans="1:12" ht="15.75" customHeight="1" x14ac:dyDescent="0.25">
      <c r="A16" s="92" t="s">
        <v>164</v>
      </c>
      <c r="B16" s="92"/>
      <c r="C16" s="92" t="s">
        <v>195</v>
      </c>
      <c r="D16" s="92"/>
      <c r="E16" s="92"/>
      <c r="F16" s="92"/>
      <c r="G16" s="92"/>
      <c r="H16" s="92"/>
    </row>
    <row r="17" spans="1:8" ht="15.75" customHeight="1" x14ac:dyDescent="0.25">
      <c r="A17" s="131" t="s">
        <v>11</v>
      </c>
      <c r="B17" s="131"/>
      <c r="C17" s="132" t="s">
        <v>180</v>
      </c>
      <c r="D17" s="132"/>
      <c r="E17" s="131" t="s">
        <v>74</v>
      </c>
      <c r="F17" s="131"/>
      <c r="G17" s="92" t="s">
        <v>173</v>
      </c>
      <c r="H17" s="92"/>
    </row>
    <row r="18" spans="1:8" x14ac:dyDescent="0.25">
      <c r="A18" s="94" t="s">
        <v>13</v>
      </c>
      <c r="B18" s="94"/>
      <c r="C18" s="92" t="s">
        <v>196</v>
      </c>
      <c r="D18" s="92"/>
      <c r="E18" s="131" t="s">
        <v>12</v>
      </c>
      <c r="F18" s="131"/>
      <c r="G18" s="176" t="s">
        <v>169</v>
      </c>
      <c r="H18" s="176"/>
    </row>
    <row r="19" spans="1:8" x14ac:dyDescent="0.25">
      <c r="A19" s="94" t="s">
        <v>75</v>
      </c>
      <c r="B19" s="94"/>
      <c r="C19" s="92" t="s">
        <v>170</v>
      </c>
      <c r="D19" s="92"/>
      <c r="E19" s="131" t="s">
        <v>14</v>
      </c>
      <c r="F19" s="131"/>
      <c r="G19" s="92">
        <v>421302</v>
      </c>
      <c r="H19" s="92"/>
    </row>
    <row r="20" spans="1:8" x14ac:dyDescent="0.25">
      <c r="A20" s="94" t="s">
        <v>122</v>
      </c>
      <c r="B20" s="94"/>
      <c r="C20" s="92" t="s">
        <v>174</v>
      </c>
      <c r="D20" s="92"/>
      <c r="E20" s="131" t="s">
        <v>15</v>
      </c>
      <c r="F20" s="131"/>
      <c r="G20" s="92" t="s">
        <v>181</v>
      </c>
      <c r="H20" s="92"/>
    </row>
    <row r="21" spans="1:8" ht="15" customHeight="1" x14ac:dyDescent="0.25">
      <c r="A21" s="131" t="s">
        <v>78</v>
      </c>
      <c r="B21" s="131"/>
      <c r="C21" s="131"/>
      <c r="D21" s="131"/>
      <c r="E21" s="132" t="s">
        <v>16</v>
      </c>
      <c r="F21" s="132"/>
      <c r="G21" s="132"/>
      <c r="H21" s="132"/>
    </row>
    <row r="22" spans="1:8" ht="18.75" customHeight="1" x14ac:dyDescent="0.25">
      <c r="A22" s="131"/>
      <c r="B22" s="131"/>
      <c r="C22" s="131"/>
      <c r="D22" s="131"/>
      <c r="E22" s="132"/>
      <c r="F22" s="132"/>
      <c r="G22" s="132"/>
      <c r="H22" s="132"/>
    </row>
    <row r="23" spans="1:8" ht="15" customHeight="1" x14ac:dyDescent="0.25">
      <c r="A23" s="131" t="s">
        <v>17</v>
      </c>
      <c r="B23" s="131"/>
      <c r="C23" s="131"/>
      <c r="D23" s="131"/>
      <c r="E23" s="92" t="s">
        <v>18</v>
      </c>
      <c r="F23" s="92"/>
      <c r="G23" s="92"/>
      <c r="H23" s="92"/>
    </row>
    <row r="24" spans="1:8" ht="15" customHeight="1" x14ac:dyDescent="0.25">
      <c r="A24" s="94" t="s">
        <v>19</v>
      </c>
      <c r="B24" s="94"/>
      <c r="C24" s="94"/>
      <c r="D24" s="94"/>
      <c r="E24" s="92" t="str">
        <f>IF(AND(G18="Mumbai"),"Upper Class","Middle Class")</f>
        <v>Middle Class</v>
      </c>
      <c r="F24" s="92"/>
      <c r="G24" s="92"/>
      <c r="H24" s="92"/>
    </row>
    <row r="25" spans="1:8" x14ac:dyDescent="0.25">
      <c r="A25" s="94" t="s">
        <v>20</v>
      </c>
      <c r="B25" s="94"/>
      <c r="C25" s="94"/>
      <c r="D25" s="94"/>
      <c r="E25" s="92" t="s">
        <v>21</v>
      </c>
      <c r="F25" s="92"/>
      <c r="G25" s="92"/>
      <c r="H25" s="92"/>
    </row>
    <row r="26" spans="1:8" ht="15.75" customHeight="1" x14ac:dyDescent="0.25">
      <c r="A26" s="94" t="s">
        <v>22</v>
      </c>
      <c r="B26" s="94"/>
      <c r="C26" s="94"/>
      <c r="D26" s="94"/>
      <c r="E26" s="92" t="str">
        <f>IF(AND(G18="Mumbai"),"Developed","Developing")</f>
        <v>Developing</v>
      </c>
      <c r="F26" s="92"/>
      <c r="G26" s="92"/>
      <c r="H26" s="92"/>
    </row>
    <row r="27" spans="1:8" x14ac:dyDescent="0.25">
      <c r="A27" s="94" t="s">
        <v>23</v>
      </c>
      <c r="B27" s="94"/>
      <c r="C27" s="94"/>
      <c r="D27" s="94"/>
      <c r="E27" s="92" t="s">
        <v>24</v>
      </c>
      <c r="F27" s="92"/>
      <c r="G27" s="92"/>
      <c r="H27" s="92"/>
    </row>
    <row r="28" spans="1:8" ht="15.75" customHeight="1" x14ac:dyDescent="0.25">
      <c r="A28" s="94" t="s">
        <v>83</v>
      </c>
      <c r="B28" s="94"/>
      <c r="C28" s="94"/>
      <c r="D28" s="94"/>
      <c r="E28" s="92" t="s">
        <v>84</v>
      </c>
      <c r="F28" s="92"/>
      <c r="G28" s="92"/>
      <c r="H28" s="92"/>
    </row>
    <row r="29" spans="1:8" ht="15" customHeight="1" x14ac:dyDescent="0.25">
      <c r="A29" s="94" t="s">
        <v>33</v>
      </c>
      <c r="B29" s="94"/>
      <c r="C29" s="94"/>
      <c r="D29" s="94"/>
      <c r="E29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2"/>
      <c r="G29" s="92"/>
      <c r="H29" s="92"/>
    </row>
    <row r="30" spans="1:8" ht="15.75" customHeight="1" x14ac:dyDescent="0.25">
      <c r="A30" s="94" t="s">
        <v>95</v>
      </c>
      <c r="B30" s="94"/>
      <c r="C30" s="94"/>
      <c r="D30" s="94"/>
      <c r="E30" s="92" t="s">
        <v>34</v>
      </c>
      <c r="F30" s="92"/>
      <c r="G30" s="92"/>
      <c r="H30" s="92"/>
    </row>
    <row r="31" spans="1:8" s="22" customFormat="1" x14ac:dyDescent="0.25">
      <c r="A31" s="180" t="s">
        <v>96</v>
      </c>
      <c r="B31" s="180"/>
      <c r="C31" s="179" t="s">
        <v>29</v>
      </c>
      <c r="D31" s="179"/>
      <c r="E31" s="179"/>
      <c r="F31" s="179" t="s">
        <v>31</v>
      </c>
      <c r="G31" s="179"/>
      <c r="H31" s="179"/>
    </row>
    <row r="32" spans="1:8" s="22" customFormat="1" x14ac:dyDescent="0.25">
      <c r="A32" s="177" t="s">
        <v>25</v>
      </c>
      <c r="B32" s="177" t="s">
        <v>30</v>
      </c>
      <c r="C32" s="178" t="s">
        <v>30</v>
      </c>
      <c r="D32" s="178"/>
      <c r="E32" s="178"/>
      <c r="F32" s="178" t="s">
        <v>178</v>
      </c>
      <c r="G32" s="178"/>
      <c r="H32" s="178"/>
    </row>
    <row r="33" spans="1:8" x14ac:dyDescent="0.25">
      <c r="A33" s="177" t="s">
        <v>26</v>
      </c>
      <c r="B33" s="177" t="s">
        <v>30</v>
      </c>
      <c r="C33" s="178" t="s">
        <v>30</v>
      </c>
      <c r="D33" s="178"/>
      <c r="E33" s="178"/>
      <c r="F33" s="178" t="s">
        <v>175</v>
      </c>
      <c r="G33" s="178"/>
      <c r="H33" s="178"/>
    </row>
    <row r="34" spans="1:8" s="22" customFormat="1" x14ac:dyDescent="0.25">
      <c r="A34" s="177" t="s">
        <v>28</v>
      </c>
      <c r="B34" s="177" t="s">
        <v>30</v>
      </c>
      <c r="C34" s="178" t="s">
        <v>30</v>
      </c>
      <c r="D34" s="178"/>
      <c r="E34" s="178"/>
      <c r="F34" s="178" t="s">
        <v>176</v>
      </c>
      <c r="G34" s="178"/>
      <c r="H34" s="178"/>
    </row>
    <row r="35" spans="1:8" x14ac:dyDescent="0.25">
      <c r="A35" s="177" t="s">
        <v>27</v>
      </c>
      <c r="B35" s="177" t="s">
        <v>30</v>
      </c>
      <c r="C35" s="178" t="s">
        <v>30</v>
      </c>
      <c r="D35" s="178"/>
      <c r="E35" s="178"/>
      <c r="F35" s="178" t="s">
        <v>177</v>
      </c>
      <c r="G35" s="178"/>
      <c r="H35" s="178"/>
    </row>
    <row r="36" spans="1:8" x14ac:dyDescent="0.25">
      <c r="A36" s="94" t="s">
        <v>32</v>
      </c>
      <c r="B36" s="94"/>
      <c r="C36" s="94"/>
      <c r="D36" s="94"/>
      <c r="E36" s="94"/>
      <c r="F36" s="94"/>
      <c r="G36" s="94"/>
      <c r="H36" s="94"/>
    </row>
    <row r="37" spans="1:8" ht="15.75" customHeight="1" x14ac:dyDescent="0.25">
      <c r="A37" s="174" t="s">
        <v>244</v>
      </c>
      <c r="B37" s="174"/>
      <c r="C37" s="66" t="s">
        <v>245</v>
      </c>
      <c r="D37" s="67"/>
      <c r="E37" s="67"/>
      <c r="F37" s="67"/>
      <c r="G37" s="67"/>
      <c r="H37" s="68"/>
    </row>
    <row r="38" spans="1:8" x14ac:dyDescent="0.25">
      <c r="A38" s="174" t="s">
        <v>163</v>
      </c>
      <c r="B38" s="174"/>
      <c r="C38" s="203" t="s">
        <v>172</v>
      </c>
      <c r="D38" s="204"/>
      <c r="E38" s="204"/>
      <c r="F38" s="204"/>
      <c r="G38" s="204"/>
      <c r="H38" s="204"/>
    </row>
    <row r="39" spans="1:8" x14ac:dyDescent="0.25">
      <c r="A39" s="167" t="s">
        <v>35</v>
      </c>
      <c r="B39" s="167"/>
      <c r="C39" s="167"/>
      <c r="D39" s="167"/>
      <c r="E39" s="167"/>
      <c r="F39" s="167"/>
      <c r="G39" s="167"/>
      <c r="H39" s="167"/>
    </row>
    <row r="40" spans="1:8" x14ac:dyDescent="0.25">
      <c r="A40" s="94" t="s">
        <v>36</v>
      </c>
      <c r="B40" s="94"/>
      <c r="C40" s="94"/>
      <c r="D40" s="94"/>
      <c r="E40" s="181">
        <v>8370.6630000000005</v>
      </c>
      <c r="F40" s="181"/>
      <c r="G40" s="181"/>
      <c r="H40" s="181"/>
    </row>
    <row r="41" spans="1:8" x14ac:dyDescent="0.25">
      <c r="A41" s="94" t="s">
        <v>37</v>
      </c>
      <c r="B41" s="94"/>
      <c r="C41" s="94"/>
      <c r="D41" s="94"/>
      <c r="E41" s="93">
        <f>9207.729/E40</f>
        <v>1.0999999641605449</v>
      </c>
      <c r="F41" s="93"/>
      <c r="G41" s="93"/>
      <c r="H41" s="93"/>
    </row>
    <row r="42" spans="1:8" x14ac:dyDescent="0.25">
      <c r="A42" s="94" t="s">
        <v>38</v>
      </c>
      <c r="B42" s="94"/>
      <c r="C42" s="94"/>
      <c r="D42" s="94"/>
      <c r="E42" s="93">
        <f>E44/E40-E41</f>
        <v>1.027440359264254</v>
      </c>
      <c r="F42" s="93"/>
      <c r="G42" s="93"/>
      <c r="H42" s="93"/>
    </row>
    <row r="43" spans="1:8" x14ac:dyDescent="0.25">
      <c r="A43" s="94" t="s">
        <v>39</v>
      </c>
      <c r="B43" s="94"/>
      <c r="C43" s="94"/>
      <c r="D43" s="94"/>
      <c r="E43" s="93">
        <f>E41+E42</f>
        <v>2.1274403234247989</v>
      </c>
      <c r="F43" s="93"/>
      <c r="G43" s="93"/>
      <c r="H43" s="93"/>
    </row>
    <row r="44" spans="1:8" x14ac:dyDescent="0.25">
      <c r="A44" s="94" t="s">
        <v>94</v>
      </c>
      <c r="B44" s="94"/>
      <c r="C44" s="94"/>
      <c r="D44" s="94"/>
      <c r="E44" s="193">
        <v>17808.085999999999</v>
      </c>
      <c r="F44" s="193"/>
      <c r="G44" s="193"/>
      <c r="H44" s="193"/>
    </row>
    <row r="45" spans="1:8" x14ac:dyDescent="0.25">
      <c r="A45" s="132" t="s">
        <v>40</v>
      </c>
      <c r="B45" s="132"/>
      <c r="C45" s="132"/>
      <c r="D45" s="132"/>
      <c r="E45" s="194" t="s">
        <v>247</v>
      </c>
      <c r="F45" s="194"/>
      <c r="G45" s="194"/>
      <c r="H45" s="194"/>
    </row>
    <row r="46" spans="1:8" x14ac:dyDescent="0.25">
      <c r="A46" s="167" t="s">
        <v>41</v>
      </c>
      <c r="B46" s="167"/>
      <c r="C46" s="167"/>
      <c r="D46" s="167"/>
      <c r="E46" s="167"/>
      <c r="F46" s="167"/>
      <c r="G46" s="167"/>
      <c r="H46" s="167"/>
    </row>
    <row r="47" spans="1:8" ht="33.75" customHeight="1" x14ac:dyDescent="0.25">
      <c r="A47" s="110" t="s">
        <v>152</v>
      </c>
      <c r="B47" s="111"/>
      <c r="C47" s="211" t="s">
        <v>197</v>
      </c>
      <c r="D47" s="212"/>
      <c r="E47" s="212"/>
      <c r="F47" s="212"/>
      <c r="G47" s="212"/>
      <c r="H47" s="213"/>
    </row>
    <row r="48" spans="1:8" ht="31.5" customHeight="1" x14ac:dyDescent="0.25">
      <c r="A48" s="110" t="s">
        <v>42</v>
      </c>
      <c r="B48" s="111"/>
      <c r="C48" s="110" t="s">
        <v>231</v>
      </c>
      <c r="D48" s="112"/>
      <c r="E48" s="111"/>
      <c r="F48" s="18" t="s">
        <v>43</v>
      </c>
      <c r="G48" s="185">
        <v>45105</v>
      </c>
      <c r="H48" s="111"/>
    </row>
    <row r="49" spans="1:14" ht="33" customHeight="1" x14ac:dyDescent="0.25">
      <c r="A49" s="110" t="s">
        <v>44</v>
      </c>
      <c r="B49" s="111"/>
      <c r="C49" s="110" t="s">
        <v>231</v>
      </c>
      <c r="D49" s="112"/>
      <c r="E49" s="111"/>
      <c r="F49" s="18" t="s">
        <v>43</v>
      </c>
      <c r="G49" s="185">
        <v>45105</v>
      </c>
      <c r="H49" s="111"/>
    </row>
    <row r="50" spans="1:14" s="23" customFormat="1" ht="35.25" customHeight="1" x14ac:dyDescent="0.25">
      <c r="A50" s="186" t="s">
        <v>156</v>
      </c>
      <c r="B50" s="187"/>
      <c r="C50" s="110" t="s">
        <v>229</v>
      </c>
      <c r="D50" s="112"/>
      <c r="E50" s="111"/>
      <c r="F50" s="18" t="s">
        <v>43</v>
      </c>
      <c r="G50" s="185">
        <v>45233</v>
      </c>
      <c r="H50" s="111"/>
    </row>
    <row r="51" spans="1:14" s="23" customFormat="1" ht="32.25" customHeight="1" x14ac:dyDescent="0.25">
      <c r="A51" s="188"/>
      <c r="B51" s="189"/>
      <c r="C51" s="110" t="s">
        <v>230</v>
      </c>
      <c r="D51" s="112"/>
      <c r="E51" s="112"/>
      <c r="F51" s="112"/>
      <c r="G51" s="112"/>
      <c r="H51" s="111"/>
    </row>
    <row r="52" spans="1:14" ht="34.5" customHeight="1" x14ac:dyDescent="0.25">
      <c r="A52" s="138" t="s">
        <v>225</v>
      </c>
      <c r="B52" s="139"/>
      <c r="C52" s="127" t="s">
        <v>243</v>
      </c>
      <c r="D52" s="128"/>
      <c r="E52" s="129"/>
      <c r="F52" s="58" t="s">
        <v>43</v>
      </c>
      <c r="G52" s="133">
        <v>45568</v>
      </c>
      <c r="H52" s="134"/>
    </row>
    <row r="53" spans="1:14" s="23" customFormat="1" ht="32.25" customHeight="1" x14ac:dyDescent="0.25">
      <c r="A53" s="140"/>
      <c r="B53" s="141"/>
      <c r="C53" s="135" t="s">
        <v>224</v>
      </c>
      <c r="D53" s="136"/>
      <c r="E53" s="136"/>
      <c r="F53" s="136"/>
      <c r="G53" s="136"/>
      <c r="H53" s="137"/>
    </row>
    <row r="54" spans="1:14" x14ac:dyDescent="0.25">
      <c r="A54" s="130" t="s">
        <v>46</v>
      </c>
      <c r="B54" s="130"/>
      <c r="C54" s="130"/>
      <c r="D54" s="130"/>
      <c r="E54" s="130"/>
      <c r="F54" s="130"/>
      <c r="G54" s="130"/>
      <c r="H54" s="130"/>
    </row>
    <row r="55" spans="1:14" x14ac:dyDescent="0.25">
      <c r="A55" s="131" t="s">
        <v>93</v>
      </c>
      <c r="B55" s="131"/>
      <c r="C55" s="131"/>
      <c r="D55" s="94">
        <f>E44</f>
        <v>17808.085999999999</v>
      </c>
      <c r="E55" s="94"/>
      <c r="F55" s="94"/>
      <c r="G55" s="94"/>
      <c r="H55" s="94"/>
    </row>
    <row r="56" spans="1:14" x14ac:dyDescent="0.25">
      <c r="A56" s="92" t="s">
        <v>47</v>
      </c>
      <c r="B56" s="132"/>
      <c r="C56" s="132"/>
      <c r="D56" s="132" t="s">
        <v>242</v>
      </c>
      <c r="E56" s="132"/>
      <c r="F56" s="132"/>
      <c r="G56" s="132"/>
      <c r="H56" s="132"/>
      <c r="I56" s="24"/>
    </row>
    <row r="57" spans="1:14" x14ac:dyDescent="0.25">
      <c r="A57" s="183" t="s">
        <v>48</v>
      </c>
      <c r="B57" s="184"/>
      <c r="C57" s="123"/>
      <c r="D57" s="115" t="s">
        <v>183</v>
      </c>
      <c r="E57" s="124"/>
      <c r="F57" s="124"/>
      <c r="G57" s="124"/>
      <c r="H57" s="124"/>
    </row>
    <row r="58" spans="1:14" ht="15.75" customHeight="1" x14ac:dyDescent="0.25">
      <c r="A58" s="92" t="s">
        <v>91</v>
      </c>
      <c r="B58" s="92"/>
      <c r="C58" s="92"/>
      <c r="D58" s="123" t="s">
        <v>232</v>
      </c>
      <c r="E58" s="124"/>
      <c r="F58" s="124"/>
      <c r="G58" s="124"/>
      <c r="H58" s="124"/>
    </row>
    <row r="59" spans="1:14" ht="15.75" customHeight="1" x14ac:dyDescent="0.25">
      <c r="A59" s="92"/>
      <c r="B59" s="92"/>
      <c r="C59" s="92"/>
      <c r="D59" s="125" t="s">
        <v>182</v>
      </c>
      <c r="E59" s="126"/>
      <c r="F59" s="126"/>
      <c r="G59" s="126"/>
      <c r="H59" s="126"/>
    </row>
    <row r="60" spans="1:14" x14ac:dyDescent="0.25">
      <c r="A60" s="92"/>
      <c r="B60" s="92"/>
      <c r="C60" s="92"/>
      <c r="D60" s="113" t="s">
        <v>213</v>
      </c>
      <c r="E60" s="114"/>
      <c r="F60" s="114"/>
      <c r="G60" s="114"/>
      <c r="H60" s="114"/>
    </row>
    <row r="61" spans="1:14" ht="32.25" customHeight="1" x14ac:dyDescent="0.25">
      <c r="A61" s="92"/>
      <c r="B61" s="92"/>
      <c r="C61" s="92"/>
      <c r="D61" s="113" t="s">
        <v>214</v>
      </c>
      <c r="E61" s="114"/>
      <c r="F61" s="114"/>
      <c r="G61" s="114"/>
      <c r="H61" s="114"/>
    </row>
    <row r="62" spans="1:14" ht="15.75" customHeight="1" x14ac:dyDescent="0.25">
      <c r="A62" s="94" t="s">
        <v>45</v>
      </c>
      <c r="B62" s="94"/>
      <c r="C62" s="94"/>
      <c r="D62" s="182" t="s">
        <v>179</v>
      </c>
      <c r="E62" s="182"/>
      <c r="F62" s="182"/>
      <c r="G62" s="182"/>
      <c r="H62" s="182"/>
      <c r="J62" s="25"/>
      <c r="K62" s="24"/>
      <c r="N62" s="24"/>
    </row>
    <row r="63" spans="1:14" ht="15.75" customHeight="1" x14ac:dyDescent="0.25">
      <c r="A63" s="94" t="s">
        <v>89</v>
      </c>
      <c r="B63" s="94"/>
      <c r="C63" s="94"/>
      <c r="D63" s="192" t="s">
        <v>226</v>
      </c>
      <c r="E63" s="192"/>
      <c r="F63" s="192"/>
      <c r="G63" s="192"/>
      <c r="H63" s="192"/>
      <c r="I63" s="21" t="str">
        <f ca="1">(IF(G52="NA","60 Years After Completion",IF(G52&lt;&gt;"NA",""&amp;60-ROUNDDOWN((E3-G52)/360,0)&amp;" Years"," ")))</f>
        <v>60 Years</v>
      </c>
      <c r="N63" s="24"/>
    </row>
    <row r="64" spans="1:14" ht="15.75" customHeight="1" x14ac:dyDescent="0.25">
      <c r="A64" s="94" t="s">
        <v>90</v>
      </c>
      <c r="B64" s="94"/>
      <c r="C64" s="94"/>
      <c r="D64" s="131" t="s">
        <v>24</v>
      </c>
      <c r="E64" s="131"/>
      <c r="F64" s="131"/>
      <c r="G64" s="131"/>
      <c r="H64" s="131"/>
      <c r="J64" s="26"/>
      <c r="K64" s="26"/>
    </row>
    <row r="65" spans="1:14" ht="15" hidden="1" customHeight="1" x14ac:dyDescent="0.25">
      <c r="A65" s="94" t="s">
        <v>76</v>
      </c>
      <c r="B65" s="94"/>
      <c r="C65" s="94"/>
      <c r="D65" s="92" t="s">
        <v>148</v>
      </c>
      <c r="E65" s="131"/>
      <c r="F65" s="131"/>
      <c r="G65" s="131"/>
      <c r="H65" s="131"/>
    </row>
    <row r="66" spans="1:14" x14ac:dyDescent="0.25">
      <c r="A66" s="131" t="s">
        <v>149</v>
      </c>
      <c r="B66" s="131"/>
      <c r="C66" s="131"/>
      <c r="D66" s="131" t="s">
        <v>30</v>
      </c>
      <c r="E66" s="131"/>
      <c r="F66" s="131"/>
      <c r="G66" s="131"/>
      <c r="H66" s="131"/>
      <c r="I66" s="27"/>
      <c r="J66" s="27"/>
      <c r="K66" s="27"/>
      <c r="L66" s="27"/>
      <c r="M66" s="27"/>
      <c r="N66" s="27"/>
    </row>
    <row r="67" spans="1:14" ht="15.75" customHeight="1" x14ac:dyDescent="0.25">
      <c r="A67" s="195" t="s">
        <v>88</v>
      </c>
      <c r="B67" s="195"/>
      <c r="C67" s="195"/>
      <c r="D67" s="115" t="str">
        <f ca="1">(IF(G89&gt;95%,"Nothing",IF(G89&gt;0%,"Cement, Aggregate, Steel, etc",IF(G89=0%,"Work not yet Started"))))</f>
        <v>Cement, Aggregate, Steel, etc</v>
      </c>
      <c r="E67" s="115"/>
      <c r="F67" s="115"/>
      <c r="G67" s="115"/>
      <c r="H67" s="115"/>
      <c r="J67" s="26"/>
    </row>
    <row r="68" spans="1:14" ht="33.75" customHeight="1" thickBot="1" x14ac:dyDescent="0.3">
      <c r="A68" s="162" t="s">
        <v>116</v>
      </c>
      <c r="B68" s="162"/>
      <c r="C68" s="162"/>
      <c r="D68" s="115" t="str">
        <f ca="1">(IF(D67="Nothing","Yes",IF(D67="Cement, Aggregate, Steel, etc","Under Construction",IF(D67="Work not yet Started","Work not yet Started"))))</f>
        <v>Under Construction</v>
      </c>
      <c r="E68" s="115"/>
      <c r="F68" s="115" t="str">
        <f ca="1">(IF(D67="Nothing","Yes",IF(D67="Cement, Aggregate, Steel, etc","Under Construction",IF(D67="Work not yet Started","Work not yet Started"))))</f>
        <v>Under Construction</v>
      </c>
      <c r="G68" s="115"/>
      <c r="H68" s="115"/>
    </row>
    <row r="69" spans="1:14" ht="33.75" customHeight="1" x14ac:dyDescent="0.25">
      <c r="A69" s="85" t="s">
        <v>140</v>
      </c>
      <c r="B69" s="86"/>
      <c r="C69" s="87" t="str">
        <f>D58</f>
        <v>Building No. 1 (Wing A &amp; B)  = G + 1st to 7th Floor
Building No. 2 (Wing A &amp; B)  = G + 1st to 7th Floor</v>
      </c>
      <c r="D69" s="88"/>
      <c r="E69" s="88"/>
      <c r="F69" s="88"/>
      <c r="G69" s="88"/>
      <c r="H69" s="89"/>
      <c r="I69" s="52" t="str">
        <f ca="1">IF(D84=100%,"All work Completed. Possession granted to the Building.",IF(D83=100%,"All work Completed, Waiting for OC",I70&amp;""&amp;I71&amp;""&amp;J70&amp;""&amp;J69&amp;" "&amp;J71))</f>
        <v>All work Completed. Possession granted to the Building.</v>
      </c>
      <c r="J69" s="42" t="str">
        <f ca="1">(IF(C77=(D70+F70+H70),"",IF(C77&gt;0,", RCC upto "&amp;C77&amp;" Slab","")))&amp;(IF(C78=H70,"",IF(C78&gt;0,", Brickwork upto "&amp;C78&amp;" Floor","")))&amp;(IF(C79=H70,"",IF(C79&gt;0,", Internal Plaster upto "&amp;C79&amp;" Floor","")))&amp;(IF(C80=H70,"",IF(C80&gt;0,", External Plaster upto "&amp;C80&amp;" Floor","")))&amp;(IF(C81=H70,"",IF(C81&gt;0,", Flooring upto "&amp;C81&amp;" Floor","")))&amp;(IF(C82=H70,"",IF(C82&gt;0,", Painting upto "&amp;C82&amp;" Floor","")))&amp;(IF(C83=H70,"",IF(C83&gt;0,", Finishing upto "&amp;C83&amp;" Floor","")))&amp;(IF(C84=H70,"",IF(C84&gt;0,", Possession upto "&amp;C84&amp;" Floor","")))</f>
        <v/>
      </c>
    </row>
    <row r="70" spans="1:14" x14ac:dyDescent="0.25">
      <c r="A70" s="16" t="s">
        <v>142</v>
      </c>
      <c r="B70" s="57">
        <v>0</v>
      </c>
      <c r="C70" s="57" t="s">
        <v>73</v>
      </c>
      <c r="D70" s="57">
        <v>1</v>
      </c>
      <c r="E70" s="57" t="s">
        <v>72</v>
      </c>
      <c r="F70" s="57">
        <v>0</v>
      </c>
      <c r="G70" s="57" t="s">
        <v>82</v>
      </c>
      <c r="H70" s="17">
        <f ca="1">--TRIM(RIGHT(SUBSTITUTE(LEFT(C69,_xlfn.AGGREGATE(16,6,FIND({0,1,2,3,4,5,6,7,8,9},C69,ROW(INDIRECT("1:"&amp;LEN(C69)))),1))," ",REPT(" ",LEN(C69))),LEN(C69)))</f>
        <v>7</v>
      </c>
      <c r="I70" s="43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Plinth, RCC Slab, Brickwork, Internal Plaster, External Plaster, Flooring, Painting, Building common Amenities</v>
      </c>
      <c r="J70" s="44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1" spans="1:14" x14ac:dyDescent="0.25">
      <c r="A71" s="90" t="s">
        <v>92</v>
      </c>
      <c r="B71" s="91"/>
      <c r="C71" s="82" t="str">
        <f>(IF($G$52="NA",I69,"All work Completed. OC Received."))</f>
        <v>All work Completed. OC Received.</v>
      </c>
      <c r="D71" s="82"/>
      <c r="E71" s="82"/>
      <c r="F71" s="82"/>
      <c r="G71" s="82"/>
      <c r="H71" s="83"/>
      <c r="I71" s="43" t="str">
        <f ca="1">IF(I70&lt;&gt;""," Completed","")</f>
        <v xml:space="preserve"> Completed</v>
      </c>
      <c r="J71" s="44" t="str">
        <f ca="1">IF(J69&lt;&gt;"","Completed","")</f>
        <v/>
      </c>
    </row>
    <row r="72" spans="1:14" s="37" customFormat="1" x14ac:dyDescent="0.25">
      <c r="A72" s="196" t="s">
        <v>87</v>
      </c>
      <c r="B72" s="197"/>
      <c r="C72" s="234">
        <v>1</v>
      </c>
      <c r="D72" s="235"/>
      <c r="E72" s="238" t="s">
        <v>86</v>
      </c>
      <c r="F72" s="235"/>
      <c r="G72" s="234">
        <v>1</v>
      </c>
      <c r="H72" s="239"/>
      <c r="I72" s="64"/>
      <c r="J72" s="65"/>
    </row>
    <row r="73" spans="1:14" s="37" customFormat="1" ht="16.5" thickBot="1" x14ac:dyDescent="0.3">
      <c r="A73" s="198"/>
      <c r="B73" s="199"/>
      <c r="C73" s="236"/>
      <c r="D73" s="237"/>
      <c r="E73" s="236"/>
      <c r="F73" s="237"/>
      <c r="G73" s="236"/>
      <c r="H73" s="240"/>
      <c r="I73" s="64"/>
      <c r="J73" s="65"/>
    </row>
    <row r="74" spans="1:14" ht="15.75" hidden="1" customHeight="1" x14ac:dyDescent="0.25">
      <c r="A74" s="105" t="s">
        <v>49</v>
      </c>
      <c r="B74" s="106"/>
      <c r="C74" s="53" t="s">
        <v>139</v>
      </c>
      <c r="D74" s="53" t="s">
        <v>85</v>
      </c>
      <c r="E74" s="106" t="s">
        <v>87</v>
      </c>
      <c r="F74" s="106"/>
      <c r="G74" s="106" t="s">
        <v>86</v>
      </c>
      <c r="H74" s="116"/>
      <c r="I74" s="14" t="s">
        <v>141</v>
      </c>
      <c r="J74" s="28">
        <f ca="1">H70*25%</f>
        <v>1.75</v>
      </c>
    </row>
    <row r="75" spans="1:14" hidden="1" x14ac:dyDescent="0.25">
      <c r="A75" s="105" t="s">
        <v>128</v>
      </c>
      <c r="B75" s="106"/>
      <c r="C75" s="53">
        <f ca="1">J76</f>
        <v>7</v>
      </c>
      <c r="D75" s="47">
        <f ca="1">((100/H70)*C75)/100</f>
        <v>1</v>
      </c>
      <c r="E75" s="117">
        <f ca="1">(((C76/H70*10)+(40/(D70+F70+H70)*C77)+(7.5/(H70)*C78)+(7.5/(H70)*C79)+(10/H70*C80)+(10/H70*C81)+(5/H70*C82)+(5/H70*C83)+(5/H70*C84))/100)</f>
        <v>1</v>
      </c>
      <c r="F75" s="118"/>
      <c r="G75" s="117">
        <f ca="1">((((C75/H70)*20)+((C76/H70)*25)+(30/(H70+F70+D70)*C77)+(5/H70*C78)+(5/H70*C79)+(5/H70*C80)+(5/H70*C81)+(0/H70*C82)+(0/H70*C83)+(5/H70*C84))/100)</f>
        <v>1</v>
      </c>
      <c r="H75" s="170"/>
      <c r="I75" s="14" t="s">
        <v>99</v>
      </c>
      <c r="J75" s="29">
        <f ca="1">H70*50%</f>
        <v>3.5</v>
      </c>
    </row>
    <row r="76" spans="1:14" hidden="1" x14ac:dyDescent="0.25">
      <c r="A76" s="105" t="s">
        <v>50</v>
      </c>
      <c r="B76" s="106"/>
      <c r="C76" s="53">
        <f ca="1">J84</f>
        <v>7</v>
      </c>
      <c r="D76" s="47">
        <f ca="1">((100/H70)*C76)/100</f>
        <v>1</v>
      </c>
      <c r="E76" s="119"/>
      <c r="F76" s="120"/>
      <c r="G76" s="119"/>
      <c r="H76" s="171"/>
      <c r="I76" s="14" t="s">
        <v>100</v>
      </c>
      <c r="J76" s="29">
        <f ca="1">H70</f>
        <v>7</v>
      </c>
    </row>
    <row r="77" spans="1:14" ht="15.75" hidden="1" customHeight="1" x14ac:dyDescent="0.25">
      <c r="A77" s="105" t="s">
        <v>129</v>
      </c>
      <c r="B77" s="106"/>
      <c r="C77" s="53">
        <v>8</v>
      </c>
      <c r="D77" s="47">
        <f ca="1">((100/(D70+F70+H70))*C77)/100</f>
        <v>1</v>
      </c>
      <c r="E77" s="119"/>
      <c r="F77" s="120"/>
      <c r="G77" s="119"/>
      <c r="H77" s="171"/>
      <c r="I77" s="14" t="s">
        <v>101</v>
      </c>
      <c r="J77" s="30">
        <f ca="1">(IF(B70&gt;1,(H70/(B70+2)),H70/4))</f>
        <v>1.75</v>
      </c>
    </row>
    <row r="78" spans="1:14" ht="15.75" hidden="1" customHeight="1" x14ac:dyDescent="0.25">
      <c r="A78" s="105" t="s">
        <v>136</v>
      </c>
      <c r="B78" s="106" t="s">
        <v>130</v>
      </c>
      <c r="C78" s="53">
        <v>7</v>
      </c>
      <c r="D78" s="47">
        <f ca="1">((100/H70)*C78)/100</f>
        <v>1</v>
      </c>
      <c r="E78" s="119"/>
      <c r="F78" s="120"/>
      <c r="G78" s="119"/>
      <c r="H78" s="171"/>
      <c r="I78" s="14" t="s">
        <v>102</v>
      </c>
      <c r="J78" s="30">
        <f ca="1">(IF(B70&gt;1,(H70/(B70+2)+J77),H70/4+J77))</f>
        <v>3.5</v>
      </c>
    </row>
    <row r="79" spans="1:14" ht="15.75" hidden="1" customHeight="1" x14ac:dyDescent="0.25">
      <c r="A79" s="105" t="s">
        <v>137</v>
      </c>
      <c r="B79" s="106" t="s">
        <v>130</v>
      </c>
      <c r="C79" s="53">
        <v>7</v>
      </c>
      <c r="D79" s="47">
        <f ca="1">((100/H70)*C79)/100</f>
        <v>1</v>
      </c>
      <c r="E79" s="119"/>
      <c r="F79" s="120"/>
      <c r="G79" s="119"/>
      <c r="H79" s="171"/>
      <c r="I79" s="14" t="s">
        <v>146</v>
      </c>
      <c r="J79" s="30">
        <f>(IF(B70&gt;1,(H70/(B70+2)+J78),0))</f>
        <v>0</v>
      </c>
    </row>
    <row r="80" spans="1:14" ht="15" hidden="1" customHeight="1" x14ac:dyDescent="0.25">
      <c r="A80" s="105" t="s">
        <v>135</v>
      </c>
      <c r="B80" s="106" t="s">
        <v>132</v>
      </c>
      <c r="C80" s="50">
        <v>7</v>
      </c>
      <c r="D80" s="47">
        <f ca="1">((100/(H70))*C80)/100</f>
        <v>1</v>
      </c>
      <c r="E80" s="119"/>
      <c r="F80" s="120"/>
      <c r="G80" s="119"/>
      <c r="H80" s="171"/>
      <c r="I80" s="14" t="s">
        <v>143</v>
      </c>
      <c r="J80" s="30">
        <f>(IF(B70&gt;2,(H70/(B70+2)+J79),0))</f>
        <v>0</v>
      </c>
    </row>
    <row r="81" spans="1:10" ht="15.75" hidden="1" customHeight="1" x14ac:dyDescent="0.25">
      <c r="A81" s="105" t="s">
        <v>131</v>
      </c>
      <c r="B81" s="106" t="s">
        <v>131</v>
      </c>
      <c r="C81" s="53">
        <v>7</v>
      </c>
      <c r="D81" s="47">
        <f ca="1">((100/H70)*C81)/100</f>
        <v>1</v>
      </c>
      <c r="E81" s="119"/>
      <c r="F81" s="120"/>
      <c r="G81" s="119"/>
      <c r="H81" s="171"/>
      <c r="I81" s="14" t="s">
        <v>144</v>
      </c>
      <c r="J81" s="31">
        <f>(IF(B70&gt;3,(H70/(B70+2)+J80),0))</f>
        <v>0</v>
      </c>
    </row>
    <row r="82" spans="1:10" ht="15.75" hidden="1" customHeight="1" x14ac:dyDescent="0.25">
      <c r="A82" s="105" t="s">
        <v>138</v>
      </c>
      <c r="B82" s="106"/>
      <c r="C82" s="53">
        <v>7</v>
      </c>
      <c r="D82" s="47">
        <f ca="1">((100/H70)*C82)/100</f>
        <v>1</v>
      </c>
      <c r="E82" s="119"/>
      <c r="F82" s="120"/>
      <c r="G82" s="119"/>
      <c r="H82" s="171"/>
      <c r="I82" s="14" t="s">
        <v>145</v>
      </c>
      <c r="J82" s="30">
        <f>(IF(B70&gt;4,(H70/(B70+2)+J81),0))</f>
        <v>0</v>
      </c>
    </row>
    <row r="83" spans="1:10" ht="15.75" hidden="1" customHeight="1" x14ac:dyDescent="0.25">
      <c r="A83" s="105" t="s">
        <v>133</v>
      </c>
      <c r="B83" s="106" t="s">
        <v>133</v>
      </c>
      <c r="C83" s="53">
        <v>7</v>
      </c>
      <c r="D83" s="47">
        <f ca="1">((100/(H70))*C83)/100</f>
        <v>1</v>
      </c>
      <c r="E83" s="119"/>
      <c r="F83" s="120"/>
      <c r="G83" s="119"/>
      <c r="H83" s="171"/>
      <c r="I83" s="14" t="s">
        <v>147</v>
      </c>
      <c r="J83" s="30">
        <f ca="1">(IF(B70=1,(H70/(B70+3)+J78),IF(B70=0,(H70/4+J78),IF(B70&gt;1,0))))</f>
        <v>5.25</v>
      </c>
    </row>
    <row r="84" spans="1:10" ht="16.5" hidden="1" thickBot="1" x14ac:dyDescent="0.3">
      <c r="A84" s="190" t="s">
        <v>134</v>
      </c>
      <c r="B84" s="191"/>
      <c r="C84" s="56">
        <v>7</v>
      </c>
      <c r="D84" s="48">
        <f ca="1">((100/(H70))*C84)/100</f>
        <v>1</v>
      </c>
      <c r="E84" s="121"/>
      <c r="F84" s="122"/>
      <c r="G84" s="121"/>
      <c r="H84" s="172"/>
      <c r="I84" s="15" t="s">
        <v>103</v>
      </c>
      <c r="J84" s="32">
        <f ca="1">(IF(B70&gt;1.5,(H70/(B70+2)+J78+MAX(0,J79-J78)+MAX(0,J80-J79)+MAX(0,J81-J80)+MAX(0,J82-J81)+MAX(0,J83-J82)),IF(B70=1,(H70/(B70+3)+J83),IF(B70=0,H70/4+J83))))</f>
        <v>7</v>
      </c>
    </row>
    <row r="85" spans="1:10" x14ac:dyDescent="0.25">
      <c r="A85" s="85" t="s">
        <v>140</v>
      </c>
      <c r="B85" s="86"/>
      <c r="C85" s="87" t="s">
        <v>248</v>
      </c>
      <c r="D85" s="88"/>
      <c r="E85" s="88"/>
      <c r="F85" s="88"/>
      <c r="G85" s="88"/>
      <c r="H85" s="89"/>
      <c r="I85" s="52" t="str">
        <f ca="1">IF(D98=100%,"All work Completed. Possession granted to the Building.",IF(D97=100%,"All work Completed, Waiting for OC",I86&amp;""&amp;I87&amp;""&amp;J86&amp;""&amp;J85&amp;" "&amp;J87))</f>
        <v>Excavation, Plinth, RCC Slab, Brickwork Completed, Internal Plaster upto 6 Floor, External Plaster upto 6 Floor Completed</v>
      </c>
      <c r="J85" s="42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Internal Plaster upto 6 Floor, External Plaster upto 6 Floor</v>
      </c>
    </row>
    <row r="86" spans="1:10" x14ac:dyDescent="0.25">
      <c r="A86" s="16" t="s">
        <v>142</v>
      </c>
      <c r="B86" s="57">
        <v>0</v>
      </c>
      <c r="C86" s="57" t="s">
        <v>73</v>
      </c>
      <c r="D86" s="57">
        <v>1</v>
      </c>
      <c r="E86" s="57" t="s">
        <v>72</v>
      </c>
      <c r="F86" s="57">
        <v>0</v>
      </c>
      <c r="G86" s="57" t="s">
        <v>82</v>
      </c>
      <c r="H86" s="17">
        <f ca="1">--TRIM(RIGHT(SUBSTITUTE(LEFT(C85,_xlfn.AGGREGATE(16,6,FIND({0,1,2,3,4,5,6,7,8,9},C85,ROW(INDIRECT("1:"&amp;LEN(C85)))),1))," ",REPT(" ",LEN(C85))),LEN(C85)))</f>
        <v>7</v>
      </c>
      <c r="I86" s="43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</v>
      </c>
      <c r="J86" s="44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3.6" customHeight="1" x14ac:dyDescent="0.25">
      <c r="A87" s="90" t="s">
        <v>92</v>
      </c>
      <c r="B87" s="91"/>
      <c r="C87" s="82" t="str">
        <f ca="1">I85</f>
        <v>Excavation, Plinth, RCC Slab, Brickwork Completed, Internal Plaster upto 6 Floor, External Plaster upto 6 Floor Completed</v>
      </c>
      <c r="D87" s="82"/>
      <c r="E87" s="82"/>
      <c r="F87" s="82"/>
      <c r="G87" s="82"/>
      <c r="H87" s="83"/>
      <c r="I87" s="43" t="str">
        <f ca="1">IF(I86&lt;&gt;""," Completed","")</f>
        <v xml:space="preserve"> Completed</v>
      </c>
      <c r="J87" s="44" t="str">
        <f ca="1">IF(J85&lt;&gt;"","Completed","")</f>
        <v>Completed</v>
      </c>
    </row>
    <row r="88" spans="1:10" ht="15.75" customHeight="1" x14ac:dyDescent="0.25">
      <c r="A88" s="69" t="s">
        <v>49</v>
      </c>
      <c r="B88" s="70"/>
      <c r="C88" s="54" t="s">
        <v>139</v>
      </c>
      <c r="D88" s="54" t="s">
        <v>85</v>
      </c>
      <c r="E88" s="70" t="s">
        <v>87</v>
      </c>
      <c r="F88" s="70"/>
      <c r="G88" s="70" t="s">
        <v>86</v>
      </c>
      <c r="H88" s="84"/>
      <c r="I88" s="14" t="s">
        <v>141</v>
      </c>
      <c r="J88" s="28">
        <f ca="1">H86*25%</f>
        <v>1.75</v>
      </c>
    </row>
    <row r="89" spans="1:10" x14ac:dyDescent="0.25">
      <c r="A89" s="69" t="s">
        <v>128</v>
      </c>
      <c r="B89" s="70"/>
      <c r="C89" s="54">
        <v>7</v>
      </c>
      <c r="D89" s="19">
        <f ca="1">((100/H86)*C89)/100</f>
        <v>1</v>
      </c>
      <c r="E89" s="71">
        <f ca="1">(((C90/H86*10)+(40/(D86+F86+H86)*C91)+(7.5/(H86)*C92)+(7.5/(H86)*C93)+(10/H86*C94)+(10/H86*C95)+(5/H86*C96)+(5/H86*C97)+(5/H86*C98))/100)</f>
        <v>0.72499999999999998</v>
      </c>
      <c r="F89" s="72"/>
      <c r="G89" s="71">
        <f ca="1">((((C89/H86)*20)+((C90/H86)*25)+(30/(H86+F86+D86)*C91)+(5/H86*C92)+(5/H86*C93)+(5/H86*C94)+(5/H86*C95)+(0/H86*C96)+(0/H86*C97)+(5/H86*C98))/100)</f>
        <v>0.88571428571428579</v>
      </c>
      <c r="H89" s="77"/>
      <c r="I89" s="14" t="s">
        <v>99</v>
      </c>
      <c r="J89" s="29">
        <f ca="1">H86*50%</f>
        <v>3.5</v>
      </c>
    </row>
    <row r="90" spans="1:10" x14ac:dyDescent="0.25">
      <c r="A90" s="69" t="s">
        <v>50</v>
      </c>
      <c r="B90" s="70"/>
      <c r="C90" s="60">
        <v>7</v>
      </c>
      <c r="D90" s="19">
        <f ca="1">((100/H86)*C90)/100</f>
        <v>1</v>
      </c>
      <c r="E90" s="73"/>
      <c r="F90" s="74"/>
      <c r="G90" s="73"/>
      <c r="H90" s="78"/>
      <c r="I90" s="14" t="s">
        <v>100</v>
      </c>
      <c r="J90" s="29">
        <f ca="1">H86</f>
        <v>7</v>
      </c>
    </row>
    <row r="91" spans="1:10" ht="15.75" customHeight="1" x14ac:dyDescent="0.25">
      <c r="A91" s="69" t="s">
        <v>129</v>
      </c>
      <c r="B91" s="70"/>
      <c r="C91" s="54">
        <v>8</v>
      </c>
      <c r="D91" s="19">
        <f ca="1">((100/(D86+F86+H86))*C91)/100</f>
        <v>1</v>
      </c>
      <c r="E91" s="73"/>
      <c r="F91" s="74"/>
      <c r="G91" s="73"/>
      <c r="H91" s="78"/>
      <c r="I91" s="14" t="s">
        <v>101</v>
      </c>
      <c r="J91" s="30">
        <f ca="1">(IF(B86&gt;1,(H86/(B86+2)),H86/4))</f>
        <v>1.75</v>
      </c>
    </row>
    <row r="92" spans="1:10" ht="15.75" customHeight="1" x14ac:dyDescent="0.25">
      <c r="A92" s="69" t="s">
        <v>136</v>
      </c>
      <c r="B92" s="70" t="s">
        <v>130</v>
      </c>
      <c r="C92" s="54">
        <v>7</v>
      </c>
      <c r="D92" s="19">
        <f ca="1">((100/H86)*C92)/100</f>
        <v>1</v>
      </c>
      <c r="E92" s="73"/>
      <c r="F92" s="74"/>
      <c r="G92" s="73"/>
      <c r="H92" s="78"/>
      <c r="I92" s="14" t="s">
        <v>102</v>
      </c>
      <c r="J92" s="30">
        <f ca="1">(IF(B86&gt;1,(H86/(B86+2)+J91),H86/4+J91))</f>
        <v>3.5</v>
      </c>
    </row>
    <row r="93" spans="1:10" ht="15.75" customHeight="1" x14ac:dyDescent="0.25">
      <c r="A93" s="69" t="s">
        <v>137</v>
      </c>
      <c r="B93" s="70" t="s">
        <v>130</v>
      </c>
      <c r="C93" s="54">
        <v>6</v>
      </c>
      <c r="D93" s="19">
        <f ca="1">((100/H86)*C93)/100</f>
        <v>0.85714285714285721</v>
      </c>
      <c r="E93" s="73"/>
      <c r="F93" s="74"/>
      <c r="G93" s="73"/>
      <c r="H93" s="78"/>
      <c r="I93" s="14" t="s">
        <v>146</v>
      </c>
      <c r="J93" s="30">
        <f>(IF(B86&gt;1,(H86/(B86+2)+J92),0))</f>
        <v>0</v>
      </c>
    </row>
    <row r="94" spans="1:10" ht="15" customHeight="1" x14ac:dyDescent="0.25">
      <c r="A94" s="69" t="s">
        <v>135</v>
      </c>
      <c r="B94" s="70" t="s">
        <v>132</v>
      </c>
      <c r="C94" s="54">
        <v>6</v>
      </c>
      <c r="D94" s="19">
        <f ca="1">((100/(H86))*C94)/100</f>
        <v>0.85714285714285721</v>
      </c>
      <c r="E94" s="73"/>
      <c r="F94" s="74"/>
      <c r="G94" s="73"/>
      <c r="H94" s="78"/>
      <c r="I94" s="14" t="s">
        <v>143</v>
      </c>
      <c r="J94" s="30">
        <f>(IF(B86&gt;2,(H86/(B86+2)+J93),0))</f>
        <v>0</v>
      </c>
    </row>
    <row r="95" spans="1:10" ht="15.75" customHeight="1" x14ac:dyDescent="0.25">
      <c r="A95" s="69" t="s">
        <v>131</v>
      </c>
      <c r="B95" s="70" t="s">
        <v>131</v>
      </c>
      <c r="C95" s="54">
        <v>0</v>
      </c>
      <c r="D95" s="19">
        <f ca="1">((100/H86)*C95)/100</f>
        <v>0</v>
      </c>
      <c r="E95" s="73"/>
      <c r="F95" s="74"/>
      <c r="G95" s="73"/>
      <c r="H95" s="78"/>
      <c r="I95" s="14" t="s">
        <v>144</v>
      </c>
      <c r="J95" s="31">
        <f>(IF(B86&gt;3,(H86/(B86+2)+J94),0))</f>
        <v>0</v>
      </c>
    </row>
    <row r="96" spans="1:10" ht="15.75" customHeight="1" x14ac:dyDescent="0.25">
      <c r="A96" s="69" t="s">
        <v>138</v>
      </c>
      <c r="B96" s="70"/>
      <c r="C96" s="54">
        <v>0</v>
      </c>
      <c r="D96" s="19">
        <f ca="1">((100/H86)*C96)/100</f>
        <v>0</v>
      </c>
      <c r="E96" s="73"/>
      <c r="F96" s="74"/>
      <c r="G96" s="73"/>
      <c r="H96" s="78"/>
      <c r="I96" s="14" t="s">
        <v>145</v>
      </c>
      <c r="J96" s="30">
        <f>(IF(B86&gt;4,(H86/(B86+2)+J95),0))</f>
        <v>0</v>
      </c>
    </row>
    <row r="97" spans="1:10" ht="15.75" customHeight="1" x14ac:dyDescent="0.25">
      <c r="A97" s="69" t="s">
        <v>133</v>
      </c>
      <c r="B97" s="70" t="s">
        <v>133</v>
      </c>
      <c r="C97" s="54">
        <v>0</v>
      </c>
      <c r="D97" s="19">
        <f ca="1">((100/(H86))*C97)/100</f>
        <v>0</v>
      </c>
      <c r="E97" s="73"/>
      <c r="F97" s="74"/>
      <c r="G97" s="73"/>
      <c r="H97" s="78"/>
      <c r="I97" s="14" t="s">
        <v>147</v>
      </c>
      <c r="J97" s="30">
        <f ca="1">(IF(B86=1,(H86/(B86+3)+J92),IF(B86=0,(H86/4+J92),IF(B86&gt;1,0))))</f>
        <v>5.25</v>
      </c>
    </row>
    <row r="98" spans="1:10" ht="16.5" thickBot="1" x14ac:dyDescent="0.3">
      <c r="A98" s="80" t="s">
        <v>134</v>
      </c>
      <c r="B98" s="81"/>
      <c r="C98" s="59">
        <v>0</v>
      </c>
      <c r="D98" s="20">
        <f ca="1">((100/(H86))*C98)/100</f>
        <v>0</v>
      </c>
      <c r="E98" s="75"/>
      <c r="F98" s="76"/>
      <c r="G98" s="75"/>
      <c r="H98" s="79"/>
      <c r="I98" s="15" t="s">
        <v>103</v>
      </c>
      <c r="J98" s="32">
        <f ca="1">(IF(B86&gt;1.5,(H86/(B86+2)+J92+MAX(0,J93-J92)+MAX(0,J94-J93)+MAX(0,J95-J94)+MAX(0,J96-J95)+MAX(0,J97-J96)),IF(B86=1,(H86/(B86+3)+J97),IF(B86=0,H86/4+J97))))</f>
        <v>7</v>
      </c>
    </row>
    <row r="99" spans="1:10" x14ac:dyDescent="0.25">
      <c r="A99" s="85" t="s">
        <v>140</v>
      </c>
      <c r="B99" s="86"/>
      <c r="C99" s="87" t="s">
        <v>219</v>
      </c>
      <c r="D99" s="88"/>
      <c r="E99" s="88"/>
      <c r="F99" s="88"/>
      <c r="G99" s="88"/>
      <c r="H99" s="89"/>
      <c r="I99" s="52" t="str">
        <f ca="1">IF(D112=100%,"All work Completed. Possession granted to the Building.",IF(D111=100%,"All work Completed, Waiting for OC",I100&amp;""&amp;I101&amp;""&amp;J100&amp;""&amp;J99&amp;" "&amp;J101))</f>
        <v>Excavation, Plinth, RCC Slab, Brickwork Completed, Internal Plaster upto 5 Floor Completed</v>
      </c>
      <c r="J99" s="42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Internal Plaster upto 5 Floor</v>
      </c>
    </row>
    <row r="100" spans="1:10" x14ac:dyDescent="0.25">
      <c r="A100" s="16" t="s">
        <v>142</v>
      </c>
      <c r="B100" s="57">
        <v>0</v>
      </c>
      <c r="C100" s="57" t="s">
        <v>73</v>
      </c>
      <c r="D100" s="57">
        <v>1</v>
      </c>
      <c r="E100" s="57" t="s">
        <v>72</v>
      </c>
      <c r="F100" s="57">
        <v>0</v>
      </c>
      <c r="G100" s="57" t="s">
        <v>82</v>
      </c>
      <c r="H100" s="17">
        <f ca="1">--TRIM(RIGHT(SUBSTITUTE(LEFT(C99,_xlfn.AGGREGATE(16,6,FIND({0,1,2,3,4,5,6,7,8,9},C99,ROW(INDIRECT("1:"&amp;LEN(C99)))),1))," ",REPT(" ",LEN(C99))),LEN(C99)))</f>
        <v>7</v>
      </c>
      <c r="I100" s="43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</v>
      </c>
      <c r="J100" s="44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16.5" customHeight="1" x14ac:dyDescent="0.25">
      <c r="A101" s="90" t="s">
        <v>92</v>
      </c>
      <c r="B101" s="91"/>
      <c r="C101" s="82" t="str">
        <f ca="1">I99</f>
        <v>Excavation, Plinth, RCC Slab, Brickwork Completed, Internal Plaster upto 5 Floor Completed</v>
      </c>
      <c r="D101" s="82"/>
      <c r="E101" s="82"/>
      <c r="F101" s="82"/>
      <c r="G101" s="82"/>
      <c r="H101" s="83"/>
      <c r="I101" s="43" t="str">
        <f ca="1">IF(I100&lt;&gt;""," Completed","")</f>
        <v xml:space="preserve"> Completed</v>
      </c>
      <c r="J101" s="44" t="str">
        <f ca="1">IF(J99&lt;&gt;"","Completed","")</f>
        <v>Completed</v>
      </c>
    </row>
    <row r="102" spans="1:10" ht="15.75" customHeight="1" x14ac:dyDescent="0.25">
      <c r="A102" s="69" t="s">
        <v>49</v>
      </c>
      <c r="B102" s="70"/>
      <c r="C102" s="54" t="s">
        <v>139</v>
      </c>
      <c r="D102" s="54" t="s">
        <v>85</v>
      </c>
      <c r="E102" s="70" t="s">
        <v>87</v>
      </c>
      <c r="F102" s="70"/>
      <c r="G102" s="70" t="s">
        <v>86</v>
      </c>
      <c r="H102" s="84"/>
      <c r="I102" s="14" t="s">
        <v>141</v>
      </c>
      <c r="J102" s="28">
        <f ca="1">H100*25%</f>
        <v>1.75</v>
      </c>
    </row>
    <row r="103" spans="1:10" x14ac:dyDescent="0.25">
      <c r="A103" s="69" t="s">
        <v>128</v>
      </c>
      <c r="B103" s="70"/>
      <c r="C103" s="54">
        <v>7</v>
      </c>
      <c r="D103" s="19">
        <f ca="1">((100/H100)*C103)/100</f>
        <v>1</v>
      </c>
      <c r="E103" s="71">
        <f ca="1">(((C104/H100*10)+(40/(D100+F100+H100)*C105)+(7.5/(H100)*C106)+(7.5/(H100)*C107)+(10/H100*C108)+(10/H100*C109)+(5/H100*C110)+(5/H100*C111)+(5/H100*C112))/100)</f>
        <v>0.62857142857142856</v>
      </c>
      <c r="F103" s="72"/>
      <c r="G103" s="71">
        <f ca="1">((((C103/H100)*20)+((C104/H100)*25)+(30/(H100+F100+D100)*C105)+(5/H100*C106)+(5/H100*C107)+(5/H100*C108)+(5/H100*C109)+(0/H100*C110)+(0/H100*C111)+(5/H100*C112))/100)</f>
        <v>0.83571428571428574</v>
      </c>
      <c r="H103" s="77"/>
      <c r="I103" s="14" t="s">
        <v>99</v>
      </c>
      <c r="J103" s="29">
        <f ca="1">H100*50%</f>
        <v>3.5</v>
      </c>
    </row>
    <row r="104" spans="1:10" x14ac:dyDescent="0.25">
      <c r="A104" s="69" t="s">
        <v>50</v>
      </c>
      <c r="B104" s="70"/>
      <c r="C104" s="60">
        <v>7</v>
      </c>
      <c r="D104" s="19">
        <f ca="1">((100/H100)*C104)/100</f>
        <v>1</v>
      </c>
      <c r="E104" s="73"/>
      <c r="F104" s="74"/>
      <c r="G104" s="73"/>
      <c r="H104" s="78"/>
      <c r="I104" s="14" t="s">
        <v>100</v>
      </c>
      <c r="J104" s="29">
        <f ca="1">H100</f>
        <v>7</v>
      </c>
    </row>
    <row r="105" spans="1:10" ht="15.75" customHeight="1" x14ac:dyDescent="0.25">
      <c r="A105" s="69" t="s">
        <v>129</v>
      </c>
      <c r="B105" s="70"/>
      <c r="C105" s="54">
        <v>8</v>
      </c>
      <c r="D105" s="19">
        <f ca="1">((100/(D100+F100+H100))*C105)/100</f>
        <v>1</v>
      </c>
      <c r="E105" s="73"/>
      <c r="F105" s="74"/>
      <c r="G105" s="73"/>
      <c r="H105" s="78"/>
      <c r="I105" s="14" t="s">
        <v>101</v>
      </c>
      <c r="J105" s="30">
        <f ca="1">(IF(B100&gt;1,(H100/(B100+2)),H100/4))</f>
        <v>1.75</v>
      </c>
    </row>
    <row r="106" spans="1:10" ht="15.75" customHeight="1" x14ac:dyDescent="0.25">
      <c r="A106" s="69" t="s">
        <v>136</v>
      </c>
      <c r="B106" s="70" t="s">
        <v>130</v>
      </c>
      <c r="C106" s="54">
        <v>7</v>
      </c>
      <c r="D106" s="19">
        <f ca="1">((100/H100)*C106)/100</f>
        <v>1</v>
      </c>
      <c r="E106" s="73"/>
      <c r="F106" s="74"/>
      <c r="G106" s="73"/>
      <c r="H106" s="78"/>
      <c r="I106" s="14" t="s">
        <v>102</v>
      </c>
      <c r="J106" s="30">
        <f ca="1">(IF(B100&gt;1,(H100/(B100+2)+J105),H100/4+J105))</f>
        <v>3.5</v>
      </c>
    </row>
    <row r="107" spans="1:10" ht="15.75" customHeight="1" x14ac:dyDescent="0.25">
      <c r="A107" s="69" t="s">
        <v>137</v>
      </c>
      <c r="B107" s="70" t="s">
        <v>130</v>
      </c>
      <c r="C107" s="54">
        <v>5</v>
      </c>
      <c r="D107" s="19">
        <f ca="1">((100/H100)*C107)/100</f>
        <v>0.7142857142857143</v>
      </c>
      <c r="E107" s="73"/>
      <c r="F107" s="74"/>
      <c r="G107" s="73"/>
      <c r="H107" s="78"/>
      <c r="I107" s="14" t="s">
        <v>146</v>
      </c>
      <c r="J107" s="30">
        <f>(IF(B100&gt;1,(H100/(B100+2)+J106),0))</f>
        <v>0</v>
      </c>
    </row>
    <row r="108" spans="1:10" ht="15" customHeight="1" x14ac:dyDescent="0.25">
      <c r="A108" s="69" t="s">
        <v>135</v>
      </c>
      <c r="B108" s="70" t="s">
        <v>132</v>
      </c>
      <c r="C108" s="54">
        <v>0</v>
      </c>
      <c r="D108" s="19">
        <f ca="1">((100/(H100))*C108)/100</f>
        <v>0</v>
      </c>
      <c r="E108" s="73"/>
      <c r="F108" s="74"/>
      <c r="G108" s="73"/>
      <c r="H108" s="78"/>
      <c r="I108" s="14" t="s">
        <v>143</v>
      </c>
      <c r="J108" s="30">
        <f>(IF(B100&gt;2,(H100/(B100+2)+J107),0))</f>
        <v>0</v>
      </c>
    </row>
    <row r="109" spans="1:10" ht="15.75" customHeight="1" x14ac:dyDescent="0.25">
      <c r="A109" s="69" t="s">
        <v>131</v>
      </c>
      <c r="B109" s="70" t="s">
        <v>131</v>
      </c>
      <c r="C109" s="54">
        <v>0</v>
      </c>
      <c r="D109" s="19">
        <f ca="1">((100/H100)*C109)/100</f>
        <v>0</v>
      </c>
      <c r="E109" s="73"/>
      <c r="F109" s="74"/>
      <c r="G109" s="73"/>
      <c r="H109" s="78"/>
      <c r="I109" s="14" t="s">
        <v>144</v>
      </c>
      <c r="J109" s="31">
        <f>(IF(B100&gt;3,(H100/(B100+2)+J108),0))</f>
        <v>0</v>
      </c>
    </row>
    <row r="110" spans="1:10" ht="15.75" customHeight="1" x14ac:dyDescent="0.25">
      <c r="A110" s="69" t="s">
        <v>138</v>
      </c>
      <c r="B110" s="70"/>
      <c r="C110" s="54">
        <v>0</v>
      </c>
      <c r="D110" s="19">
        <f ca="1">((100/H100)*C110)/100</f>
        <v>0</v>
      </c>
      <c r="E110" s="73"/>
      <c r="F110" s="74"/>
      <c r="G110" s="73"/>
      <c r="H110" s="78"/>
      <c r="I110" s="14" t="s">
        <v>145</v>
      </c>
      <c r="J110" s="30">
        <f>(IF(B100&gt;4,(H100/(B100+2)+J109),0))</f>
        <v>0</v>
      </c>
    </row>
    <row r="111" spans="1:10" ht="15.75" customHeight="1" x14ac:dyDescent="0.25">
      <c r="A111" s="69" t="s">
        <v>133</v>
      </c>
      <c r="B111" s="70" t="s">
        <v>133</v>
      </c>
      <c r="C111" s="54">
        <v>0</v>
      </c>
      <c r="D111" s="19">
        <f ca="1">((100/(H100))*C111)/100</f>
        <v>0</v>
      </c>
      <c r="E111" s="73"/>
      <c r="F111" s="74"/>
      <c r="G111" s="73"/>
      <c r="H111" s="78"/>
      <c r="I111" s="14" t="s">
        <v>147</v>
      </c>
      <c r="J111" s="30">
        <f ca="1">(IF(B100=1,(H100/(B100+3)+J106),IF(B100=0,(H100/4+J106),IF(B100&gt;1,0))))</f>
        <v>5.25</v>
      </c>
    </row>
    <row r="112" spans="1:10" ht="16.5" thickBot="1" x14ac:dyDescent="0.3">
      <c r="A112" s="80" t="s">
        <v>134</v>
      </c>
      <c r="B112" s="81"/>
      <c r="C112" s="59">
        <v>0</v>
      </c>
      <c r="D112" s="20">
        <f ca="1">((100/(H100))*C112)/100</f>
        <v>0</v>
      </c>
      <c r="E112" s="75"/>
      <c r="F112" s="76"/>
      <c r="G112" s="75"/>
      <c r="H112" s="79"/>
      <c r="I112" s="15" t="s">
        <v>103</v>
      </c>
      <c r="J112" s="32">
        <f ca="1">(IF(B100&gt;1.5,(H100/(B100+2)+J106+MAX(0,J107-J106)+MAX(0,J108-J107)+MAX(0,J109-J108)+MAX(0,J110-J109)+MAX(0,J111-J110)),IF(B100=1,(H100/(B100+3)+J111),IF(B100=0,H100/4+J111))))</f>
        <v>7</v>
      </c>
    </row>
    <row r="113" spans="1:15" x14ac:dyDescent="0.25">
      <c r="A113" s="85" t="s">
        <v>140</v>
      </c>
      <c r="B113" s="86"/>
      <c r="C113" s="87" t="s">
        <v>217</v>
      </c>
      <c r="D113" s="88"/>
      <c r="E113" s="88"/>
      <c r="F113" s="88"/>
      <c r="G113" s="88"/>
      <c r="H113" s="89"/>
      <c r="I113" s="52" t="str">
        <f ca="1">IF(D126=100%,"All work Completed. Possession granted to the Building.",IF(D125=100%,"All work Completed, Waiting for OC",I114&amp;""&amp;I115&amp;""&amp;J114&amp;""&amp;J113&amp;" "&amp;J115))</f>
        <v xml:space="preserve">Excavation, Plinth, RCC Slab, Brickwork Completed </v>
      </c>
      <c r="J113" s="42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/>
      </c>
    </row>
    <row r="114" spans="1:15" x14ac:dyDescent="0.25">
      <c r="A114" s="16" t="s">
        <v>142</v>
      </c>
      <c r="B114" s="57">
        <v>0</v>
      </c>
      <c r="C114" s="57" t="s">
        <v>73</v>
      </c>
      <c r="D114" s="57">
        <v>1</v>
      </c>
      <c r="E114" s="57" t="s">
        <v>72</v>
      </c>
      <c r="F114" s="57">
        <v>0</v>
      </c>
      <c r="G114" s="57" t="s">
        <v>82</v>
      </c>
      <c r="H114" s="17">
        <f ca="1">--TRIM(RIGHT(SUBSTITUTE(LEFT(C113,_xlfn.AGGREGATE(16,6,FIND({0,1,2,3,4,5,6,7,8,9},C113,ROW(INDIRECT("1:"&amp;LEN(C113)))),1))," ",REPT(" ",LEN(C113))),LEN(C113)))</f>
        <v>7</v>
      </c>
      <c r="I114" s="43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>Excavation, Plinth, RCC Slab, Brickwork</v>
      </c>
      <c r="J114" s="44" t="str">
        <f ca="1"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/>
      </c>
    </row>
    <row r="115" spans="1:15" ht="16.5" customHeight="1" x14ac:dyDescent="0.25">
      <c r="A115" s="90" t="s">
        <v>92</v>
      </c>
      <c r="B115" s="91"/>
      <c r="C115" s="82" t="str">
        <f ca="1">I113</f>
        <v xml:space="preserve">Excavation, Plinth, RCC Slab, Brickwork Completed </v>
      </c>
      <c r="D115" s="82"/>
      <c r="E115" s="82"/>
      <c r="F115" s="82"/>
      <c r="G115" s="82"/>
      <c r="H115" s="83"/>
      <c r="I115" s="43" t="str">
        <f ca="1">IF(I114&lt;&gt;""," Completed","")</f>
        <v xml:space="preserve"> Completed</v>
      </c>
      <c r="J115" s="44" t="str">
        <f ca="1">IF(J113&lt;&gt;"","Completed","")</f>
        <v/>
      </c>
    </row>
    <row r="116" spans="1:15" ht="15.75" customHeight="1" x14ac:dyDescent="0.25">
      <c r="A116" s="69" t="s">
        <v>49</v>
      </c>
      <c r="B116" s="70"/>
      <c r="C116" s="54" t="s">
        <v>139</v>
      </c>
      <c r="D116" s="54" t="s">
        <v>85</v>
      </c>
      <c r="E116" s="70" t="s">
        <v>87</v>
      </c>
      <c r="F116" s="70"/>
      <c r="G116" s="70" t="s">
        <v>86</v>
      </c>
      <c r="H116" s="84"/>
      <c r="I116" s="14" t="s">
        <v>141</v>
      </c>
      <c r="J116" s="28">
        <f ca="1">H114*25%</f>
        <v>1.75</v>
      </c>
      <c r="L116" s="61" t="s">
        <v>221</v>
      </c>
      <c r="M116" s="61"/>
      <c r="N116" s="61"/>
      <c r="O116" s="61"/>
    </row>
    <row r="117" spans="1:15" x14ac:dyDescent="0.25">
      <c r="A117" s="69" t="s">
        <v>128</v>
      </c>
      <c r="B117" s="70"/>
      <c r="C117" s="54">
        <f ca="1">J118</f>
        <v>7</v>
      </c>
      <c r="D117" s="19">
        <f ca="1">((100/H114)*C117)/100</f>
        <v>1</v>
      </c>
      <c r="E117" s="71">
        <f ca="1">(((C118/H114*10)+(40/(D114+F114+H114)*C119)+(7.5/(H114)*C120)+(7.5/(H114)*C121)+(10/H114*C122)+(10/H114*C123)+(5/H114*C124)+(5/H114*C125)+(5/H114*C126))/100)</f>
        <v>0.57499999999999996</v>
      </c>
      <c r="F117" s="72"/>
      <c r="G117" s="71">
        <f ca="1">((((C117/H114)*20)+((C118/H114)*25)+(30/(H114+F114+D114)*C119)+(5/H114*C120)+(5/H114*C121)+(5/H114*C122)+(5/H114*C123)+(0/H114*C124)+(0/H114*C125)+(5/H114*C126))/100)</f>
        <v>0.8</v>
      </c>
      <c r="H117" s="77"/>
      <c r="I117" s="14" t="s">
        <v>99</v>
      </c>
      <c r="J117" s="29">
        <f ca="1">H114*50%</f>
        <v>3.5</v>
      </c>
    </row>
    <row r="118" spans="1:15" x14ac:dyDescent="0.25">
      <c r="A118" s="69" t="s">
        <v>50</v>
      </c>
      <c r="B118" s="70"/>
      <c r="C118" s="60">
        <f ca="1">J126</f>
        <v>7</v>
      </c>
      <c r="D118" s="19">
        <f ca="1">((100/H114)*C118)/100</f>
        <v>1</v>
      </c>
      <c r="E118" s="73"/>
      <c r="F118" s="74"/>
      <c r="G118" s="73"/>
      <c r="H118" s="78"/>
      <c r="I118" s="14" t="s">
        <v>100</v>
      </c>
      <c r="J118" s="29">
        <f ca="1">H114</f>
        <v>7</v>
      </c>
    </row>
    <row r="119" spans="1:15" ht="15.75" customHeight="1" x14ac:dyDescent="0.25">
      <c r="A119" s="69" t="s">
        <v>129</v>
      </c>
      <c r="B119" s="70"/>
      <c r="C119" s="54">
        <v>8</v>
      </c>
      <c r="D119" s="19">
        <f ca="1">((100/(D114+F114+H114))*C119)/100</f>
        <v>1</v>
      </c>
      <c r="E119" s="73"/>
      <c r="F119" s="74"/>
      <c r="G119" s="73"/>
      <c r="H119" s="78"/>
      <c r="I119" s="14" t="s">
        <v>101</v>
      </c>
      <c r="J119" s="30">
        <f ca="1">(IF(B114&gt;1,(H114/(B114+2)),H114/4))</f>
        <v>1.75</v>
      </c>
    </row>
    <row r="120" spans="1:15" ht="15.75" customHeight="1" x14ac:dyDescent="0.25">
      <c r="A120" s="69" t="s">
        <v>136</v>
      </c>
      <c r="B120" s="70" t="s">
        <v>130</v>
      </c>
      <c r="C120" s="54">
        <v>7</v>
      </c>
      <c r="D120" s="19">
        <f ca="1">((100/H114)*C120)/100</f>
        <v>1</v>
      </c>
      <c r="E120" s="73"/>
      <c r="F120" s="74"/>
      <c r="G120" s="73"/>
      <c r="H120" s="78"/>
      <c r="I120" s="14" t="s">
        <v>102</v>
      </c>
      <c r="J120" s="30">
        <f ca="1">(IF(B114&gt;1,(H114/(B114+2)+J119),H114/4+J119))</f>
        <v>3.5</v>
      </c>
    </row>
    <row r="121" spans="1:15" ht="15.75" customHeight="1" x14ac:dyDescent="0.25">
      <c r="A121" s="69" t="s">
        <v>137</v>
      </c>
      <c r="B121" s="70" t="s">
        <v>130</v>
      </c>
      <c r="C121" s="54">
        <v>0</v>
      </c>
      <c r="D121" s="19">
        <f ca="1">((100/H114)*C121)/100</f>
        <v>0</v>
      </c>
      <c r="E121" s="73"/>
      <c r="F121" s="74"/>
      <c r="G121" s="73"/>
      <c r="H121" s="78"/>
      <c r="I121" s="14" t="s">
        <v>146</v>
      </c>
      <c r="J121" s="30">
        <f>(IF(B114&gt;1,(H114/(B114+2)+J120),0))</f>
        <v>0</v>
      </c>
    </row>
    <row r="122" spans="1:15" ht="15" customHeight="1" x14ac:dyDescent="0.25">
      <c r="A122" s="69" t="s">
        <v>135</v>
      </c>
      <c r="B122" s="70" t="s">
        <v>132</v>
      </c>
      <c r="C122" s="54">
        <v>0</v>
      </c>
      <c r="D122" s="19">
        <f ca="1">((100/(H114))*C122)/100</f>
        <v>0</v>
      </c>
      <c r="E122" s="73"/>
      <c r="F122" s="74"/>
      <c r="G122" s="73"/>
      <c r="H122" s="78"/>
      <c r="I122" s="14" t="s">
        <v>143</v>
      </c>
      <c r="J122" s="30">
        <f>(IF(B114&gt;2,(H114/(B114+2)+J121),0))</f>
        <v>0</v>
      </c>
    </row>
    <row r="123" spans="1:15" ht="15.75" customHeight="1" x14ac:dyDescent="0.25">
      <c r="A123" s="69" t="s">
        <v>131</v>
      </c>
      <c r="B123" s="70" t="s">
        <v>131</v>
      </c>
      <c r="C123" s="54">
        <v>0</v>
      </c>
      <c r="D123" s="19">
        <f ca="1">((100/H114)*C123)/100</f>
        <v>0</v>
      </c>
      <c r="E123" s="73"/>
      <c r="F123" s="74"/>
      <c r="G123" s="73"/>
      <c r="H123" s="78"/>
      <c r="I123" s="14" t="s">
        <v>144</v>
      </c>
      <c r="J123" s="31">
        <f>(IF(B114&gt;3,(H114/(B114+2)+J122),0))</f>
        <v>0</v>
      </c>
    </row>
    <row r="124" spans="1:15" ht="15.75" customHeight="1" x14ac:dyDescent="0.25">
      <c r="A124" s="69" t="s">
        <v>138</v>
      </c>
      <c r="B124" s="70"/>
      <c r="C124" s="54">
        <v>0</v>
      </c>
      <c r="D124" s="19">
        <f ca="1">((100/H114)*C124)/100</f>
        <v>0</v>
      </c>
      <c r="E124" s="73"/>
      <c r="F124" s="74"/>
      <c r="G124" s="73"/>
      <c r="H124" s="78"/>
      <c r="I124" s="14" t="s">
        <v>145</v>
      </c>
      <c r="J124" s="30">
        <f>(IF(B114&gt;4,(H114/(B114+2)+J123),0))</f>
        <v>0</v>
      </c>
    </row>
    <row r="125" spans="1:15" ht="15.75" customHeight="1" x14ac:dyDescent="0.25">
      <c r="A125" s="69" t="s">
        <v>133</v>
      </c>
      <c r="B125" s="70" t="s">
        <v>133</v>
      </c>
      <c r="C125" s="54">
        <v>0</v>
      </c>
      <c r="D125" s="19">
        <f ca="1">((100/(H114))*C125)/100</f>
        <v>0</v>
      </c>
      <c r="E125" s="73"/>
      <c r="F125" s="74"/>
      <c r="G125" s="73"/>
      <c r="H125" s="78"/>
      <c r="I125" s="14" t="s">
        <v>147</v>
      </c>
      <c r="J125" s="30">
        <f ca="1">(IF(B114=1,(H114/(B114+3)+J120),IF(B114=0,(H114/4+J120),IF(B114&gt;1,0))))</f>
        <v>5.25</v>
      </c>
    </row>
    <row r="126" spans="1:15" ht="16.5" thickBot="1" x14ac:dyDescent="0.3">
      <c r="A126" s="80" t="s">
        <v>134</v>
      </c>
      <c r="B126" s="81"/>
      <c r="C126" s="59">
        <v>0</v>
      </c>
      <c r="D126" s="20">
        <f ca="1">((100/(H114))*C126)/100</f>
        <v>0</v>
      </c>
      <c r="E126" s="75"/>
      <c r="F126" s="76"/>
      <c r="G126" s="75"/>
      <c r="H126" s="79"/>
      <c r="I126" s="15" t="s">
        <v>103</v>
      </c>
      <c r="J126" s="32">
        <f ca="1">(IF(B114&gt;1.5,(H114/(B114+2)+J120+MAX(0,J121-J120)+MAX(0,J122-J121)+MAX(0,J123-J122)+MAX(0,J124-J123)+MAX(0,J125-J124)),IF(B114=1,(H114/(B114+3)+J125),IF(B114=0,H114/4+J125))))</f>
        <v>7</v>
      </c>
    </row>
    <row r="127" spans="1:15" x14ac:dyDescent="0.25">
      <c r="A127" s="85" t="s">
        <v>140</v>
      </c>
      <c r="B127" s="86"/>
      <c r="C127" s="87" t="s">
        <v>222</v>
      </c>
      <c r="D127" s="88"/>
      <c r="E127" s="88"/>
      <c r="F127" s="88"/>
      <c r="G127" s="88"/>
      <c r="H127" s="89"/>
      <c r="I127" s="52" t="str">
        <f ca="1">IF(D140=100%,"All work Completed. Possession granted to the Building.",IF(D139=100%,"All work Completed, Waiting for OC",I128&amp;""&amp;I129&amp;""&amp;J128&amp;""&amp;J127&amp;" "&amp;J129))</f>
        <v>Excavation, Plinth, RCC Slab, Brickwork Completed, Internal Plaster upto 5 Floor, External Plaster upto 4 Floor Completed</v>
      </c>
      <c r="J127" s="42" t="str">
        <f ca="1">(IF(C133=(D128+F128+H128),"",IF(C133&gt;0,", RCC upto "&amp;C133&amp;" Slab","")))&amp;(IF(C134=H128,"",IF(C134&gt;0,", Brickwork upto "&amp;C134&amp;" Floor","")))&amp;(IF(C135=H128,"",IF(C135&gt;0,", Internal Plaster upto "&amp;C135&amp;" Floor","")))&amp;(IF(C136=H128,"",IF(C136&gt;0,", External Plaster upto "&amp;C136&amp;" Floor","")))&amp;(IF(C137=H128,"",IF(C137&gt;0,", Flooring upto "&amp;C137&amp;" Floor","")))&amp;(IF(C138=H128,"",IF(C138&gt;0,", Painting upto "&amp;C138&amp;" Floor","")))&amp;(IF(C139=H128,"",IF(C139&gt;0,", Finishing upto "&amp;C139&amp;" Floor","")))&amp;(IF(C140=H128,"",IF(C140&gt;0,", Possession upto "&amp;C140&amp;" Floor","")))</f>
        <v>, Internal Plaster upto 5 Floor, External Plaster upto 4 Floor</v>
      </c>
    </row>
    <row r="128" spans="1:15" x14ac:dyDescent="0.25">
      <c r="A128" s="16" t="s">
        <v>142</v>
      </c>
      <c r="B128" s="57">
        <v>0</v>
      </c>
      <c r="C128" s="57" t="s">
        <v>73</v>
      </c>
      <c r="D128" s="57">
        <v>1</v>
      </c>
      <c r="E128" s="57" t="s">
        <v>72</v>
      </c>
      <c r="F128" s="57">
        <v>0</v>
      </c>
      <c r="G128" s="57" t="s">
        <v>82</v>
      </c>
      <c r="H128" s="17">
        <f ca="1">--TRIM(RIGHT(SUBSTITUTE(LEFT(C127,_xlfn.AGGREGATE(16,6,FIND({0,1,2,3,4,5,6,7,8,9},C127,ROW(INDIRECT("1:"&amp;LEN(C127)))),1))," ",REPT(" ",LEN(C127))),LEN(C127)))</f>
        <v>7</v>
      </c>
      <c r="I128" s="43" t="str">
        <f ca="1">IF(D131=100%,"Excavation","")&amp;IF(D132=100%,", Plinth","")&amp;IF(D133=100%,", RCC Slab","")&amp;IF(D134=100%,", Brickwork","")&amp;IF(D135=100%,", Internal Plaster","")&amp;IF(D136=100%,", External Plaster","")&amp;IF(D137=100%,", Flooring","")&amp;IF(D138=100%,", Painting","")&amp;IF(D139=100%,", Building common Amenities","")</f>
        <v>Excavation, Plinth, RCC Slab, Brickwork</v>
      </c>
      <c r="J128" s="44" t="str">
        <f ca="1">(IF(C131=0,"Work not yet Started.",IF(D131=25%,"Piling work in process",IF(D131=50%,"Excavation work in process",IF(D131=100%,"","0")))))&amp;(IF(C132=0%,"",IF(C132=J133,", Footing work is process",IF(C132=J134,", Footing work Completed",IF(C132=J135,", 1st Basement Completed",IF(C132=J136,", 1st &amp; 2nd Basement Completed",IF(C132=J137,", 1st to 3rd Basement Completed",IF(C132=J138,", 1st to 4th Basement Completed",IF(C132=J139,", Plinth work is process",IF(C132=J140,"","0"))))))))))</f>
        <v/>
      </c>
    </row>
    <row r="129" spans="1:10" ht="32.25" customHeight="1" x14ac:dyDescent="0.25">
      <c r="A129" s="90" t="s">
        <v>92</v>
      </c>
      <c r="B129" s="91"/>
      <c r="C129" s="82" t="str">
        <f ca="1">I127</f>
        <v>Excavation, Plinth, RCC Slab, Brickwork Completed, Internal Plaster upto 5 Floor, External Plaster upto 4 Floor Completed</v>
      </c>
      <c r="D129" s="82"/>
      <c r="E129" s="82"/>
      <c r="F129" s="82"/>
      <c r="G129" s="82"/>
      <c r="H129" s="83"/>
      <c r="I129" s="43" t="str">
        <f ca="1">IF(I128&lt;&gt;""," Completed","")</f>
        <v xml:space="preserve"> Completed</v>
      </c>
      <c r="J129" s="44" t="str">
        <f ca="1">IF(J127&lt;&gt;"","Completed","")</f>
        <v>Completed</v>
      </c>
    </row>
    <row r="130" spans="1:10" ht="15.75" customHeight="1" x14ac:dyDescent="0.25">
      <c r="A130" s="69" t="s">
        <v>49</v>
      </c>
      <c r="B130" s="70"/>
      <c r="C130" s="54" t="s">
        <v>139</v>
      </c>
      <c r="D130" s="54" t="s">
        <v>85</v>
      </c>
      <c r="E130" s="70" t="s">
        <v>87</v>
      </c>
      <c r="F130" s="70"/>
      <c r="G130" s="70" t="s">
        <v>86</v>
      </c>
      <c r="H130" s="84"/>
      <c r="I130" s="14" t="s">
        <v>141</v>
      </c>
      <c r="J130" s="28">
        <f ca="1">H128*25%</f>
        <v>1.75</v>
      </c>
    </row>
    <row r="131" spans="1:10" x14ac:dyDescent="0.25">
      <c r="A131" s="69" t="s">
        <v>128</v>
      </c>
      <c r="B131" s="70"/>
      <c r="C131" s="54">
        <v>7</v>
      </c>
      <c r="D131" s="19">
        <f ca="1">((100/H128)*C131)/100</f>
        <v>1</v>
      </c>
      <c r="E131" s="71">
        <f ca="1">(((C132/H128*10)+(40/(D128+F128+H128)*C133)+(7.5/(H128)*C134)+(7.5/(H128)*C135)+(10/H128*C136)+(10/H128*C137)+(5/H128*C138)+(5/H128*C139)+(5/H128*C140))/100)</f>
        <v>0.68571428571428572</v>
      </c>
      <c r="F131" s="72"/>
      <c r="G131" s="71">
        <f ca="1">((((C131/H128)*20)+((C132/H128)*25)+(30/(H128+F128+D128)*C133)+(5/H128*C134)+(5/H128*C135)+(5/H128*C136)+(5/H128*C137)+(0/H128*C138)+(0/H128*C139)+(5/H128*C140))/100)</f>
        <v>0.86428571428571432</v>
      </c>
      <c r="H131" s="77"/>
      <c r="I131" s="14" t="s">
        <v>99</v>
      </c>
      <c r="J131" s="29">
        <f ca="1">H128*50%</f>
        <v>3.5</v>
      </c>
    </row>
    <row r="132" spans="1:10" x14ac:dyDescent="0.25">
      <c r="A132" s="69" t="s">
        <v>50</v>
      </c>
      <c r="B132" s="70"/>
      <c r="C132" s="60">
        <f ca="1">J140</f>
        <v>7</v>
      </c>
      <c r="D132" s="19">
        <f ca="1">((100/H128)*C132)/100</f>
        <v>1</v>
      </c>
      <c r="E132" s="73"/>
      <c r="F132" s="74"/>
      <c r="G132" s="73"/>
      <c r="H132" s="78"/>
      <c r="I132" s="14" t="s">
        <v>100</v>
      </c>
      <c r="J132" s="29">
        <f ca="1">H128</f>
        <v>7</v>
      </c>
    </row>
    <row r="133" spans="1:10" ht="15.75" customHeight="1" x14ac:dyDescent="0.25">
      <c r="A133" s="69" t="s">
        <v>129</v>
      </c>
      <c r="B133" s="70"/>
      <c r="C133" s="54">
        <v>8</v>
      </c>
      <c r="D133" s="19">
        <f ca="1">((100/(D128+F128+H128))*C133)/100</f>
        <v>1</v>
      </c>
      <c r="E133" s="73"/>
      <c r="F133" s="74"/>
      <c r="G133" s="73"/>
      <c r="H133" s="78"/>
      <c r="I133" s="14" t="s">
        <v>101</v>
      </c>
      <c r="J133" s="30">
        <f ca="1">(IF(B128&gt;1,(H128/(B128+2)),H128/4))</f>
        <v>1.75</v>
      </c>
    </row>
    <row r="134" spans="1:10" ht="15.75" customHeight="1" x14ac:dyDescent="0.25">
      <c r="A134" s="69" t="s">
        <v>136</v>
      </c>
      <c r="B134" s="70" t="s">
        <v>130</v>
      </c>
      <c r="C134" s="54">
        <v>7</v>
      </c>
      <c r="D134" s="19">
        <f ca="1">((100/H128)*C134)/100</f>
        <v>1</v>
      </c>
      <c r="E134" s="73"/>
      <c r="F134" s="74"/>
      <c r="G134" s="73"/>
      <c r="H134" s="78"/>
      <c r="I134" s="14" t="s">
        <v>102</v>
      </c>
      <c r="J134" s="30">
        <f ca="1">(IF(B128&gt;1,(H128/(B128+2)+J133),H128/4+J133))</f>
        <v>3.5</v>
      </c>
    </row>
    <row r="135" spans="1:10" ht="15.75" customHeight="1" x14ac:dyDescent="0.25">
      <c r="A135" s="69" t="s">
        <v>137</v>
      </c>
      <c r="B135" s="70" t="s">
        <v>130</v>
      </c>
      <c r="C135" s="54">
        <v>5</v>
      </c>
      <c r="D135" s="19">
        <f ca="1">((100/H128)*C135)/100</f>
        <v>0.7142857142857143</v>
      </c>
      <c r="E135" s="73"/>
      <c r="F135" s="74"/>
      <c r="G135" s="73"/>
      <c r="H135" s="78"/>
      <c r="I135" s="14" t="s">
        <v>146</v>
      </c>
      <c r="J135" s="30">
        <f>(IF(B128&gt;1,(H128/(B128+2)+J134),0))</f>
        <v>0</v>
      </c>
    </row>
    <row r="136" spans="1:10" ht="15" customHeight="1" x14ac:dyDescent="0.25">
      <c r="A136" s="69" t="s">
        <v>135</v>
      </c>
      <c r="B136" s="70" t="s">
        <v>132</v>
      </c>
      <c r="C136" s="54">
        <v>4</v>
      </c>
      <c r="D136" s="19">
        <f ca="1">((100/(H128))*C136)/100</f>
        <v>0.57142857142857151</v>
      </c>
      <c r="E136" s="73"/>
      <c r="F136" s="74"/>
      <c r="G136" s="73"/>
      <c r="H136" s="78"/>
      <c r="I136" s="14" t="s">
        <v>143</v>
      </c>
      <c r="J136" s="30">
        <f>(IF(B128&gt;2,(H128/(B128+2)+J135),0))</f>
        <v>0</v>
      </c>
    </row>
    <row r="137" spans="1:10" ht="15.75" customHeight="1" x14ac:dyDescent="0.25">
      <c r="A137" s="69" t="s">
        <v>131</v>
      </c>
      <c r="B137" s="70" t="s">
        <v>131</v>
      </c>
      <c r="C137" s="54">
        <v>0</v>
      </c>
      <c r="D137" s="19">
        <f ca="1">((100/H128)*C137)/100</f>
        <v>0</v>
      </c>
      <c r="E137" s="73"/>
      <c r="F137" s="74"/>
      <c r="G137" s="73"/>
      <c r="H137" s="78"/>
      <c r="I137" s="14" t="s">
        <v>144</v>
      </c>
      <c r="J137" s="31">
        <f>(IF(B128&gt;3,(H128/(B128+2)+J136),0))</f>
        <v>0</v>
      </c>
    </row>
    <row r="138" spans="1:10" ht="15.75" customHeight="1" x14ac:dyDescent="0.25">
      <c r="A138" s="69" t="s">
        <v>138</v>
      </c>
      <c r="B138" s="70"/>
      <c r="C138" s="54">
        <v>0</v>
      </c>
      <c r="D138" s="19">
        <f ca="1">((100/H128)*C138)/100</f>
        <v>0</v>
      </c>
      <c r="E138" s="73"/>
      <c r="F138" s="74"/>
      <c r="G138" s="73"/>
      <c r="H138" s="78"/>
      <c r="I138" s="14" t="s">
        <v>145</v>
      </c>
      <c r="J138" s="30">
        <f>(IF(B128&gt;4,(H128/(B128+2)+J137),0))</f>
        <v>0</v>
      </c>
    </row>
    <row r="139" spans="1:10" ht="15.75" customHeight="1" x14ac:dyDescent="0.25">
      <c r="A139" s="69" t="s">
        <v>133</v>
      </c>
      <c r="B139" s="70" t="s">
        <v>133</v>
      </c>
      <c r="C139" s="54">
        <v>0</v>
      </c>
      <c r="D139" s="19">
        <f ca="1">((100/(H128))*C139)/100</f>
        <v>0</v>
      </c>
      <c r="E139" s="73"/>
      <c r="F139" s="74"/>
      <c r="G139" s="73"/>
      <c r="H139" s="78"/>
      <c r="I139" s="14" t="s">
        <v>147</v>
      </c>
      <c r="J139" s="30">
        <f ca="1">(IF(B128=1,(H128/(B128+3)+J134),IF(B128=0,(H128/4+J134),IF(B128&gt;1,0))))</f>
        <v>5.25</v>
      </c>
    </row>
    <row r="140" spans="1:10" ht="16.5" thickBot="1" x14ac:dyDescent="0.3">
      <c r="A140" s="80" t="s">
        <v>134</v>
      </c>
      <c r="B140" s="81"/>
      <c r="C140" s="59">
        <v>0</v>
      </c>
      <c r="D140" s="20">
        <f ca="1">((100/(H128))*C140)/100</f>
        <v>0</v>
      </c>
      <c r="E140" s="75"/>
      <c r="F140" s="76"/>
      <c r="G140" s="75"/>
      <c r="H140" s="79"/>
      <c r="I140" s="15" t="s">
        <v>103</v>
      </c>
      <c r="J140" s="32">
        <f ca="1">(IF(B128&gt;1.5,(H128/(B128+2)+J134+MAX(0,J135-J134)+MAX(0,J136-J135)+MAX(0,J137-J136)+MAX(0,J138-J137)+MAX(0,J139-J138)),IF(B128=1,(H128/(B128+3)+J139),IF(B128=0,H128/4+J139))))</f>
        <v>7</v>
      </c>
    </row>
    <row r="141" spans="1:10" hidden="1" x14ac:dyDescent="0.25">
      <c r="A141" s="85" t="s">
        <v>140</v>
      </c>
      <c r="B141" s="86"/>
      <c r="C141" s="87" t="s">
        <v>220</v>
      </c>
      <c r="D141" s="88"/>
      <c r="E141" s="88"/>
      <c r="F141" s="88"/>
      <c r="G141" s="88"/>
      <c r="H141" s="89"/>
      <c r="I141" s="52" t="str">
        <f ca="1">IF(D154=100%,"All work Completed. Possession granted to the Building.",IF(D153=100%,"All work Completed, Waiting for OC",I142&amp;""&amp;I143&amp;""&amp;J142&amp;""&amp;J141&amp;" "&amp;J143))</f>
        <v>Excavation, Plinth Completed, RCC upto 3 Slab Completed</v>
      </c>
      <c r="J141" s="42" t="str">
        <f ca="1">(IF(C147=(D142+F142+H142),"",IF(C147&gt;0,", RCC upto "&amp;C147&amp;" Slab","")))&amp;(IF(C148=H142,"",IF(C148&gt;0,", Brickwork upto "&amp;C148&amp;" Floor","")))&amp;(IF(C149=H142,"",IF(C149&gt;0,", Internal Plaster upto "&amp;C149&amp;" Floor","")))&amp;(IF(C150=H142,"",IF(C150&gt;0,", External Plaster upto "&amp;C150&amp;" Floor","")))&amp;(IF(C151=H142,"",IF(C151&gt;0,", Flooring upto "&amp;C151&amp;" Floor","")))&amp;(IF(C152=H142,"",IF(C152&gt;0,", Painting upto "&amp;C152&amp;" Floor","")))&amp;(IF(C153=H142,"",IF(C153&gt;0,", Finishing upto "&amp;C153&amp;" Floor","")))&amp;(IF(C154=H142,"",IF(C154&gt;0,", Possession upto "&amp;C154&amp;" Floor","")))</f>
        <v>, RCC upto 3 Slab</v>
      </c>
    </row>
    <row r="142" spans="1:10" hidden="1" x14ac:dyDescent="0.25">
      <c r="A142" s="16" t="s">
        <v>142</v>
      </c>
      <c r="B142" s="57">
        <v>0</v>
      </c>
      <c r="C142" s="57" t="s">
        <v>73</v>
      </c>
      <c r="D142" s="57">
        <v>1</v>
      </c>
      <c r="E142" s="57" t="s">
        <v>72</v>
      </c>
      <c r="F142" s="57">
        <v>0</v>
      </c>
      <c r="G142" s="57" t="s">
        <v>82</v>
      </c>
      <c r="H142" s="17">
        <f ca="1">--TRIM(RIGHT(SUBSTITUTE(LEFT(C141,_xlfn.AGGREGATE(16,6,FIND({0,1,2,3,4,5,6,7,8,9},C141,ROW(INDIRECT("1:"&amp;LEN(C141)))),1))," ",REPT(" ",LEN(C141))),LEN(C141)))</f>
        <v>7</v>
      </c>
      <c r="I142" s="43" t="str">
        <f ca="1">IF(D145=100%,"Excavation","")&amp;IF(D146=100%,", Plinth","")&amp;IF(D147=100%,", RCC Slab","")&amp;IF(D148=100%,", Brickwork","")&amp;IF(D149=100%,", Internal Plaster","")&amp;IF(D150=100%,", External Plaster","")&amp;IF(D151=100%,", Flooring","")&amp;IF(D152=100%,", Painting","")&amp;IF(D153=100%,", Building common Amenities","")</f>
        <v>Excavation, Plinth</v>
      </c>
      <c r="J142" s="44" t="str">
        <f ca="1">(IF(C145=0,"Work not yet Started.",IF(D145=25%,"Piling work in process",IF(D145=50%,"Excavation work in process",IF(D145=100%,"","0")))))&amp;(IF(C146=0%,"",IF(C146=J147,", Footing work is process",IF(C146=J148,", Footing work Completed",IF(C146=J149,", 1st Basement Completed",IF(C146=J150,", 1st &amp; 2nd Basement Completed",IF(C146=J151,", 1st to 3rd Basement Completed",IF(C146=J152,", 1st to 4th Basement Completed",IF(C146=J153,", Plinth work is process",IF(C146=J154,"","0"))))))))))</f>
        <v/>
      </c>
    </row>
    <row r="143" spans="1:10" ht="16.5" hidden="1" customHeight="1" x14ac:dyDescent="0.25">
      <c r="A143" s="90" t="s">
        <v>92</v>
      </c>
      <c r="B143" s="91"/>
      <c r="C143" s="82" t="str">
        <f>(IF($G$52="NA",I141,"All work Completed. OC Received."))</f>
        <v>All work Completed. OC Received.</v>
      </c>
      <c r="D143" s="82"/>
      <c r="E143" s="82"/>
      <c r="F143" s="82"/>
      <c r="G143" s="82"/>
      <c r="H143" s="83"/>
      <c r="I143" s="43" t="str">
        <f ca="1">IF(I142&lt;&gt;""," Completed","")</f>
        <v xml:space="preserve"> Completed</v>
      </c>
      <c r="J143" s="44" t="str">
        <f ca="1">IF(J141&lt;&gt;"","Completed","")</f>
        <v>Completed</v>
      </c>
    </row>
    <row r="144" spans="1:10" ht="15.75" hidden="1" customHeight="1" x14ac:dyDescent="0.25">
      <c r="A144" s="69" t="s">
        <v>49</v>
      </c>
      <c r="B144" s="70"/>
      <c r="C144" s="54" t="s">
        <v>139</v>
      </c>
      <c r="D144" s="54" t="s">
        <v>85</v>
      </c>
      <c r="E144" s="70" t="s">
        <v>87</v>
      </c>
      <c r="F144" s="70"/>
      <c r="G144" s="70" t="s">
        <v>86</v>
      </c>
      <c r="H144" s="84"/>
      <c r="I144" s="14" t="s">
        <v>141</v>
      </c>
      <c r="J144" s="28">
        <f ca="1">H142*25%</f>
        <v>1.75</v>
      </c>
    </row>
    <row r="145" spans="1:10" hidden="1" x14ac:dyDescent="0.25">
      <c r="A145" s="69" t="s">
        <v>128</v>
      </c>
      <c r="B145" s="70"/>
      <c r="C145" s="54">
        <v>7</v>
      </c>
      <c r="D145" s="19">
        <f ca="1">((100/H142)*C145)/100</f>
        <v>1</v>
      </c>
      <c r="E145" s="71">
        <f ca="1">(((C146/H142*10)+(40/(D142+F142+H142)*C147)+(7.5/(H142)*C148)+(7.5/(H142)*C149)+(10/H142*C150)+(10/H142*C151)+(5/H142*C152)+(5/H142*C153)+(5/H142*C154))/100)</f>
        <v>0.25</v>
      </c>
      <c r="F145" s="72"/>
      <c r="G145" s="71">
        <f ca="1">((((C145/H142)*20)+((C146/H142)*25)+(30/(H142+F142+D142)*C147)+(5/H142*C148)+(5/H142*C149)+(5/H142*C150)+(5/H142*C151)+(0/H142*C152)+(0/H142*C153)+(5/H142*C154))/100)</f>
        <v>0.5625</v>
      </c>
      <c r="H145" s="77"/>
      <c r="I145" s="14" t="s">
        <v>99</v>
      </c>
      <c r="J145" s="29">
        <f ca="1">H142*50%</f>
        <v>3.5</v>
      </c>
    </row>
    <row r="146" spans="1:10" hidden="1" x14ac:dyDescent="0.25">
      <c r="A146" s="69" t="s">
        <v>50</v>
      </c>
      <c r="B146" s="70"/>
      <c r="C146" s="60">
        <f ca="1">J154</f>
        <v>7</v>
      </c>
      <c r="D146" s="19">
        <f ca="1">((100/H142)*C146)/100</f>
        <v>1</v>
      </c>
      <c r="E146" s="73"/>
      <c r="F146" s="74"/>
      <c r="G146" s="73"/>
      <c r="H146" s="78"/>
      <c r="I146" s="14" t="s">
        <v>100</v>
      </c>
      <c r="J146" s="29">
        <f ca="1">H142</f>
        <v>7</v>
      </c>
    </row>
    <row r="147" spans="1:10" ht="15.75" hidden="1" customHeight="1" x14ac:dyDescent="0.25">
      <c r="A147" s="69" t="s">
        <v>129</v>
      </c>
      <c r="B147" s="70"/>
      <c r="C147" s="54">
        <v>3</v>
      </c>
      <c r="D147" s="19">
        <f ca="1">((100/(D142+F142+H142))*C147)/100</f>
        <v>0.375</v>
      </c>
      <c r="E147" s="73"/>
      <c r="F147" s="74"/>
      <c r="G147" s="73"/>
      <c r="H147" s="78"/>
      <c r="I147" s="14" t="s">
        <v>101</v>
      </c>
      <c r="J147" s="30">
        <f ca="1">(IF(B142&gt;1,(H142/(B142+2)),H142/4))</f>
        <v>1.75</v>
      </c>
    </row>
    <row r="148" spans="1:10" ht="15.75" hidden="1" customHeight="1" x14ac:dyDescent="0.25">
      <c r="A148" s="69" t="s">
        <v>136</v>
      </c>
      <c r="B148" s="70" t="s">
        <v>130</v>
      </c>
      <c r="C148" s="54">
        <v>0</v>
      </c>
      <c r="D148" s="19">
        <f ca="1">((100/H142)*C148)/100</f>
        <v>0</v>
      </c>
      <c r="E148" s="73"/>
      <c r="F148" s="74"/>
      <c r="G148" s="73"/>
      <c r="H148" s="78"/>
      <c r="I148" s="14" t="s">
        <v>102</v>
      </c>
      <c r="J148" s="30">
        <f ca="1">(IF(B142&gt;1,(H142/(B142+2)+J147),H142/4+J147))</f>
        <v>3.5</v>
      </c>
    </row>
    <row r="149" spans="1:10" ht="15.75" hidden="1" customHeight="1" x14ac:dyDescent="0.25">
      <c r="A149" s="69" t="s">
        <v>137</v>
      </c>
      <c r="B149" s="70" t="s">
        <v>130</v>
      </c>
      <c r="C149" s="54">
        <v>0</v>
      </c>
      <c r="D149" s="19">
        <f ca="1">((100/H142)*C149)/100</f>
        <v>0</v>
      </c>
      <c r="E149" s="73"/>
      <c r="F149" s="74"/>
      <c r="G149" s="73"/>
      <c r="H149" s="78"/>
      <c r="I149" s="14" t="s">
        <v>146</v>
      </c>
      <c r="J149" s="30">
        <f>(IF(B142&gt;1,(H142/(B142+2)+J148),0))</f>
        <v>0</v>
      </c>
    </row>
    <row r="150" spans="1:10" ht="15" hidden="1" customHeight="1" x14ac:dyDescent="0.25">
      <c r="A150" s="69" t="s">
        <v>135</v>
      </c>
      <c r="B150" s="70" t="s">
        <v>132</v>
      </c>
      <c r="C150" s="54">
        <v>0</v>
      </c>
      <c r="D150" s="19">
        <f ca="1">((100/(H142))*C150)/100</f>
        <v>0</v>
      </c>
      <c r="E150" s="73"/>
      <c r="F150" s="74"/>
      <c r="G150" s="73"/>
      <c r="H150" s="78"/>
      <c r="I150" s="14" t="s">
        <v>143</v>
      </c>
      <c r="J150" s="30">
        <f>(IF(B142&gt;2,(H142/(B142+2)+J149),0))</f>
        <v>0</v>
      </c>
    </row>
    <row r="151" spans="1:10" ht="15.75" hidden="1" customHeight="1" x14ac:dyDescent="0.25">
      <c r="A151" s="69" t="s">
        <v>131</v>
      </c>
      <c r="B151" s="70" t="s">
        <v>131</v>
      </c>
      <c r="C151" s="54">
        <v>0</v>
      </c>
      <c r="D151" s="19">
        <f ca="1">((100/H142)*C151)/100</f>
        <v>0</v>
      </c>
      <c r="E151" s="73"/>
      <c r="F151" s="74"/>
      <c r="G151" s="73"/>
      <c r="H151" s="78"/>
      <c r="I151" s="14" t="s">
        <v>144</v>
      </c>
      <c r="J151" s="31">
        <f>(IF(B142&gt;3,(H142/(B142+2)+J150),0))</f>
        <v>0</v>
      </c>
    </row>
    <row r="152" spans="1:10" ht="15.75" hidden="1" customHeight="1" x14ac:dyDescent="0.25">
      <c r="A152" s="69" t="s">
        <v>138</v>
      </c>
      <c r="B152" s="70"/>
      <c r="C152" s="54">
        <v>0</v>
      </c>
      <c r="D152" s="19">
        <f ca="1">((100/H142)*C152)/100</f>
        <v>0</v>
      </c>
      <c r="E152" s="73"/>
      <c r="F152" s="74"/>
      <c r="G152" s="73"/>
      <c r="H152" s="78"/>
      <c r="I152" s="14" t="s">
        <v>145</v>
      </c>
      <c r="J152" s="30">
        <f>(IF(B142&gt;4,(H142/(B142+2)+J151),0))</f>
        <v>0</v>
      </c>
    </row>
    <row r="153" spans="1:10" ht="15.75" hidden="1" customHeight="1" x14ac:dyDescent="0.25">
      <c r="A153" s="69" t="s">
        <v>133</v>
      </c>
      <c r="B153" s="70" t="s">
        <v>133</v>
      </c>
      <c r="C153" s="54">
        <v>0</v>
      </c>
      <c r="D153" s="19">
        <f ca="1">((100/(H142))*C153)/100</f>
        <v>0</v>
      </c>
      <c r="E153" s="73"/>
      <c r="F153" s="74"/>
      <c r="G153" s="73"/>
      <c r="H153" s="78"/>
      <c r="I153" s="14" t="s">
        <v>147</v>
      </c>
      <c r="J153" s="30">
        <f ca="1">(IF(B142=1,(H142/(B142+3)+J148),IF(B142=0,(H142/4+J148),IF(B142&gt;1,0))))</f>
        <v>5.25</v>
      </c>
    </row>
    <row r="154" spans="1:10" ht="16.5" hidden="1" thickBot="1" x14ac:dyDescent="0.3">
      <c r="A154" s="80" t="s">
        <v>134</v>
      </c>
      <c r="B154" s="81"/>
      <c r="C154" s="59">
        <v>0</v>
      </c>
      <c r="D154" s="20">
        <f ca="1">((100/(H142))*C154)/100</f>
        <v>0</v>
      </c>
      <c r="E154" s="75"/>
      <c r="F154" s="76"/>
      <c r="G154" s="75"/>
      <c r="H154" s="79"/>
      <c r="I154" s="15" t="s">
        <v>103</v>
      </c>
      <c r="J154" s="32">
        <f ca="1">(IF(B142&gt;1.5,(H142/(B142+2)+J148+MAX(0,J149-J148)+MAX(0,J150-J149)+MAX(0,J151-J150)+MAX(0,J152-J151)+MAX(0,J153-J152)),IF(B142=1,(H142/(B142+3)+J153),IF(B142=0,H142/4+J153))))</f>
        <v>7</v>
      </c>
    </row>
    <row r="155" spans="1:10" x14ac:dyDescent="0.25">
      <c r="A155" s="85" t="s">
        <v>140</v>
      </c>
      <c r="B155" s="86"/>
      <c r="C155" s="87" t="s">
        <v>218</v>
      </c>
      <c r="D155" s="88"/>
      <c r="E155" s="88"/>
      <c r="F155" s="88"/>
      <c r="G155" s="88"/>
      <c r="H155" s="89"/>
      <c r="I155" s="52" t="str">
        <f ca="1">IF(D168=100%,"All work Completed. Possession granted to the Building.",IF(D167=100%,"All work Completed, Waiting for OC",I156&amp;""&amp;I157&amp;""&amp;J156&amp;""&amp;J155&amp;" "&amp;J157))</f>
        <v xml:space="preserve">Work not yet Started. </v>
      </c>
      <c r="J155" s="42" t="str">
        <f ca="1">(IF(C161=(D156+F156+H156),"",IF(C161&gt;0,", RCC upto "&amp;C161&amp;" Slab","")))&amp;(IF(C162=H156,"",IF(C162&gt;0,", Brickwork upto "&amp;C162&amp;" Floor","")))&amp;(IF(C163=H156,"",IF(C163&gt;0,", Internal Plaster upto "&amp;C163&amp;" Floor","")))&amp;(IF(C164=H156,"",IF(C164&gt;0,", External Plaster upto "&amp;C164&amp;" Floor","")))&amp;(IF(C165=H156,"",IF(C165&gt;0,", Flooring upto "&amp;C165&amp;" Floor","")))&amp;(IF(C166=H156,"",IF(C166&gt;0,", Painting upto "&amp;C166&amp;" Floor","")))&amp;(IF(C167=H156,"",IF(C167&gt;0,", Finishing upto "&amp;C167&amp;" Floor","")))&amp;(IF(C168=H156,"",IF(C168&gt;0,", Possession upto "&amp;C168&amp;" Floor","")))</f>
        <v/>
      </c>
    </row>
    <row r="156" spans="1:10" x14ac:dyDescent="0.25">
      <c r="A156" s="16" t="s">
        <v>142</v>
      </c>
      <c r="B156" s="57">
        <v>0</v>
      </c>
      <c r="C156" s="57" t="s">
        <v>73</v>
      </c>
      <c r="D156" s="57">
        <v>1</v>
      </c>
      <c r="E156" s="57" t="s">
        <v>72</v>
      </c>
      <c r="F156" s="57">
        <v>0</v>
      </c>
      <c r="G156" s="57" t="s">
        <v>82</v>
      </c>
      <c r="H156" s="17">
        <f ca="1">--TRIM(RIGHT(SUBSTITUTE(LEFT(C155,_xlfn.AGGREGATE(16,6,FIND({0,1,2,3,4,5,6,7,8,9},C155,ROW(INDIRECT("1:"&amp;LEN(C155)))),1))," ",REPT(" ",LEN(C155))),LEN(C155)))</f>
        <v>7</v>
      </c>
      <c r="I156" s="43" t="str">
        <f ca="1">IF(D159=100%,"Excavation","")&amp;IF(D160=100%,", Plinth","")&amp;IF(D161=100%,", RCC Slab","")&amp;IF(D162=100%,", Brickwork","")&amp;IF(D163=100%,", Internal Plaster","")&amp;IF(D164=100%,", External Plaster","")&amp;IF(D165=100%,", Flooring","")&amp;IF(D166=100%,", Painting","")&amp;IF(D167=100%,", Building common Amenities","")</f>
        <v/>
      </c>
      <c r="J156" s="44" t="str">
        <f>(IF(C159=0,"Work not yet Started.",IF(D159=25%,"Piling work in process",IF(D159=50%,"Excavation work in process",IF(D159=100%,"","0")))))&amp;(IF(C160=0%,"",IF(C160=J161,", Footing work is process",IF(C160=J162,", Footing work Completed",IF(C160=J163,", 1st Basement Completed",IF(C160=J164,", 1st &amp; 2nd Basement Completed",IF(C160=J165,", 1st to 3rd Basement Completed",IF(C160=J166,", 1st to 4th Basement Completed",IF(C160=J167,", Plinth work is process",IF(C160=J168,"","0"))))))))))</f>
        <v>Work not yet Started.</v>
      </c>
    </row>
    <row r="157" spans="1:10" ht="16.5" customHeight="1" x14ac:dyDescent="0.25">
      <c r="A157" s="90" t="s">
        <v>92</v>
      </c>
      <c r="B157" s="91"/>
      <c r="C157" s="82" t="str">
        <f ca="1">I155</f>
        <v xml:space="preserve">Work not yet Started. </v>
      </c>
      <c r="D157" s="82"/>
      <c r="E157" s="82"/>
      <c r="F157" s="82"/>
      <c r="G157" s="82"/>
      <c r="H157" s="83"/>
      <c r="I157" s="43" t="str">
        <f ca="1">IF(I156&lt;&gt;""," Completed","")</f>
        <v/>
      </c>
      <c r="J157" s="44" t="str">
        <f ca="1">IF(J155&lt;&gt;"","Completed","")</f>
        <v/>
      </c>
    </row>
    <row r="158" spans="1:10" ht="15.75" customHeight="1" x14ac:dyDescent="0.25">
      <c r="A158" s="69" t="s">
        <v>49</v>
      </c>
      <c r="B158" s="70"/>
      <c r="C158" s="54" t="s">
        <v>139</v>
      </c>
      <c r="D158" s="54" t="s">
        <v>85</v>
      </c>
      <c r="E158" s="70" t="s">
        <v>87</v>
      </c>
      <c r="F158" s="70"/>
      <c r="G158" s="70" t="s">
        <v>86</v>
      </c>
      <c r="H158" s="84"/>
      <c r="I158" s="14" t="s">
        <v>141</v>
      </c>
      <c r="J158" s="28">
        <f ca="1">H156*25%</f>
        <v>1.75</v>
      </c>
    </row>
    <row r="159" spans="1:10" x14ac:dyDescent="0.25">
      <c r="A159" s="69" t="s">
        <v>128</v>
      </c>
      <c r="B159" s="70"/>
      <c r="C159" s="54">
        <v>0</v>
      </c>
      <c r="D159" s="19">
        <f ca="1">((100/H156)*C159)/100</f>
        <v>0</v>
      </c>
      <c r="E159" s="71">
        <f ca="1">(((C160/H156*10)+(40/(D156+F156+H156)*C161)+(7.5/(H156)*C162)+(7.5/(H156)*C163)+(10/H156*C164)+(10/H156*C165)+(5/H156*C166)+(5/H156*C167)+(5/H156*C168))/100)</f>
        <v>0</v>
      </c>
      <c r="F159" s="72"/>
      <c r="G159" s="71">
        <f ca="1">((((C159/H156)*20)+((C160/H156)*25)+(30/(H156+F156+D156)*C161)+(5/H156*C162)+(5/H156*C163)+(5/H156*C164)+(5/H156*C165)+(0/H156*C166)+(0/H156*C167)+(5/H156*C168))/100)</f>
        <v>0</v>
      </c>
      <c r="H159" s="77"/>
      <c r="I159" s="14" t="s">
        <v>99</v>
      </c>
      <c r="J159" s="29">
        <f ca="1">H156*50%</f>
        <v>3.5</v>
      </c>
    </row>
    <row r="160" spans="1:10" x14ac:dyDescent="0.25">
      <c r="A160" s="69" t="s">
        <v>50</v>
      </c>
      <c r="B160" s="70"/>
      <c r="C160" s="60">
        <v>0</v>
      </c>
      <c r="D160" s="19">
        <f ca="1">((100/H156)*C160)/100</f>
        <v>0</v>
      </c>
      <c r="E160" s="73"/>
      <c r="F160" s="74"/>
      <c r="G160" s="73"/>
      <c r="H160" s="78"/>
      <c r="I160" s="14" t="s">
        <v>100</v>
      </c>
      <c r="J160" s="29">
        <f ca="1">H156</f>
        <v>7</v>
      </c>
    </row>
    <row r="161" spans="1:10" ht="15.75" customHeight="1" x14ac:dyDescent="0.25">
      <c r="A161" s="69" t="s">
        <v>129</v>
      </c>
      <c r="B161" s="70"/>
      <c r="C161" s="54">
        <v>0</v>
      </c>
      <c r="D161" s="19">
        <f ca="1">((100/(D156+F156+H156))*C161)/100</f>
        <v>0</v>
      </c>
      <c r="E161" s="73"/>
      <c r="F161" s="74"/>
      <c r="G161" s="73"/>
      <c r="H161" s="78"/>
      <c r="I161" s="14" t="s">
        <v>101</v>
      </c>
      <c r="J161" s="30">
        <f ca="1">(IF(B156&gt;1,(H156/(B156+2)),H156/4))</f>
        <v>1.75</v>
      </c>
    </row>
    <row r="162" spans="1:10" ht="15.75" customHeight="1" x14ac:dyDescent="0.25">
      <c r="A162" s="69" t="s">
        <v>136</v>
      </c>
      <c r="B162" s="70" t="s">
        <v>130</v>
      </c>
      <c r="C162" s="54">
        <v>0</v>
      </c>
      <c r="D162" s="19">
        <f ca="1">((100/H156)*C162)/100</f>
        <v>0</v>
      </c>
      <c r="E162" s="73"/>
      <c r="F162" s="74"/>
      <c r="G162" s="73"/>
      <c r="H162" s="78"/>
      <c r="I162" s="14" t="s">
        <v>102</v>
      </c>
      <c r="J162" s="30">
        <f ca="1">(IF(B156&gt;1,(H156/(B156+2)+J161),H156/4+J161))</f>
        <v>3.5</v>
      </c>
    </row>
    <row r="163" spans="1:10" ht="15.75" customHeight="1" x14ac:dyDescent="0.25">
      <c r="A163" s="69" t="s">
        <v>137</v>
      </c>
      <c r="B163" s="70" t="s">
        <v>130</v>
      </c>
      <c r="C163" s="54">
        <v>0</v>
      </c>
      <c r="D163" s="19">
        <f ca="1">((100/H156)*C163)/100</f>
        <v>0</v>
      </c>
      <c r="E163" s="73"/>
      <c r="F163" s="74"/>
      <c r="G163" s="73"/>
      <c r="H163" s="78"/>
      <c r="I163" s="14" t="s">
        <v>146</v>
      </c>
      <c r="J163" s="30">
        <f>(IF(B156&gt;1,(H156/(B156+2)+J162),0))</f>
        <v>0</v>
      </c>
    </row>
    <row r="164" spans="1:10" ht="15" customHeight="1" x14ac:dyDescent="0.25">
      <c r="A164" s="69" t="s">
        <v>135</v>
      </c>
      <c r="B164" s="70" t="s">
        <v>132</v>
      </c>
      <c r="C164" s="54">
        <v>0</v>
      </c>
      <c r="D164" s="19">
        <f ca="1">((100/(H156))*C164)/100</f>
        <v>0</v>
      </c>
      <c r="E164" s="73"/>
      <c r="F164" s="74"/>
      <c r="G164" s="73"/>
      <c r="H164" s="78"/>
      <c r="I164" s="14" t="s">
        <v>143</v>
      </c>
      <c r="J164" s="30">
        <f>(IF(B156&gt;2,(H156/(B156+2)+J163),0))</f>
        <v>0</v>
      </c>
    </row>
    <row r="165" spans="1:10" ht="15.75" customHeight="1" x14ac:dyDescent="0.25">
      <c r="A165" s="69" t="s">
        <v>131</v>
      </c>
      <c r="B165" s="70" t="s">
        <v>131</v>
      </c>
      <c r="C165" s="54">
        <v>0</v>
      </c>
      <c r="D165" s="19">
        <f ca="1">((100/H156)*C165)/100</f>
        <v>0</v>
      </c>
      <c r="E165" s="73"/>
      <c r="F165" s="74"/>
      <c r="G165" s="73"/>
      <c r="H165" s="78"/>
      <c r="I165" s="14" t="s">
        <v>144</v>
      </c>
      <c r="J165" s="31">
        <f>(IF(B156&gt;3,(H156/(B156+2)+J164),0))</f>
        <v>0</v>
      </c>
    </row>
    <row r="166" spans="1:10" ht="15.75" customHeight="1" x14ac:dyDescent="0.25">
      <c r="A166" s="69" t="s">
        <v>138</v>
      </c>
      <c r="B166" s="70"/>
      <c r="C166" s="54">
        <v>0</v>
      </c>
      <c r="D166" s="19">
        <f ca="1">((100/H156)*C166)/100</f>
        <v>0</v>
      </c>
      <c r="E166" s="73"/>
      <c r="F166" s="74"/>
      <c r="G166" s="73"/>
      <c r="H166" s="78"/>
      <c r="I166" s="14" t="s">
        <v>145</v>
      </c>
      <c r="J166" s="30">
        <f>(IF(B156&gt;4,(H156/(B156+2)+J165),0))</f>
        <v>0</v>
      </c>
    </row>
    <row r="167" spans="1:10" ht="15.75" customHeight="1" x14ac:dyDescent="0.25">
      <c r="A167" s="69" t="s">
        <v>133</v>
      </c>
      <c r="B167" s="70" t="s">
        <v>133</v>
      </c>
      <c r="C167" s="54">
        <v>0</v>
      </c>
      <c r="D167" s="19">
        <f ca="1">((100/(H156))*C167)/100</f>
        <v>0</v>
      </c>
      <c r="E167" s="73"/>
      <c r="F167" s="74"/>
      <c r="G167" s="73"/>
      <c r="H167" s="78"/>
      <c r="I167" s="14" t="s">
        <v>147</v>
      </c>
      <c r="J167" s="30">
        <f ca="1">(IF(B156=1,(H156/(B156+3)+J162),IF(B156=0,(H156/4+J162),IF(B156&gt;1,0))))</f>
        <v>5.25</v>
      </c>
    </row>
    <row r="168" spans="1:10" ht="16.5" thickBot="1" x14ac:dyDescent="0.3">
      <c r="A168" s="80" t="s">
        <v>134</v>
      </c>
      <c r="B168" s="81"/>
      <c r="C168" s="59">
        <v>0</v>
      </c>
      <c r="D168" s="20">
        <f ca="1">((100/(H156))*C168)/100</f>
        <v>0</v>
      </c>
      <c r="E168" s="75"/>
      <c r="F168" s="76"/>
      <c r="G168" s="75"/>
      <c r="H168" s="79"/>
      <c r="I168" s="15" t="s">
        <v>103</v>
      </c>
      <c r="J168" s="32">
        <f ca="1">(IF(B156&gt;1.5,(H156/(B156+2)+J162+MAX(0,J163-J162)+MAX(0,J164-J163)+MAX(0,J165-J164)+MAX(0,J166-J165)+MAX(0,J167-J166)),IF(B156=1,(H156/(B156+3)+J167),IF(B156=0,H156/4+J167))))</f>
        <v>7</v>
      </c>
    </row>
    <row r="169" spans="1:10" x14ac:dyDescent="0.25">
      <c r="A169" s="85" t="s">
        <v>140</v>
      </c>
      <c r="B169" s="86"/>
      <c r="C169" s="87" t="s">
        <v>216</v>
      </c>
      <c r="D169" s="88"/>
      <c r="E169" s="88"/>
      <c r="F169" s="88"/>
      <c r="G169" s="88"/>
      <c r="H169" s="89"/>
      <c r="I169" s="52" t="str">
        <f ca="1">IF(D182=100%,"All work Completed. Possession granted to the Building.",IF(D181=100%,"All work Completed, Waiting for OC",I170&amp;""&amp;I171&amp;""&amp;J170&amp;""&amp;J169&amp;" "&amp;J171))</f>
        <v>Excavation, Plinth, RCC Slab, Brickwork Completed, Internal Plaster upto 5 Floor, External Plaster upto 4 Floor Completed</v>
      </c>
      <c r="J169" s="42" t="str">
        <f ca="1">(IF(C175=(D170+F170+H170),"",IF(C175&gt;0,", RCC upto "&amp;C175&amp;" Slab","")))&amp;(IF(C176=H170,"",IF(C176&gt;0,", Brickwork upto "&amp;C176&amp;" Floor","")))&amp;(IF(C177=H170,"",IF(C177&gt;0,", Internal Plaster upto "&amp;C177&amp;" Floor","")))&amp;(IF(C178=H170,"",IF(C178&gt;0,", External Plaster upto "&amp;C178&amp;" Floor","")))&amp;(IF(C179=H170,"",IF(C179&gt;0,", Flooring upto "&amp;C179&amp;" Floor","")))&amp;(IF(C180=H170,"",IF(C180&gt;0,", Painting upto "&amp;C180&amp;" Floor","")))&amp;(IF(C181=H170,"",IF(C181&gt;0,", Finishing upto "&amp;C181&amp;" Floor","")))&amp;(IF(C182=H170,"",IF(C182&gt;0,", Possession upto "&amp;C182&amp;" Floor","")))</f>
        <v>, Internal Plaster upto 5 Floor, External Plaster upto 4 Floor</v>
      </c>
    </row>
    <row r="170" spans="1:10" x14ac:dyDescent="0.25">
      <c r="A170" s="16" t="s">
        <v>142</v>
      </c>
      <c r="B170" s="57">
        <v>0</v>
      </c>
      <c r="C170" s="57" t="s">
        <v>73</v>
      </c>
      <c r="D170" s="57">
        <v>1</v>
      </c>
      <c r="E170" s="57" t="s">
        <v>72</v>
      </c>
      <c r="F170" s="57">
        <v>0</v>
      </c>
      <c r="G170" s="57" t="s">
        <v>82</v>
      </c>
      <c r="H170" s="17">
        <f ca="1">--TRIM(RIGHT(SUBSTITUTE(LEFT(C169,_xlfn.AGGREGATE(16,6,FIND({0,1,2,3,4,5,6,7,8,9},C169,ROW(INDIRECT("1:"&amp;LEN(C169)))),1))," ",REPT(" ",LEN(C169))),LEN(C169)))</f>
        <v>7</v>
      </c>
      <c r="I170" s="43" t="str">
        <f ca="1">IF(D173=100%,"Excavation","")&amp;IF(D174=100%,", Plinth","")&amp;IF(D175=100%,", RCC Slab","")&amp;IF(D176=100%,", Brickwork","")&amp;IF(D177=100%,", Internal Plaster","")&amp;IF(D178=100%,", External Plaster","")&amp;IF(D179=100%,", Flooring","")&amp;IF(D180=100%,", Painting","")&amp;IF(D181=100%,", Building common Amenities","")</f>
        <v>Excavation, Plinth, RCC Slab, Brickwork</v>
      </c>
      <c r="J170" s="44" t="str">
        <f ca="1">(IF(C173=0,"Work not yet Started.",IF(D173=25%,"Piling work in process",IF(D173=50%,"Excavation work in process",IF(D173=100%,"","0")))))&amp;(IF(C174=0%,"",IF(C174=J175,", Footing work is process",IF(C174=J176,", Footing work Completed",IF(C174=J177,", 1st Basement Completed",IF(C174=J178,", 1st &amp; 2nd Basement Completed",IF(C174=J179,", 1st to 3rd Basement Completed",IF(C174=J180,", 1st to 4th Basement Completed",IF(C174=J181,", Plinth work is process",IF(C174=J182,"","0"))))))))))</f>
        <v/>
      </c>
    </row>
    <row r="171" spans="1:10" ht="35.25" customHeight="1" x14ac:dyDescent="0.25">
      <c r="A171" s="90" t="s">
        <v>92</v>
      </c>
      <c r="B171" s="91"/>
      <c r="C171" s="82" t="str">
        <f ca="1">I169</f>
        <v>Excavation, Plinth, RCC Slab, Brickwork Completed, Internal Plaster upto 5 Floor, External Plaster upto 4 Floor Completed</v>
      </c>
      <c r="D171" s="82"/>
      <c r="E171" s="82"/>
      <c r="F171" s="82"/>
      <c r="G171" s="82"/>
      <c r="H171" s="83"/>
      <c r="I171" s="43" t="str">
        <f ca="1">IF(I170&lt;&gt;""," Completed","")</f>
        <v xml:space="preserve"> Completed</v>
      </c>
      <c r="J171" s="44" t="str">
        <f ca="1">IF(J169&lt;&gt;"","Completed","")</f>
        <v>Completed</v>
      </c>
    </row>
    <row r="172" spans="1:10" ht="15.75" customHeight="1" x14ac:dyDescent="0.25">
      <c r="A172" s="69" t="s">
        <v>49</v>
      </c>
      <c r="B172" s="70"/>
      <c r="C172" s="54" t="s">
        <v>139</v>
      </c>
      <c r="D172" s="54" t="s">
        <v>85</v>
      </c>
      <c r="E172" s="70" t="s">
        <v>87</v>
      </c>
      <c r="F172" s="70"/>
      <c r="G172" s="70" t="s">
        <v>86</v>
      </c>
      <c r="H172" s="84"/>
      <c r="I172" s="14" t="s">
        <v>141</v>
      </c>
      <c r="J172" s="28">
        <f ca="1">H170*25%</f>
        <v>1.75</v>
      </c>
    </row>
    <row r="173" spans="1:10" x14ac:dyDescent="0.25">
      <c r="A173" s="69" t="s">
        <v>128</v>
      </c>
      <c r="B173" s="70"/>
      <c r="C173" s="54">
        <f ca="1">J174</f>
        <v>7</v>
      </c>
      <c r="D173" s="19">
        <f ca="1">((100/H170)*C173)/100</f>
        <v>1</v>
      </c>
      <c r="E173" s="71">
        <f ca="1">(((C174/H170*10)+(40/(D170+F170+H170)*C175)+(7.5/(H170)*C176)+(7.5/(H170)*C177)+(10/H170*C178)+(10/H170*C179)+(5/H170*C180)+(5/H170*C181)+(5/H170*C182))/100)</f>
        <v>0.68571428571428572</v>
      </c>
      <c r="F173" s="72"/>
      <c r="G173" s="71">
        <f ca="1">((((C173/H170)*20)+((C174/H170)*25)+(30/(H170+F170+D170)*C175)+(5/H170*C176)+(5/H170*C177)+(5/H170*C178)+(5/H170*C179)+(0/H170*C180)+(0/H170*C181)+(5/H170*C182))/100)</f>
        <v>0.86428571428571432</v>
      </c>
      <c r="H173" s="77"/>
      <c r="I173" s="14" t="s">
        <v>99</v>
      </c>
      <c r="J173" s="29">
        <f ca="1">H170*50%</f>
        <v>3.5</v>
      </c>
    </row>
    <row r="174" spans="1:10" x14ac:dyDescent="0.25">
      <c r="A174" s="69" t="s">
        <v>50</v>
      </c>
      <c r="B174" s="70"/>
      <c r="C174" s="60">
        <f ca="1">J182</f>
        <v>7</v>
      </c>
      <c r="D174" s="19">
        <f ca="1">((100/H170)*C174)/100</f>
        <v>1</v>
      </c>
      <c r="E174" s="73"/>
      <c r="F174" s="74"/>
      <c r="G174" s="73"/>
      <c r="H174" s="78"/>
      <c r="I174" s="14" t="s">
        <v>100</v>
      </c>
      <c r="J174" s="29">
        <f ca="1">H170</f>
        <v>7</v>
      </c>
    </row>
    <row r="175" spans="1:10" ht="15.75" customHeight="1" x14ac:dyDescent="0.25">
      <c r="A175" s="69" t="s">
        <v>129</v>
      </c>
      <c r="B175" s="70"/>
      <c r="C175" s="54">
        <v>8</v>
      </c>
      <c r="D175" s="19">
        <f ca="1">((100/(D170+F170+H170))*C175)/100</f>
        <v>1</v>
      </c>
      <c r="E175" s="73"/>
      <c r="F175" s="74"/>
      <c r="G175" s="73"/>
      <c r="H175" s="78"/>
      <c r="I175" s="14" t="s">
        <v>101</v>
      </c>
      <c r="J175" s="30">
        <f ca="1">(IF(B170&gt;1,(H170/(B170+2)),H170/4))</f>
        <v>1.75</v>
      </c>
    </row>
    <row r="176" spans="1:10" ht="15.75" customHeight="1" x14ac:dyDescent="0.25">
      <c r="A176" s="69" t="s">
        <v>136</v>
      </c>
      <c r="B176" s="70" t="s">
        <v>130</v>
      </c>
      <c r="C176" s="54">
        <v>7</v>
      </c>
      <c r="D176" s="19">
        <f ca="1">((100/H170)*C176)/100</f>
        <v>1</v>
      </c>
      <c r="E176" s="73"/>
      <c r="F176" s="74"/>
      <c r="G176" s="73"/>
      <c r="H176" s="78"/>
      <c r="I176" s="14" t="s">
        <v>102</v>
      </c>
      <c r="J176" s="30">
        <f ca="1">(IF(B170&gt;1,(H170/(B170+2)+J175),H170/4+J175))</f>
        <v>3.5</v>
      </c>
    </row>
    <row r="177" spans="1:10" ht="15.75" customHeight="1" x14ac:dyDescent="0.25">
      <c r="A177" s="69" t="s">
        <v>137</v>
      </c>
      <c r="B177" s="70" t="s">
        <v>130</v>
      </c>
      <c r="C177" s="54">
        <v>5</v>
      </c>
      <c r="D177" s="19">
        <f ca="1">((100/H170)*C177)/100</f>
        <v>0.7142857142857143</v>
      </c>
      <c r="E177" s="73"/>
      <c r="F177" s="74"/>
      <c r="G177" s="73"/>
      <c r="H177" s="78"/>
      <c r="I177" s="14" t="s">
        <v>146</v>
      </c>
      <c r="J177" s="30">
        <f>(IF(B170&gt;1,(H170/(B170+2)+J176),0))</f>
        <v>0</v>
      </c>
    </row>
    <row r="178" spans="1:10" ht="15" customHeight="1" x14ac:dyDescent="0.25">
      <c r="A178" s="69" t="s">
        <v>135</v>
      </c>
      <c r="B178" s="70" t="s">
        <v>132</v>
      </c>
      <c r="C178" s="54">
        <v>4</v>
      </c>
      <c r="D178" s="19">
        <f ca="1">((100/(H170))*C178)/100</f>
        <v>0.57142857142857151</v>
      </c>
      <c r="E178" s="73"/>
      <c r="F178" s="74"/>
      <c r="G178" s="73"/>
      <c r="H178" s="78"/>
      <c r="I178" s="14" t="s">
        <v>143</v>
      </c>
      <c r="J178" s="30">
        <f>(IF(B170&gt;2,(H170/(B170+2)+J177),0))</f>
        <v>0</v>
      </c>
    </row>
    <row r="179" spans="1:10" ht="15.75" customHeight="1" x14ac:dyDescent="0.25">
      <c r="A179" s="69" t="s">
        <v>131</v>
      </c>
      <c r="B179" s="70" t="s">
        <v>131</v>
      </c>
      <c r="C179" s="54">
        <v>0</v>
      </c>
      <c r="D179" s="19">
        <f ca="1">((100/H170)*C179)/100</f>
        <v>0</v>
      </c>
      <c r="E179" s="73"/>
      <c r="F179" s="74"/>
      <c r="G179" s="73"/>
      <c r="H179" s="78"/>
      <c r="I179" s="14" t="s">
        <v>144</v>
      </c>
      <c r="J179" s="31">
        <f>(IF(B170&gt;3,(H170/(B170+2)+J178),0))</f>
        <v>0</v>
      </c>
    </row>
    <row r="180" spans="1:10" ht="15.75" customHeight="1" x14ac:dyDescent="0.25">
      <c r="A180" s="69" t="s">
        <v>138</v>
      </c>
      <c r="B180" s="70"/>
      <c r="C180" s="54">
        <v>0</v>
      </c>
      <c r="D180" s="19">
        <f ca="1">((100/H170)*C180)/100</f>
        <v>0</v>
      </c>
      <c r="E180" s="73"/>
      <c r="F180" s="74"/>
      <c r="G180" s="73"/>
      <c r="H180" s="78"/>
      <c r="I180" s="14" t="s">
        <v>145</v>
      </c>
      <c r="J180" s="30">
        <f>(IF(B170&gt;4,(H170/(B170+2)+J179),0))</f>
        <v>0</v>
      </c>
    </row>
    <row r="181" spans="1:10" ht="15.75" customHeight="1" x14ac:dyDescent="0.25">
      <c r="A181" s="69" t="s">
        <v>133</v>
      </c>
      <c r="B181" s="70" t="s">
        <v>133</v>
      </c>
      <c r="C181" s="54">
        <v>0</v>
      </c>
      <c r="D181" s="19">
        <f ca="1">((100/(H170))*C181)/100</f>
        <v>0</v>
      </c>
      <c r="E181" s="73"/>
      <c r="F181" s="74"/>
      <c r="G181" s="73"/>
      <c r="H181" s="78"/>
      <c r="I181" s="14" t="s">
        <v>147</v>
      </c>
      <c r="J181" s="30">
        <f ca="1">(IF(B170=1,(H170/(B170+3)+J176),IF(B170=0,(H170/4+J176),IF(B170&gt;1,0))))</f>
        <v>5.25</v>
      </c>
    </row>
    <row r="182" spans="1:10" ht="16.5" thickBot="1" x14ac:dyDescent="0.3">
      <c r="A182" s="80" t="s">
        <v>134</v>
      </c>
      <c r="B182" s="81"/>
      <c r="C182" s="59">
        <v>0</v>
      </c>
      <c r="D182" s="20">
        <f ca="1">((100/(H170))*C182)/100</f>
        <v>0</v>
      </c>
      <c r="E182" s="75"/>
      <c r="F182" s="76"/>
      <c r="G182" s="75"/>
      <c r="H182" s="79"/>
      <c r="I182" s="15" t="s">
        <v>103</v>
      </c>
      <c r="J182" s="32">
        <f ca="1">(IF(B170&gt;1.5,(H170/(B170+2)+J176+MAX(0,J177-J176)+MAX(0,J178-J177)+MAX(0,J179-J178)+MAX(0,J180-J179)+MAX(0,J181-J180)),IF(B170=1,(H170/(B170+3)+J181),IF(B170=0,H170/4+J181))))</f>
        <v>7</v>
      </c>
    </row>
    <row r="183" spans="1:10" x14ac:dyDescent="0.25">
      <c r="A183" s="218" t="s">
        <v>158</v>
      </c>
      <c r="B183" s="218"/>
      <c r="C183" s="218"/>
      <c r="D183" s="218"/>
      <c r="E183" s="218"/>
      <c r="F183" s="200" t="s">
        <v>161</v>
      </c>
      <c r="G183" s="200"/>
      <c r="H183" s="200"/>
    </row>
    <row r="184" spans="1:10" x14ac:dyDescent="0.25">
      <c r="A184" s="94" t="s">
        <v>160</v>
      </c>
      <c r="B184" s="94"/>
      <c r="C184" s="94"/>
      <c r="D184" s="94"/>
      <c r="E184" s="94"/>
      <c r="F184" s="107">
        <v>4850</v>
      </c>
      <c r="G184" s="107"/>
      <c r="H184" s="107"/>
      <c r="I184" s="21" t="s">
        <v>252</v>
      </c>
    </row>
    <row r="185" spans="1:10" x14ac:dyDescent="0.25">
      <c r="A185" s="94" t="s">
        <v>159</v>
      </c>
      <c r="B185" s="94"/>
      <c r="C185" s="94"/>
      <c r="D185" s="94"/>
      <c r="E185" s="94"/>
      <c r="F185" s="166">
        <v>9000</v>
      </c>
      <c r="G185" s="166"/>
      <c r="H185" s="166"/>
    </row>
    <row r="186" spans="1:10" s="33" customFormat="1" x14ac:dyDescent="0.25">
      <c r="A186" s="94" t="s">
        <v>97</v>
      </c>
      <c r="B186" s="94"/>
      <c r="C186" s="94"/>
      <c r="D186" s="94"/>
      <c r="E186" s="94"/>
      <c r="F186" s="166">
        <v>275000</v>
      </c>
      <c r="G186" s="166"/>
      <c r="H186" s="166"/>
    </row>
    <row r="187" spans="1:10" s="33" customFormat="1" x14ac:dyDescent="0.25">
      <c r="A187" s="94" t="s">
        <v>211</v>
      </c>
      <c r="B187" s="94"/>
      <c r="C187" s="94"/>
      <c r="D187" s="94"/>
      <c r="E187" s="94"/>
      <c r="F187" s="166">
        <v>110000</v>
      </c>
      <c r="G187" s="166"/>
      <c r="H187" s="166"/>
    </row>
    <row r="188" spans="1:10" s="33" customFormat="1" x14ac:dyDescent="0.25">
      <c r="A188" s="94" t="s">
        <v>98</v>
      </c>
      <c r="B188" s="94"/>
      <c r="C188" s="94"/>
      <c r="D188" s="94"/>
      <c r="E188" s="94"/>
      <c r="F188" s="166">
        <v>80000</v>
      </c>
      <c r="G188" s="166"/>
      <c r="H188" s="166"/>
    </row>
    <row r="189" spans="1:10" s="33" customFormat="1" hidden="1" x14ac:dyDescent="0.25">
      <c r="A189" s="221" t="s">
        <v>162</v>
      </c>
      <c r="B189" s="222"/>
      <c r="C189" s="222"/>
      <c r="D189" s="222"/>
      <c r="E189" s="223"/>
      <c r="F189" s="215">
        <v>10000</v>
      </c>
      <c r="G189" s="216"/>
      <c r="H189" s="217"/>
    </row>
    <row r="190" spans="1:10" s="33" customFormat="1" x14ac:dyDescent="0.25">
      <c r="A190" s="94" t="s">
        <v>210</v>
      </c>
      <c r="B190" s="94"/>
      <c r="C190" s="94"/>
      <c r="D190" s="94"/>
      <c r="E190" s="94"/>
      <c r="F190" s="166">
        <v>32000</v>
      </c>
      <c r="G190" s="166"/>
      <c r="H190" s="166"/>
    </row>
    <row r="191" spans="1:10" x14ac:dyDescent="0.25">
      <c r="A191" s="94" t="s">
        <v>51</v>
      </c>
      <c r="B191" s="94"/>
      <c r="C191" s="94"/>
      <c r="D191" s="94"/>
      <c r="E191" s="94"/>
      <c r="F191" s="166">
        <v>150000</v>
      </c>
      <c r="G191" s="166"/>
      <c r="H191" s="166"/>
    </row>
    <row r="192" spans="1:10" s="34" customFormat="1" x14ac:dyDescent="0.25">
      <c r="A192" s="167" t="s">
        <v>52</v>
      </c>
      <c r="B192" s="167"/>
      <c r="C192" s="167"/>
      <c r="D192" s="167"/>
      <c r="E192" s="167"/>
      <c r="F192" s="166">
        <f>F184*0.8</f>
        <v>3880</v>
      </c>
      <c r="G192" s="166"/>
      <c r="H192" s="166"/>
    </row>
    <row r="193" spans="1:12" s="35" customFormat="1" ht="15.75" customHeight="1" x14ac:dyDescent="0.25">
      <c r="A193" s="165" t="s">
        <v>77</v>
      </c>
      <c r="B193" s="165"/>
      <c r="C193" s="165"/>
      <c r="D193" s="165"/>
      <c r="E193" s="165"/>
      <c r="F193" s="165"/>
      <c r="G193" s="165"/>
      <c r="H193" s="165"/>
    </row>
    <row r="194" spans="1:12" s="35" customFormat="1" ht="15.75" customHeight="1" x14ac:dyDescent="0.25">
      <c r="A194" s="96" t="s">
        <v>53</v>
      </c>
      <c r="B194" s="96"/>
      <c r="C194" s="206" t="s">
        <v>192</v>
      </c>
      <c r="D194" s="206"/>
      <c r="E194" s="154" t="s">
        <v>54</v>
      </c>
      <c r="F194" s="154"/>
      <c r="G194" s="96" t="s">
        <v>55</v>
      </c>
      <c r="H194" s="96"/>
    </row>
    <row r="195" spans="1:12" s="35" customFormat="1" x14ac:dyDescent="0.25">
      <c r="A195" s="168" t="s">
        <v>201</v>
      </c>
      <c r="B195" s="168"/>
      <c r="C195" s="201">
        <f>COUNT(D216:D227)</f>
        <v>12</v>
      </c>
      <c r="D195" s="202"/>
      <c r="E195" s="108">
        <f>SUM(D216:D227)</f>
        <v>2531.4236999999994</v>
      </c>
      <c r="F195" s="109"/>
      <c r="G195" s="108">
        <f>SUM(F216:F227)</f>
        <v>3797.1355499999991</v>
      </c>
      <c r="H195" s="109"/>
    </row>
    <row r="196" spans="1:12" s="35" customFormat="1" x14ac:dyDescent="0.25">
      <c r="A196" s="169" t="s">
        <v>71</v>
      </c>
      <c r="B196" s="169"/>
      <c r="C196" s="169"/>
      <c r="D196" s="169"/>
      <c r="E196" s="169"/>
      <c r="F196" s="169"/>
      <c r="G196" s="169"/>
      <c r="H196" s="169"/>
      <c r="J196" s="35" t="s">
        <v>205</v>
      </c>
    </row>
    <row r="197" spans="1:12" s="35" customFormat="1" ht="15.75" customHeight="1" x14ac:dyDescent="0.25">
      <c r="A197" s="96" t="s">
        <v>53</v>
      </c>
      <c r="B197" s="96"/>
      <c r="C197" s="206" t="s">
        <v>80</v>
      </c>
      <c r="D197" s="206"/>
      <c r="E197" s="154" t="s">
        <v>54</v>
      </c>
      <c r="F197" s="154"/>
      <c r="G197" s="96" t="s">
        <v>55</v>
      </c>
      <c r="H197" s="96"/>
      <c r="J197" s="35" t="s">
        <v>206</v>
      </c>
      <c r="L197" s="35" t="s">
        <v>208</v>
      </c>
    </row>
    <row r="198" spans="1:12" s="35" customFormat="1" x14ac:dyDescent="0.25">
      <c r="A198" s="219" t="s">
        <v>199</v>
      </c>
      <c r="B198" s="46" t="s">
        <v>184</v>
      </c>
      <c r="C198" s="205">
        <f>COUNT(D234:D235)+COUNT(D237:D240)*7</f>
        <v>30</v>
      </c>
      <c r="D198" s="205"/>
      <c r="E198" s="149">
        <f>SUM(D234:D235)+SUM(D237:D240)*7</f>
        <v>13787.026343999998</v>
      </c>
      <c r="F198" s="149"/>
      <c r="G198" s="149">
        <f>SUM(F234:F235)+SUM(F237:F240)*7</f>
        <v>19991.188198799999</v>
      </c>
      <c r="H198" s="149"/>
      <c r="J198" s="35" t="s">
        <v>207</v>
      </c>
      <c r="L198" s="35">
        <v>4500</v>
      </c>
    </row>
    <row r="199" spans="1:12" s="35" customFormat="1" x14ac:dyDescent="0.25">
      <c r="A199" s="220"/>
      <c r="B199" s="46" t="s">
        <v>188</v>
      </c>
      <c r="C199" s="205">
        <f>COUNT(D243:D244)+COUNT(D246:D249)*7</f>
        <v>30</v>
      </c>
      <c r="D199" s="205"/>
      <c r="E199" s="149">
        <f>SUM(D243:D244)+SUM(D246:D249)*7</f>
        <v>10739.791764</v>
      </c>
      <c r="F199" s="149"/>
      <c r="G199" s="149">
        <f>SUM(F243:F244)+SUM(F246:F249)*7</f>
        <v>15572.698057799998</v>
      </c>
      <c r="H199" s="149"/>
    </row>
    <row r="200" spans="1:12" s="35" customFormat="1" x14ac:dyDescent="0.25">
      <c r="A200" s="219" t="s">
        <v>200</v>
      </c>
      <c r="B200" s="46" t="s">
        <v>184</v>
      </c>
      <c r="C200" s="205">
        <f>COUNT(D253:D254)+COUNT(D256:D259)*7</f>
        <v>30</v>
      </c>
      <c r="D200" s="205"/>
      <c r="E200" s="149">
        <f>SUM(D253:D254)+SUM(D256:D259)*7</f>
        <v>13787.026343999998</v>
      </c>
      <c r="F200" s="149"/>
      <c r="G200" s="149">
        <f>SUM(F253:F254)+SUM(F256:F259)*7</f>
        <v>19991.188198799999</v>
      </c>
      <c r="H200" s="149"/>
    </row>
    <row r="201" spans="1:12" s="35" customFormat="1" x14ac:dyDescent="0.25">
      <c r="A201" s="220"/>
      <c r="B201" s="46" t="s">
        <v>188</v>
      </c>
      <c r="C201" s="205">
        <f>COUNT(D262:D263)+COUNT(D265:D268)*7</f>
        <v>30</v>
      </c>
      <c r="D201" s="205"/>
      <c r="E201" s="149">
        <f>SUM(D262:D263)+SUM(D265:D268)*7</f>
        <v>13787.026343999998</v>
      </c>
      <c r="F201" s="149"/>
      <c r="G201" s="149">
        <f>SUM(F262:F263)+SUM(F265:F268)*7</f>
        <v>19991.188198799999</v>
      </c>
      <c r="H201" s="149"/>
    </row>
    <row r="202" spans="1:12" s="35" customFormat="1" x14ac:dyDescent="0.25">
      <c r="A202" s="219" t="s">
        <v>201</v>
      </c>
      <c r="B202" s="46" t="s">
        <v>184</v>
      </c>
      <c r="C202" s="149">
        <f>COUNT(D272:D277)+COUNT(D279:D284)*6</f>
        <v>42</v>
      </c>
      <c r="D202" s="149"/>
      <c r="E202" s="149">
        <f>SUM(D272:D277)+SUM(D279:D284)*6</f>
        <v>18543.06207</v>
      </c>
      <c r="F202" s="149"/>
      <c r="G202" s="149">
        <f>SUM(F272:F277)+SUM(F279:F284)*6</f>
        <v>27046.276276499993</v>
      </c>
      <c r="H202" s="149"/>
    </row>
    <row r="203" spans="1:12" s="35" customFormat="1" x14ac:dyDescent="0.25">
      <c r="A203" s="220"/>
      <c r="B203" s="46" t="s">
        <v>188</v>
      </c>
      <c r="C203" s="149">
        <f>COUNT(D287:D292)+COUNT(D294:D299)*6</f>
        <v>42</v>
      </c>
      <c r="D203" s="149"/>
      <c r="E203" s="149">
        <f>SUM(D287:D292)+SUM(D294:D299)*6</f>
        <v>18952.013339999998</v>
      </c>
      <c r="F203" s="149"/>
      <c r="G203" s="149">
        <f>SUM(F287:F292)+SUM(F294:F299)*6</f>
        <v>27639.255617999996</v>
      </c>
      <c r="H203" s="149"/>
    </row>
    <row r="204" spans="1:12" s="35" customFormat="1" x14ac:dyDescent="0.25">
      <c r="A204" s="209" t="s">
        <v>198</v>
      </c>
      <c r="B204" s="210"/>
      <c r="C204" s="149">
        <f>COUNT(D303:D305)*7</f>
        <v>21</v>
      </c>
      <c r="D204" s="149"/>
      <c r="E204" s="149">
        <f>SUM(D303:D305)*7</f>
        <v>9240.6787199999999</v>
      </c>
      <c r="F204" s="149"/>
      <c r="G204" s="149">
        <f>SUM(F303:F305)*7</f>
        <v>13398.984143999998</v>
      </c>
      <c r="H204" s="149"/>
    </row>
    <row r="205" spans="1:12" s="35" customFormat="1" x14ac:dyDescent="0.25">
      <c r="A205" s="150" t="s">
        <v>202</v>
      </c>
      <c r="B205" s="46" t="s">
        <v>184</v>
      </c>
      <c r="C205" s="149">
        <f>COUNT(D310:D313)*7</f>
        <v>28</v>
      </c>
      <c r="D205" s="149"/>
      <c r="E205" s="149">
        <f>SUM(D310:D313)*7</f>
        <v>13068.733859999997</v>
      </c>
      <c r="F205" s="149"/>
      <c r="G205" s="149">
        <f>SUM(F310:F313)*7</f>
        <v>18949.664096999997</v>
      </c>
      <c r="H205" s="149"/>
    </row>
    <row r="206" spans="1:12" s="35" customFormat="1" ht="15.75" customHeight="1" x14ac:dyDescent="0.25">
      <c r="A206" s="151"/>
      <c r="B206" s="46" t="s">
        <v>188</v>
      </c>
      <c r="C206" s="149">
        <f>COUNT(D317:D323)*7</f>
        <v>49</v>
      </c>
      <c r="D206" s="149"/>
      <c r="E206" s="149">
        <f>SUM(D317:D323)*7</f>
        <v>22377.602519999997</v>
      </c>
      <c r="F206" s="149"/>
      <c r="G206" s="149">
        <f>SUM(F317:F323)*7</f>
        <v>32447.523654000001</v>
      </c>
      <c r="H206" s="149"/>
    </row>
    <row r="207" spans="1:12" s="35" customFormat="1" x14ac:dyDescent="0.25">
      <c r="A207" s="152" t="s">
        <v>203</v>
      </c>
      <c r="B207" s="150"/>
      <c r="C207" s="153">
        <f>COUNT(D327:D332)*7</f>
        <v>42</v>
      </c>
      <c r="D207" s="153"/>
      <c r="E207" s="153">
        <f>SUM(D327:D332)*7</f>
        <v>17705.64978</v>
      </c>
      <c r="F207" s="153"/>
      <c r="G207" s="153">
        <f>SUM(F327:F332)*7</f>
        <v>25673.192180999995</v>
      </c>
      <c r="H207" s="153"/>
    </row>
    <row r="208" spans="1:12" s="35" customFormat="1" ht="16.5" thickBot="1" x14ac:dyDescent="0.3">
      <c r="A208" s="207" t="s">
        <v>151</v>
      </c>
      <c r="B208" s="207"/>
      <c r="C208" s="145">
        <f>SUM(C198:D207)</f>
        <v>344</v>
      </c>
      <c r="D208" s="145"/>
      <c r="E208" s="208">
        <f t="shared" ref="E208" si="0">SUM(E198:F207)</f>
        <v>151988.61108599999</v>
      </c>
      <c r="F208" s="208"/>
      <c r="G208" s="208">
        <f t="shared" ref="G208" si="1">SUM(G198:H207)</f>
        <v>220701.15862469995</v>
      </c>
      <c r="H208" s="208"/>
    </row>
    <row r="209" spans="1:14" s="35" customFormat="1" ht="16.5" thickBot="1" x14ac:dyDescent="0.3">
      <c r="A209" s="224" t="s">
        <v>250</v>
      </c>
      <c r="B209" s="225"/>
      <c r="C209" s="226">
        <f>C195+C208</f>
        <v>356</v>
      </c>
      <c r="D209" s="227"/>
      <c r="E209" s="226">
        <f t="shared" ref="E209" si="2">E195+E208</f>
        <v>154520.03478599997</v>
      </c>
      <c r="F209" s="227"/>
      <c r="G209" s="226">
        <f t="shared" ref="G209" si="3">G195+G208</f>
        <v>224498.29417469996</v>
      </c>
      <c r="H209" s="227"/>
    </row>
    <row r="210" spans="1:14" s="34" customFormat="1" x14ac:dyDescent="0.25">
      <c r="A210" s="200" t="s">
        <v>56</v>
      </c>
      <c r="B210" s="200"/>
      <c r="C210" s="200"/>
      <c r="D210" s="200"/>
      <c r="E210" s="200"/>
      <c r="F210" s="200"/>
      <c r="G210" s="200"/>
      <c r="H210" s="200"/>
    </row>
    <row r="211" spans="1:14" x14ac:dyDescent="0.25">
      <c r="A211" s="174" t="s">
        <v>57</v>
      </c>
      <c r="B211" s="174"/>
      <c r="C211" s="174"/>
      <c r="D211" s="174"/>
      <c r="E211" s="174"/>
      <c r="F211" s="174"/>
      <c r="G211" s="174"/>
      <c r="H211" s="174"/>
    </row>
    <row r="212" spans="1:14" ht="47.25" customHeight="1" x14ac:dyDescent="0.25">
      <c r="A212" s="97" t="s">
        <v>118</v>
      </c>
      <c r="B212" s="97" t="s">
        <v>117</v>
      </c>
      <c r="C212" s="97" t="s">
        <v>58</v>
      </c>
      <c r="D212" s="97" t="s">
        <v>59</v>
      </c>
      <c r="E212" s="99" t="s">
        <v>157</v>
      </c>
      <c r="F212" s="55" t="s">
        <v>150</v>
      </c>
      <c r="G212" s="101" t="s">
        <v>61</v>
      </c>
      <c r="H212" s="102"/>
    </row>
    <row r="213" spans="1:14" s="37" customFormat="1" x14ac:dyDescent="0.25">
      <c r="A213" s="98"/>
      <c r="B213" s="98"/>
      <c r="C213" s="98"/>
      <c r="D213" s="98"/>
      <c r="E213" s="100"/>
      <c r="F213" s="13">
        <v>0.5</v>
      </c>
      <c r="G213" s="103"/>
      <c r="H213" s="104"/>
    </row>
    <row r="214" spans="1:14" s="37" customFormat="1" x14ac:dyDescent="0.25">
      <c r="A214" s="146" t="s">
        <v>201</v>
      </c>
      <c r="B214" s="147"/>
      <c r="C214" s="147"/>
      <c r="D214" s="147"/>
      <c r="E214" s="147"/>
      <c r="F214" s="147"/>
      <c r="G214" s="147"/>
      <c r="H214" s="148"/>
      <c r="J214" s="36"/>
    </row>
    <row r="215" spans="1:14" s="37" customFormat="1" x14ac:dyDescent="0.25">
      <c r="A215" s="146" t="s">
        <v>234</v>
      </c>
      <c r="B215" s="147"/>
      <c r="C215" s="147"/>
      <c r="D215" s="147"/>
      <c r="E215" s="147"/>
      <c r="F215" s="147"/>
      <c r="G215" s="147"/>
      <c r="H215" s="148"/>
      <c r="J215" s="36"/>
    </row>
    <row r="216" spans="1:14" s="37" customFormat="1" ht="15.75" customHeight="1" x14ac:dyDescent="0.25">
      <c r="A216" s="143">
        <v>1</v>
      </c>
      <c r="B216" s="144"/>
      <c r="C216" s="45" t="s">
        <v>190</v>
      </c>
      <c r="D216" s="45">
        <f>(13.05)*10.764</f>
        <v>140.47020000000001</v>
      </c>
      <c r="E216" s="45">
        <v>0</v>
      </c>
      <c r="F216" s="45">
        <f>(D216+E216)*(($F$213)+1)</f>
        <v>210.70530000000002</v>
      </c>
      <c r="G216" s="228" t="str">
        <f>A215</f>
        <v>Ground Floor For Commercial, Society Offcie, Driver Room &amp; Parking</v>
      </c>
      <c r="H216" s="229"/>
      <c r="I216" s="36">
        <f>3000000/F216</f>
        <v>14237.895297365561</v>
      </c>
      <c r="J216" s="49">
        <f>(2.65*2.85)</f>
        <v>7.5525000000000002</v>
      </c>
      <c r="K216" s="37">
        <v>145</v>
      </c>
      <c r="L216" s="51">
        <f>K216/D216</f>
        <v>1.0322474090590033</v>
      </c>
      <c r="M216" s="51">
        <f>3000000/K216</f>
        <v>20689.655172413793</v>
      </c>
      <c r="N216" s="36"/>
    </row>
    <row r="217" spans="1:14" s="37" customFormat="1" x14ac:dyDescent="0.25">
      <c r="A217" s="143">
        <f t="shared" ref="A217:A227" si="4">A216+1</f>
        <v>2</v>
      </c>
      <c r="B217" s="144"/>
      <c r="C217" s="45" t="s">
        <v>190</v>
      </c>
      <c r="D217" s="45">
        <f>(17.78)*10.764</f>
        <v>191.38391999999999</v>
      </c>
      <c r="E217" s="45">
        <v>0</v>
      </c>
      <c r="F217" s="45">
        <f t="shared" ref="F217:F218" si="5">(D217+E217)*(($F$213)+1)</f>
        <v>287.07587999999998</v>
      </c>
      <c r="G217" s="232"/>
      <c r="H217" s="233"/>
      <c r="I217" s="36">
        <f>3000000/F217</f>
        <v>10450.198741879674</v>
      </c>
      <c r="K217" s="37">
        <v>205</v>
      </c>
      <c r="L217" s="51">
        <f>K217/D217</f>
        <v>1.0711453710426666</v>
      </c>
      <c r="M217" s="51"/>
      <c r="N217" s="36"/>
    </row>
    <row r="218" spans="1:14" s="37" customFormat="1" x14ac:dyDescent="0.25">
      <c r="A218" s="143">
        <f t="shared" si="4"/>
        <v>3</v>
      </c>
      <c r="B218" s="144"/>
      <c r="C218" s="45" t="s">
        <v>190</v>
      </c>
      <c r="D218" s="45">
        <f>(31.6)*10.764</f>
        <v>340.14240000000001</v>
      </c>
      <c r="E218" s="45">
        <v>0</v>
      </c>
      <c r="F218" s="45">
        <f t="shared" si="5"/>
        <v>510.21360000000004</v>
      </c>
      <c r="G218" s="232"/>
      <c r="H218" s="233"/>
      <c r="I218" s="36">
        <f>3000000/F218</f>
        <v>5879.8903047664735</v>
      </c>
      <c r="K218" s="37">
        <v>250</v>
      </c>
      <c r="L218" s="51">
        <f t="shared" ref="L218:L221" si="6">K218/D218</f>
        <v>0.73498628809580924</v>
      </c>
      <c r="M218" s="51"/>
      <c r="N218" s="36"/>
    </row>
    <row r="219" spans="1:14" s="37" customFormat="1" x14ac:dyDescent="0.25">
      <c r="A219" s="143">
        <f t="shared" si="4"/>
        <v>4</v>
      </c>
      <c r="B219" s="144"/>
      <c r="C219" s="45" t="s">
        <v>190</v>
      </c>
      <c r="D219" s="45">
        <f>(16.51)*10.764</f>
        <v>177.71364</v>
      </c>
      <c r="E219" s="45">
        <v>0</v>
      </c>
      <c r="F219" s="45">
        <f>(D219+E219)*(($F$213)+1)</f>
        <v>266.57046000000003</v>
      </c>
      <c r="G219" s="232"/>
      <c r="H219" s="233"/>
      <c r="I219" s="36"/>
      <c r="K219" s="37">
        <v>250</v>
      </c>
      <c r="L219" s="51">
        <f t="shared" si="6"/>
        <v>1.4067575229453406</v>
      </c>
      <c r="M219" s="51"/>
      <c r="N219" s="36"/>
    </row>
    <row r="220" spans="1:14" s="37" customFormat="1" x14ac:dyDescent="0.25">
      <c r="A220" s="143">
        <f t="shared" si="4"/>
        <v>5</v>
      </c>
      <c r="B220" s="144"/>
      <c r="C220" s="45" t="s">
        <v>190</v>
      </c>
      <c r="D220" s="45">
        <f>(18.0975)*10.764</f>
        <v>194.80149</v>
      </c>
      <c r="E220" s="45">
        <v>0</v>
      </c>
      <c r="F220" s="45">
        <f t="shared" ref="F220" si="7">(D220+E220)*(($F$213)+1)</f>
        <v>292.20223499999997</v>
      </c>
      <c r="G220" s="232"/>
      <c r="H220" s="233"/>
      <c r="I220" s="36"/>
      <c r="K220" s="37">
        <v>205</v>
      </c>
      <c r="L220" s="51">
        <f t="shared" si="6"/>
        <v>1.0523533469892863</v>
      </c>
      <c r="M220" s="51"/>
      <c r="N220" s="36"/>
    </row>
    <row r="221" spans="1:14" s="37" customFormat="1" x14ac:dyDescent="0.25">
      <c r="A221" s="143">
        <f t="shared" si="4"/>
        <v>6</v>
      </c>
      <c r="B221" s="144"/>
      <c r="C221" s="45" t="s">
        <v>190</v>
      </c>
      <c r="D221" s="45">
        <f>(18.85)*10.764</f>
        <v>202.9014</v>
      </c>
      <c r="E221" s="45">
        <v>0</v>
      </c>
      <c r="F221" s="45">
        <f t="shared" ref="F221:F222" si="8">(D221+E221)*(($F$213)+1)</f>
        <v>304.35210000000001</v>
      </c>
      <c r="G221" s="232"/>
      <c r="H221" s="233"/>
      <c r="I221" s="36"/>
      <c r="K221" s="37">
        <v>145</v>
      </c>
      <c r="L221" s="51">
        <f t="shared" si="6"/>
        <v>0.7146328216562331</v>
      </c>
      <c r="M221" s="51"/>
      <c r="N221" s="36"/>
    </row>
    <row r="222" spans="1:14" s="37" customFormat="1" x14ac:dyDescent="0.25">
      <c r="A222" s="143">
        <f t="shared" si="4"/>
        <v>7</v>
      </c>
      <c r="B222" s="144"/>
      <c r="C222" s="45" t="s">
        <v>190</v>
      </c>
      <c r="D222" s="45">
        <f>(18.85)*10.764</f>
        <v>202.9014</v>
      </c>
      <c r="E222" s="45">
        <v>0</v>
      </c>
      <c r="F222" s="45">
        <f t="shared" si="8"/>
        <v>304.35210000000001</v>
      </c>
      <c r="G222" s="232"/>
      <c r="H222" s="233"/>
      <c r="I222" s="36">
        <f>3000000/F222</f>
        <v>9857.0044366376969</v>
      </c>
      <c r="K222" s="37">
        <v>250</v>
      </c>
      <c r="L222" s="51">
        <f t="shared" ref="L222:L225" si="9">K222/D222</f>
        <v>1.2321255545797121</v>
      </c>
      <c r="M222" s="51"/>
      <c r="N222" s="36"/>
    </row>
    <row r="223" spans="1:14" s="37" customFormat="1" x14ac:dyDescent="0.25">
      <c r="A223" s="143">
        <f t="shared" si="4"/>
        <v>8</v>
      </c>
      <c r="B223" s="144"/>
      <c r="C223" s="45" t="s">
        <v>190</v>
      </c>
      <c r="D223" s="45">
        <f>(18.0975)*10.764</f>
        <v>194.80149</v>
      </c>
      <c r="E223" s="45">
        <v>0</v>
      </c>
      <c r="F223" s="45">
        <f>(D223+E223)*(($F$213)+1)</f>
        <v>292.20223499999997</v>
      </c>
      <c r="G223" s="232"/>
      <c r="H223" s="233"/>
      <c r="I223" s="36"/>
      <c r="K223" s="37">
        <v>250</v>
      </c>
      <c r="L223" s="51">
        <f t="shared" si="9"/>
        <v>1.2833577402308369</v>
      </c>
      <c r="M223" s="51"/>
      <c r="N223" s="36"/>
    </row>
    <row r="224" spans="1:14" s="37" customFormat="1" x14ac:dyDescent="0.25">
      <c r="A224" s="143">
        <f t="shared" si="4"/>
        <v>9</v>
      </c>
      <c r="B224" s="144"/>
      <c r="C224" s="45" t="s">
        <v>190</v>
      </c>
      <c r="D224" s="45">
        <f>(16.51)*10.764</f>
        <v>177.71364</v>
      </c>
      <c r="E224" s="45">
        <v>0</v>
      </c>
      <c r="F224" s="45">
        <f t="shared" ref="F224:F225" si="10">(D224+E224)*(($F$213)+1)</f>
        <v>266.57046000000003</v>
      </c>
      <c r="G224" s="232"/>
      <c r="H224" s="233"/>
      <c r="I224" s="36"/>
      <c r="K224" s="37">
        <v>205</v>
      </c>
      <c r="L224" s="51">
        <f t="shared" si="9"/>
        <v>1.1535411688151793</v>
      </c>
      <c r="M224" s="51"/>
      <c r="N224" s="36"/>
    </row>
    <row r="225" spans="1:14" s="37" customFormat="1" x14ac:dyDescent="0.25">
      <c r="A225" s="143">
        <f t="shared" si="4"/>
        <v>10</v>
      </c>
      <c r="B225" s="144"/>
      <c r="C225" s="45" t="s">
        <v>190</v>
      </c>
      <c r="D225" s="45">
        <f>(31.6)*10.764</f>
        <v>340.14240000000001</v>
      </c>
      <c r="E225" s="45">
        <v>0</v>
      </c>
      <c r="F225" s="45">
        <f t="shared" si="10"/>
        <v>510.21360000000004</v>
      </c>
      <c r="G225" s="232"/>
      <c r="H225" s="233"/>
      <c r="I225" s="36"/>
      <c r="K225" s="37">
        <v>145</v>
      </c>
      <c r="L225" s="51">
        <f t="shared" si="9"/>
        <v>0.42629204709556939</v>
      </c>
      <c r="M225" s="51"/>
      <c r="N225" s="36"/>
    </row>
    <row r="226" spans="1:14" s="37" customFormat="1" x14ac:dyDescent="0.25">
      <c r="A226" s="143">
        <f t="shared" si="4"/>
        <v>11</v>
      </c>
      <c r="B226" s="144"/>
      <c r="C226" s="45" t="s">
        <v>190</v>
      </c>
      <c r="D226" s="45">
        <f>(17.78)*10.764</f>
        <v>191.38391999999999</v>
      </c>
      <c r="E226" s="45">
        <v>0</v>
      </c>
      <c r="F226" s="45">
        <f t="shared" ref="F226:F227" si="11">(D226+E226)*(($F$213)+1)</f>
        <v>287.07587999999998</v>
      </c>
      <c r="G226" s="232"/>
      <c r="H226" s="233"/>
      <c r="I226" s="36"/>
      <c r="K226" s="37">
        <v>205</v>
      </c>
      <c r="L226" s="51">
        <f t="shared" ref="L226:L227" si="12">K226/D226</f>
        <v>1.0711453710426666</v>
      </c>
      <c r="M226" s="51"/>
      <c r="N226" s="36"/>
    </row>
    <row r="227" spans="1:14" s="37" customFormat="1" x14ac:dyDescent="0.25">
      <c r="A227" s="143">
        <f t="shared" si="4"/>
        <v>12</v>
      </c>
      <c r="B227" s="144"/>
      <c r="C227" s="45" t="s">
        <v>190</v>
      </c>
      <c r="D227" s="45">
        <f>(16.45)*10.764</f>
        <v>177.06779999999998</v>
      </c>
      <c r="E227" s="45">
        <v>0</v>
      </c>
      <c r="F227" s="45">
        <f t="shared" si="11"/>
        <v>265.60169999999994</v>
      </c>
      <c r="G227" s="230"/>
      <c r="H227" s="231"/>
      <c r="I227" s="36"/>
      <c r="K227" s="37">
        <v>145</v>
      </c>
      <c r="L227" s="51">
        <f t="shared" si="12"/>
        <v>0.8188953609860179</v>
      </c>
      <c r="M227" s="51"/>
      <c r="N227" s="36"/>
    </row>
    <row r="228" spans="1:14" s="37" customFormat="1" x14ac:dyDescent="0.25">
      <c r="A228" s="143"/>
      <c r="B228" s="161"/>
      <c r="C228" s="161"/>
      <c r="D228" s="161"/>
      <c r="E228" s="161"/>
      <c r="F228" s="161"/>
      <c r="G228" s="161"/>
      <c r="H228" s="144"/>
      <c r="I228" s="36"/>
      <c r="N228" s="36"/>
    </row>
    <row r="229" spans="1:14" ht="47.25" customHeight="1" x14ac:dyDescent="0.25">
      <c r="A229" s="97" t="s">
        <v>119</v>
      </c>
      <c r="B229" s="97" t="s">
        <v>120</v>
      </c>
      <c r="C229" s="97" t="s">
        <v>58</v>
      </c>
      <c r="D229" s="97" t="s">
        <v>59</v>
      </c>
      <c r="E229" s="99" t="s">
        <v>60</v>
      </c>
      <c r="F229" s="55" t="s">
        <v>150</v>
      </c>
      <c r="G229" s="101" t="s">
        <v>61</v>
      </c>
      <c r="H229" s="102"/>
      <c r="I229" s="36"/>
    </row>
    <row r="230" spans="1:14" s="37" customFormat="1" x14ac:dyDescent="0.25">
      <c r="A230" s="98"/>
      <c r="B230" s="98"/>
      <c r="C230" s="98"/>
      <c r="D230" s="98"/>
      <c r="E230" s="100"/>
      <c r="F230" s="13">
        <v>0.45</v>
      </c>
      <c r="G230" s="103"/>
      <c r="H230" s="104"/>
      <c r="I230" s="36"/>
    </row>
    <row r="231" spans="1:14" s="37" customFormat="1" x14ac:dyDescent="0.25">
      <c r="A231" s="146" t="s">
        <v>199</v>
      </c>
      <c r="B231" s="147"/>
      <c r="C231" s="147"/>
      <c r="D231" s="147"/>
      <c r="E231" s="147"/>
      <c r="F231" s="147"/>
      <c r="G231" s="147"/>
      <c r="H231" s="148"/>
      <c r="J231" s="36"/>
    </row>
    <row r="232" spans="1:14" s="37" customFormat="1" x14ac:dyDescent="0.25">
      <c r="A232" s="146" t="s">
        <v>184</v>
      </c>
      <c r="B232" s="147"/>
      <c r="C232" s="147"/>
      <c r="D232" s="147"/>
      <c r="E232" s="147"/>
      <c r="F232" s="147"/>
      <c r="G232" s="147"/>
      <c r="H232" s="148"/>
      <c r="J232" s="36"/>
    </row>
    <row r="233" spans="1:14" s="37" customFormat="1" x14ac:dyDescent="0.25">
      <c r="A233" s="146" t="s">
        <v>185</v>
      </c>
      <c r="B233" s="147"/>
      <c r="C233" s="147"/>
      <c r="D233" s="147"/>
      <c r="E233" s="147"/>
      <c r="F233" s="147"/>
      <c r="G233" s="147"/>
      <c r="H233" s="148"/>
      <c r="J233" s="36"/>
    </row>
    <row r="234" spans="1:14" s="37" customFormat="1" x14ac:dyDescent="0.25">
      <c r="A234" s="143">
        <v>1</v>
      </c>
      <c r="B234" s="144"/>
      <c r="C234" s="45" t="s">
        <v>186</v>
      </c>
      <c r="D234" s="45">
        <f>(41.33+3.48)*10.764</f>
        <v>482.33483999999993</v>
      </c>
      <c r="E234" s="45">
        <v>0</v>
      </c>
      <c r="F234" s="45">
        <f>D234*(($F$230)+1)+(IF(E234&lt;101,E234,IF(E234&lt;201,E234/2,IF(E234&lt;=301,E234/3,E234/4))))</f>
        <v>699.38551799999982</v>
      </c>
      <c r="G234" s="228" t="str">
        <f>A233</f>
        <v>Ground Floor For Residential</v>
      </c>
      <c r="H234" s="229"/>
      <c r="I234" s="36">
        <f>3062000/F234</f>
        <v>4378.1289734969905</v>
      </c>
      <c r="J234" s="37">
        <f>(2.8*4.1+2*2.7+2.7*2.7+3.2*2.8+1.5*1.1+1.1*1.5+2.15*0.9+1.1*1.15)</f>
        <v>39.630000000000003</v>
      </c>
      <c r="K234" s="37">
        <f>(2.9*1.2)</f>
        <v>3.48</v>
      </c>
      <c r="L234" s="214"/>
      <c r="M234" s="214"/>
      <c r="N234" s="36"/>
    </row>
    <row r="235" spans="1:14" s="37" customFormat="1" x14ac:dyDescent="0.25">
      <c r="A235" s="143">
        <f t="shared" ref="A235" si="13">A234+1</f>
        <v>2</v>
      </c>
      <c r="B235" s="144"/>
      <c r="C235" s="45" t="s">
        <v>187</v>
      </c>
      <c r="D235" s="45">
        <f>(31.96+3.625)*10.764</f>
        <v>383.03693999999996</v>
      </c>
      <c r="E235" s="45">
        <v>0</v>
      </c>
      <c r="F235" s="45">
        <f>D235*(($F$230)+1)+(IF(E235&lt;101,E235,IF(E235&lt;201,E235/2,IF(E235&lt;=301,E235/3,E235/4))))</f>
        <v>555.40356299999996</v>
      </c>
      <c r="G235" s="230"/>
      <c r="H235" s="231"/>
      <c r="I235" s="36"/>
      <c r="L235" s="214">
        <f>J234+K234</f>
        <v>43.11</v>
      </c>
      <c r="M235" s="214"/>
      <c r="N235" s="36"/>
    </row>
    <row r="236" spans="1:14" s="37" customFormat="1" ht="15.75" customHeight="1" x14ac:dyDescent="0.25">
      <c r="A236" s="146" t="s">
        <v>204</v>
      </c>
      <c r="B236" s="147"/>
      <c r="C236" s="147"/>
      <c r="D236" s="147"/>
      <c r="E236" s="147"/>
      <c r="F236" s="147"/>
      <c r="G236" s="147"/>
      <c r="H236" s="148"/>
      <c r="I236" s="36"/>
    </row>
    <row r="237" spans="1:14" s="37" customFormat="1" ht="15.75" customHeight="1" x14ac:dyDescent="0.25">
      <c r="A237" s="143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101 ,.., 701</v>
      </c>
      <c r="B237" s="144"/>
      <c r="C237" s="45" t="s">
        <v>186</v>
      </c>
      <c r="D237" s="45">
        <f>(41.33+8.835)*10.764</f>
        <v>539.97605999999996</v>
      </c>
      <c r="E237" s="45">
        <v>0</v>
      </c>
      <c r="F237" s="45">
        <f>D237*(($F$230)+1)+(IF(E237&lt;101,E237,IF(E237&lt;201,E237/2,IF(E237&lt;=301,E237/3,E237/4))))</f>
        <v>782.96528699999988</v>
      </c>
      <c r="G237" s="228" t="str">
        <f>A236</f>
        <v>1st, 2nd, 3rd, 4th, 5th, 6th, &amp; 7th Floor for Residential</v>
      </c>
      <c r="H237" s="229"/>
      <c r="I237" s="36">
        <f>3400000/F237</f>
        <v>4342.4658237754038</v>
      </c>
      <c r="J237" s="37">
        <f>(2.8*4.1+2*2.7+2.7*2.7+3.2*2.8+1.1*1.5+1.5*1.1+1.8*0.9+1.2*1.1)</f>
        <v>39.369999999999997</v>
      </c>
      <c r="K237" s="37">
        <f>(1.6*1.6+2.975*1+2.75*1.2)</f>
        <v>8.8350000000000009</v>
      </c>
    </row>
    <row r="238" spans="1:14" s="37" customFormat="1" x14ac:dyDescent="0.25">
      <c r="A238" s="143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,..,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102 ,.., 702</v>
      </c>
      <c r="B238" s="144"/>
      <c r="C238" s="45" t="s">
        <v>186</v>
      </c>
      <c r="D238" s="45">
        <f>(41.33+9.015)*10.764</f>
        <v>541.91357999999991</v>
      </c>
      <c r="E238" s="45">
        <v>0</v>
      </c>
      <c r="F238" s="45">
        <f>D238*(($F$230)+1)+(IF(E238&lt;101,E238,IF(E238&lt;201,E238/2,IF(E238&lt;=301,E238/3,E238/4))))</f>
        <v>785.77469099999985</v>
      </c>
      <c r="G238" s="232"/>
      <c r="H238" s="233"/>
      <c r="I238" s="36"/>
    </row>
    <row r="239" spans="1:14" s="37" customFormat="1" ht="15.75" customHeight="1" x14ac:dyDescent="0.25">
      <c r="A239" s="143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,..,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103 ,.., 703</v>
      </c>
      <c r="B239" s="144"/>
      <c r="C239" s="45" t="s">
        <v>187</v>
      </c>
      <c r="D239" s="45">
        <f>(31.96+3.625)*10.764</f>
        <v>383.03693999999996</v>
      </c>
      <c r="E239" s="45">
        <v>0</v>
      </c>
      <c r="F239" s="45">
        <f>D239*(($F$230)+1)+(IF(E239&lt;101,E239,IF(E239&lt;201,E239/2,IF(E239&lt;=301,E239/3,E239/4))))</f>
        <v>555.40356299999996</v>
      </c>
      <c r="G239" s="232"/>
      <c r="H239" s="233"/>
      <c r="I239" s="36"/>
    </row>
    <row r="240" spans="1:14" s="37" customFormat="1" ht="15.75" customHeight="1" x14ac:dyDescent="0.25">
      <c r="A240" s="143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,..,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104 ,.., 704</v>
      </c>
      <c r="B240" s="144"/>
      <c r="C240" s="45" t="s">
        <v>187</v>
      </c>
      <c r="D240" s="45">
        <f>(31.96+3.438)*10.764</f>
        <v>381.02407199999999</v>
      </c>
      <c r="E240" s="45">
        <v>0</v>
      </c>
      <c r="F240" s="45">
        <f>D240*(($F$230)+1)+(IF(E240&lt;101,E240,IF(E240&lt;201,E240/2,IF(E240&lt;=301,E240/3,E240/4))))</f>
        <v>552.4849044</v>
      </c>
      <c r="G240" s="230"/>
      <c r="H240" s="231"/>
      <c r="I240" s="36"/>
    </row>
    <row r="241" spans="1:14" s="37" customFormat="1" x14ac:dyDescent="0.25">
      <c r="A241" s="146" t="s">
        <v>188</v>
      </c>
      <c r="B241" s="147"/>
      <c r="C241" s="147"/>
      <c r="D241" s="147"/>
      <c r="E241" s="147"/>
      <c r="F241" s="147"/>
      <c r="G241" s="147"/>
      <c r="H241" s="148"/>
      <c r="J241" s="36"/>
    </row>
    <row r="242" spans="1:14" s="37" customFormat="1" x14ac:dyDescent="0.25">
      <c r="A242" s="146" t="s">
        <v>185</v>
      </c>
      <c r="B242" s="147"/>
      <c r="C242" s="147"/>
      <c r="D242" s="147"/>
      <c r="E242" s="147"/>
      <c r="F242" s="147"/>
      <c r="G242" s="147"/>
      <c r="H242" s="148"/>
      <c r="J242" s="36"/>
    </row>
    <row r="243" spans="1:14" s="37" customFormat="1" x14ac:dyDescent="0.25">
      <c r="A243" s="143">
        <v>1</v>
      </c>
      <c r="B243" s="144"/>
      <c r="C243" s="45" t="s">
        <v>187</v>
      </c>
      <c r="D243" s="45">
        <f>(31.96+3.625)*10.764</f>
        <v>383.03693999999996</v>
      </c>
      <c r="E243" s="45">
        <v>0</v>
      </c>
      <c r="F243" s="45">
        <f>D243*(($F$230)+1)+(IF(E243&lt;101,E243,IF(E243&lt;201,E243/2,IF(E243&lt;=301,E243/3,E243/4))))</f>
        <v>555.40356299999996</v>
      </c>
      <c r="G243" s="228" t="str">
        <f>A242</f>
        <v>Ground Floor For Residential</v>
      </c>
      <c r="H243" s="229"/>
      <c r="I243" s="36"/>
      <c r="L243" s="214"/>
      <c r="M243" s="214"/>
      <c r="N243" s="36"/>
    </row>
    <row r="244" spans="1:14" s="37" customFormat="1" x14ac:dyDescent="0.25">
      <c r="A244" s="143">
        <f t="shared" ref="A244" si="14">A243+1</f>
        <v>2</v>
      </c>
      <c r="B244" s="144"/>
      <c r="C244" s="45" t="s">
        <v>187</v>
      </c>
      <c r="D244" s="45">
        <f>(27.34+3.77)*10.764</f>
        <v>334.86803999999995</v>
      </c>
      <c r="E244" s="45">
        <v>0</v>
      </c>
      <c r="F244" s="45">
        <f>D244*(($F$230)+1)+(IF(E244&lt;101,E244,IF(E244&lt;201,E244/2,IF(E244&lt;=301,E244/3,E244/4))))</f>
        <v>485.55865799999992</v>
      </c>
      <c r="G244" s="230"/>
      <c r="H244" s="231"/>
      <c r="I244" s="36">
        <f>2202000/F244</f>
        <v>4534.9824654964759</v>
      </c>
      <c r="L244" s="214"/>
      <c r="M244" s="214"/>
      <c r="N244" s="36"/>
    </row>
    <row r="245" spans="1:14" s="37" customFormat="1" ht="15.75" customHeight="1" x14ac:dyDescent="0.25">
      <c r="A245" s="146" t="s">
        <v>204</v>
      </c>
      <c r="B245" s="147"/>
      <c r="C245" s="147"/>
      <c r="D245" s="147"/>
      <c r="E245" s="147"/>
      <c r="F245" s="147"/>
      <c r="G245" s="147"/>
      <c r="H245" s="148"/>
      <c r="I245" s="36"/>
    </row>
    <row r="246" spans="1:14" s="37" customFormat="1" ht="15.75" customHeight="1" x14ac:dyDescent="0.25">
      <c r="A246" s="143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10^ROW(INDIRECT("1:"&amp;LEN((LEFT(A245,SUM(LEN(A245)-LEN(SUBSTITUTE(A245,{"0","1","2"},""))))))))/10))*100+1&amp;""&amp;" ,..,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",LEN(A245))),LEN(A245)))))))/10))*100+1</f>
        <v>101 ,.., 701</v>
      </c>
      <c r="B246" s="144"/>
      <c r="C246" s="45" t="s">
        <v>187</v>
      </c>
      <c r="D246" s="45">
        <f>(31.96+3.438)*10.764</f>
        <v>381.02407199999999</v>
      </c>
      <c r="E246" s="45">
        <v>0</v>
      </c>
      <c r="F246" s="45">
        <f>D246*(($F$230)+1)+(IF(E246&lt;101,E246,IF(E246&lt;201,E246/2,IF(E246&lt;=301,E246/3,E246/4))))</f>
        <v>552.4849044</v>
      </c>
      <c r="G246" s="228" t="str">
        <f>A245</f>
        <v>1st, 2nd, 3rd, 4th, 5th, 6th, &amp; 7th Floor for Residential</v>
      </c>
      <c r="H246" s="229"/>
      <c r="I246" s="36"/>
    </row>
    <row r="247" spans="1:14" s="37" customFormat="1" x14ac:dyDescent="0.25">
      <c r="A247" s="143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,..,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102 ,.., 702</v>
      </c>
      <c r="B247" s="144"/>
      <c r="C247" s="45" t="s">
        <v>187</v>
      </c>
      <c r="D247" s="45">
        <f>(31.96+3.625)*10.764</f>
        <v>383.03693999999996</v>
      </c>
      <c r="E247" s="45">
        <v>0</v>
      </c>
      <c r="F247" s="45">
        <f>D247*(($F$230)+1)+(IF(E247&lt;101,E247,IF(E247&lt;201,E247/2,IF(E247&lt;=301,E247/3,E247/4))))</f>
        <v>555.40356299999996</v>
      </c>
      <c r="G247" s="232"/>
      <c r="H247" s="233"/>
      <c r="I247" s="36"/>
    </row>
    <row r="248" spans="1:14" s="37" customFormat="1" ht="15.75" customHeight="1" x14ac:dyDescent="0.25">
      <c r="A248" s="143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103 ,.., 703</v>
      </c>
      <c r="B248" s="144"/>
      <c r="C248" s="45" t="s">
        <v>187</v>
      </c>
      <c r="D248" s="45">
        <f>(27.34+3.77)*10.764</f>
        <v>334.86803999999995</v>
      </c>
      <c r="E248" s="45">
        <v>0</v>
      </c>
      <c r="F248" s="45">
        <f>D248*(($F$230)+1)+(IF(E248&lt;101,E248,IF(E248&lt;201,E248/2,IF(E248&lt;=301,E248/3,E248/4))))</f>
        <v>485.55865799999992</v>
      </c>
      <c r="G248" s="232"/>
      <c r="H248" s="233"/>
      <c r="I248" s="36"/>
    </row>
    <row r="249" spans="1:14" s="37" customFormat="1" ht="15.75" customHeight="1" x14ac:dyDescent="0.25">
      <c r="A249" s="143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,..,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104 ,.., 704</v>
      </c>
      <c r="B249" s="144"/>
      <c r="C249" s="45" t="s">
        <v>187</v>
      </c>
      <c r="D249" s="45">
        <f>(27.34+3.575)*10.764</f>
        <v>332.76905999999997</v>
      </c>
      <c r="E249" s="45">
        <v>0</v>
      </c>
      <c r="F249" s="45">
        <f>D249*(($F$230)+1)+(IF(E249&lt;101,E249,IF(E249&lt;201,E249/2,IF(E249&lt;=301,E249/3,E249/4))))</f>
        <v>482.51513699999992</v>
      </c>
      <c r="G249" s="230"/>
      <c r="H249" s="231"/>
      <c r="I249" s="36"/>
    </row>
    <row r="250" spans="1:14" s="37" customFormat="1" x14ac:dyDescent="0.25">
      <c r="A250" s="146" t="s">
        <v>200</v>
      </c>
      <c r="B250" s="147"/>
      <c r="C250" s="147"/>
      <c r="D250" s="147"/>
      <c r="E250" s="147"/>
      <c r="F250" s="147"/>
      <c r="G250" s="147"/>
      <c r="H250" s="148"/>
      <c r="J250" s="36"/>
    </row>
    <row r="251" spans="1:14" s="37" customFormat="1" x14ac:dyDescent="0.25">
      <c r="A251" s="146" t="s">
        <v>184</v>
      </c>
      <c r="B251" s="147"/>
      <c r="C251" s="147"/>
      <c r="D251" s="147"/>
      <c r="E251" s="147"/>
      <c r="F251" s="147"/>
      <c r="G251" s="147"/>
      <c r="H251" s="148"/>
      <c r="J251" s="36"/>
    </row>
    <row r="252" spans="1:14" s="37" customFormat="1" x14ac:dyDescent="0.25">
      <c r="A252" s="146" t="s">
        <v>185</v>
      </c>
      <c r="B252" s="147"/>
      <c r="C252" s="147"/>
      <c r="D252" s="147"/>
      <c r="E252" s="147"/>
      <c r="F252" s="147"/>
      <c r="G252" s="147"/>
      <c r="H252" s="148"/>
      <c r="J252" s="36"/>
    </row>
    <row r="253" spans="1:14" s="37" customFormat="1" x14ac:dyDescent="0.25">
      <c r="A253" s="143">
        <v>1</v>
      </c>
      <c r="B253" s="144"/>
      <c r="C253" s="45" t="s">
        <v>186</v>
      </c>
      <c r="D253" s="45">
        <f>(41.33+3.48)*10.764</f>
        <v>482.33483999999993</v>
      </c>
      <c r="E253" s="45">
        <v>0</v>
      </c>
      <c r="F253" s="45">
        <f>D253*(($F$230)+1)+(IF(E253&lt;101,E253,IF(E253&lt;201,E253/2,IF(E253&lt;=301,E253/3,E253/4))))</f>
        <v>699.38551799999982</v>
      </c>
      <c r="G253" s="228" t="str">
        <f>A252</f>
        <v>Ground Floor For Residential</v>
      </c>
      <c r="H253" s="229"/>
      <c r="I253" s="36"/>
      <c r="L253" s="214"/>
      <c r="M253" s="214"/>
      <c r="N253" s="36"/>
    </row>
    <row r="254" spans="1:14" s="37" customFormat="1" x14ac:dyDescent="0.25">
      <c r="A254" s="143">
        <f t="shared" ref="A254" si="15">A253+1</f>
        <v>2</v>
      </c>
      <c r="B254" s="144"/>
      <c r="C254" s="45" t="s">
        <v>187</v>
      </c>
      <c r="D254" s="45">
        <f>(31.96+3.625)*10.764</f>
        <v>383.03693999999996</v>
      </c>
      <c r="E254" s="45">
        <v>0</v>
      </c>
      <c r="F254" s="45">
        <f>D254*(($F$230)+1)+(IF(E254&lt;101,E254,IF(E254&lt;201,E254/2,IF(E254&lt;=301,E254/3,E254/4))))</f>
        <v>555.40356299999996</v>
      </c>
      <c r="G254" s="230"/>
      <c r="H254" s="231"/>
      <c r="I254" s="36"/>
      <c r="L254" s="214"/>
      <c r="M254" s="214"/>
      <c r="N254" s="36"/>
    </row>
    <row r="255" spans="1:14" s="37" customFormat="1" ht="15.75" customHeight="1" x14ac:dyDescent="0.25">
      <c r="A255" s="146" t="s">
        <v>204</v>
      </c>
      <c r="B255" s="147"/>
      <c r="C255" s="147"/>
      <c r="D255" s="147"/>
      <c r="E255" s="147"/>
      <c r="F255" s="147"/>
      <c r="G255" s="147"/>
      <c r="H255" s="148"/>
      <c r="I255" s="36"/>
    </row>
    <row r="256" spans="1:14" s="37" customFormat="1" ht="15.75" customHeight="1" x14ac:dyDescent="0.25">
      <c r="A256" s="143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10^ROW(INDIRECT("1:"&amp;LEN((LEFT(A255,SUM(LEN(A255)-LEN(SUBSTITUTE(A255,{"0","1","2"},""))))))))/10))*100+1&amp;""&amp;" ,..,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",LEN(A255))),LEN(A255)))))))/10))*100+1</f>
        <v>101 ,.., 701</v>
      </c>
      <c r="B256" s="144"/>
      <c r="C256" s="45" t="s">
        <v>186</v>
      </c>
      <c r="D256" s="45">
        <f>(41.33+8.835)*10.764</f>
        <v>539.97605999999996</v>
      </c>
      <c r="E256" s="45">
        <v>0</v>
      </c>
      <c r="F256" s="45">
        <f>D256*(($F$230)+1)+(IF(E256&lt;101,E256,IF(E256&lt;201,E256/2,IF(E256&lt;=301,E256/3,E256/4))))</f>
        <v>782.96528699999988</v>
      </c>
      <c r="G256" s="228" t="str">
        <f>A255</f>
        <v>1st, 2nd, 3rd, 4th, 5th, 6th, &amp; 7th Floor for Residential</v>
      </c>
      <c r="H256" s="229"/>
      <c r="I256" s="36">
        <f>3400000/F256</f>
        <v>4342.4658237754038</v>
      </c>
      <c r="J256" s="37">
        <f>3398000/F256</f>
        <v>4339.9114321143597</v>
      </c>
    </row>
    <row r="257" spans="1:14" s="37" customFormat="1" ht="15.75" customHeight="1" x14ac:dyDescent="0.25">
      <c r="A257" s="143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,..,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102 ,.., 702</v>
      </c>
      <c r="B257" s="144"/>
      <c r="C257" s="45" t="s">
        <v>186</v>
      </c>
      <c r="D257" s="45">
        <f>(41.33+9.015)*10.764</f>
        <v>541.91357999999991</v>
      </c>
      <c r="E257" s="45">
        <v>0</v>
      </c>
      <c r="F257" s="45">
        <f>D257*(($F$230)+1)+(IF(E257&lt;101,E257,IF(E257&lt;201,E257/2,IF(E257&lt;=301,E257/3,E257/4))))</f>
        <v>785.77469099999985</v>
      </c>
      <c r="G257" s="232"/>
      <c r="H257" s="233"/>
      <c r="I257" s="36">
        <f>3000000/F257</f>
        <v>3817.8883010117215</v>
      </c>
    </row>
    <row r="258" spans="1:14" s="37" customFormat="1" ht="15.75" customHeight="1" x14ac:dyDescent="0.25">
      <c r="A258" s="143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,..,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103 ,.., 703</v>
      </c>
      <c r="B258" s="144"/>
      <c r="C258" s="45" t="s">
        <v>187</v>
      </c>
      <c r="D258" s="45">
        <f>(31.96+3.625)*10.764</f>
        <v>383.03693999999996</v>
      </c>
      <c r="E258" s="45">
        <v>0</v>
      </c>
      <c r="F258" s="45">
        <f>D258*(($F$230)+1)+(IF(E258&lt;101,E258,IF(E258&lt;201,E258/2,IF(E258&lt;=301,E258/3,E258/4))))</f>
        <v>555.40356299999996</v>
      </c>
      <c r="G258" s="232"/>
      <c r="H258" s="233"/>
      <c r="I258" s="36"/>
    </row>
    <row r="259" spans="1:14" s="37" customFormat="1" ht="15.75" customHeight="1" x14ac:dyDescent="0.25">
      <c r="A259" s="143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,..,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104 ,.., 704</v>
      </c>
      <c r="B259" s="144"/>
      <c r="C259" s="45" t="s">
        <v>187</v>
      </c>
      <c r="D259" s="45">
        <f>(31.96+3.438)*10.764</f>
        <v>381.02407199999999</v>
      </c>
      <c r="E259" s="45">
        <v>0</v>
      </c>
      <c r="F259" s="45">
        <f>D259*(($F$230)+1)+(IF(E259&lt;101,E259,IF(E259&lt;201,E259/2,IF(E259&lt;=301,E259/3,E259/4))))</f>
        <v>552.4849044</v>
      </c>
      <c r="G259" s="230"/>
      <c r="H259" s="231"/>
      <c r="I259" s="36"/>
    </row>
    <row r="260" spans="1:14" s="37" customFormat="1" x14ac:dyDescent="0.25">
      <c r="A260" s="146" t="s">
        <v>188</v>
      </c>
      <c r="B260" s="147"/>
      <c r="C260" s="147"/>
      <c r="D260" s="147"/>
      <c r="E260" s="147"/>
      <c r="F260" s="147"/>
      <c r="G260" s="147"/>
      <c r="H260" s="148"/>
      <c r="J260" s="36"/>
    </row>
    <row r="261" spans="1:14" s="37" customFormat="1" x14ac:dyDescent="0.25">
      <c r="A261" s="146" t="s">
        <v>185</v>
      </c>
      <c r="B261" s="147"/>
      <c r="C261" s="147"/>
      <c r="D261" s="147"/>
      <c r="E261" s="147"/>
      <c r="F261" s="147"/>
      <c r="G261" s="147"/>
      <c r="H261" s="148"/>
      <c r="J261" s="36"/>
    </row>
    <row r="262" spans="1:14" s="37" customFormat="1" x14ac:dyDescent="0.25">
      <c r="A262" s="143">
        <v>1</v>
      </c>
      <c r="B262" s="144"/>
      <c r="C262" s="45" t="s">
        <v>187</v>
      </c>
      <c r="D262" s="45">
        <f>(31.96+3.625)*10.764</f>
        <v>383.03693999999996</v>
      </c>
      <c r="E262" s="45">
        <v>0</v>
      </c>
      <c r="F262" s="45">
        <f>D262*(($F$230)+1)+(IF(E262&lt;101,E262,IF(E262&lt;201,E262/2,IF(E262&lt;=301,E262/3,E262/4))))</f>
        <v>555.40356299999996</v>
      </c>
      <c r="G262" s="228" t="str">
        <f>A261</f>
        <v>Ground Floor For Residential</v>
      </c>
      <c r="H262" s="229"/>
      <c r="I262" s="36"/>
      <c r="L262" s="214"/>
      <c r="M262" s="214"/>
      <c r="N262" s="36"/>
    </row>
    <row r="263" spans="1:14" s="37" customFormat="1" x14ac:dyDescent="0.25">
      <c r="A263" s="143">
        <f t="shared" ref="A263" si="16">A262+1</f>
        <v>2</v>
      </c>
      <c r="B263" s="144"/>
      <c r="C263" s="45" t="s">
        <v>186</v>
      </c>
      <c r="D263" s="45">
        <f>(41.33+3.48)*10.764</f>
        <v>482.33483999999993</v>
      </c>
      <c r="E263" s="45">
        <v>0</v>
      </c>
      <c r="F263" s="45">
        <f>D263*(($F$230)+1)+(IF(E263&lt;101,E263,IF(E263&lt;201,E263/2,IF(E263&lt;=301,E263/3,E263/4))))</f>
        <v>699.38551799999982</v>
      </c>
      <c r="G263" s="230"/>
      <c r="H263" s="231"/>
      <c r="I263" s="36"/>
      <c r="L263" s="214"/>
      <c r="M263" s="214"/>
      <c r="N263" s="36"/>
    </row>
    <row r="264" spans="1:14" s="37" customFormat="1" ht="15.75" customHeight="1" x14ac:dyDescent="0.25">
      <c r="A264" s="146" t="s">
        <v>204</v>
      </c>
      <c r="B264" s="147"/>
      <c r="C264" s="147"/>
      <c r="D264" s="147"/>
      <c r="E264" s="147"/>
      <c r="F264" s="147"/>
      <c r="G264" s="147"/>
      <c r="H264" s="148"/>
      <c r="I264" s="36"/>
    </row>
    <row r="265" spans="1:14" s="37" customFormat="1" ht="15.75" customHeight="1" x14ac:dyDescent="0.25">
      <c r="A265" s="143" t="str">
        <f ca="1">(SUMPRODUCT(MID(0&amp;(LEFT(A264,SUM(LEN(A264)-LEN(SUBSTITUTE(A264,{"0","1","2"},""))))), LARGE(INDEX(ISNUMBER(--MID((LEFT(A264,SUM(LEN(A264)-LEN(SUBSTITUTE(A264,{"0","1","2"},""))))), ROW(INDIRECT("1:"&amp;LEN((LEFT(A264,SUM(LEN(A264)-LEN(SUBSTITUTE(A264,{"0","1","2"},"")))))))), 1)) * ROW(INDIRECT("1:"&amp;LEN((LEFT(A264,SUM(LEN(A264)-LEN(SUBSTITUTE(A264,{"0","1","2"},"")))))))), 0), ROW(INDIRECT("1:"&amp;LEN((LEFT(A264,SUM(LEN(A264)-LEN(SUBSTITUTE(A264,{"0","1","2"},"")))))))))+1, 1) * 10^ROW(INDIRECT("1:"&amp;LEN((LEFT(A264,SUM(LEN(A264)-LEN(SUBSTITUTE(A264,{"0","1","2"},""))))))))/10))*100+1&amp;""&amp;" ,.., "&amp;""&amp;(SUMPRODUCT(MID(0&amp;(--TRIM(RIGHT(SUBSTITUTE(LEFT(A264,_xlfn.AGGREGATE(16,6,FIND({0,1,2,3,4,5,6,7,8,9},A264,ROW(INDIRECT("1:"&amp;LEN(A264)))),1))," ",REPT(" ",LEN(A264))),LEN(A264)))), LARGE(INDEX(ISNUMBER(--MID((--TRIM(RIGHT(SUBSTITUTE(LEFT(A264,_xlfn.AGGREGATE(16,6,FIND({0,1,2,3,4,5,6,7,8,9},A264,ROW(INDIRECT("1:"&amp;LEN(A264)))),1))," ",REPT(" ",LEN(A264))),LEN(A264)))), ROW(INDIRECT("1:"&amp;LEN((--TRIM(RIGHT(SUBSTITUTE(LEFT(A264,_xlfn.AGGREGATE(16,6,FIND({0,1,2,3,4,5,6,7,8,9},A264,ROW(INDIRECT("1:"&amp;LEN(A264)))),1))," ",REPT(" ",LEN(A264))),LEN(A264))))))), 1)) * ROW(INDIRECT("1:"&amp;LEN((--TRIM(RIGHT(SUBSTITUTE(LEFT(A264,_xlfn.AGGREGATE(16,6,FIND({0,1,2,3,4,5,6,7,8,9},A264,ROW(INDIRECT("1:"&amp;LEN(A264)))),1))," ",REPT(" ",LEN(A264))),LEN(A264))))))), 0), ROW(INDIRECT("1:"&amp;LEN((--TRIM(RIGHT(SUBSTITUTE(LEFT(A264,_xlfn.AGGREGATE(16,6,FIND({0,1,2,3,4,5,6,7,8,9},A264,ROW(INDIRECT("1:"&amp;LEN(A264)))),1))," ",REPT(" ",LEN(A264))),LEN(A264))))))))+1, 1) * 10^ROW(INDIRECT("1:"&amp;LEN((--TRIM(RIGHT(SUBSTITUTE(LEFT(A264,_xlfn.AGGREGATE(16,6,FIND({0,1,2,3,4,5,6,7,8,9},A264,ROW(INDIRECT("1:"&amp;LEN(A264)))),1))," ",REPT(" ",LEN(A264))),LEN(A264)))))))/10))*100+1</f>
        <v>101 ,.., 701</v>
      </c>
      <c r="B265" s="144"/>
      <c r="C265" s="45" t="s">
        <v>187</v>
      </c>
      <c r="D265" s="45">
        <f>(31.96+3.438)*10.764</f>
        <v>381.02407199999999</v>
      </c>
      <c r="E265" s="45">
        <v>0</v>
      </c>
      <c r="F265" s="45">
        <f>D265*(($F$230)+1)+(IF(E265&lt;101,E265,IF(E265&lt;201,E265/2,IF(E265&lt;=301,E265/3,E265/4))))</f>
        <v>552.4849044</v>
      </c>
      <c r="G265" s="228" t="str">
        <f>A264</f>
        <v>1st, 2nd, 3rd, 4th, 5th, 6th, &amp; 7th Floor for Residential</v>
      </c>
      <c r="H265" s="229"/>
      <c r="I265" s="36"/>
    </row>
    <row r="266" spans="1:14" s="37" customFormat="1" x14ac:dyDescent="0.25">
      <c r="A266" s="143" t="str">
        <f ca="1">(SUMPRODUCT(MID(0&amp;(LEFT(A265,SUM(LEN(A265)-LEN(SUBSTITUTE(A265,{"0","1","2"},""))))), LARGE(INDEX(ISNUMBER(--MID((LEFT(A265,SUM(LEN(A265)-LEN(SUBSTITUTE(A265,{"0","1","2"},""))))), ROW(INDIRECT("1:"&amp;LEN((LEFT(A265,SUM(LEN(A265)-LEN(SUBSTITUTE(A265,{"0","1","2"},"")))))))), 1)) * ROW(INDIRECT("1:"&amp;LEN((LEFT(A265,SUM(LEN(A265)-LEN(SUBSTITUTE(A265,{"0","1","2"},"")))))))), 0), ROW(INDIRECT("1:"&amp;LEN((LEFT(A265,SUM(LEN(A265)-LEN(SUBSTITUTE(A265,{"0","1","2"},"")))))))))+1, 1) * 10^ROW(INDIRECT("1:"&amp;LEN((LEFT(A265,SUM(LEN(A265)-LEN(SUBSTITUTE(A265,{"0","1","2"},""))))))))/10))*1+1&amp;""&amp;" ,.., "&amp;""&amp;(SUMPRODUCT(MID(0&amp;(--TRIM(RIGHT(SUBSTITUTE(LEFT(A265,_xlfn.AGGREGATE(16,6,FIND({0,1,2,3,4,5,6,7,8,9},A265,ROW(INDIRECT("1:"&amp;LEN(A265)))),1))," ",REPT(" ",LEN(A265))),LEN(A265)))), LARGE(INDEX(ISNUMBER(--MID((--TRIM(RIGHT(SUBSTITUTE(LEFT(A265,_xlfn.AGGREGATE(16,6,FIND({0,1,2,3,4,5,6,7,8,9},A265,ROW(INDIRECT("1:"&amp;LEN(A265)))),1))," ",REPT(" ",LEN(A265))),LEN(A265)))), ROW(INDIRECT("1:"&amp;LEN((--TRIM(RIGHT(SUBSTITUTE(LEFT(A265,_xlfn.AGGREGATE(16,6,FIND({0,1,2,3,4,5,6,7,8,9},A265,ROW(INDIRECT("1:"&amp;LEN(A265)))),1))," ",REPT(" ",LEN(A265))),LEN(A265))))))), 1)) * ROW(INDIRECT("1:"&amp;LEN((--TRIM(RIGHT(SUBSTITUTE(LEFT(A265,_xlfn.AGGREGATE(16,6,FIND({0,1,2,3,4,5,6,7,8,9},A265,ROW(INDIRECT("1:"&amp;LEN(A265)))),1))," ",REPT(" ",LEN(A265))),LEN(A265))))))), 0), ROW(INDIRECT("1:"&amp;LEN((--TRIM(RIGHT(SUBSTITUTE(LEFT(A265,_xlfn.AGGREGATE(16,6,FIND({0,1,2,3,4,5,6,7,8,9},A265,ROW(INDIRECT("1:"&amp;LEN(A265)))),1))," ",REPT(" ",LEN(A265))),LEN(A265))))))))+1, 1) * 10^ROW(INDIRECT("1:"&amp;LEN((--TRIM(RIGHT(SUBSTITUTE(LEFT(A265,_xlfn.AGGREGATE(16,6,FIND({0,1,2,3,4,5,6,7,8,9},A265,ROW(INDIRECT("1:"&amp;LEN(A265)))),1))," ",REPT(" ",LEN(A265))),LEN(A265)))))))/10))*1+1</f>
        <v>102 ,.., 702</v>
      </c>
      <c r="B266" s="144"/>
      <c r="C266" s="45" t="s">
        <v>187</v>
      </c>
      <c r="D266" s="45">
        <f>(31.96+3.625)*10.764</f>
        <v>383.03693999999996</v>
      </c>
      <c r="E266" s="45">
        <v>0</v>
      </c>
      <c r="F266" s="45">
        <f>D266*(($F$230)+1)+(IF(E266&lt;101,E266,IF(E266&lt;201,E266/2,IF(E266&lt;=301,E266/3,E266/4))))</f>
        <v>555.40356299999996</v>
      </c>
      <c r="G266" s="232"/>
      <c r="H266" s="233"/>
      <c r="I266" s="36"/>
    </row>
    <row r="267" spans="1:14" s="37" customFormat="1" ht="15.75" customHeight="1" x14ac:dyDescent="0.25">
      <c r="A267" s="143" t="str">
        <f ca="1">(SUMPRODUCT(MID(0&amp;(LEFT(A266,SUM(LEN(A266)-LEN(SUBSTITUTE(A266,{"0","1","2"},""))))), LARGE(INDEX(ISNUMBER(--MID((LEFT(A266,SUM(LEN(A266)-LEN(SUBSTITUTE(A266,{"0","1","2"},""))))), ROW(INDIRECT("1:"&amp;LEN((LEFT(A266,SUM(LEN(A266)-LEN(SUBSTITUTE(A266,{"0","1","2"},"")))))))), 1)) * ROW(INDIRECT("1:"&amp;LEN((LEFT(A266,SUM(LEN(A266)-LEN(SUBSTITUTE(A266,{"0","1","2"},"")))))))), 0), ROW(INDIRECT("1:"&amp;LEN((LEFT(A266,SUM(LEN(A266)-LEN(SUBSTITUTE(A266,{"0","1","2"},"")))))))))+1, 1) * 10^ROW(INDIRECT("1:"&amp;LEN((LEFT(A266,SUM(LEN(A266)-LEN(SUBSTITUTE(A266,{"0","1","2"},""))))))))/10))*1+1&amp;""&amp;" ,.., "&amp;""&amp;(SUMPRODUCT(MID(0&amp;(--TRIM(RIGHT(SUBSTITUTE(LEFT(A266,_xlfn.AGGREGATE(16,6,FIND({0,1,2,3,4,5,6,7,8,9},A266,ROW(INDIRECT("1:"&amp;LEN(A266)))),1))," ",REPT(" ",LEN(A266))),LEN(A266)))), LARGE(INDEX(ISNUMBER(--MID((--TRIM(RIGHT(SUBSTITUTE(LEFT(A266,_xlfn.AGGREGATE(16,6,FIND({0,1,2,3,4,5,6,7,8,9},A266,ROW(INDIRECT("1:"&amp;LEN(A266)))),1))," ",REPT(" ",LEN(A266))),LEN(A266)))), ROW(INDIRECT("1:"&amp;LEN((--TRIM(RIGHT(SUBSTITUTE(LEFT(A266,_xlfn.AGGREGATE(16,6,FIND({0,1,2,3,4,5,6,7,8,9},A266,ROW(INDIRECT("1:"&amp;LEN(A266)))),1))," ",REPT(" ",LEN(A266))),LEN(A266))))))), 1)) * ROW(INDIRECT("1:"&amp;LEN((--TRIM(RIGHT(SUBSTITUTE(LEFT(A266,_xlfn.AGGREGATE(16,6,FIND({0,1,2,3,4,5,6,7,8,9},A266,ROW(INDIRECT("1:"&amp;LEN(A266)))),1))," ",REPT(" ",LEN(A266))),LEN(A266))))))), 0), ROW(INDIRECT("1:"&amp;LEN((--TRIM(RIGHT(SUBSTITUTE(LEFT(A266,_xlfn.AGGREGATE(16,6,FIND({0,1,2,3,4,5,6,7,8,9},A266,ROW(INDIRECT("1:"&amp;LEN(A266)))),1))," ",REPT(" ",LEN(A266))),LEN(A266))))))))+1, 1) * 10^ROW(INDIRECT("1:"&amp;LEN((--TRIM(RIGHT(SUBSTITUTE(LEFT(A266,_xlfn.AGGREGATE(16,6,FIND({0,1,2,3,4,5,6,7,8,9},A266,ROW(INDIRECT("1:"&amp;LEN(A266)))),1))," ",REPT(" ",LEN(A266))),LEN(A266)))))))/10))*1+1</f>
        <v>103 ,.., 703</v>
      </c>
      <c r="B267" s="144"/>
      <c r="C267" s="45" t="s">
        <v>186</v>
      </c>
      <c r="D267" s="45">
        <f>(41.33+9.015)*10.764</f>
        <v>541.91357999999991</v>
      </c>
      <c r="E267" s="45">
        <v>0</v>
      </c>
      <c r="F267" s="45">
        <f>D267*(($F$230)+1)+(IF(E267&lt;101,E267,IF(E267&lt;201,E267/2,IF(E267&lt;=301,E267/3,E267/4))))</f>
        <v>785.77469099999985</v>
      </c>
      <c r="G267" s="232"/>
      <c r="H267" s="233"/>
      <c r="I267" s="36"/>
    </row>
    <row r="268" spans="1:14" s="37" customFormat="1" ht="15.75" customHeight="1" x14ac:dyDescent="0.25">
      <c r="A268" s="143" t="str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10^ROW(INDIRECT("1:"&amp;LEN((LEFT(A267,SUM(LEN(A267)-LEN(SUBSTITUTE(A267,{"0","1","2"},""))))))))/10))*1+1&amp;""&amp;" ,.., "&amp;""&amp;(SUMPRODUCT(MID(0&amp;(--TRIM(RIGHT(SUBSTITUTE(LEFT(A267,_xlfn.AGGREGATE(16,6,FIND({0,1,2,3,4,5,6,7,8,9},A267,ROW(INDIRECT("1:"&amp;LEN(A267)))),1)),"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",LEN(A267))),LEN(A267)))))))/10))*1+1</f>
        <v>104 ,.., 704</v>
      </c>
      <c r="B268" s="144"/>
      <c r="C268" s="45" t="s">
        <v>186</v>
      </c>
      <c r="D268" s="45">
        <f>(41.33+8.835)*10.764</f>
        <v>539.97605999999996</v>
      </c>
      <c r="E268" s="45">
        <v>0</v>
      </c>
      <c r="F268" s="45">
        <f>D268*(($F$230)+1)+(IF(E268&lt;101,E268,IF(E268&lt;201,E268/2,IF(E268&lt;=301,E268/3,E268/4))))</f>
        <v>782.96528699999988</v>
      </c>
      <c r="G268" s="230"/>
      <c r="H268" s="231"/>
      <c r="I268" s="36"/>
    </row>
    <row r="269" spans="1:14" s="37" customFormat="1" x14ac:dyDescent="0.25">
      <c r="A269" s="146" t="s">
        <v>201</v>
      </c>
      <c r="B269" s="147"/>
      <c r="C269" s="147"/>
      <c r="D269" s="147"/>
      <c r="E269" s="147"/>
      <c r="F269" s="147"/>
      <c r="G269" s="147"/>
      <c r="H269" s="148"/>
      <c r="J269" s="36"/>
    </row>
    <row r="270" spans="1:14" s="37" customFormat="1" x14ac:dyDescent="0.25">
      <c r="A270" s="146" t="s">
        <v>184</v>
      </c>
      <c r="B270" s="147"/>
      <c r="C270" s="147"/>
      <c r="D270" s="147"/>
      <c r="E270" s="147"/>
      <c r="F270" s="147"/>
      <c r="G270" s="147"/>
      <c r="H270" s="148"/>
      <c r="J270" s="36"/>
    </row>
    <row r="271" spans="1:14" s="37" customFormat="1" x14ac:dyDescent="0.25">
      <c r="A271" s="146" t="s">
        <v>235</v>
      </c>
      <c r="B271" s="147"/>
      <c r="C271" s="147"/>
      <c r="D271" s="147"/>
      <c r="E271" s="147"/>
      <c r="F271" s="147"/>
      <c r="G271" s="147"/>
      <c r="H271" s="148"/>
      <c r="J271" s="36"/>
    </row>
    <row r="272" spans="1:14" s="37" customFormat="1" ht="15.75" customHeight="1" x14ac:dyDescent="0.25">
      <c r="A272" s="143">
        <v>1</v>
      </c>
      <c r="B272" s="144"/>
      <c r="C272" s="45" t="s">
        <v>187</v>
      </c>
      <c r="D272" s="45">
        <f>(33.83+1.995)*10.764</f>
        <v>385.62029999999993</v>
      </c>
      <c r="E272" s="45">
        <v>0</v>
      </c>
      <c r="F272" s="45">
        <f t="shared" ref="F272:F277" si="17">D272*(($F$230)+1)+(IF(E272&lt;101,E272,IF(E272&lt;201,E272/2,IF(E272&lt;=301,E272/3,E272/4))))</f>
        <v>559.14943499999993</v>
      </c>
      <c r="G272" s="228" t="str">
        <f>A271</f>
        <v>1st Floor For Residential</v>
      </c>
      <c r="H272" s="229"/>
      <c r="I272" s="36">
        <f>2350000/F272</f>
        <v>4202.8120801016285</v>
      </c>
      <c r="J272" s="37">
        <f>(3.8*3+2.4*2.2+2.7*3.2+1.2*1+1.4*1.05+1.4*1.85)</f>
        <v>30.58</v>
      </c>
      <c r="K272" s="49">
        <f>(2.75*1.25)</f>
        <v>3.4375</v>
      </c>
      <c r="L272" s="214"/>
      <c r="M272" s="214"/>
      <c r="N272" s="36"/>
    </row>
    <row r="273" spans="1:14" s="37" customFormat="1" x14ac:dyDescent="0.25">
      <c r="A273" s="143">
        <f t="shared" ref="A273:A277" si="18">A272+1</f>
        <v>2</v>
      </c>
      <c r="B273" s="144"/>
      <c r="C273" s="45" t="s">
        <v>189</v>
      </c>
      <c r="D273" s="45">
        <f>(22.9425+2.9925)*10.764</f>
        <v>279.16433999999998</v>
      </c>
      <c r="E273" s="45">
        <v>0</v>
      </c>
      <c r="F273" s="45">
        <f t="shared" si="17"/>
        <v>404.78829299999995</v>
      </c>
      <c r="G273" s="232"/>
      <c r="H273" s="233"/>
      <c r="I273" s="36">
        <f>1750000/F273</f>
        <v>4323.2475599288146</v>
      </c>
      <c r="L273" s="214"/>
      <c r="M273" s="214"/>
      <c r="N273" s="36"/>
    </row>
    <row r="274" spans="1:14" s="37" customFormat="1" x14ac:dyDescent="0.25">
      <c r="A274" s="143">
        <f t="shared" si="18"/>
        <v>3</v>
      </c>
      <c r="B274" s="144"/>
      <c r="C274" s="45" t="s">
        <v>187</v>
      </c>
      <c r="D274" s="45">
        <f>(29.3675+4.4625+1.995)*10.764</f>
        <v>385.62029999999993</v>
      </c>
      <c r="E274" s="45">
        <v>0</v>
      </c>
      <c r="F274" s="45">
        <f t="shared" si="17"/>
        <v>559.14943499999993</v>
      </c>
      <c r="G274" s="232"/>
      <c r="H274" s="233"/>
      <c r="I274" s="36">
        <f>1750000/F274</f>
        <v>3129.7536766714256</v>
      </c>
      <c r="L274" s="214"/>
      <c r="M274" s="214"/>
      <c r="N274" s="36"/>
    </row>
    <row r="275" spans="1:14" s="37" customFormat="1" x14ac:dyDescent="0.25">
      <c r="A275" s="143">
        <f t="shared" si="18"/>
        <v>4</v>
      </c>
      <c r="B275" s="144"/>
      <c r="C275" s="45" t="s">
        <v>237</v>
      </c>
      <c r="D275" s="45">
        <f>(46.8675)*10.764</f>
        <v>504.48176999999998</v>
      </c>
      <c r="E275" s="45">
        <f>14.1725*10.764</f>
        <v>152.55278999999999</v>
      </c>
      <c r="F275" s="45">
        <f t="shared" si="17"/>
        <v>807.7749614999999</v>
      </c>
      <c r="G275" s="232"/>
      <c r="H275" s="233"/>
      <c r="I275" s="36">
        <f>1750000/F275</f>
        <v>2166.4449672348505</v>
      </c>
      <c r="L275" s="214"/>
      <c r="M275" s="214"/>
      <c r="N275" s="36"/>
    </row>
    <row r="276" spans="1:14" s="37" customFormat="1" x14ac:dyDescent="0.25">
      <c r="A276" s="143">
        <f t="shared" si="18"/>
        <v>5</v>
      </c>
      <c r="B276" s="144"/>
      <c r="C276" s="45" t="s">
        <v>237</v>
      </c>
      <c r="D276" s="45">
        <f>(46.53)*10.764</f>
        <v>500.84891999999996</v>
      </c>
      <c r="E276" s="45">
        <f>7.67*10.764</f>
        <v>82.559879999999993</v>
      </c>
      <c r="F276" s="45">
        <f t="shared" si="17"/>
        <v>808.79081399999995</v>
      </c>
      <c r="G276" s="232"/>
      <c r="H276" s="233"/>
      <c r="I276" s="36">
        <f>1750000/F276</f>
        <v>2163.7238822546765</v>
      </c>
      <c r="L276" s="214"/>
      <c r="M276" s="214"/>
      <c r="N276" s="36"/>
    </row>
    <row r="277" spans="1:14" s="37" customFormat="1" x14ac:dyDescent="0.25">
      <c r="A277" s="143">
        <f t="shared" si="18"/>
        <v>6</v>
      </c>
      <c r="B277" s="144"/>
      <c r="C277" s="45" t="s">
        <v>237</v>
      </c>
      <c r="D277" s="45">
        <f>(46.29+3.51)*10.764</f>
        <v>536.04719999999998</v>
      </c>
      <c r="E277" s="45">
        <v>0</v>
      </c>
      <c r="F277" s="45">
        <f t="shared" si="17"/>
        <v>777.26843999999994</v>
      </c>
      <c r="G277" s="230"/>
      <c r="H277" s="231"/>
      <c r="I277" s="36">
        <f>1750000/F277</f>
        <v>2251.4744069629278</v>
      </c>
      <c r="L277" s="214"/>
      <c r="M277" s="214"/>
      <c r="N277" s="36"/>
    </row>
    <row r="278" spans="1:14" s="37" customFormat="1" ht="15.75" customHeight="1" x14ac:dyDescent="0.25">
      <c r="A278" s="146" t="s">
        <v>236</v>
      </c>
      <c r="B278" s="147"/>
      <c r="C278" s="147"/>
      <c r="D278" s="147"/>
      <c r="E278" s="147"/>
      <c r="F278" s="147"/>
      <c r="G278" s="147"/>
      <c r="H278" s="148"/>
      <c r="I278" s="36"/>
    </row>
    <row r="279" spans="1:14" s="37" customFormat="1" ht="15.75" customHeight="1" x14ac:dyDescent="0.25">
      <c r="A279" s="143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10^ROW(INDIRECT("1:"&amp;LEN((LEFT(A278,SUM(LEN(A278)-LEN(SUBSTITUTE(A278,{"0","1","2"},""))))))))/10))*100+1&amp;""&amp;" ,..,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",LEN(A278))),LEN(A278)))))))/10))*100+1</f>
        <v>201 ,.., 701</v>
      </c>
      <c r="B279" s="144"/>
      <c r="C279" s="45" t="s">
        <v>187</v>
      </c>
      <c r="D279" s="45">
        <f>(33.83+1.995)*10.764</f>
        <v>385.62029999999993</v>
      </c>
      <c r="E279" s="45">
        <v>0</v>
      </c>
      <c r="F279" s="45">
        <f t="shared" ref="F279:F284" si="19">D279*(($F$230)+1)+(IF(E279&lt;101,E279,IF(E279&lt;201,E279/2,IF(E279&lt;=301,E279/3,E279/4))))</f>
        <v>559.14943499999993</v>
      </c>
      <c r="G279" s="228" t="str">
        <f>A278</f>
        <v>2nd, 3rd, 4th, 5th, 6th, &amp; 7th Floor for Residential</v>
      </c>
      <c r="H279" s="229"/>
      <c r="I279" s="36"/>
    </row>
    <row r="280" spans="1:14" s="37" customFormat="1" x14ac:dyDescent="0.25">
      <c r="A280" s="143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,..,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202 ,.., 702</v>
      </c>
      <c r="B280" s="144"/>
      <c r="C280" s="45" t="s">
        <v>189</v>
      </c>
      <c r="D280" s="45">
        <f>(22.9425+2.9925)*10.764</f>
        <v>279.16433999999998</v>
      </c>
      <c r="E280" s="45">
        <v>0</v>
      </c>
      <c r="F280" s="45">
        <f t="shared" si="19"/>
        <v>404.78829299999995</v>
      </c>
      <c r="G280" s="232"/>
      <c r="H280" s="233"/>
      <c r="I280" s="36"/>
    </row>
    <row r="281" spans="1:14" s="37" customFormat="1" ht="15.75" customHeight="1" x14ac:dyDescent="0.25">
      <c r="A281" s="143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10^ROW(INDIRECT("1:"&amp;LEN((LEFT(A280,SUM(LEN(A280)-LEN(SUBSTITUTE(A280,{"0","1","2"},""))))))))/10))*1+1&amp;""&amp;" ,..,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",LEN(A280))),LEN(A280)))))))/10))*1+1</f>
        <v>203 ,.., 703</v>
      </c>
      <c r="B281" s="144"/>
      <c r="C281" s="45" t="s">
        <v>187</v>
      </c>
      <c r="D281" s="45">
        <f>(29.3675+4.4625+1.995)*10.764</f>
        <v>385.62029999999993</v>
      </c>
      <c r="E281" s="45">
        <v>0</v>
      </c>
      <c r="F281" s="45">
        <f t="shared" si="19"/>
        <v>559.14943499999993</v>
      </c>
      <c r="G281" s="232"/>
      <c r="H281" s="233"/>
      <c r="I281" s="36"/>
    </row>
    <row r="282" spans="1:14" s="37" customFormat="1" ht="15.75" customHeight="1" x14ac:dyDescent="0.25">
      <c r="A282" s="143" t="str">
        <f ca="1">(SUMPRODUCT(MID(0&amp;(LEFT(A281,SUM(LEN(A281)-LEN(SUBSTITUTE(A281,{"0","1","2"},""))))), LARGE(INDEX(ISNUMBER(--MID((LEFT(A281,SUM(LEN(A281)-LEN(SUBSTITUTE(A281,{"0","1","2"},""))))), ROW(INDIRECT("1:"&amp;LEN((LEFT(A281,SUM(LEN(A281)-LEN(SUBSTITUTE(A281,{"0","1","2"},"")))))))), 1)) * ROW(INDIRECT("1:"&amp;LEN((LEFT(A281,SUM(LEN(A281)-LEN(SUBSTITUTE(A281,{"0","1","2"},"")))))))), 0), ROW(INDIRECT("1:"&amp;LEN((LEFT(A281,SUM(LEN(A281)-LEN(SUBSTITUTE(A281,{"0","1","2"},"")))))))))+1, 1) * 10^ROW(INDIRECT("1:"&amp;LEN((LEFT(A281,SUM(LEN(A281)-LEN(SUBSTITUTE(A281,{"0","1","2"},""))))))))/10))*1+1&amp;""&amp;" ,.., "&amp;""&amp;(SUMPRODUCT(MID(0&amp;(--TRIM(RIGHT(SUBSTITUTE(LEFT(A281,_xlfn.AGGREGATE(16,6,FIND({0,1,2,3,4,5,6,7,8,9},A281,ROW(INDIRECT("1:"&amp;LEN(A281)))),1))," ",REPT(" ",LEN(A281))),LEN(A281)))), LARGE(INDEX(ISNUMBER(--MID((--TRIM(RIGHT(SUBSTITUTE(LEFT(A281,_xlfn.AGGREGATE(16,6,FIND({0,1,2,3,4,5,6,7,8,9},A281,ROW(INDIRECT("1:"&amp;LEN(A281)))),1))," ",REPT(" ",LEN(A281))),LEN(A281)))), ROW(INDIRECT("1:"&amp;LEN((--TRIM(RIGHT(SUBSTITUTE(LEFT(A281,_xlfn.AGGREGATE(16,6,FIND({0,1,2,3,4,5,6,7,8,9},A281,ROW(INDIRECT("1:"&amp;LEN(A281)))),1))," ",REPT(" ",LEN(A281))),LEN(A281))))))), 1)) * ROW(INDIRECT("1:"&amp;LEN((--TRIM(RIGHT(SUBSTITUTE(LEFT(A281,_xlfn.AGGREGATE(16,6,FIND({0,1,2,3,4,5,6,7,8,9},A281,ROW(INDIRECT("1:"&amp;LEN(A281)))),1))," ",REPT(" ",LEN(A281))),LEN(A281))))))), 0), ROW(INDIRECT("1:"&amp;LEN((--TRIM(RIGHT(SUBSTITUTE(LEFT(A281,_xlfn.AGGREGATE(16,6,FIND({0,1,2,3,4,5,6,7,8,9},A281,ROW(INDIRECT("1:"&amp;LEN(A281)))),1))," ",REPT(" ",LEN(A281))),LEN(A281))))))))+1, 1) * 10^ROW(INDIRECT("1:"&amp;LEN((--TRIM(RIGHT(SUBSTITUTE(LEFT(A281,_xlfn.AGGREGATE(16,6,FIND({0,1,2,3,4,5,6,7,8,9},A281,ROW(INDIRECT("1:"&amp;LEN(A281)))),1))," ",REPT(" ",LEN(A281))),LEN(A281)))))))/10))*1+1</f>
        <v>204 ,.., 704</v>
      </c>
      <c r="B282" s="144"/>
      <c r="C282" s="45" t="s">
        <v>237</v>
      </c>
      <c r="D282" s="45">
        <f>(46.29+3.51)*10.764</f>
        <v>536.04719999999998</v>
      </c>
      <c r="E282" s="45">
        <v>0</v>
      </c>
      <c r="F282" s="45">
        <f t="shared" si="19"/>
        <v>777.26843999999994</v>
      </c>
      <c r="G282" s="232"/>
      <c r="H282" s="233"/>
      <c r="I282" s="36"/>
    </row>
    <row r="283" spans="1:14" s="37" customFormat="1" ht="15.75" customHeight="1" x14ac:dyDescent="0.25">
      <c r="A283" s="143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10^ROW(INDIRECT("1:"&amp;LEN((LEFT(A282,SUM(LEN(A282)-LEN(SUBSTITUTE(A282,{"0","1","2"},""))))))))/10))*1+1&amp;""&amp;" ,..,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",LEN(A282))),LEN(A282)))))))/10))*1+1</f>
        <v>205 ,.., 705</v>
      </c>
      <c r="B283" s="144"/>
      <c r="C283" s="45" t="s">
        <v>237</v>
      </c>
      <c r="D283" s="45">
        <f t="shared" ref="D283:D284" si="20">(46.29+3.51)*10.764</f>
        <v>536.04719999999998</v>
      </c>
      <c r="E283" s="45">
        <v>0</v>
      </c>
      <c r="F283" s="45">
        <f t="shared" si="19"/>
        <v>777.26843999999994</v>
      </c>
      <c r="G283" s="232"/>
      <c r="H283" s="233"/>
      <c r="I283" s="36"/>
    </row>
    <row r="284" spans="1:14" s="37" customFormat="1" ht="15.75" customHeight="1" x14ac:dyDescent="0.25">
      <c r="A284" s="143" t="str">
        <f ca="1">(SUMPRODUCT(MID(0&amp;(LEFT(A283,SUM(LEN(A283)-LEN(SUBSTITUTE(A283,{"0","1","2"},""))))), LARGE(INDEX(ISNUMBER(--MID((LEFT(A283,SUM(LEN(A283)-LEN(SUBSTITUTE(A283,{"0","1","2"},""))))), ROW(INDIRECT("1:"&amp;LEN((LEFT(A283,SUM(LEN(A283)-LEN(SUBSTITUTE(A283,{"0","1","2"},"")))))))), 1)) * ROW(INDIRECT("1:"&amp;LEN((LEFT(A283,SUM(LEN(A283)-LEN(SUBSTITUTE(A283,{"0","1","2"},"")))))))), 0), ROW(INDIRECT("1:"&amp;LEN((LEFT(A283,SUM(LEN(A283)-LEN(SUBSTITUTE(A283,{"0","1","2"},"")))))))))+1, 1) * 10^ROW(INDIRECT("1:"&amp;LEN((LEFT(A283,SUM(LEN(A283)-LEN(SUBSTITUTE(A283,{"0","1","2"},""))))))))/10))*1+1&amp;""&amp;" ,.., "&amp;""&amp;(SUMPRODUCT(MID(0&amp;(--TRIM(RIGHT(SUBSTITUTE(LEFT(A283,_xlfn.AGGREGATE(16,6,FIND({0,1,2,3,4,5,6,7,8,9},A283,ROW(INDIRECT("1:"&amp;LEN(A283)))),1))," ",REPT(" ",LEN(A283))),LEN(A283)))), LARGE(INDEX(ISNUMBER(--MID((--TRIM(RIGHT(SUBSTITUTE(LEFT(A283,_xlfn.AGGREGATE(16,6,FIND({0,1,2,3,4,5,6,7,8,9},A283,ROW(INDIRECT("1:"&amp;LEN(A283)))),1))," ",REPT(" ",LEN(A283))),LEN(A283)))), ROW(INDIRECT("1:"&amp;LEN((--TRIM(RIGHT(SUBSTITUTE(LEFT(A283,_xlfn.AGGREGATE(16,6,FIND({0,1,2,3,4,5,6,7,8,9},A283,ROW(INDIRECT("1:"&amp;LEN(A283)))),1))," ",REPT(" ",LEN(A283))),LEN(A283))))))), 1)) * ROW(INDIRECT("1:"&amp;LEN((--TRIM(RIGHT(SUBSTITUTE(LEFT(A283,_xlfn.AGGREGATE(16,6,FIND({0,1,2,3,4,5,6,7,8,9},A283,ROW(INDIRECT("1:"&amp;LEN(A283)))),1))," ",REPT(" ",LEN(A283))),LEN(A283))))))), 0), ROW(INDIRECT("1:"&amp;LEN((--TRIM(RIGHT(SUBSTITUTE(LEFT(A283,_xlfn.AGGREGATE(16,6,FIND({0,1,2,3,4,5,6,7,8,9},A283,ROW(INDIRECT("1:"&amp;LEN(A283)))),1))," ",REPT(" ",LEN(A283))),LEN(A283))))))))+1, 1) * 10^ROW(INDIRECT("1:"&amp;LEN((--TRIM(RIGHT(SUBSTITUTE(LEFT(A283,_xlfn.AGGREGATE(16,6,FIND({0,1,2,3,4,5,6,7,8,9},A283,ROW(INDIRECT("1:"&amp;LEN(A283)))),1))," ",REPT(" ",LEN(A283))),LEN(A283)))))))/10))*1+1</f>
        <v>206 ,.., 706</v>
      </c>
      <c r="B284" s="144"/>
      <c r="C284" s="45" t="s">
        <v>237</v>
      </c>
      <c r="D284" s="45">
        <f t="shared" si="20"/>
        <v>536.04719999999998</v>
      </c>
      <c r="E284" s="45">
        <v>0</v>
      </c>
      <c r="F284" s="45">
        <f t="shared" si="19"/>
        <v>777.26843999999994</v>
      </c>
      <c r="G284" s="230"/>
      <c r="H284" s="231"/>
      <c r="I284" s="36"/>
    </row>
    <row r="285" spans="1:14" s="37" customFormat="1" x14ac:dyDescent="0.25">
      <c r="A285" s="146" t="s">
        <v>188</v>
      </c>
      <c r="B285" s="147"/>
      <c r="C285" s="147"/>
      <c r="D285" s="147"/>
      <c r="E285" s="147"/>
      <c r="F285" s="147"/>
      <c r="G285" s="147"/>
      <c r="H285" s="148"/>
      <c r="J285" s="36"/>
    </row>
    <row r="286" spans="1:14" s="37" customFormat="1" x14ac:dyDescent="0.25">
      <c r="A286" s="146" t="s">
        <v>235</v>
      </c>
      <c r="B286" s="147"/>
      <c r="C286" s="147"/>
      <c r="D286" s="147"/>
      <c r="E286" s="147"/>
      <c r="F286" s="147"/>
      <c r="G286" s="147"/>
      <c r="H286" s="148"/>
      <c r="J286" s="36"/>
    </row>
    <row r="287" spans="1:14" s="37" customFormat="1" ht="15.75" customHeight="1" x14ac:dyDescent="0.25">
      <c r="A287" s="143">
        <v>1</v>
      </c>
      <c r="B287" s="144"/>
      <c r="C287" s="45" t="s">
        <v>237</v>
      </c>
      <c r="D287" s="45">
        <f>(46.29+3.51)*10.764</f>
        <v>536.04719999999998</v>
      </c>
      <c r="E287" s="45">
        <v>0</v>
      </c>
      <c r="F287" s="45">
        <f t="shared" ref="F287:F292" si="21">D287*(($F$230)+1)+(IF(E287&lt;101,E287,IF(E287&lt;201,E287/2,IF(E287&lt;=301,E287/3,E287/4))))</f>
        <v>777.26843999999994</v>
      </c>
      <c r="G287" s="228" t="str">
        <f>A286</f>
        <v>1st Floor For Residential</v>
      </c>
      <c r="H287" s="229"/>
      <c r="I287" s="36"/>
      <c r="L287" s="214"/>
      <c r="M287" s="214"/>
      <c r="N287" s="36"/>
    </row>
    <row r="288" spans="1:14" s="37" customFormat="1" x14ac:dyDescent="0.25">
      <c r="A288" s="143">
        <f t="shared" ref="A288:A292" si="22">A287+1</f>
        <v>2</v>
      </c>
      <c r="B288" s="144"/>
      <c r="C288" s="45" t="s">
        <v>237</v>
      </c>
      <c r="D288" s="45">
        <f>(46.53)*10.764</f>
        <v>500.84891999999996</v>
      </c>
      <c r="E288" s="45">
        <f>7.67*10.764</f>
        <v>82.559879999999993</v>
      </c>
      <c r="F288" s="45">
        <f t="shared" si="21"/>
        <v>808.79081399999995</v>
      </c>
      <c r="G288" s="232"/>
      <c r="H288" s="233"/>
      <c r="I288" s="36"/>
      <c r="L288" s="214"/>
      <c r="M288" s="214"/>
      <c r="N288" s="36"/>
    </row>
    <row r="289" spans="1:14" s="37" customFormat="1" x14ac:dyDescent="0.25">
      <c r="A289" s="143">
        <f t="shared" si="22"/>
        <v>3</v>
      </c>
      <c r="B289" s="144"/>
      <c r="C289" s="45" t="s">
        <v>237</v>
      </c>
      <c r="D289" s="45">
        <f>(46.8675)*10.764</f>
        <v>504.48176999999998</v>
      </c>
      <c r="E289" s="45">
        <f>14.1725*10.764</f>
        <v>152.55278999999999</v>
      </c>
      <c r="F289" s="45">
        <f t="shared" si="21"/>
        <v>807.7749614999999</v>
      </c>
      <c r="G289" s="232"/>
      <c r="H289" s="233"/>
      <c r="I289" s="36"/>
      <c r="L289" s="214"/>
      <c r="M289" s="214"/>
      <c r="N289" s="36"/>
    </row>
    <row r="290" spans="1:14" s="37" customFormat="1" x14ac:dyDescent="0.25">
      <c r="A290" s="143">
        <f t="shared" si="22"/>
        <v>4</v>
      </c>
      <c r="B290" s="144"/>
      <c r="C290" s="45" t="s">
        <v>187</v>
      </c>
      <c r="D290" s="45">
        <f>(29.3675+1.995)*10.764</f>
        <v>337.58594999999997</v>
      </c>
      <c r="E290" s="45">
        <v>0</v>
      </c>
      <c r="F290" s="45">
        <f t="shared" si="21"/>
        <v>489.49962749999992</v>
      </c>
      <c r="G290" s="232"/>
      <c r="H290" s="233"/>
      <c r="I290" s="36"/>
      <c r="L290" s="214"/>
      <c r="M290" s="214"/>
      <c r="N290" s="36"/>
    </row>
    <row r="291" spans="1:14" s="37" customFormat="1" x14ac:dyDescent="0.25">
      <c r="A291" s="143">
        <f t="shared" si="22"/>
        <v>5</v>
      </c>
      <c r="B291" s="144"/>
      <c r="C291" s="45" t="s">
        <v>187</v>
      </c>
      <c r="D291" s="45">
        <f>(33.83+1.995)*10.764</f>
        <v>385.62029999999993</v>
      </c>
      <c r="E291" s="45">
        <v>0</v>
      </c>
      <c r="F291" s="45">
        <f t="shared" si="21"/>
        <v>559.14943499999993</v>
      </c>
      <c r="G291" s="232"/>
      <c r="H291" s="233"/>
      <c r="I291" s="36"/>
      <c r="L291" s="214"/>
      <c r="M291" s="214"/>
      <c r="N291" s="36"/>
    </row>
    <row r="292" spans="1:14" s="37" customFormat="1" x14ac:dyDescent="0.25">
      <c r="A292" s="143">
        <f t="shared" si="22"/>
        <v>6</v>
      </c>
      <c r="B292" s="144"/>
      <c r="C292" s="45" t="s">
        <v>187</v>
      </c>
      <c r="D292" s="45">
        <f>(33.83+1.995)*10.764</f>
        <v>385.62029999999993</v>
      </c>
      <c r="E292" s="45">
        <v>0</v>
      </c>
      <c r="F292" s="45">
        <f t="shared" si="21"/>
        <v>559.14943499999993</v>
      </c>
      <c r="G292" s="230"/>
      <c r="H292" s="231"/>
      <c r="I292" s="36"/>
      <c r="L292" s="214"/>
      <c r="M292" s="214"/>
      <c r="N292" s="36"/>
    </row>
    <row r="293" spans="1:14" s="37" customFormat="1" ht="15.75" customHeight="1" x14ac:dyDescent="0.25">
      <c r="A293" s="146" t="s">
        <v>236</v>
      </c>
      <c r="B293" s="147"/>
      <c r="C293" s="147"/>
      <c r="D293" s="147"/>
      <c r="E293" s="147"/>
      <c r="F293" s="147"/>
      <c r="G293" s="147"/>
      <c r="H293" s="148"/>
      <c r="I293" s="36"/>
    </row>
    <row r="294" spans="1:14" s="37" customFormat="1" ht="15.75" customHeight="1" x14ac:dyDescent="0.25">
      <c r="A294" s="143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10^ROW(INDIRECT("1:"&amp;LEN((LEFT(A293,SUM(LEN(A293)-LEN(SUBSTITUTE(A293,{"0","1","2"},""))))))))/10))*100+1&amp;""&amp;" ,..,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",LEN(A293))),LEN(A293)))))))/10))*100+1</f>
        <v>201 ,.., 701</v>
      </c>
      <c r="B294" s="144"/>
      <c r="C294" s="45" t="s">
        <v>237</v>
      </c>
      <c r="D294" s="45">
        <f t="shared" ref="D294:D296" si="23">(46.29+3.51)*10.764</f>
        <v>536.04719999999998</v>
      </c>
      <c r="E294" s="45">
        <v>0</v>
      </c>
      <c r="F294" s="45">
        <f t="shared" ref="F294:F299" si="24">D294*(($F$230)+1)+(IF(E294&lt;101,E294,IF(E294&lt;201,E294/2,IF(E294&lt;=301,E294/3,E294/4))))</f>
        <v>777.26843999999994</v>
      </c>
      <c r="G294" s="228" t="str">
        <f>A293</f>
        <v>2nd, 3rd, 4th, 5th, 6th, &amp; 7th Floor for Residential</v>
      </c>
      <c r="H294" s="229"/>
      <c r="I294" s="36"/>
    </row>
    <row r="295" spans="1:14" s="37" customFormat="1" x14ac:dyDescent="0.25">
      <c r="A295" s="143" t="str">
        <f ca="1">(SUMPRODUCT(MID(0&amp;(LEFT(A294,SUM(LEN(A294)-LEN(SUBSTITUTE(A294,{"0","1","2"},""))))), LARGE(INDEX(ISNUMBER(--MID((LEFT(A294,SUM(LEN(A294)-LEN(SUBSTITUTE(A294,{"0","1","2"},""))))), ROW(INDIRECT("1:"&amp;LEN((LEFT(A294,SUM(LEN(A294)-LEN(SUBSTITUTE(A294,{"0","1","2"},"")))))))), 1)) * ROW(INDIRECT("1:"&amp;LEN((LEFT(A294,SUM(LEN(A294)-LEN(SUBSTITUTE(A294,{"0","1","2"},"")))))))), 0), ROW(INDIRECT("1:"&amp;LEN((LEFT(A294,SUM(LEN(A294)-LEN(SUBSTITUTE(A294,{"0","1","2"},"")))))))))+1, 1) * 10^ROW(INDIRECT("1:"&amp;LEN((LEFT(A294,SUM(LEN(A294)-LEN(SUBSTITUTE(A294,{"0","1","2"},""))))))))/10))*1+1&amp;""&amp;" ,.., "&amp;""&amp;(SUMPRODUCT(MID(0&amp;(--TRIM(RIGHT(SUBSTITUTE(LEFT(A294,_xlfn.AGGREGATE(16,6,FIND({0,1,2,3,4,5,6,7,8,9},A294,ROW(INDIRECT("1:"&amp;LEN(A294)))),1))," ",REPT(" ",LEN(A294))),LEN(A294)))), LARGE(INDEX(ISNUMBER(--MID((--TRIM(RIGHT(SUBSTITUTE(LEFT(A294,_xlfn.AGGREGATE(16,6,FIND({0,1,2,3,4,5,6,7,8,9},A294,ROW(INDIRECT("1:"&amp;LEN(A294)))),1))," ",REPT(" ",LEN(A294))),LEN(A294)))), ROW(INDIRECT("1:"&amp;LEN((--TRIM(RIGHT(SUBSTITUTE(LEFT(A294,_xlfn.AGGREGATE(16,6,FIND({0,1,2,3,4,5,6,7,8,9},A294,ROW(INDIRECT("1:"&amp;LEN(A294)))),1))," ",REPT(" ",LEN(A294))),LEN(A294))))))), 1)) * ROW(INDIRECT("1:"&amp;LEN((--TRIM(RIGHT(SUBSTITUTE(LEFT(A294,_xlfn.AGGREGATE(16,6,FIND({0,1,2,3,4,5,6,7,8,9},A294,ROW(INDIRECT("1:"&amp;LEN(A294)))),1))," ",REPT(" ",LEN(A294))),LEN(A294))))))), 0), ROW(INDIRECT("1:"&amp;LEN((--TRIM(RIGHT(SUBSTITUTE(LEFT(A294,_xlfn.AGGREGATE(16,6,FIND({0,1,2,3,4,5,6,7,8,9},A294,ROW(INDIRECT("1:"&amp;LEN(A294)))),1))," ",REPT(" ",LEN(A294))),LEN(A294))))))))+1, 1) * 10^ROW(INDIRECT("1:"&amp;LEN((--TRIM(RIGHT(SUBSTITUTE(LEFT(A294,_xlfn.AGGREGATE(16,6,FIND({0,1,2,3,4,5,6,7,8,9},A294,ROW(INDIRECT("1:"&amp;LEN(A294)))),1))," ",REPT(" ",LEN(A294))),LEN(A294)))))))/10))*1+1</f>
        <v>202 ,.., 702</v>
      </c>
      <c r="B295" s="144"/>
      <c r="C295" s="45" t="s">
        <v>237</v>
      </c>
      <c r="D295" s="45">
        <f t="shared" si="23"/>
        <v>536.04719999999998</v>
      </c>
      <c r="E295" s="45">
        <v>0</v>
      </c>
      <c r="F295" s="45">
        <f t="shared" si="24"/>
        <v>777.26843999999994</v>
      </c>
      <c r="G295" s="232"/>
      <c r="H295" s="233"/>
      <c r="I295" s="36">
        <f>2464000/F295</f>
        <v>3170.0759650038026</v>
      </c>
    </row>
    <row r="296" spans="1:14" s="37" customFormat="1" ht="15.75" customHeight="1" x14ac:dyDescent="0.25">
      <c r="A296" s="143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10^ROW(INDIRECT("1:"&amp;LEN((LEFT(A295,SUM(LEN(A295)-LEN(SUBSTITUTE(A295,{"0","1","2"},""))))))))/10))*1+1&amp;""&amp;" ,..,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",LEN(A295))),LEN(A295)))))))/10))*1+1</f>
        <v>203 ,.., 703</v>
      </c>
      <c r="B296" s="144"/>
      <c r="C296" s="45" t="s">
        <v>237</v>
      </c>
      <c r="D296" s="45">
        <f t="shared" si="23"/>
        <v>536.04719999999998</v>
      </c>
      <c r="E296" s="45">
        <v>0</v>
      </c>
      <c r="F296" s="45">
        <f t="shared" si="24"/>
        <v>777.26843999999994</v>
      </c>
      <c r="G296" s="232"/>
      <c r="H296" s="233"/>
      <c r="I296" s="36"/>
    </row>
    <row r="297" spans="1:14" s="37" customFormat="1" ht="15.75" customHeight="1" x14ac:dyDescent="0.25">
      <c r="A297" s="143" t="str">
        <f ca="1">(SUMPRODUCT(MID(0&amp;(LEFT(A296,SUM(LEN(A296)-LEN(SUBSTITUTE(A296,{"0","1","2"},""))))), LARGE(INDEX(ISNUMBER(--MID((LEFT(A296,SUM(LEN(A296)-LEN(SUBSTITUTE(A296,{"0","1","2"},""))))), ROW(INDIRECT("1:"&amp;LEN((LEFT(A296,SUM(LEN(A296)-LEN(SUBSTITUTE(A296,{"0","1","2"},"")))))))), 1)) * ROW(INDIRECT("1:"&amp;LEN((LEFT(A296,SUM(LEN(A296)-LEN(SUBSTITUTE(A296,{"0","1","2"},"")))))))), 0), ROW(INDIRECT("1:"&amp;LEN((LEFT(A296,SUM(LEN(A296)-LEN(SUBSTITUTE(A296,{"0","1","2"},"")))))))))+1, 1) * 10^ROW(INDIRECT("1:"&amp;LEN((LEFT(A296,SUM(LEN(A296)-LEN(SUBSTITUTE(A296,{"0","1","2"},""))))))))/10))*1+1&amp;""&amp;" ,.., "&amp;""&amp;(SUMPRODUCT(MID(0&amp;(--TRIM(RIGHT(SUBSTITUTE(LEFT(A296,_xlfn.AGGREGATE(16,6,FIND({0,1,2,3,4,5,6,7,8,9},A296,ROW(INDIRECT("1:"&amp;LEN(A296)))),1)),"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",LEN(A296))),LEN(A296)))))))/10))*1+1</f>
        <v>204 ,.., 704</v>
      </c>
      <c r="B297" s="144"/>
      <c r="C297" s="45" t="s">
        <v>187</v>
      </c>
      <c r="D297" s="45">
        <f>(29.3675+1.995)*10.764</f>
        <v>337.58594999999997</v>
      </c>
      <c r="E297" s="45">
        <v>0</v>
      </c>
      <c r="F297" s="45">
        <f t="shared" si="24"/>
        <v>489.49962749999992</v>
      </c>
      <c r="G297" s="232"/>
      <c r="H297" s="233"/>
      <c r="I297" s="36"/>
    </row>
    <row r="298" spans="1:14" s="37" customFormat="1" ht="15.75" customHeight="1" x14ac:dyDescent="0.25">
      <c r="A298" s="143" t="str">
        <f ca="1">(SUMPRODUCT(MID(0&amp;(LEFT(A297,SUM(LEN(A297)-LEN(SUBSTITUTE(A297,{"0","1","2"},""))))), LARGE(INDEX(ISNUMBER(--MID((LEFT(A297,SUM(LEN(A297)-LEN(SUBSTITUTE(A297,{"0","1","2"},""))))), ROW(INDIRECT("1:"&amp;LEN((LEFT(A297,SUM(LEN(A297)-LEN(SUBSTITUTE(A297,{"0","1","2"},"")))))))), 1)) * ROW(INDIRECT("1:"&amp;LEN((LEFT(A297,SUM(LEN(A297)-LEN(SUBSTITUTE(A297,{"0","1","2"},"")))))))), 0), ROW(INDIRECT("1:"&amp;LEN((LEFT(A297,SUM(LEN(A297)-LEN(SUBSTITUTE(A297,{"0","1","2"},"")))))))))+1, 1) * 10^ROW(INDIRECT("1:"&amp;LEN((LEFT(A297,SUM(LEN(A297)-LEN(SUBSTITUTE(A297,{"0","1","2"},""))))))))/10))*1+1&amp;""&amp;" ,.., "&amp;""&amp;(SUMPRODUCT(MID(0&amp;(--TRIM(RIGHT(SUBSTITUTE(LEFT(A297,_xlfn.AGGREGATE(16,6,FIND({0,1,2,3,4,5,6,7,8,9},A297,ROW(INDIRECT("1:"&amp;LEN(A297)))),1))," ",REPT(" ",LEN(A297))),LEN(A297)))), LARGE(INDEX(ISNUMBER(--MID((--TRIM(RIGHT(SUBSTITUTE(LEFT(A297,_xlfn.AGGREGATE(16,6,FIND({0,1,2,3,4,5,6,7,8,9},A297,ROW(INDIRECT("1:"&amp;LEN(A297)))),1))," ",REPT(" ",LEN(A297))),LEN(A297)))), ROW(INDIRECT("1:"&amp;LEN((--TRIM(RIGHT(SUBSTITUTE(LEFT(A297,_xlfn.AGGREGATE(16,6,FIND({0,1,2,3,4,5,6,7,8,9},A297,ROW(INDIRECT("1:"&amp;LEN(A297)))),1))," ",REPT(" ",LEN(A297))),LEN(A297))))))), 1)) * ROW(INDIRECT("1:"&amp;LEN((--TRIM(RIGHT(SUBSTITUTE(LEFT(A297,_xlfn.AGGREGATE(16,6,FIND({0,1,2,3,4,5,6,7,8,9},A297,ROW(INDIRECT("1:"&amp;LEN(A297)))),1))," ",REPT(" ",LEN(A297))),LEN(A297))))))), 0), ROW(INDIRECT("1:"&amp;LEN((--TRIM(RIGHT(SUBSTITUTE(LEFT(A297,_xlfn.AGGREGATE(16,6,FIND({0,1,2,3,4,5,6,7,8,9},A297,ROW(INDIRECT("1:"&amp;LEN(A297)))),1))," ",REPT(" ",LEN(A297))),LEN(A297))))))))+1, 1) * 10^ROW(INDIRECT("1:"&amp;LEN((--TRIM(RIGHT(SUBSTITUTE(LEFT(A297,_xlfn.AGGREGATE(16,6,FIND({0,1,2,3,4,5,6,7,8,9},A297,ROW(INDIRECT("1:"&amp;LEN(A297)))),1))," ",REPT(" ",LEN(A297))),LEN(A297)))))))/10))*1+1</f>
        <v>205 ,.., 705</v>
      </c>
      <c r="B298" s="144"/>
      <c r="C298" s="45" t="s">
        <v>187</v>
      </c>
      <c r="D298" s="45">
        <f>(33.83+1.995)*10.764</f>
        <v>385.62029999999993</v>
      </c>
      <c r="E298" s="45">
        <v>0</v>
      </c>
      <c r="F298" s="45">
        <f t="shared" si="24"/>
        <v>559.14943499999993</v>
      </c>
      <c r="G298" s="232"/>
      <c r="H298" s="233"/>
      <c r="I298" s="36"/>
    </row>
    <row r="299" spans="1:14" s="37" customFormat="1" ht="15.75" customHeight="1" x14ac:dyDescent="0.25">
      <c r="A299" s="143" t="str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10^ROW(INDIRECT("1:"&amp;LEN((LEFT(A298,SUM(LEN(A298)-LEN(SUBSTITUTE(A298,{"0","1","2"},""))))))))/10))*1+1&amp;""&amp;" ,.., "&amp;""&amp;(SUMPRODUCT(MID(0&amp;(--TRIM(RIGHT(SUBSTITUTE(LEFT(A298,_xlfn.AGGREGATE(16,6,FIND({0,1,2,3,4,5,6,7,8,9},A298,ROW(INDIRECT("1:"&amp;LEN(A298)))),1)),"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",LEN(A298))),LEN(A298)))))))/10))*1+1</f>
        <v>206 ,.., 706</v>
      </c>
      <c r="B299" s="144"/>
      <c r="C299" s="45" t="s">
        <v>187</v>
      </c>
      <c r="D299" s="45">
        <f>(33.83+1.995)*10.764</f>
        <v>385.62029999999993</v>
      </c>
      <c r="E299" s="45">
        <v>0</v>
      </c>
      <c r="F299" s="45">
        <f t="shared" si="24"/>
        <v>559.14943499999993</v>
      </c>
      <c r="G299" s="230"/>
      <c r="H299" s="231"/>
      <c r="I299" s="36"/>
    </row>
    <row r="300" spans="1:14" s="37" customFormat="1" x14ac:dyDescent="0.25">
      <c r="A300" s="146" t="s">
        <v>198</v>
      </c>
      <c r="B300" s="147"/>
      <c r="C300" s="147"/>
      <c r="D300" s="147"/>
      <c r="E300" s="147"/>
      <c r="F300" s="147"/>
      <c r="G300" s="147"/>
      <c r="H300" s="148"/>
      <c r="J300" s="36"/>
    </row>
    <row r="301" spans="1:14" s="37" customFormat="1" x14ac:dyDescent="0.25">
      <c r="A301" s="146" t="s">
        <v>238</v>
      </c>
      <c r="B301" s="147"/>
      <c r="C301" s="147"/>
      <c r="D301" s="147"/>
      <c r="E301" s="147"/>
      <c r="F301" s="147"/>
      <c r="G301" s="147"/>
      <c r="H301" s="148"/>
      <c r="J301" s="36"/>
    </row>
    <row r="302" spans="1:14" s="37" customFormat="1" ht="15.75" customHeight="1" x14ac:dyDescent="0.25">
      <c r="A302" s="146" t="s">
        <v>204</v>
      </c>
      <c r="B302" s="147"/>
      <c r="C302" s="147"/>
      <c r="D302" s="147"/>
      <c r="E302" s="147"/>
      <c r="F302" s="147"/>
      <c r="G302" s="147"/>
      <c r="H302" s="148"/>
      <c r="I302" s="36"/>
    </row>
    <row r="303" spans="1:14" s="37" customFormat="1" ht="15.75" customHeight="1" x14ac:dyDescent="0.25">
      <c r="A303" s="143" t="str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10^ROW(INDIRECT("1:"&amp;LEN((LEFT(A302,SUM(LEN(A302)-LEN(SUBSTITUTE(A302,{"0","1","2"},""))))))))/10))*100+1&amp;""&amp;" ,.., "&amp;""&amp;(SUMPRODUCT(MID(0&amp;(--TRIM(RIGHT(SUBSTITUTE(LEFT(A302,_xlfn.AGGREGATE(16,6,FIND({0,1,2,3,4,5,6,7,8,9},A302,ROW(INDIRECT("1:"&amp;LEN(A302)))),1)),"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",LEN(A302))),LEN(A302)))))))/10))*100+1</f>
        <v>101 ,.., 701</v>
      </c>
      <c r="B303" s="144"/>
      <c r="C303" s="45" t="s">
        <v>237</v>
      </c>
      <c r="D303" s="45">
        <f>(46.29+3.9)*10.764</f>
        <v>540.24515999999994</v>
      </c>
      <c r="E303" s="45">
        <v>0</v>
      </c>
      <c r="F303" s="45">
        <f>D303*(($F$230)+1)+(IF(E303&lt;101,E303,IF(E303&lt;201,E303/2,IF(E303&lt;=301,E303/3,E303/4))))</f>
        <v>783.35548199999994</v>
      </c>
      <c r="G303" s="228" t="str">
        <f>A302</f>
        <v>1st, 2nd, 3rd, 4th, 5th, 6th, &amp; 7th Floor for Residential</v>
      </c>
      <c r="H303" s="229"/>
      <c r="I303" s="36">
        <f>2314000/F303</f>
        <v>2953.9590303141586</v>
      </c>
      <c r="J303" s="37">
        <f>(2.8*3.2+2.3*2.2+2.7*2.7+1*1.2+1.2*1+2.3*0.9)</f>
        <v>25.78</v>
      </c>
      <c r="K303" s="37">
        <f>(2.9*1.3+1.8*1)</f>
        <v>5.57</v>
      </c>
    </row>
    <row r="304" spans="1:14" s="37" customFormat="1" x14ac:dyDescent="0.25">
      <c r="A304" s="143" t="str">
        <f ca="1">(SUMPRODUCT(MID(0&amp;(LEFT(A303,SUM(LEN(A303)-LEN(SUBSTITUTE(A303,{"0","1","2"},""))))), LARGE(INDEX(ISNUMBER(--MID((LEFT(A303,SUM(LEN(A303)-LEN(SUBSTITUTE(A303,{"0","1","2"},""))))), ROW(INDIRECT("1:"&amp;LEN((LEFT(A303,SUM(LEN(A303)-LEN(SUBSTITUTE(A303,{"0","1","2"},"")))))))), 1)) * ROW(INDIRECT("1:"&amp;LEN((LEFT(A303,SUM(LEN(A303)-LEN(SUBSTITUTE(A303,{"0","1","2"},"")))))))), 0), ROW(INDIRECT("1:"&amp;LEN((LEFT(A303,SUM(LEN(A303)-LEN(SUBSTITUTE(A303,{"0","1","2"},"")))))))))+1, 1) * 10^ROW(INDIRECT("1:"&amp;LEN((LEFT(A303,SUM(LEN(A303)-LEN(SUBSTITUTE(A303,{"0","1","2"},""))))))))/10))*1+1&amp;""&amp;" ,.., "&amp;""&amp;(SUMPRODUCT(MID(0&amp;(--TRIM(RIGHT(SUBSTITUTE(LEFT(A303,_xlfn.AGGREGATE(16,6,FIND({0,1,2,3,4,5,6,7,8,9},A303,ROW(INDIRECT("1:"&amp;LEN(A303)))),1))," ",REPT(" ",LEN(A303))),LEN(A303)))), LARGE(INDEX(ISNUMBER(--MID((--TRIM(RIGHT(SUBSTITUTE(LEFT(A303,_xlfn.AGGREGATE(16,6,FIND({0,1,2,3,4,5,6,7,8,9},A303,ROW(INDIRECT("1:"&amp;LEN(A303)))),1))," ",REPT(" ",LEN(A303))),LEN(A303)))), ROW(INDIRECT("1:"&amp;LEN((--TRIM(RIGHT(SUBSTITUTE(LEFT(A303,_xlfn.AGGREGATE(16,6,FIND({0,1,2,3,4,5,6,7,8,9},A303,ROW(INDIRECT("1:"&amp;LEN(A303)))),1))," ",REPT(" ",LEN(A303))),LEN(A303))))))), 1)) * ROW(INDIRECT("1:"&amp;LEN((--TRIM(RIGHT(SUBSTITUTE(LEFT(A303,_xlfn.AGGREGATE(16,6,FIND({0,1,2,3,4,5,6,7,8,9},A303,ROW(INDIRECT("1:"&amp;LEN(A303)))),1))," ",REPT(" ",LEN(A303))),LEN(A303))))))), 0), ROW(INDIRECT("1:"&amp;LEN((--TRIM(RIGHT(SUBSTITUTE(LEFT(A303,_xlfn.AGGREGATE(16,6,FIND({0,1,2,3,4,5,6,7,8,9},A303,ROW(INDIRECT("1:"&amp;LEN(A303)))),1))," ",REPT(" ",LEN(A303))),LEN(A303))))))))+1, 1) * 10^ROW(INDIRECT("1:"&amp;LEN((--TRIM(RIGHT(SUBSTITUTE(LEFT(A303,_xlfn.AGGREGATE(16,6,FIND({0,1,2,3,4,5,6,7,8,9},A303,ROW(INDIRECT("1:"&amp;LEN(A303)))),1))," ",REPT(" ",LEN(A303))),LEN(A303)))))))/10))*1+1</f>
        <v>102 ,.., 702</v>
      </c>
      <c r="B304" s="144"/>
      <c r="C304" s="45" t="s">
        <v>187</v>
      </c>
      <c r="D304" s="45">
        <f>(29.3675+4.4625+2.28)*10.764</f>
        <v>388.68803999999994</v>
      </c>
      <c r="E304" s="45">
        <v>0</v>
      </c>
      <c r="F304" s="45">
        <f>D304*(($F$230)+1)+(IF(E304&lt;101,E304,IF(E304&lt;201,E304/2,IF(E304&lt;=301,E304/3,E304/4))))</f>
        <v>563.59765799999991</v>
      </c>
      <c r="G304" s="232"/>
      <c r="H304" s="233"/>
      <c r="I304" s="36"/>
    </row>
    <row r="305" spans="1:10" s="37" customFormat="1" ht="15.75" customHeight="1" x14ac:dyDescent="0.25">
      <c r="A305" s="143" t="str">
        <f ca="1">(SUMPRODUCT(MID(0&amp;(LEFT(A304,SUM(LEN(A304)-LEN(SUBSTITUTE(A304,{"0","1","2"},""))))), LARGE(INDEX(ISNUMBER(--MID((LEFT(A304,SUM(LEN(A304)-LEN(SUBSTITUTE(A304,{"0","1","2"},""))))), ROW(INDIRECT("1:"&amp;LEN((LEFT(A304,SUM(LEN(A304)-LEN(SUBSTITUTE(A304,{"0","1","2"},"")))))))), 1)) * ROW(INDIRECT("1:"&amp;LEN((LEFT(A304,SUM(LEN(A304)-LEN(SUBSTITUTE(A304,{"0","1","2"},"")))))))), 0), ROW(INDIRECT("1:"&amp;LEN((LEFT(A304,SUM(LEN(A304)-LEN(SUBSTITUTE(A304,{"0","1","2"},"")))))))))+1, 1) * 10^ROW(INDIRECT("1:"&amp;LEN((LEFT(A304,SUM(LEN(A304)-LEN(SUBSTITUTE(A304,{"0","1","2"},""))))))))/10))*1+1&amp;""&amp;" ,.., "&amp;""&amp;(SUMPRODUCT(MID(0&amp;(--TRIM(RIGHT(SUBSTITUTE(LEFT(A304,_xlfn.AGGREGATE(16,6,FIND({0,1,2,3,4,5,6,7,8,9},A304,ROW(INDIRECT("1:"&amp;LEN(A304)))),1))," ",REPT(" ",LEN(A304))),LEN(A304)))), LARGE(INDEX(ISNUMBER(--MID((--TRIM(RIGHT(SUBSTITUTE(LEFT(A304,_xlfn.AGGREGATE(16,6,FIND({0,1,2,3,4,5,6,7,8,9},A304,ROW(INDIRECT("1:"&amp;LEN(A304)))),1))," ",REPT(" ",LEN(A304))),LEN(A304)))), ROW(INDIRECT("1:"&amp;LEN((--TRIM(RIGHT(SUBSTITUTE(LEFT(A304,_xlfn.AGGREGATE(16,6,FIND({0,1,2,3,4,5,6,7,8,9},A304,ROW(INDIRECT("1:"&amp;LEN(A304)))),1))," ",REPT(" ",LEN(A304))),LEN(A304))))))), 1)) * ROW(INDIRECT("1:"&amp;LEN((--TRIM(RIGHT(SUBSTITUTE(LEFT(A304,_xlfn.AGGREGATE(16,6,FIND({0,1,2,3,4,5,6,7,8,9},A304,ROW(INDIRECT("1:"&amp;LEN(A304)))),1))," ",REPT(" ",LEN(A304))),LEN(A304))))))), 0), ROW(INDIRECT("1:"&amp;LEN((--TRIM(RIGHT(SUBSTITUTE(LEFT(A304,_xlfn.AGGREGATE(16,6,FIND({0,1,2,3,4,5,6,7,8,9},A304,ROW(INDIRECT("1:"&amp;LEN(A304)))),1))," ",REPT(" ",LEN(A304))),LEN(A304))))))))+1, 1) * 10^ROW(INDIRECT("1:"&amp;LEN((--TRIM(RIGHT(SUBSTITUTE(LEFT(A304,_xlfn.AGGREGATE(16,6,FIND({0,1,2,3,4,5,6,7,8,9},A304,ROW(INDIRECT("1:"&amp;LEN(A304)))),1))," ",REPT(" ",LEN(A304))),LEN(A304)))))))/10))*1+1</f>
        <v>103 ,.., 703</v>
      </c>
      <c r="B305" s="144"/>
      <c r="C305" s="45" t="s">
        <v>187</v>
      </c>
      <c r="D305" s="45">
        <f>(29.5975+4.4625+2.28)*10.764</f>
        <v>391.16376000000002</v>
      </c>
      <c r="E305" s="45">
        <v>0</v>
      </c>
      <c r="F305" s="45">
        <f>D305*(($F$230)+1)+(IF(E305&lt;101,E305,IF(E305&lt;201,E305/2,IF(E305&lt;=301,E305/3,E305/4))))</f>
        <v>567.18745200000001</v>
      </c>
      <c r="G305" s="232"/>
      <c r="H305" s="233"/>
      <c r="I305" s="36">
        <f>1750000/F305</f>
        <v>3085.3997101473251</v>
      </c>
    </row>
    <row r="306" spans="1:10" s="37" customFormat="1" x14ac:dyDescent="0.25">
      <c r="A306" s="146" t="s">
        <v>202</v>
      </c>
      <c r="B306" s="147"/>
      <c r="C306" s="147"/>
      <c r="D306" s="147"/>
      <c r="E306" s="147"/>
      <c r="F306" s="147"/>
      <c r="G306" s="147"/>
      <c r="H306" s="148"/>
      <c r="J306" s="36"/>
    </row>
    <row r="307" spans="1:10" s="37" customFormat="1" x14ac:dyDescent="0.25">
      <c r="A307" s="146" t="s">
        <v>184</v>
      </c>
      <c r="B307" s="147"/>
      <c r="C307" s="147"/>
      <c r="D307" s="147"/>
      <c r="E307" s="147"/>
      <c r="F307" s="147"/>
      <c r="G307" s="147"/>
      <c r="H307" s="148"/>
      <c r="J307" s="36"/>
    </row>
    <row r="308" spans="1:10" s="37" customFormat="1" x14ac:dyDescent="0.25">
      <c r="A308" s="146" t="s">
        <v>238</v>
      </c>
      <c r="B308" s="147"/>
      <c r="C308" s="147"/>
      <c r="D308" s="147"/>
      <c r="E308" s="147"/>
      <c r="F308" s="147"/>
      <c r="G308" s="147"/>
      <c r="H308" s="148"/>
      <c r="J308" s="36"/>
    </row>
    <row r="309" spans="1:10" s="37" customFormat="1" ht="15.75" customHeight="1" x14ac:dyDescent="0.25">
      <c r="A309" s="146" t="s">
        <v>204</v>
      </c>
      <c r="B309" s="147"/>
      <c r="C309" s="147"/>
      <c r="D309" s="147"/>
      <c r="E309" s="147"/>
      <c r="F309" s="147"/>
      <c r="G309" s="147"/>
      <c r="H309" s="148"/>
      <c r="I309" s="36"/>
    </row>
    <row r="310" spans="1:10" s="37" customFormat="1" ht="15.75" customHeight="1" x14ac:dyDescent="0.25">
      <c r="A310" s="143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10^ROW(INDIRECT("1:"&amp;LEN((LEFT(A309,SUM(LEN(A309)-LEN(SUBSTITUTE(A309,{"0","1","2"},""))))))))/10))*100+1&amp;""&amp;" ,..,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",LEN(A309))),LEN(A309)))))))/10))*100+1</f>
        <v>101 ,.., 701</v>
      </c>
      <c r="B310" s="144"/>
      <c r="C310" s="45" t="s">
        <v>237</v>
      </c>
      <c r="D310" s="45">
        <f>(43.925+2.465+3.51)*10.764</f>
        <v>537.1235999999999</v>
      </c>
      <c r="E310" s="45">
        <v>0</v>
      </c>
      <c r="F310" s="45">
        <f>D310*(($F$230)+1)+(IF(E310&lt;101,E310,IF(E310&lt;201,E310/2,IF(E310&lt;=301,E310/3,E310/4))))</f>
        <v>778.82921999999985</v>
      </c>
      <c r="G310" s="228" t="str">
        <f>A309</f>
        <v>1st, 2nd, 3rd, 4th, 5th, 6th, &amp; 7th Floor for Residential</v>
      </c>
      <c r="H310" s="229"/>
      <c r="I310" s="36"/>
    </row>
    <row r="311" spans="1:10" s="37" customFormat="1" x14ac:dyDescent="0.25">
      <c r="A311" s="143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,..,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102 ,.., 702</v>
      </c>
      <c r="B311" s="144"/>
      <c r="C311" s="45" t="s">
        <v>237</v>
      </c>
      <c r="D311" s="45">
        <f>(46.39+3.51)*10.764</f>
        <v>537.1235999999999</v>
      </c>
      <c r="E311" s="45">
        <v>0</v>
      </c>
      <c r="F311" s="45">
        <f>D311*(($F$230)+1)+(IF(E311&lt;101,E311,IF(E311&lt;201,E311/2,IF(E311&lt;=301,E311/3,E311/4))))</f>
        <v>778.82921999999985</v>
      </c>
      <c r="G311" s="232"/>
      <c r="H311" s="233"/>
      <c r="I311" s="36"/>
    </row>
    <row r="312" spans="1:10" s="37" customFormat="1" ht="15.75" customHeight="1" x14ac:dyDescent="0.25">
      <c r="A312" s="143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,..,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103 ,.., 703</v>
      </c>
      <c r="B312" s="144"/>
      <c r="C312" s="45" t="s">
        <v>187</v>
      </c>
      <c r="D312" s="45">
        <f>(34.2575+2.565)*10.764</f>
        <v>396.35738999999995</v>
      </c>
      <c r="E312" s="45">
        <v>0</v>
      </c>
      <c r="F312" s="45">
        <f>D312*(($F$230)+1)+(IF(E312&lt;101,E312,IF(E312&lt;201,E312/2,IF(E312&lt;=301,E312/3,E312/4))))</f>
        <v>574.71821549999993</v>
      </c>
      <c r="G312" s="232"/>
      <c r="H312" s="233"/>
      <c r="I312" s="36"/>
    </row>
    <row r="313" spans="1:10" s="37" customFormat="1" ht="15.75" customHeight="1" x14ac:dyDescent="0.25">
      <c r="A313" s="143" t="str">
        <f ca="1">(SUMPRODUCT(MID(0&amp;(LEFT(A312,SUM(LEN(A312)-LEN(SUBSTITUTE(A312,{"0","1","2"},""))))), LARGE(INDEX(ISNUMBER(--MID((LEFT(A312,SUM(LEN(A312)-LEN(SUBSTITUTE(A312,{"0","1","2"},""))))), ROW(INDIRECT("1:"&amp;LEN((LEFT(A312,SUM(LEN(A312)-LEN(SUBSTITUTE(A312,{"0","1","2"},"")))))))), 1)) * ROW(INDIRECT("1:"&amp;LEN((LEFT(A312,SUM(LEN(A312)-LEN(SUBSTITUTE(A312,{"0","1","2"},"")))))))), 0), ROW(INDIRECT("1:"&amp;LEN((LEFT(A312,SUM(LEN(A312)-LEN(SUBSTITUTE(A312,{"0","1","2"},"")))))))))+1, 1) * 10^ROW(INDIRECT("1:"&amp;LEN((LEFT(A312,SUM(LEN(A312)-LEN(SUBSTITUTE(A312,{"0","1","2"},""))))))))/10))*1+1&amp;""&amp;" ,.., "&amp;""&amp;(SUMPRODUCT(MID(0&amp;(--TRIM(RIGHT(SUBSTITUTE(LEFT(A312,_xlfn.AGGREGATE(16,6,FIND({0,1,2,3,4,5,6,7,8,9},A312,ROW(INDIRECT("1:"&amp;LEN(A312)))),1))," ",REPT(" ",LEN(A312))),LEN(A312)))), LARGE(INDEX(ISNUMBER(--MID((--TRIM(RIGHT(SUBSTITUTE(LEFT(A312,_xlfn.AGGREGATE(16,6,FIND({0,1,2,3,4,5,6,7,8,9},A312,ROW(INDIRECT("1:"&amp;LEN(A312)))),1))," ",REPT(" ",LEN(A312))),LEN(A312)))), ROW(INDIRECT("1:"&amp;LEN((--TRIM(RIGHT(SUBSTITUTE(LEFT(A312,_xlfn.AGGREGATE(16,6,FIND({0,1,2,3,4,5,6,7,8,9},A312,ROW(INDIRECT("1:"&amp;LEN(A312)))),1))," ",REPT(" ",LEN(A312))),LEN(A312))))))), 1)) * ROW(INDIRECT("1:"&amp;LEN((--TRIM(RIGHT(SUBSTITUTE(LEFT(A312,_xlfn.AGGREGATE(16,6,FIND({0,1,2,3,4,5,6,7,8,9},A312,ROW(INDIRECT("1:"&amp;LEN(A312)))),1))," ",REPT(" ",LEN(A312))),LEN(A312))))))), 0), ROW(INDIRECT("1:"&amp;LEN((--TRIM(RIGHT(SUBSTITUTE(LEFT(A312,_xlfn.AGGREGATE(16,6,FIND({0,1,2,3,4,5,6,7,8,9},A312,ROW(INDIRECT("1:"&amp;LEN(A312)))),1))," ",REPT(" ",LEN(A312))),LEN(A312))))))))+1, 1) * 10^ROW(INDIRECT("1:"&amp;LEN((--TRIM(RIGHT(SUBSTITUTE(LEFT(A312,_xlfn.AGGREGATE(16,6,FIND({0,1,2,3,4,5,6,7,8,9},A312,ROW(INDIRECT("1:"&amp;LEN(A312)))),1))," ",REPT(" ",LEN(A312))),LEN(A312)))))))/10))*1+1</f>
        <v>104 ,.., 704</v>
      </c>
      <c r="B313" s="144"/>
      <c r="C313" s="45" t="s">
        <v>187</v>
      </c>
      <c r="D313" s="45">
        <f>(34.2575+2.565)*10.764</f>
        <v>396.35738999999995</v>
      </c>
      <c r="E313" s="45">
        <v>0</v>
      </c>
      <c r="F313" s="45">
        <f>D313*(($F$230)+1)+(IF(E313&lt;101,E313,IF(E313&lt;201,E313/2,IF(E313&lt;=301,E313/3,E313/4))))</f>
        <v>574.71821549999993</v>
      </c>
      <c r="G313" s="230"/>
      <c r="H313" s="231"/>
      <c r="I313" s="36"/>
    </row>
    <row r="314" spans="1:10" s="37" customFormat="1" x14ac:dyDescent="0.25">
      <c r="A314" s="146" t="s">
        <v>188</v>
      </c>
      <c r="B314" s="147"/>
      <c r="C314" s="147"/>
      <c r="D314" s="147"/>
      <c r="E314" s="147"/>
      <c r="F314" s="147"/>
      <c r="G314" s="147"/>
      <c r="H314" s="148"/>
      <c r="J314" s="36"/>
    </row>
    <row r="315" spans="1:10" s="37" customFormat="1" ht="15.75" customHeight="1" x14ac:dyDescent="0.25">
      <c r="A315" s="146" t="s">
        <v>238</v>
      </c>
      <c r="B315" s="147"/>
      <c r="C315" s="147"/>
      <c r="D315" s="147"/>
      <c r="E315" s="147"/>
      <c r="F315" s="147"/>
      <c r="G315" s="147"/>
      <c r="H315" s="148"/>
      <c r="J315" s="36"/>
    </row>
    <row r="316" spans="1:10" s="37" customFormat="1" ht="15.75" customHeight="1" x14ac:dyDescent="0.25">
      <c r="A316" s="146" t="s">
        <v>204</v>
      </c>
      <c r="B316" s="147"/>
      <c r="C316" s="147"/>
      <c r="D316" s="147"/>
      <c r="E316" s="147"/>
      <c r="F316" s="147"/>
      <c r="G316" s="147"/>
      <c r="H316" s="148"/>
      <c r="I316" s="36"/>
    </row>
    <row r="317" spans="1:10" s="37" customFormat="1" ht="15.75" customHeight="1" x14ac:dyDescent="0.25">
      <c r="A317" s="143" t="str">
        <f ca="1">(SUMPRODUCT(MID(0&amp;(LEFT(A316,SUM(LEN(A316)-LEN(SUBSTITUTE(A316,{"0","1","2"},""))))), LARGE(INDEX(ISNUMBER(--MID((LEFT(A316,SUM(LEN(A316)-LEN(SUBSTITUTE(A316,{"0","1","2"},""))))), ROW(INDIRECT("1:"&amp;LEN((LEFT(A316,SUM(LEN(A316)-LEN(SUBSTITUTE(A316,{"0","1","2"},"")))))))), 1)) * ROW(INDIRECT("1:"&amp;LEN((LEFT(A316,SUM(LEN(A316)-LEN(SUBSTITUTE(A316,{"0","1","2"},"")))))))), 0), ROW(INDIRECT("1:"&amp;LEN((LEFT(A316,SUM(LEN(A316)-LEN(SUBSTITUTE(A316,{"0","1","2"},"")))))))))+1, 1) * 10^ROW(INDIRECT("1:"&amp;LEN((LEFT(A316,SUM(LEN(A316)-LEN(SUBSTITUTE(A316,{"0","1","2"},""))))))))/10))*100+1&amp;""&amp;" ,.., "&amp;""&amp;(SUMPRODUCT(MID(0&amp;(--TRIM(RIGHT(SUBSTITUTE(LEFT(A316,_xlfn.AGGREGATE(16,6,FIND({0,1,2,3,4,5,6,7,8,9},A316,ROW(INDIRECT("1:"&amp;LEN(A316)))),1))," ",REPT(" ",LEN(A316))),LEN(A316)))), LARGE(INDEX(ISNUMBER(--MID((--TRIM(RIGHT(SUBSTITUTE(LEFT(A316,_xlfn.AGGREGATE(16,6,FIND({0,1,2,3,4,5,6,7,8,9},A316,ROW(INDIRECT("1:"&amp;LEN(A316)))),1))," ",REPT(" ",LEN(A316))),LEN(A316)))), ROW(INDIRECT("1:"&amp;LEN((--TRIM(RIGHT(SUBSTITUTE(LEFT(A316,_xlfn.AGGREGATE(16,6,FIND({0,1,2,3,4,5,6,7,8,9},A316,ROW(INDIRECT("1:"&amp;LEN(A316)))),1))," ",REPT(" ",LEN(A316))),LEN(A316))))))), 1)) * ROW(INDIRECT("1:"&amp;LEN((--TRIM(RIGHT(SUBSTITUTE(LEFT(A316,_xlfn.AGGREGATE(16,6,FIND({0,1,2,3,4,5,6,7,8,9},A316,ROW(INDIRECT("1:"&amp;LEN(A316)))),1))," ",REPT(" ",LEN(A316))),LEN(A316))))))), 0), ROW(INDIRECT("1:"&amp;LEN((--TRIM(RIGHT(SUBSTITUTE(LEFT(A316,_xlfn.AGGREGATE(16,6,FIND({0,1,2,3,4,5,6,7,8,9},A316,ROW(INDIRECT("1:"&amp;LEN(A316)))),1))," ",REPT(" ",LEN(A316))),LEN(A316))))))))+1, 1) * 10^ROW(INDIRECT("1:"&amp;LEN((--TRIM(RIGHT(SUBSTITUTE(LEFT(A316,_xlfn.AGGREGATE(16,6,FIND({0,1,2,3,4,5,6,7,8,9},A316,ROW(INDIRECT("1:"&amp;LEN(A316)))),1))," ",REPT(" ",LEN(A316))),LEN(A316)))))))/10))*100+1</f>
        <v>101 ,.., 701</v>
      </c>
      <c r="B317" s="144"/>
      <c r="C317" s="45" t="s">
        <v>237</v>
      </c>
      <c r="D317" s="45">
        <f>(46.39+3.51)*10.764</f>
        <v>537.1235999999999</v>
      </c>
      <c r="E317" s="45">
        <v>0</v>
      </c>
      <c r="F317" s="45">
        <f t="shared" ref="F317:F323" si="25">D317*(($F$230)+1)+(IF(E317&lt;101,E317,IF(E317&lt;201,E317/2,IF(E317&lt;=301,E317/3,E317/4))))</f>
        <v>778.82921999999985</v>
      </c>
      <c r="G317" s="228" t="str">
        <f>A316</f>
        <v>1st, 2nd, 3rd, 4th, 5th, 6th, &amp; 7th Floor for Residential</v>
      </c>
      <c r="H317" s="229"/>
      <c r="I317" s="36"/>
    </row>
    <row r="318" spans="1:10" s="37" customFormat="1" x14ac:dyDescent="0.25">
      <c r="A318" s="143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10^ROW(INDIRECT("1:"&amp;LEN((LEFT(A317,SUM(LEN(A317)-LEN(SUBSTITUTE(A317,{"0","1","2"},""))))))))/10))*1+1&amp;""&amp;" ,..,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",LEN(A317))),LEN(A317)))))))/10))*1+1</f>
        <v>102 ,.., 702</v>
      </c>
      <c r="B318" s="144"/>
      <c r="C318" s="45" t="s">
        <v>237</v>
      </c>
      <c r="D318" s="45">
        <f>(46.39+3.51)*10.764</f>
        <v>537.1235999999999</v>
      </c>
      <c r="E318" s="45">
        <v>0</v>
      </c>
      <c r="F318" s="45">
        <f t="shared" si="25"/>
        <v>778.82921999999985</v>
      </c>
      <c r="G318" s="232"/>
      <c r="H318" s="233"/>
      <c r="I318" s="36"/>
    </row>
    <row r="319" spans="1:10" s="37" customFormat="1" ht="15.75" customHeight="1" x14ac:dyDescent="0.25">
      <c r="A319" s="143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10^ROW(INDIRECT("1:"&amp;LEN((LEFT(A318,SUM(LEN(A318)-LEN(SUBSTITUTE(A318,{"0","1","2"},""))))))))/10))*1+1&amp;""&amp;" ,..,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",LEN(A318))),LEN(A318)))))))/10))*1+1</f>
        <v>103 ,.., 703</v>
      </c>
      <c r="B319" s="144"/>
      <c r="C319" s="45" t="s">
        <v>187</v>
      </c>
      <c r="D319" s="45">
        <f>(29.88+4.3775+2.565)*10.764</f>
        <v>396.35738999999995</v>
      </c>
      <c r="E319" s="45">
        <v>0</v>
      </c>
      <c r="F319" s="45">
        <f t="shared" si="25"/>
        <v>574.71821549999993</v>
      </c>
      <c r="G319" s="232"/>
      <c r="H319" s="233"/>
      <c r="I319" s="36"/>
    </row>
    <row r="320" spans="1:10" s="37" customFormat="1" ht="15.75" customHeight="1" x14ac:dyDescent="0.25">
      <c r="A320" s="143" t="str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10^ROW(INDIRECT("1:"&amp;LEN((LEFT(A319,SUM(LEN(A319)-LEN(SUBSTITUTE(A319,{"0","1","2"},""))))))))/10))*1+1&amp;""&amp;" ,.., "&amp;""&amp;(SUMPRODUCT(MID(0&amp;(--TRIM(RIGHT(SUBSTITUTE(LEFT(A319,_xlfn.AGGREGATE(16,6,FIND({0,1,2,3,4,5,6,7,8,9},A319,ROW(INDIRECT("1:"&amp;LEN(A319)))),1)),"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",LEN(A319))),LEN(A319)))))))/10))*1+1</f>
        <v>104 ,.., 704</v>
      </c>
      <c r="B320" s="144"/>
      <c r="C320" s="45" t="s">
        <v>187</v>
      </c>
      <c r="D320" s="45">
        <f>(29.88+4.3775+2.565)*10.764</f>
        <v>396.35738999999995</v>
      </c>
      <c r="E320" s="45">
        <v>0</v>
      </c>
      <c r="F320" s="45">
        <f t="shared" si="25"/>
        <v>574.71821549999993</v>
      </c>
      <c r="G320" s="232"/>
      <c r="H320" s="233"/>
      <c r="I320" s="36"/>
    </row>
    <row r="321" spans="1:10" s="37" customFormat="1" ht="15.75" customHeight="1" x14ac:dyDescent="0.25">
      <c r="A321" s="143" t="str">
        <f ca="1">(SUMPRODUCT(MID(0&amp;(LEFT(A320,SUM(LEN(A320)-LEN(SUBSTITUTE(A320,{"0","1","2"},""))))), LARGE(INDEX(ISNUMBER(--MID((LEFT(A320,SUM(LEN(A320)-LEN(SUBSTITUTE(A320,{"0","1","2"},""))))), ROW(INDIRECT("1:"&amp;LEN((LEFT(A320,SUM(LEN(A320)-LEN(SUBSTITUTE(A320,{"0","1","2"},"")))))))), 1)) * ROW(INDIRECT("1:"&amp;LEN((LEFT(A320,SUM(LEN(A320)-LEN(SUBSTITUTE(A320,{"0","1","2"},"")))))))), 0), ROW(INDIRECT("1:"&amp;LEN((LEFT(A320,SUM(LEN(A320)-LEN(SUBSTITUTE(A320,{"0","1","2"},"")))))))))+1, 1) * 10^ROW(INDIRECT("1:"&amp;LEN((LEFT(A320,SUM(LEN(A320)-LEN(SUBSTITUTE(A320,{"0","1","2"},""))))))))/10))*1+1&amp;""&amp;" ,.., "&amp;""&amp;(SUMPRODUCT(MID(0&amp;(--TRIM(RIGHT(SUBSTITUTE(LEFT(A320,_xlfn.AGGREGATE(16,6,FIND({0,1,2,3,4,5,6,7,8,9},A320,ROW(INDIRECT("1:"&amp;LEN(A320)))),1))," ",REPT(" ",LEN(A320))),LEN(A320)))), LARGE(INDEX(ISNUMBER(--MID((--TRIM(RIGHT(SUBSTITUTE(LEFT(A320,_xlfn.AGGREGATE(16,6,FIND({0,1,2,3,4,5,6,7,8,9},A320,ROW(INDIRECT("1:"&amp;LEN(A320)))),1))," ",REPT(" ",LEN(A320))),LEN(A320)))), ROW(INDIRECT("1:"&amp;LEN((--TRIM(RIGHT(SUBSTITUTE(LEFT(A320,_xlfn.AGGREGATE(16,6,FIND({0,1,2,3,4,5,6,7,8,9},A320,ROW(INDIRECT("1:"&amp;LEN(A320)))),1))," ",REPT(" ",LEN(A320))),LEN(A320))))))), 1)) * ROW(INDIRECT("1:"&amp;LEN((--TRIM(RIGHT(SUBSTITUTE(LEFT(A320,_xlfn.AGGREGATE(16,6,FIND({0,1,2,3,4,5,6,7,8,9},A320,ROW(INDIRECT("1:"&amp;LEN(A320)))),1))," ",REPT(" ",LEN(A320))),LEN(A320))))))), 0), ROW(INDIRECT("1:"&amp;LEN((--TRIM(RIGHT(SUBSTITUTE(LEFT(A320,_xlfn.AGGREGATE(16,6,FIND({0,1,2,3,4,5,6,7,8,9},A320,ROW(INDIRECT("1:"&amp;LEN(A320)))),1))," ",REPT(" ",LEN(A320))),LEN(A320))))))))+1, 1) * 10^ROW(INDIRECT("1:"&amp;LEN((--TRIM(RIGHT(SUBSTITUTE(LEFT(A320,_xlfn.AGGREGATE(16,6,FIND({0,1,2,3,4,5,6,7,8,9},A320,ROW(INDIRECT("1:"&amp;LEN(A320)))),1))," ",REPT(" ",LEN(A320))),LEN(A320)))))))/10))*1+1</f>
        <v>105 ,.., 705</v>
      </c>
      <c r="B321" s="144"/>
      <c r="C321" s="45" t="s">
        <v>237</v>
      </c>
      <c r="D321" s="45">
        <f>(46.39+3.51)*10.764</f>
        <v>537.1235999999999</v>
      </c>
      <c r="E321" s="45">
        <v>0</v>
      </c>
      <c r="F321" s="45">
        <f t="shared" si="25"/>
        <v>778.82921999999985</v>
      </c>
      <c r="G321" s="232"/>
      <c r="H321" s="233"/>
      <c r="I321" s="36"/>
    </row>
    <row r="322" spans="1:10" s="37" customFormat="1" ht="15.75" customHeight="1" x14ac:dyDescent="0.25">
      <c r="A322" s="143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10^ROW(INDIRECT("1:"&amp;LEN((LEFT(A321,SUM(LEN(A321)-LEN(SUBSTITUTE(A321,{"0","1","2"},""))))))))/10))*1+1&amp;""&amp;" ,..,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",LEN(A321))),LEN(A321)))))))/10))*1+1</f>
        <v>106 ,.., 706</v>
      </c>
      <c r="B322" s="144"/>
      <c r="C322" s="45" t="s">
        <v>187</v>
      </c>
      <c r="D322" s="45">
        <f t="shared" ref="D322:D323" si="26">(34.2575+2.565)*10.764</f>
        <v>396.35738999999995</v>
      </c>
      <c r="E322" s="45">
        <v>0</v>
      </c>
      <c r="F322" s="45">
        <f t="shared" si="25"/>
        <v>574.71821549999993</v>
      </c>
      <c r="G322" s="232"/>
      <c r="H322" s="233"/>
      <c r="I322" s="36"/>
    </row>
    <row r="323" spans="1:10" s="37" customFormat="1" ht="15.75" customHeight="1" x14ac:dyDescent="0.25">
      <c r="A323" s="143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10^ROW(INDIRECT("1:"&amp;LEN((LEFT(A322,SUM(LEN(A322)-LEN(SUBSTITUTE(A322,{"0","1","2"},""))))))))/10))*1+1&amp;""&amp;" ,..,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",LEN(A322))),LEN(A322)))))))/10))*1+1</f>
        <v>107 ,.., 707</v>
      </c>
      <c r="B323" s="144"/>
      <c r="C323" s="45" t="s">
        <v>187</v>
      </c>
      <c r="D323" s="45">
        <f t="shared" si="26"/>
        <v>396.35738999999995</v>
      </c>
      <c r="E323" s="45">
        <v>0</v>
      </c>
      <c r="F323" s="45">
        <f t="shared" si="25"/>
        <v>574.71821549999993</v>
      </c>
      <c r="G323" s="230"/>
      <c r="H323" s="231"/>
      <c r="I323" s="36"/>
    </row>
    <row r="324" spans="1:10" s="37" customFormat="1" x14ac:dyDescent="0.25">
      <c r="A324" s="146" t="s">
        <v>203</v>
      </c>
      <c r="B324" s="147"/>
      <c r="C324" s="147"/>
      <c r="D324" s="147"/>
      <c r="E324" s="147"/>
      <c r="F324" s="147"/>
      <c r="G324" s="147"/>
      <c r="H324" s="148"/>
      <c r="J324" s="36"/>
    </row>
    <row r="325" spans="1:10" s="37" customFormat="1" ht="15.75" customHeight="1" x14ac:dyDescent="0.25">
      <c r="A325" s="146" t="s">
        <v>238</v>
      </c>
      <c r="B325" s="147"/>
      <c r="C325" s="147"/>
      <c r="D325" s="147"/>
      <c r="E325" s="147"/>
      <c r="F325" s="147"/>
      <c r="G325" s="147"/>
      <c r="H325" s="148"/>
      <c r="J325" s="36"/>
    </row>
    <row r="326" spans="1:10" s="37" customFormat="1" ht="15.75" customHeight="1" x14ac:dyDescent="0.25">
      <c r="A326" s="146" t="s">
        <v>204</v>
      </c>
      <c r="B326" s="147"/>
      <c r="C326" s="147"/>
      <c r="D326" s="147"/>
      <c r="E326" s="147"/>
      <c r="F326" s="147"/>
      <c r="G326" s="147"/>
      <c r="H326" s="148"/>
      <c r="I326" s="36"/>
    </row>
    <row r="327" spans="1:10" s="37" customFormat="1" ht="15.75" customHeight="1" x14ac:dyDescent="0.25">
      <c r="A327" s="143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10^ROW(INDIRECT("1:"&amp;LEN((LEFT(A326,SUM(LEN(A326)-LEN(SUBSTITUTE(A326,{"0","1","2"},""))))))))/10))*100+1&amp;""&amp;" ,..,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",LEN(A326))),LEN(A326)))))))/10))*100+1</f>
        <v>101 ,.., 701</v>
      </c>
      <c r="B327" s="144"/>
      <c r="C327" s="45" t="s">
        <v>187</v>
      </c>
      <c r="D327" s="45">
        <f>(29.1+4.3775+2.47)*10.764</f>
        <v>386.93888999999996</v>
      </c>
      <c r="E327" s="45">
        <v>0</v>
      </c>
      <c r="F327" s="45">
        <f t="shared" ref="F327:F332" si="27">D327*(($F$230)+1)+(IF(E327&lt;101,E327,IF(E327&lt;201,E327/2,IF(E327&lt;=301,E327/3,E327/4))))</f>
        <v>561.0613904999999</v>
      </c>
      <c r="G327" s="228" t="str">
        <f>A326</f>
        <v>1st, 2nd, 3rd, 4th, 5th, 6th, &amp; 7th Floor for Residential</v>
      </c>
      <c r="H327" s="229"/>
      <c r="I327" s="36"/>
    </row>
    <row r="328" spans="1:10" s="37" customFormat="1" x14ac:dyDescent="0.25">
      <c r="A328" s="143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,..,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102 ,.., 702</v>
      </c>
      <c r="B328" s="144"/>
      <c r="C328" s="45" t="s">
        <v>187</v>
      </c>
      <c r="D328" s="45">
        <f t="shared" ref="D328:D330" si="28">(29.1+4.3775+2.47)*10.764</f>
        <v>386.93888999999996</v>
      </c>
      <c r="E328" s="45">
        <v>0</v>
      </c>
      <c r="F328" s="45">
        <f t="shared" si="27"/>
        <v>561.0613904999999</v>
      </c>
      <c r="G328" s="232"/>
      <c r="H328" s="233"/>
      <c r="I328" s="36"/>
    </row>
    <row r="329" spans="1:10" s="37" customFormat="1" ht="15.75" customHeight="1" x14ac:dyDescent="0.25">
      <c r="A329" s="143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10^ROW(INDIRECT("1:"&amp;LEN((LEFT(A328,SUM(LEN(A328)-LEN(SUBSTITUTE(A328,{"0","1","2"},""))))))))/10))*1+1&amp;""&amp;" ,..,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",LEN(A328))),LEN(A328)))))))/10))*1+1</f>
        <v>103 ,.., 703</v>
      </c>
      <c r="B329" s="144"/>
      <c r="C329" s="45" t="s">
        <v>187</v>
      </c>
      <c r="D329" s="45">
        <f t="shared" si="28"/>
        <v>386.93888999999996</v>
      </c>
      <c r="E329" s="45">
        <v>0</v>
      </c>
      <c r="F329" s="45">
        <f t="shared" si="27"/>
        <v>561.0613904999999</v>
      </c>
      <c r="G329" s="232"/>
      <c r="H329" s="233"/>
      <c r="I329" s="36"/>
    </row>
    <row r="330" spans="1:10" s="37" customFormat="1" ht="15.75" customHeight="1" x14ac:dyDescent="0.25">
      <c r="A330" s="143" t="str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10^ROW(INDIRECT("1:"&amp;LEN((LEFT(A329,SUM(LEN(A329)-LEN(SUBSTITUTE(A329,{"0","1","2"},""))))))))/10))*1+1&amp;""&amp;" ,.., "&amp;""&amp;(SUMPRODUCT(MID(0&amp;(--TRIM(RIGHT(SUBSTITUTE(LEFT(A329,_xlfn.AGGREGATE(16,6,FIND({0,1,2,3,4,5,6,7,8,9},A329,ROW(INDIRECT("1:"&amp;LEN(A329)))),1)),"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",LEN(A329))),LEN(A329)))))))/10))*1+1</f>
        <v>104 ,.., 704</v>
      </c>
      <c r="B330" s="144"/>
      <c r="C330" s="45" t="s">
        <v>187</v>
      </c>
      <c r="D330" s="45">
        <f t="shared" si="28"/>
        <v>386.93888999999996</v>
      </c>
      <c r="E330" s="45">
        <v>0</v>
      </c>
      <c r="F330" s="45">
        <f t="shared" si="27"/>
        <v>561.0613904999999</v>
      </c>
      <c r="G330" s="230"/>
      <c r="H330" s="231"/>
      <c r="I330" s="36"/>
    </row>
    <row r="331" spans="1:10" s="37" customFormat="1" ht="15.75" customHeight="1" x14ac:dyDescent="0.25">
      <c r="A331" s="143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10^ROW(INDIRECT("1:"&amp;LEN((LEFT(A330,SUM(LEN(A330)-LEN(SUBSTITUTE(A330,{"0","1","2"},""))))))))/10))*1+1&amp;""&amp;" ,..,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",LEN(A330))),LEN(A330)))))))/10))*1+1</f>
        <v>105 ,.., 705</v>
      </c>
      <c r="B331" s="144"/>
      <c r="C331" s="45" t="s">
        <v>237</v>
      </c>
      <c r="D331" s="45">
        <f>(42.4775+3.12)*10.764</f>
        <v>490.81148999999994</v>
      </c>
      <c r="E331" s="45">
        <v>0</v>
      </c>
      <c r="F331" s="45">
        <f t="shared" si="27"/>
        <v>711.67666049999991</v>
      </c>
      <c r="G331" s="62"/>
      <c r="H331" s="63"/>
      <c r="I331" s="36"/>
    </row>
    <row r="332" spans="1:10" s="37" customFormat="1" ht="15.75" customHeight="1" x14ac:dyDescent="0.25">
      <c r="A332" s="143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,..,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106 ,.., 706</v>
      </c>
      <c r="B332" s="144"/>
      <c r="C332" s="45" t="s">
        <v>237</v>
      </c>
      <c r="D332" s="45">
        <f>(42.4775+3.12)*10.764</f>
        <v>490.81148999999994</v>
      </c>
      <c r="E332" s="45">
        <v>0</v>
      </c>
      <c r="F332" s="45">
        <f t="shared" si="27"/>
        <v>711.67666049999991</v>
      </c>
      <c r="G332" s="62"/>
      <c r="H332" s="63"/>
      <c r="I332" s="36"/>
    </row>
    <row r="333" spans="1:10" s="35" customFormat="1" x14ac:dyDescent="0.25">
      <c r="A333" s="142" t="s">
        <v>69</v>
      </c>
      <c r="B333" s="142"/>
      <c r="C333" s="142"/>
      <c r="D333" s="142"/>
      <c r="E333" s="142"/>
      <c r="F333" s="142"/>
      <c r="G333" s="142"/>
      <c r="H333" s="142"/>
    </row>
    <row r="334" spans="1:10" s="35" customFormat="1" ht="36.75" customHeight="1" x14ac:dyDescent="0.25">
      <c r="A334" s="46" t="s">
        <v>154</v>
      </c>
      <c r="B334" s="155" t="s">
        <v>241</v>
      </c>
      <c r="C334" s="156"/>
      <c r="D334" s="156"/>
      <c r="E334" s="156"/>
      <c r="F334" s="156"/>
      <c r="G334" s="156"/>
      <c r="H334" s="157"/>
    </row>
    <row r="335" spans="1:10" s="35" customFormat="1" x14ac:dyDescent="0.25">
      <c r="A335" s="46" t="s">
        <v>154</v>
      </c>
      <c r="B335" s="155" t="str">
        <f>(IF(F229="Saleable area Loading :","We have considered Saleable area of Flats as per our Calculation.","We considered Saleable area of Flat as per Builder area Sheet."))</f>
        <v>We have considered Saleable area of Flats as per our Calculation.</v>
      </c>
      <c r="C335" s="156"/>
      <c r="D335" s="156"/>
      <c r="E335" s="156"/>
      <c r="F335" s="156"/>
      <c r="G335" s="156"/>
      <c r="H335" s="157"/>
    </row>
    <row r="336" spans="1:10" s="35" customFormat="1" x14ac:dyDescent="0.25">
      <c r="A336" s="46" t="s">
        <v>154</v>
      </c>
      <c r="B336" s="155" t="str">
        <f>(IF(F212="Saleable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6" s="156"/>
      <c r="D336" s="156"/>
      <c r="E336" s="156"/>
      <c r="F336" s="156"/>
      <c r="G336" s="156"/>
      <c r="H336" s="157"/>
    </row>
    <row r="337" spans="1:8" s="35" customFormat="1" x14ac:dyDescent="0.25">
      <c r="A337" s="46" t="s">
        <v>154</v>
      </c>
      <c r="B337" s="158" t="s">
        <v>123</v>
      </c>
      <c r="C337" s="159"/>
      <c r="D337" s="159"/>
      <c r="E337" s="159"/>
      <c r="F337" s="159"/>
      <c r="G337" s="159"/>
      <c r="H337" s="160"/>
    </row>
    <row r="338" spans="1:8" s="35" customFormat="1" x14ac:dyDescent="0.25">
      <c r="A338" s="46" t="s">
        <v>154</v>
      </c>
      <c r="B338" s="158" t="s">
        <v>191</v>
      </c>
      <c r="C338" s="159"/>
      <c r="D338" s="159"/>
      <c r="E338" s="159"/>
      <c r="F338" s="159"/>
      <c r="G338" s="159"/>
      <c r="H338" s="160"/>
    </row>
    <row r="339" spans="1:8" s="35" customFormat="1" x14ac:dyDescent="0.25">
      <c r="A339" s="46" t="s">
        <v>154</v>
      </c>
      <c r="B339" s="158" t="s">
        <v>153</v>
      </c>
      <c r="C339" s="159"/>
      <c r="D339" s="159"/>
      <c r="E339" s="159"/>
      <c r="F339" s="159"/>
      <c r="G339" s="159"/>
      <c r="H339" s="160"/>
    </row>
    <row r="340" spans="1:8" s="35" customFormat="1" x14ac:dyDescent="0.25">
      <c r="A340" s="46" t="s">
        <v>154</v>
      </c>
      <c r="B340" s="158" t="s">
        <v>124</v>
      </c>
      <c r="C340" s="159"/>
      <c r="D340" s="159"/>
      <c r="E340" s="159"/>
      <c r="F340" s="159"/>
      <c r="G340" s="159"/>
      <c r="H340" s="160"/>
    </row>
    <row r="341" spans="1:8" s="35" customFormat="1" ht="31.5" customHeight="1" x14ac:dyDescent="0.25">
      <c r="A341" s="46" t="s">
        <v>154</v>
      </c>
      <c r="B341" s="158" t="s">
        <v>155</v>
      </c>
      <c r="C341" s="159"/>
      <c r="D341" s="159"/>
      <c r="E341" s="159"/>
      <c r="F341" s="159"/>
      <c r="G341" s="159"/>
      <c r="H341" s="160"/>
    </row>
    <row r="342" spans="1:8" s="35" customFormat="1" x14ac:dyDescent="0.25">
      <c r="A342" s="46" t="s">
        <v>154</v>
      </c>
      <c r="B342" s="158" t="s">
        <v>125</v>
      </c>
      <c r="C342" s="159"/>
      <c r="D342" s="159"/>
      <c r="E342" s="159"/>
      <c r="F342" s="159"/>
      <c r="G342" s="159"/>
      <c r="H342" s="160"/>
    </row>
    <row r="343" spans="1:8" s="35" customFormat="1" ht="32.25" customHeight="1" x14ac:dyDescent="0.25">
      <c r="A343" s="46" t="s">
        <v>154</v>
      </c>
      <c r="B343" s="155" t="s">
        <v>240</v>
      </c>
      <c r="C343" s="156"/>
      <c r="D343" s="156"/>
      <c r="E343" s="156"/>
      <c r="F343" s="156"/>
      <c r="G343" s="156"/>
      <c r="H343" s="157"/>
    </row>
    <row r="344" spans="1:8" s="35" customFormat="1" x14ac:dyDescent="0.25">
      <c r="A344" s="46" t="s">
        <v>154</v>
      </c>
      <c r="B344" s="155" t="s">
        <v>227</v>
      </c>
      <c r="C344" s="156"/>
      <c r="D344" s="156"/>
      <c r="E344" s="156"/>
      <c r="F344" s="156"/>
      <c r="G344" s="156"/>
      <c r="H344" s="157"/>
    </row>
    <row r="345" spans="1:8" s="35" customFormat="1" x14ac:dyDescent="0.25">
      <c r="A345" s="46" t="s">
        <v>154</v>
      </c>
      <c r="B345" s="155" t="s">
        <v>239</v>
      </c>
      <c r="C345" s="156"/>
      <c r="D345" s="156"/>
      <c r="E345" s="156"/>
      <c r="F345" s="156"/>
      <c r="G345" s="156"/>
      <c r="H345" s="157"/>
    </row>
    <row r="346" spans="1:8" s="35" customFormat="1" x14ac:dyDescent="0.25">
      <c r="A346" s="46" t="s">
        <v>154</v>
      </c>
      <c r="B346" s="155" t="s">
        <v>251</v>
      </c>
      <c r="C346" s="156"/>
      <c r="D346" s="156"/>
      <c r="E346" s="156"/>
      <c r="F346" s="156"/>
      <c r="G346" s="156"/>
      <c r="H346" s="157"/>
    </row>
    <row r="347" spans="1:8" x14ac:dyDescent="0.25">
      <c r="A347" s="130" t="s">
        <v>62</v>
      </c>
      <c r="B347" s="130"/>
      <c r="C347" s="130"/>
      <c r="D347" s="130"/>
      <c r="E347" s="130"/>
      <c r="F347" s="130"/>
      <c r="G347" s="130"/>
      <c r="H347" s="130"/>
    </row>
    <row r="348" spans="1:8" x14ac:dyDescent="0.25">
      <c r="A348" s="94" t="s">
        <v>63</v>
      </c>
      <c r="B348" s="94"/>
      <c r="C348" s="94"/>
      <c r="D348" s="94"/>
      <c r="E348" s="94"/>
      <c r="F348" s="94"/>
      <c r="G348" s="94"/>
      <c r="H348" s="94"/>
    </row>
    <row r="349" spans="1:8" ht="15.75" customHeight="1" x14ac:dyDescent="0.25">
      <c r="A349" s="95" t="s">
        <v>64</v>
      </c>
      <c r="B349" s="95"/>
      <c r="C349" s="95"/>
      <c r="D349" s="95"/>
      <c r="E349" s="95"/>
      <c r="F349" s="95"/>
      <c r="G349" s="95"/>
      <c r="H349" s="95"/>
    </row>
    <row r="350" spans="1:8" x14ac:dyDescent="0.25">
      <c r="A350" s="94" t="s">
        <v>65</v>
      </c>
      <c r="B350" s="94"/>
      <c r="C350" s="94"/>
      <c r="D350" s="94"/>
      <c r="E350" s="94"/>
      <c r="F350" s="94"/>
      <c r="G350" s="94"/>
      <c r="H350" s="94"/>
    </row>
    <row r="351" spans="1:8" x14ac:dyDescent="0.25">
      <c r="A351" s="94" t="s">
        <v>66</v>
      </c>
      <c r="B351" s="94"/>
      <c r="C351" s="94"/>
      <c r="D351" s="94"/>
      <c r="E351" s="94"/>
      <c r="F351" s="94"/>
      <c r="G351" s="94"/>
      <c r="H351" s="94"/>
    </row>
    <row r="352" spans="1:8" x14ac:dyDescent="0.25">
      <c r="A352" s="94" t="s">
        <v>126</v>
      </c>
      <c r="B352" s="94"/>
      <c r="C352" s="94"/>
      <c r="D352" s="94"/>
      <c r="E352" s="94"/>
      <c r="F352" s="94"/>
      <c r="G352" s="94"/>
      <c r="H352" s="94"/>
    </row>
    <row r="353" spans="1:8" x14ac:dyDescent="0.25">
      <c r="A353" s="131" t="s">
        <v>127</v>
      </c>
      <c r="B353" s="131"/>
      <c r="C353" s="131"/>
      <c r="D353" s="131"/>
      <c r="E353" s="131"/>
      <c r="F353" s="131"/>
      <c r="G353" s="131"/>
      <c r="H353" s="131"/>
    </row>
    <row r="354" spans="1:8" x14ac:dyDescent="0.25">
      <c r="A354" s="164" t="s">
        <v>79</v>
      </c>
      <c r="B354" s="164"/>
      <c r="C354" s="164" t="s">
        <v>249</v>
      </c>
      <c r="D354" s="164"/>
      <c r="E354" s="164" t="s">
        <v>104</v>
      </c>
      <c r="F354" s="164"/>
      <c r="G354" s="164" t="s">
        <v>228</v>
      </c>
      <c r="H354" s="164"/>
    </row>
    <row r="355" spans="1:8" x14ac:dyDescent="0.25">
      <c r="A355" s="163" t="s">
        <v>81</v>
      </c>
      <c r="B355" s="163"/>
      <c r="C355" s="163"/>
      <c r="D355" s="163"/>
      <c r="E355" s="163"/>
      <c r="F355" s="163"/>
      <c r="G355" s="163"/>
      <c r="H355" s="163"/>
    </row>
    <row r="356" spans="1:8" x14ac:dyDescent="0.25">
      <c r="A356" s="163"/>
      <c r="B356" s="163"/>
      <c r="C356" s="163"/>
      <c r="D356" s="163"/>
      <c r="E356" s="163"/>
      <c r="F356" s="163"/>
      <c r="G356" s="163"/>
      <c r="H356" s="163"/>
    </row>
    <row r="357" spans="1:8" x14ac:dyDescent="0.25">
      <c r="A357" s="163"/>
      <c r="B357" s="163"/>
      <c r="C357" s="163"/>
      <c r="D357" s="163"/>
      <c r="E357" s="163"/>
      <c r="F357" s="163"/>
      <c r="G357" s="163"/>
      <c r="H357" s="163"/>
    </row>
    <row r="358" spans="1:8" x14ac:dyDescent="0.25">
      <c r="A358" s="163"/>
      <c r="B358" s="163"/>
      <c r="C358" s="163"/>
      <c r="D358" s="163"/>
      <c r="E358" s="163"/>
      <c r="F358" s="163"/>
      <c r="G358" s="163"/>
      <c r="H358" s="163"/>
    </row>
    <row r="359" spans="1:8" x14ac:dyDescent="0.25">
      <c r="A359" s="38" t="s">
        <v>67</v>
      </c>
      <c r="B359" s="39"/>
      <c r="C359" s="39"/>
      <c r="D359" s="38" t="str">
        <f>E8</f>
        <v>Samruddhi Heights</v>
      </c>
      <c r="F359" s="39"/>
      <c r="G359" s="39"/>
      <c r="H359" s="39"/>
    </row>
    <row r="360" spans="1:8" x14ac:dyDescent="0.25">
      <c r="A360" s="39"/>
      <c r="B360" s="39"/>
      <c r="C360" s="39"/>
      <c r="D360" s="39"/>
      <c r="E360" s="39"/>
      <c r="F360" s="39"/>
      <c r="G360" s="39"/>
      <c r="H360" s="39"/>
    </row>
    <row r="361" spans="1:8" x14ac:dyDescent="0.25">
      <c r="A361" s="39"/>
      <c r="B361" s="39"/>
      <c r="C361" s="39"/>
      <c r="D361" s="39"/>
      <c r="E361" s="39"/>
      <c r="F361" s="39"/>
      <c r="G361" s="39"/>
      <c r="H361" s="39"/>
    </row>
    <row r="362" spans="1:8" ht="15" customHeight="1" x14ac:dyDescent="0.25"/>
    <row r="407" spans="1:8" x14ac:dyDescent="0.25">
      <c r="A407" s="38" t="s">
        <v>233</v>
      </c>
      <c r="B407" s="39"/>
      <c r="C407" s="39"/>
      <c r="D407" s="38"/>
      <c r="F407" s="39"/>
      <c r="G407" s="39"/>
      <c r="H407" s="39"/>
    </row>
    <row r="408" spans="1:8" x14ac:dyDescent="0.25">
      <c r="A408" s="39"/>
      <c r="B408" s="39"/>
      <c r="C408" s="39"/>
      <c r="D408" s="39"/>
      <c r="E408" s="39"/>
      <c r="F408" s="39"/>
      <c r="G408" s="39"/>
      <c r="H408" s="39"/>
    </row>
    <row r="409" spans="1:8" x14ac:dyDescent="0.25">
      <c r="A409" s="39"/>
      <c r="B409" s="39"/>
      <c r="C409" s="39"/>
      <c r="D409" s="39"/>
      <c r="E409" s="39"/>
      <c r="F409" s="39"/>
      <c r="G409" s="39"/>
      <c r="H409" s="39"/>
    </row>
    <row r="410" spans="1:8" ht="15" customHeight="1" x14ac:dyDescent="0.25"/>
    <row r="450" spans="1:1" x14ac:dyDescent="0.25">
      <c r="A450" s="41" t="s">
        <v>68</v>
      </c>
    </row>
  </sheetData>
  <mergeCells count="568">
    <mergeCell ref="B346:H346"/>
    <mergeCell ref="A332:B332"/>
    <mergeCell ref="B345:H345"/>
    <mergeCell ref="A291:B291"/>
    <mergeCell ref="L291:M291"/>
    <mergeCell ref="A292:B292"/>
    <mergeCell ref="L292:M292"/>
    <mergeCell ref="G287:H292"/>
    <mergeCell ref="A301:H301"/>
    <mergeCell ref="A321:B321"/>
    <mergeCell ref="A322:B322"/>
    <mergeCell ref="A323:B323"/>
    <mergeCell ref="G317:H323"/>
    <mergeCell ref="G310:H313"/>
    <mergeCell ref="A319:B319"/>
    <mergeCell ref="A320:B320"/>
    <mergeCell ref="A312:B312"/>
    <mergeCell ref="A313:B313"/>
    <mergeCell ref="A314:H314"/>
    <mergeCell ref="A326:H326"/>
    <mergeCell ref="A327:B327"/>
    <mergeCell ref="A328:B328"/>
    <mergeCell ref="A329:B329"/>
    <mergeCell ref="A324:H324"/>
    <mergeCell ref="B343:H343"/>
    <mergeCell ref="G72:H73"/>
    <mergeCell ref="A222:B222"/>
    <mergeCell ref="A223:B223"/>
    <mergeCell ref="A224:B224"/>
    <mergeCell ref="A225:B225"/>
    <mergeCell ref="A226:B226"/>
    <mergeCell ref="A99:B99"/>
    <mergeCell ref="C99:H99"/>
    <mergeCell ref="A101:B101"/>
    <mergeCell ref="C101:H101"/>
    <mergeCell ref="A102:B102"/>
    <mergeCell ref="E102:F102"/>
    <mergeCell ref="G102:H102"/>
    <mergeCell ref="A103:B103"/>
    <mergeCell ref="E103:F112"/>
    <mergeCell ref="G103:H112"/>
    <mergeCell ref="A104:B104"/>
    <mergeCell ref="A105:B105"/>
    <mergeCell ref="A106:B106"/>
    <mergeCell ref="A107:B107"/>
    <mergeCell ref="A108:B108"/>
    <mergeCell ref="G216:H227"/>
    <mergeCell ref="A141:B141"/>
    <mergeCell ref="C141:H141"/>
    <mergeCell ref="A143:B143"/>
    <mergeCell ref="C143:H143"/>
    <mergeCell ref="A144:B144"/>
    <mergeCell ref="E144:F144"/>
    <mergeCell ref="G144:H144"/>
    <mergeCell ref="A145:B145"/>
    <mergeCell ref="E145:F154"/>
    <mergeCell ref="G145:H154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330:B330"/>
    <mergeCell ref="G327:H330"/>
    <mergeCell ref="A331:B331"/>
    <mergeCell ref="G303:H305"/>
    <mergeCell ref="A109:B109"/>
    <mergeCell ref="A110:B110"/>
    <mergeCell ref="A111:B111"/>
    <mergeCell ref="A112:B112"/>
    <mergeCell ref="A85:B85"/>
    <mergeCell ref="C85:H85"/>
    <mergeCell ref="A87:B87"/>
    <mergeCell ref="C87:H87"/>
    <mergeCell ref="A88:B88"/>
    <mergeCell ref="E88:F88"/>
    <mergeCell ref="G88:H88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306:H306"/>
    <mergeCell ref="A307:H307"/>
    <mergeCell ref="A308:H308"/>
    <mergeCell ref="A309:H309"/>
    <mergeCell ref="A311:B311"/>
    <mergeCell ref="A220:B220"/>
    <mergeCell ref="A221:B221"/>
    <mergeCell ref="A310:B310"/>
    <mergeCell ref="A305:B305"/>
    <mergeCell ref="A302:H302"/>
    <mergeCell ref="A303:B303"/>
    <mergeCell ref="A304:B304"/>
    <mergeCell ref="A293:H293"/>
    <mergeCell ref="A294:B294"/>
    <mergeCell ref="A295:B295"/>
    <mergeCell ref="G294:H299"/>
    <mergeCell ref="A297:B297"/>
    <mergeCell ref="A244:B244"/>
    <mergeCell ref="G234:H235"/>
    <mergeCell ref="G237:H240"/>
    <mergeCell ref="G243:H244"/>
    <mergeCell ref="L287:M287"/>
    <mergeCell ref="A288:B288"/>
    <mergeCell ref="L288:M288"/>
    <mergeCell ref="L289:M289"/>
    <mergeCell ref="L290:M290"/>
    <mergeCell ref="L272:M272"/>
    <mergeCell ref="L273:M273"/>
    <mergeCell ref="A278:H278"/>
    <mergeCell ref="A279:B279"/>
    <mergeCell ref="A280:B280"/>
    <mergeCell ref="A289:B289"/>
    <mergeCell ref="A290:B290"/>
    <mergeCell ref="G279:H284"/>
    <mergeCell ref="A273:B273"/>
    <mergeCell ref="A274:B274"/>
    <mergeCell ref="L274:M274"/>
    <mergeCell ref="A275:B275"/>
    <mergeCell ref="L275:M275"/>
    <mergeCell ref="A276:B276"/>
    <mergeCell ref="L276:M276"/>
    <mergeCell ref="A277:B277"/>
    <mergeCell ref="L277:M277"/>
    <mergeCell ref="G272:H277"/>
    <mergeCell ref="L263:M263"/>
    <mergeCell ref="A264:H264"/>
    <mergeCell ref="A265:B265"/>
    <mergeCell ref="A266:B266"/>
    <mergeCell ref="A267:B267"/>
    <mergeCell ref="A268:B268"/>
    <mergeCell ref="A262:B262"/>
    <mergeCell ref="L262:M262"/>
    <mergeCell ref="A256:B256"/>
    <mergeCell ref="A260:H260"/>
    <mergeCell ref="A261:H261"/>
    <mergeCell ref="G262:H263"/>
    <mergeCell ref="G265:H268"/>
    <mergeCell ref="L244:M244"/>
    <mergeCell ref="E194:F194"/>
    <mergeCell ref="A210:H210"/>
    <mergeCell ref="A194:B194"/>
    <mergeCell ref="C194:D194"/>
    <mergeCell ref="A247:B247"/>
    <mergeCell ref="A248:B248"/>
    <mergeCell ref="A249:B249"/>
    <mergeCell ref="A251:H251"/>
    <mergeCell ref="A252:H252"/>
    <mergeCell ref="L253:M253"/>
    <mergeCell ref="A254:B254"/>
    <mergeCell ref="L254:M254"/>
    <mergeCell ref="A255:H255"/>
    <mergeCell ref="G246:H249"/>
    <mergeCell ref="G253:H254"/>
    <mergeCell ref="G256:H259"/>
    <mergeCell ref="A125:B125"/>
    <mergeCell ref="A183:E183"/>
    <mergeCell ref="A184:E184"/>
    <mergeCell ref="B229:B230"/>
    <mergeCell ref="A233:H233"/>
    <mergeCell ref="A200:A201"/>
    <mergeCell ref="A202:A203"/>
    <mergeCell ref="C203:D203"/>
    <mergeCell ref="E203:F203"/>
    <mergeCell ref="F188:H188"/>
    <mergeCell ref="A189:E189"/>
    <mergeCell ref="A165:B165"/>
    <mergeCell ref="A166:B166"/>
    <mergeCell ref="A167:B167"/>
    <mergeCell ref="F190:H190"/>
    <mergeCell ref="A211:H211"/>
    <mergeCell ref="G203:H203"/>
    <mergeCell ref="A198:A199"/>
    <mergeCell ref="C198:D198"/>
    <mergeCell ref="E198:F198"/>
    <mergeCell ref="G198:H198"/>
    <mergeCell ref="B212:B213"/>
    <mergeCell ref="C200:D200"/>
    <mergeCell ref="E200:F200"/>
    <mergeCell ref="F187:H187"/>
    <mergeCell ref="A190:E190"/>
    <mergeCell ref="G208:H208"/>
    <mergeCell ref="A242:H242"/>
    <mergeCell ref="L234:M234"/>
    <mergeCell ref="L235:M235"/>
    <mergeCell ref="A243:B243"/>
    <mergeCell ref="L243:M243"/>
    <mergeCell ref="F189:H189"/>
    <mergeCell ref="A238:B238"/>
    <mergeCell ref="G200:H200"/>
    <mergeCell ref="C201:D201"/>
    <mergeCell ref="E201:F201"/>
    <mergeCell ref="G201:H201"/>
    <mergeCell ref="C204:D204"/>
    <mergeCell ref="E204:F204"/>
    <mergeCell ref="A214:H214"/>
    <mergeCell ref="A227:B227"/>
    <mergeCell ref="A209:B209"/>
    <mergeCell ref="C209:D209"/>
    <mergeCell ref="E209:F209"/>
    <mergeCell ref="G209:H209"/>
    <mergeCell ref="B334:H334"/>
    <mergeCell ref="A38:B38"/>
    <mergeCell ref="C38:H38"/>
    <mergeCell ref="C199:D199"/>
    <mergeCell ref="E199:F199"/>
    <mergeCell ref="G199:H199"/>
    <mergeCell ref="C197:D197"/>
    <mergeCell ref="G197:H197"/>
    <mergeCell ref="A208:B208"/>
    <mergeCell ref="E208:F208"/>
    <mergeCell ref="C202:D202"/>
    <mergeCell ref="E202:F202"/>
    <mergeCell ref="G202:H202"/>
    <mergeCell ref="A204:B204"/>
    <mergeCell ref="A120:B120"/>
    <mergeCell ref="A121:B121"/>
    <mergeCell ref="A122:B122"/>
    <mergeCell ref="A47:B47"/>
    <mergeCell ref="C47:H47"/>
    <mergeCell ref="G116:H116"/>
    <mergeCell ref="A286:H286"/>
    <mergeCell ref="A287:B287"/>
    <mergeCell ref="A283:B283"/>
    <mergeCell ref="A284:B284"/>
    <mergeCell ref="B339:H339"/>
    <mergeCell ref="A118:B118"/>
    <mergeCell ref="A119:B119"/>
    <mergeCell ref="F185:H185"/>
    <mergeCell ref="A185:E185"/>
    <mergeCell ref="D212:D213"/>
    <mergeCell ref="A216:B216"/>
    <mergeCell ref="A217:B217"/>
    <mergeCell ref="A218:B218"/>
    <mergeCell ref="A219:B219"/>
    <mergeCell ref="A186:E186"/>
    <mergeCell ref="A235:B235"/>
    <mergeCell ref="A250:H250"/>
    <mergeCell ref="A236:H236"/>
    <mergeCell ref="A298:B298"/>
    <mergeCell ref="A299:B299"/>
    <mergeCell ref="A300:H300"/>
    <mergeCell ref="A269:H269"/>
    <mergeCell ref="A270:H270"/>
    <mergeCell ref="A271:H271"/>
    <mergeCell ref="A272:B272"/>
    <mergeCell ref="A281:B281"/>
    <mergeCell ref="A282:B282"/>
    <mergeCell ref="A285:H285"/>
    <mergeCell ref="C113:H113"/>
    <mergeCell ref="A215:H215"/>
    <mergeCell ref="E212:E213"/>
    <mergeCell ref="G212:H213"/>
    <mergeCell ref="A117:B117"/>
    <mergeCell ref="E117:F126"/>
    <mergeCell ref="F183:H183"/>
    <mergeCell ref="F186:H186"/>
    <mergeCell ref="A115:B115"/>
    <mergeCell ref="C115:H115"/>
    <mergeCell ref="A116:B116"/>
    <mergeCell ref="A188:E188"/>
    <mergeCell ref="E116:F116"/>
    <mergeCell ref="G117:H126"/>
    <mergeCell ref="A187:E187"/>
    <mergeCell ref="C195:D195"/>
    <mergeCell ref="E195:F195"/>
    <mergeCell ref="C212:C213"/>
    <mergeCell ref="G194:H194"/>
    <mergeCell ref="C129:H129"/>
    <mergeCell ref="A130:B130"/>
    <mergeCell ref="E130:F130"/>
    <mergeCell ref="G130:H130"/>
    <mergeCell ref="A124:B124"/>
    <mergeCell ref="D63:H63"/>
    <mergeCell ref="A42:D42"/>
    <mergeCell ref="E42:H42"/>
    <mergeCell ref="E43:H43"/>
    <mergeCell ref="E44:H44"/>
    <mergeCell ref="E45:H45"/>
    <mergeCell ref="A43:D43"/>
    <mergeCell ref="D60:H60"/>
    <mergeCell ref="A82:B82"/>
    <mergeCell ref="A66:C66"/>
    <mergeCell ref="D66:H66"/>
    <mergeCell ref="A67:C67"/>
    <mergeCell ref="A81:B81"/>
    <mergeCell ref="A74:B74"/>
    <mergeCell ref="A77:B77"/>
    <mergeCell ref="A71:B71"/>
    <mergeCell ref="A69:B69"/>
    <mergeCell ref="C69:H69"/>
    <mergeCell ref="A79:B79"/>
    <mergeCell ref="A64:C64"/>
    <mergeCell ref="D64:H64"/>
    <mergeCell ref="A72:B73"/>
    <mergeCell ref="C72:D73"/>
    <mergeCell ref="E72:F73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D62:H62"/>
    <mergeCell ref="F35:H35"/>
    <mergeCell ref="A37:B37"/>
    <mergeCell ref="A44:D44"/>
    <mergeCell ref="A45:D45"/>
    <mergeCell ref="A46:H46"/>
    <mergeCell ref="D57:H57"/>
    <mergeCell ref="A57:C57"/>
    <mergeCell ref="G48:H48"/>
    <mergeCell ref="G49:H49"/>
    <mergeCell ref="D55:H55"/>
    <mergeCell ref="C49:E49"/>
    <mergeCell ref="A50:B51"/>
    <mergeCell ref="C50:E50"/>
    <mergeCell ref="G50:H5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5:C65"/>
    <mergeCell ref="D65:H65"/>
    <mergeCell ref="A68:C68"/>
    <mergeCell ref="D68:H68"/>
    <mergeCell ref="A355:H358"/>
    <mergeCell ref="A354:B354"/>
    <mergeCell ref="E354:F354"/>
    <mergeCell ref="C354:D354"/>
    <mergeCell ref="G354:H354"/>
    <mergeCell ref="A193:H193"/>
    <mergeCell ref="A191:E191"/>
    <mergeCell ref="F191:H191"/>
    <mergeCell ref="A192:E192"/>
    <mergeCell ref="F192:H192"/>
    <mergeCell ref="A239:B239"/>
    <mergeCell ref="A195:B195"/>
    <mergeCell ref="A350:H350"/>
    <mergeCell ref="A196:H196"/>
    <mergeCell ref="A353:H353"/>
    <mergeCell ref="A351:H351"/>
    <mergeCell ref="G75:H84"/>
    <mergeCell ref="A83:B83"/>
    <mergeCell ref="A84:B84"/>
    <mergeCell ref="A113:B113"/>
    <mergeCell ref="A347:H347"/>
    <mergeCell ref="A348:H348"/>
    <mergeCell ref="E197:F197"/>
    <mergeCell ref="B335:H335"/>
    <mergeCell ref="B337:H337"/>
    <mergeCell ref="B338:H338"/>
    <mergeCell ref="B342:H342"/>
    <mergeCell ref="B344:H344"/>
    <mergeCell ref="B340:H340"/>
    <mergeCell ref="B336:H336"/>
    <mergeCell ref="A259:B259"/>
    <mergeCell ref="A257:B257"/>
    <mergeCell ref="A258:B258"/>
    <mergeCell ref="A241:H241"/>
    <mergeCell ref="A228:H228"/>
    <mergeCell ref="A229:A230"/>
    <mergeCell ref="A253:B253"/>
    <mergeCell ref="B341:H341"/>
    <mergeCell ref="A245:H245"/>
    <mergeCell ref="A246:B246"/>
    <mergeCell ref="A240:B240"/>
    <mergeCell ref="A237:B237"/>
    <mergeCell ref="A234:B234"/>
    <mergeCell ref="A296:B296"/>
    <mergeCell ref="A333:H333"/>
    <mergeCell ref="A263:B263"/>
    <mergeCell ref="A212:A213"/>
    <mergeCell ref="C229:C230"/>
    <mergeCell ref="C208:D208"/>
    <mergeCell ref="A232:H232"/>
    <mergeCell ref="A231:H231"/>
    <mergeCell ref="G204:H204"/>
    <mergeCell ref="C205:D205"/>
    <mergeCell ref="A205:A206"/>
    <mergeCell ref="A207:B207"/>
    <mergeCell ref="C207:D207"/>
    <mergeCell ref="E207:F207"/>
    <mergeCell ref="G207:H207"/>
    <mergeCell ref="C206:D206"/>
    <mergeCell ref="E206:F206"/>
    <mergeCell ref="G206:H206"/>
    <mergeCell ref="E205:F205"/>
    <mergeCell ref="G205:H205"/>
    <mergeCell ref="A315:H315"/>
    <mergeCell ref="A325:H325"/>
    <mergeCell ref="A318:B318"/>
    <mergeCell ref="A316:H316"/>
    <mergeCell ref="A317:B317"/>
    <mergeCell ref="C51:H51"/>
    <mergeCell ref="A49:B49"/>
    <mergeCell ref="C48:E48"/>
    <mergeCell ref="D61:H61"/>
    <mergeCell ref="D67:H67"/>
    <mergeCell ref="A75:B75"/>
    <mergeCell ref="G74:H74"/>
    <mergeCell ref="A63:C63"/>
    <mergeCell ref="E75:F84"/>
    <mergeCell ref="A58:C61"/>
    <mergeCell ref="D58:H58"/>
    <mergeCell ref="D59:H59"/>
    <mergeCell ref="C52:E52"/>
    <mergeCell ref="A54:H54"/>
    <mergeCell ref="A55:C55"/>
    <mergeCell ref="A56:C56"/>
    <mergeCell ref="D56:H56"/>
    <mergeCell ref="G52:H52"/>
    <mergeCell ref="C53:H53"/>
    <mergeCell ref="A52:B53"/>
    <mergeCell ref="C71:H71"/>
    <mergeCell ref="A76:B76"/>
    <mergeCell ref="A78:B78"/>
    <mergeCell ref="E74:F74"/>
    <mergeCell ref="A131:B131"/>
    <mergeCell ref="E131:F140"/>
    <mergeCell ref="G131:H140"/>
    <mergeCell ref="A132:B132"/>
    <mergeCell ref="A133:B133"/>
    <mergeCell ref="A134:B134"/>
    <mergeCell ref="A135:B135"/>
    <mergeCell ref="A136:B136"/>
    <mergeCell ref="A137:B137"/>
    <mergeCell ref="A138:B138"/>
    <mergeCell ref="A16:B16"/>
    <mergeCell ref="C16:H16"/>
    <mergeCell ref="E41:H41"/>
    <mergeCell ref="A41:D41"/>
    <mergeCell ref="A352:H352"/>
    <mergeCell ref="A349:H349"/>
    <mergeCell ref="A197:B197"/>
    <mergeCell ref="D229:D230"/>
    <mergeCell ref="E229:E230"/>
    <mergeCell ref="G229:H230"/>
    <mergeCell ref="A123:B123"/>
    <mergeCell ref="A80:B80"/>
    <mergeCell ref="F184:H184"/>
    <mergeCell ref="G195:H195"/>
    <mergeCell ref="A126:B126"/>
    <mergeCell ref="A48:B48"/>
    <mergeCell ref="A127:B127"/>
    <mergeCell ref="C127:H127"/>
    <mergeCell ref="A129:B129"/>
    <mergeCell ref="A139:B139"/>
    <mergeCell ref="A140:B140"/>
    <mergeCell ref="A169:B169"/>
    <mergeCell ref="C169:H169"/>
    <mergeCell ref="A171:B171"/>
    <mergeCell ref="A159:B159"/>
    <mergeCell ref="E159:F168"/>
    <mergeCell ref="G159:H168"/>
    <mergeCell ref="A160:B160"/>
    <mergeCell ref="A161:B161"/>
    <mergeCell ref="A162:B162"/>
    <mergeCell ref="A163:B163"/>
    <mergeCell ref="A164:B164"/>
    <mergeCell ref="A168:B168"/>
    <mergeCell ref="C37:H37"/>
    <mergeCell ref="A173:B173"/>
    <mergeCell ref="E173:F182"/>
    <mergeCell ref="G173:H182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C171:H171"/>
    <mergeCell ref="A172:B172"/>
    <mergeCell ref="E172:F172"/>
    <mergeCell ref="G172:H172"/>
    <mergeCell ref="A155:B155"/>
    <mergeCell ref="C155:H155"/>
    <mergeCell ref="A157:B157"/>
    <mergeCell ref="C157:H157"/>
    <mergeCell ref="A158:B158"/>
    <mergeCell ref="E158:F158"/>
    <mergeCell ref="G158:H158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87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38" max="16383" man="1"/>
    <brk id="84" max="16383" man="1"/>
    <brk id="126" max="16383" man="1"/>
    <brk id="182" max="16383" man="1"/>
    <brk id="358" max="16383" man="1"/>
    <brk id="406" max="16383" man="1"/>
    <brk id="4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B17" sqref="B17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41" t="s">
        <v>105</v>
      </c>
      <c r="C3" s="241"/>
      <c r="D3" s="241"/>
      <c r="E3" s="241"/>
      <c r="F3" s="241"/>
      <c r="G3" s="241"/>
      <c r="H3" s="241"/>
    </row>
    <row r="4" spans="1:9" x14ac:dyDescent="0.25">
      <c r="A4" s="2"/>
      <c r="B4" s="3" t="s">
        <v>106</v>
      </c>
      <c r="C4" s="3" t="s">
        <v>107</v>
      </c>
      <c r="D4" s="3" t="s">
        <v>70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2025-08-26T11:39:39Z</cp:lastPrinted>
  <dcterms:created xsi:type="dcterms:W3CDTF">2019-07-16T09:29:46Z</dcterms:created>
  <dcterms:modified xsi:type="dcterms:W3CDTF">2025-08-26T11:41:44Z</dcterms:modified>
</cp:coreProperties>
</file>