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855" tabRatio="725"/>
  </bookViews>
  <sheets>
    <sheet name="Report" sheetId="1" r:id="rId1"/>
    <sheet name="valuation" sheetId="5" r:id="rId2"/>
    <sheet name="Note" sheetId="4" r:id="rId3"/>
  </sheets>
  <definedNames>
    <definedName name="_xlnm.Print_Area" localSheetId="0">Report!$A$1:$H$251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1" i="1" l="1"/>
  <c r="D58" i="1"/>
  <c r="C71" i="1" l="1"/>
  <c r="C72" i="1" s="1"/>
  <c r="C73" i="1" s="1"/>
  <c r="C14" i="1" l="1"/>
  <c r="E3" i="1"/>
  <c r="D125" i="1" l="1"/>
  <c r="D105" i="1"/>
  <c r="D143" i="1" l="1"/>
  <c r="F143" i="1" s="1"/>
  <c r="D142" i="1"/>
  <c r="F142" i="1" s="1"/>
  <c r="D141" i="1"/>
  <c r="F141" i="1" s="1"/>
  <c r="G140" i="1"/>
  <c r="D137" i="1"/>
  <c r="F137" i="1" s="1"/>
  <c r="D136" i="1"/>
  <c r="F136" i="1" s="1"/>
  <c r="D138" i="1"/>
  <c r="F138" i="1" s="1"/>
  <c r="D135" i="1"/>
  <c r="F135" i="1" s="1"/>
  <c r="G135" i="1"/>
  <c r="D133" i="1"/>
  <c r="D132" i="1"/>
  <c r="D131" i="1"/>
  <c r="D128" i="1"/>
  <c r="D127" i="1"/>
  <c r="D126" i="1"/>
  <c r="F105" i="1"/>
  <c r="D104" i="1"/>
  <c r="G104" i="1"/>
  <c r="G105" i="1" s="1"/>
  <c r="D113" i="1"/>
  <c r="F113" i="1" s="1"/>
  <c r="D112" i="1"/>
  <c r="F112" i="1" s="1"/>
  <c r="D111" i="1"/>
  <c r="F111" i="1" s="1"/>
  <c r="D110" i="1"/>
  <c r="D109" i="1"/>
  <c r="D108" i="1"/>
  <c r="E97" i="1" l="1"/>
  <c r="F125" i="1"/>
  <c r="C97" i="1"/>
  <c r="F104" i="1"/>
  <c r="C94" i="1"/>
  <c r="E94" i="1"/>
  <c r="J94" i="1" s="1"/>
  <c r="E28" i="1"/>
  <c r="F131" i="1" l="1"/>
  <c r="F132" i="1"/>
  <c r="F133" i="1"/>
  <c r="G130" i="1"/>
  <c r="F91" i="1" l="1"/>
  <c r="F108" i="1" l="1"/>
  <c r="F109" i="1"/>
  <c r="F110" i="1"/>
  <c r="G94" i="1" l="1"/>
  <c r="B146" i="1"/>
  <c r="F128" i="1" l="1"/>
  <c r="F127" i="1"/>
  <c r="F126" i="1"/>
  <c r="G97" i="1" l="1"/>
  <c r="B147" i="1"/>
  <c r="F11" i="5" l="1"/>
  <c r="G11" i="5" s="1"/>
  <c r="F10" i="5"/>
  <c r="G10" i="5" s="1"/>
  <c r="F9" i="5"/>
  <c r="G9" i="5" s="1"/>
  <c r="F8" i="5"/>
  <c r="G8" i="5" s="1"/>
  <c r="F7" i="5"/>
  <c r="G7" i="5" s="1"/>
  <c r="F6" i="5"/>
  <c r="G6" i="5" s="1"/>
  <c r="F5" i="5"/>
  <c r="G5" i="5" s="1"/>
  <c r="G12" i="5" s="1"/>
  <c r="D171" i="1"/>
  <c r="G125" i="1"/>
  <c r="A109" i="1"/>
  <c r="A110" i="1" s="1"/>
  <c r="A111" i="1" s="1"/>
  <c r="A112" i="1" s="1"/>
  <c r="A113" i="1" s="1"/>
  <c r="G107" i="1"/>
  <c r="J75" i="1"/>
  <c r="J74" i="1"/>
  <c r="J73" i="1"/>
  <c r="J72" i="1"/>
  <c r="C64" i="1"/>
  <c r="D53" i="1"/>
  <c r="G48" i="1"/>
  <c r="C48" i="1"/>
  <c r="C49" i="1" s="1"/>
  <c r="E41" i="1"/>
  <c r="E42" i="1" s="1"/>
  <c r="E25" i="1"/>
  <c r="E23" i="1"/>
  <c r="E7" i="1"/>
  <c r="H65" i="1"/>
  <c r="D77" i="1" l="1"/>
  <c r="D75" i="1"/>
  <c r="D74" i="1"/>
  <c r="D73" i="1"/>
  <c r="D71" i="1"/>
  <c r="D70" i="1"/>
  <c r="D76" i="1"/>
  <c r="D72" i="1"/>
  <c r="J68" i="1"/>
  <c r="J69" i="1"/>
  <c r="C68" i="1" s="1"/>
  <c r="J67" i="1"/>
  <c r="J70" i="1"/>
  <c r="J71" i="1" s="1"/>
  <c r="J76" i="1" s="1"/>
  <c r="J77" i="1" s="1"/>
  <c r="C69" i="1" s="1"/>
  <c r="E68" i="1" l="1"/>
  <c r="D69" i="1"/>
  <c r="G68" i="1"/>
  <c r="D62" i="1" s="1"/>
  <c r="D68" i="1"/>
  <c r="I64" i="1" l="1"/>
  <c r="C66" i="1" s="1"/>
  <c r="F63" i="1"/>
  <c r="D63" i="1"/>
</calcChain>
</file>

<file path=xl/sharedStrings.xml><?xml version="1.0" encoding="utf-8"?>
<sst xmlns="http://schemas.openxmlformats.org/spreadsheetml/2006/main" count="352" uniqueCount="262">
  <si>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</si>
  <si>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</si>
  <si>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</si>
  <si>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</si>
  <si>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</si>
  <si>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</si>
  <si>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</si>
  <si>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</si>
  <si>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</si>
  <si>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</si>
  <si>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</si>
  <si>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</si>
  <si>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</si>
  <si>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</si>
  <si>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</si>
  <si>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</si>
  <si>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</si>
  <si>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</si>
  <si>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</si>
  <si>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</si>
  <si>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</si>
  <si>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</si>
  <si>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</si>
  <si>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</si>
  <si>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</si>
  <si>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</si>
  <si>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</si>
  <si>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</si>
  <si>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</si>
  <si>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</si>
  <si>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</si>
  <si>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</si>
  <si>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</si>
  <si>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</si>
  <si>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</si>
  <si>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</si>
  <si>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</si>
  <si>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</si>
  <si>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</si>
  <si>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</si>
  <si>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</si>
  <si>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</si>
  <si>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</si>
  <si>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</si>
  <si>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</si>
  <si>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</si>
  <si>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</si>
  <si>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</si>
  <si>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</si>
  <si>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</si>
  <si>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</si>
  <si>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</si>
  <si>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</si>
  <si>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</si>
  <si>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</si>
  <si>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</si>
  <si>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</si>
  <si>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</si>
  <si>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</si>
  <si>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</si>
  <si>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</si>
  <si>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</si>
  <si>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</si>
  <si>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</si>
  <si>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</si>
  <si>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</si>
  <si>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</si>
  <si>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</si>
  <si>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</si>
  <si>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</si>
  <si>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</si>
  <si>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</si>
  <si>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</si>
  <si>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</si>
  <si>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</si>
  <si>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</si>
  <si>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</si>
  <si>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</si>
  <si>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</si>
  <si>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</si>
  <si>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</si>
  <si>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</si>
  <si>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</si>
  <si>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</si>
  <si>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</si>
  <si>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</si>
  <si>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</si>
  <si>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</si>
  <si>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</si>
  <si>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</si>
  <si>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</si>
  <si>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</si>
  <si>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</si>
  <si>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</si>
  <si>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</si>
  <si>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</si>
  <si>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</si>
  <si>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</si>
  <si>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</si>
  <si>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</si>
  <si>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</si>
  <si>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</si>
  <si>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</si>
  <si>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</si>
  <si>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</si>
  <si>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</si>
  <si>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</si>
  <si>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</si>
  <si>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</si>
  <si>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</si>
  <si>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</si>
  <si>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</si>
  <si>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</si>
  <si>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</si>
  <si>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</si>
  <si>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</si>
  <si>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</si>
  <si>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</si>
  <si>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</si>
  <si>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</si>
  <si>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</si>
  <si>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</si>
  <si>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</si>
  <si>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</si>
  <si>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</si>
  <si>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</si>
  <si>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</si>
  <si>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</si>
  <si>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</si>
  <si>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</si>
  <si>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</si>
  <si>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</si>
  <si>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</si>
  <si>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</si>
  <si>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</si>
  <si>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</si>
  <si>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</si>
  <si>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</si>
  <si>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</si>
  <si>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</si>
  <si>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</si>
  <si>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</si>
  <si>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</si>
  <si>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</si>
  <si>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</si>
  <si>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</si>
  <si>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</si>
  <si>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</si>
  <si>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</si>
  <si>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</si>
  <si>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</si>
  <si>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</si>
  <si>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</si>
  <si>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</si>
  <si>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</si>
  <si>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</si>
  <si>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</si>
  <si>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</si>
  <si>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</si>
  <si>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</si>
  <si>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</si>
  <si>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</si>
  <si>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</si>
  <si>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</si>
  <si>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</si>
  <si>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</si>
  <si>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</si>
  <si>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Sale Building No. 2</t>
  </si>
  <si>
    <t>Upper Ground Floor for Commercial Parking</t>
  </si>
  <si>
    <t>Sale / Rehab Unit</t>
  </si>
  <si>
    <t>Shop</t>
  </si>
  <si>
    <t>Rehab</t>
  </si>
  <si>
    <t>Lower Ground Floor for Commercial Parking</t>
  </si>
  <si>
    <t>Sale</t>
  </si>
  <si>
    <t>Shop (Duplex with Upper Ground Floor)</t>
  </si>
  <si>
    <t>Duplex with Lower Ground Floor</t>
  </si>
  <si>
    <t>1st Podium Floor for Parking</t>
  </si>
  <si>
    <t>2nd to 5th Podium Floor for Parking</t>
  </si>
  <si>
    <t>6th Podium Floor for Parking</t>
  </si>
  <si>
    <t>7th Floor for E - Deck Floor (Part Refuge Area)</t>
  </si>
  <si>
    <t>Service Floor (Between 7th upper Podium Floor to 1st Floor)</t>
  </si>
  <si>
    <t>Service Floor (Between 30th Floor to 31st Floor)</t>
  </si>
  <si>
    <t>1st to 6th, 8th to 13th, 15 to 20th, 22nd to 27th, 29th, 30th to 34th Floor for Residential</t>
  </si>
  <si>
    <t>3BHK</t>
  </si>
  <si>
    <t>2BHK</t>
  </si>
  <si>
    <t>7th, 14th, 21st, 28th &amp; 35th Floor (Part Refuge Area)</t>
  </si>
  <si>
    <t>Refuge Area</t>
  </si>
  <si>
    <t>36th to 41st,  43rd to 50th Floor</t>
  </si>
  <si>
    <t>42nd Floor (Part Refuge Area)</t>
  </si>
  <si>
    <t>Building No. 2</t>
  </si>
  <si>
    <t>Sale Flats - 194, Sale Shops - 1, Rehab Shop - 7</t>
  </si>
  <si>
    <t>Axis Goregaon</t>
  </si>
  <si>
    <t>M/s. Renuka Realtors</t>
  </si>
  <si>
    <t>Ruparel Millennia</t>
  </si>
  <si>
    <t>Approved Plans, CC, Sale Plans.</t>
  </si>
  <si>
    <t>P51900003058</t>
  </si>
  <si>
    <t>Ruparel Jewel</t>
  </si>
  <si>
    <t>CTS No</t>
  </si>
  <si>
    <t>Mumbai</t>
  </si>
  <si>
    <t xml:space="preserve">400012
</t>
  </si>
  <si>
    <t>2.1 KM from Parel
Railway Station</t>
  </si>
  <si>
    <t>Jerbai Wadia Road</t>
  </si>
  <si>
    <t>Parel East</t>
  </si>
  <si>
    <t>Indian Cancer Society</t>
  </si>
  <si>
    <t>Jari Mari Mata Mandir</t>
  </si>
  <si>
    <t>Jerbai wadia road</t>
  </si>
  <si>
    <t>1 Building</t>
  </si>
  <si>
    <t>Slum Rehabilitation Authority (SRA)</t>
  </si>
  <si>
    <t>SRA/ENG/2674/FS/ML/AP</t>
  </si>
  <si>
    <t>LG + UG + 1st to 7th Podium Floor + 1st to 50th Floor.</t>
  </si>
  <si>
    <t>We considered Gross carpet area = Net carpet + Deck Area.</t>
  </si>
  <si>
    <t>This CC is further extended upto 30th upper floor of sale building no. 2 as per last approved amended plan dtd. 26/07/2017.</t>
  </si>
  <si>
    <t>Parel Sewree</t>
  </si>
  <si>
    <t>plzz check rates &amp; floor rise</t>
  </si>
  <si>
    <t xml:space="preserve">On Site, we meet Mr.Shivendra - 8879846939.
</t>
  </si>
  <si>
    <t>155(pt), 167(pt), 168, 169(pt), 170(pt), 171(pt), 714(pt), 715, 716, 717(pt), 718(pt),719(pt), 720(pt) &amp; 131 (pt) &amp; Existing Building Name - Shree Balaji SRA CHS LTD &amp; Ramyaghar CHS LTD.</t>
  </si>
  <si>
    <t>Sr.no</t>
  </si>
  <si>
    <t>Name of Project</t>
  </si>
  <si>
    <t xml:space="preserve">Rate on Carpet Area </t>
  </si>
  <si>
    <t>Oberio 360 West</t>
  </si>
  <si>
    <t>Nishika Terraces</t>
  </si>
  <si>
    <t xml:space="preserve">RNA Mirage </t>
  </si>
  <si>
    <t>Omkar 1973</t>
  </si>
  <si>
    <t>Raheja Artesia</t>
  </si>
  <si>
    <t>Unity Tower</t>
  </si>
  <si>
    <t>Lodha The Park</t>
  </si>
  <si>
    <t>Palais Royale</t>
  </si>
  <si>
    <t>Raheja Atlantis</t>
  </si>
  <si>
    <t>IndiaBulls Blu</t>
  </si>
  <si>
    <t xml:space="preserve">Marathon Nest Era </t>
  </si>
  <si>
    <t>Runwal researve</t>
  </si>
  <si>
    <t>77000 to 80000</t>
  </si>
  <si>
    <t>75000 to 80000</t>
  </si>
  <si>
    <t>52000 to 55000</t>
  </si>
  <si>
    <t>43000 to 45000</t>
  </si>
  <si>
    <t>74000 to 77000</t>
  </si>
  <si>
    <t>56000 to 59000</t>
  </si>
  <si>
    <t>47000 to 49000</t>
  </si>
  <si>
    <t>65000 to 68000</t>
  </si>
  <si>
    <t>68000 to 70000</t>
  </si>
  <si>
    <t>50000 to 52000</t>
  </si>
  <si>
    <t>55000 to 58000</t>
  </si>
  <si>
    <t>We have updated revised approved plans ( on 18/04/2022).</t>
  </si>
  <si>
    <t>Floor Rise Rate (from 2nd Habitual Floor)</t>
  </si>
  <si>
    <t>Latitude, Longitude</t>
  </si>
  <si>
    <t>Location Link</t>
  </si>
  <si>
    <t>https://goo.gl/maps/7xPQux79sbnuWKqb8</t>
  </si>
  <si>
    <t>Vitrified tiles flooring, Kitchen Platform, Decorative Entrance etc</t>
  </si>
  <si>
    <t>Office No. 1031, Wing J, Akshar Business Park, Plot No. 03 Sector 25, Near APMC Market,
Vashi, Navi Mumbai, Maharashtra 400703 TEL: 022-46090378/79/80                                                                                             E mail : vsjcapf@gmail.com. Web site : www.vsjadon.com</t>
  </si>
  <si>
    <t xml:space="preserve"> </t>
  </si>
  <si>
    <t>added service slab 28/12/2023</t>
  </si>
  <si>
    <t>Site Person - Contact Details ( Name &amp; Contact No.)</t>
  </si>
  <si>
    <t>19.0057012,72.8479385</t>
  </si>
  <si>
    <t>Mr. Karan Misal</t>
  </si>
  <si>
    <t>Construction work goes beyond approved no. of floors. Please provide revised CC.</t>
  </si>
  <si>
    <t xml:space="preserve">Mr. Ritesh 9819358104 </t>
  </si>
  <si>
    <t xml:space="preserve">the same as last visit dtd. 11/01/2024 (Internal visit not allowed).
</t>
  </si>
  <si>
    <t xml:space="preserve">As per RERA, completion period of project Ruparel Jewel is expired on 31/12/2024 but still project is under construction
</t>
  </si>
  <si>
    <t>As per RERA - 31/12/2026</t>
  </si>
  <si>
    <t>As per our observation, the construction work of ruparel projects (Ruparel Regalia, Ruparel Millennia, etc.) seems to be on a slow speed since last year.</t>
  </si>
  <si>
    <t>Gaurav Panchal</t>
  </si>
  <si>
    <t>Construction work is in process at the time of visit.(Slow Speed)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</si>
</sst>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_-[$INR]\ * #,##0.00_-;\-[$INR]\ * #,##0.00_-;_-[$INR]\ * &quot;-&quot;??_-;_-@_-"/>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6"/>
      <color rgb="FF000000"/>
      <name val="Calibri"/>
      <family val="2"/>
    </font>
    <font>
      <u/>
      <sz val="11"/>
      <color theme="10"/>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0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4" xfId="8" applyFont="1" applyFill="1" applyBorder="1" applyAlignment="1" applyProtection="1">
      <alignment horizontal="center" vertical="top" wrapText="1"/>
      <protection locked="0"/>
    </xf>
    <xf numFmtId="0" fontId="17" fillId="0" borderId="0" xfId="0" applyFont="1" applyProtection="1">
      <protection hidden="1"/>
    </xf>
    <xf numFmtId="0" fontId="7" fillId="0" borderId="9" xfId="1" applyFont="1" applyBorder="1" applyProtection="1">
      <protection hidden="1"/>
    </xf>
    <xf numFmtId="0" fontId="7" fillId="0" borderId="0" xfId="1" applyFont="1" applyProtection="1">
      <protection hidden="1"/>
    </xf>
    <xf numFmtId="0" fontId="17" fillId="0" borderId="12"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23" fillId="0" borderId="0" xfId="1" applyFont="1"/>
    <xf numFmtId="0" fontId="7" fillId="0" borderId="10" xfId="1" applyFont="1" applyBorder="1" applyProtection="1">
      <protection hidden="1"/>
    </xf>
    <xf numFmtId="0" fontId="7" fillId="0" borderId="11" xfId="1" applyFont="1" applyBorder="1" applyProtection="1">
      <protection hidden="1"/>
    </xf>
    <xf numFmtId="0" fontId="7" fillId="0" borderId="11" xfId="1" applyFont="1" applyBorder="1"/>
    <xf numFmtId="0" fontId="17" fillId="0" borderId="11" xfId="0" applyFont="1" applyBorder="1" applyProtection="1">
      <protection hidden="1"/>
    </xf>
    <xf numFmtId="1" fontId="0" fillId="0" borderId="11" xfId="0" applyNumberFormat="1" applyBorder="1"/>
    <xf numFmtId="1" fontId="0" fillId="0" borderId="11" xfId="0" applyNumberFormat="1" applyBorder="1" applyAlignment="1">
      <alignment horizontal="right"/>
    </xf>
    <xf numFmtId="1" fontId="0" fillId="0" borderId="13"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24" fillId="0" borderId="1" xfId="0" applyFont="1" applyBorder="1" applyAlignment="1">
      <alignment horizontal="center" vertical="center"/>
    </xf>
    <xf numFmtId="0" fontId="24" fillId="0" borderId="14"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31" xfId="0" applyFont="1" applyBorder="1" applyAlignment="1">
      <alignment horizontal="center" vertical="center"/>
    </xf>
    <xf numFmtId="168" fontId="6" fillId="0" borderId="0" xfId="2" applyNumberFormat="1" applyFont="1"/>
    <xf numFmtId="1" fontId="12" fillId="0" borderId="1" xfId="1" applyNumberFormat="1" applyFont="1" applyBorder="1" applyAlignment="1" applyProtection="1">
      <alignment horizontal="center" vertical="top" wrapText="1"/>
      <protection locked="0"/>
    </xf>
    <xf numFmtId="1" fontId="7" fillId="0" borderId="0" xfId="0" applyNumberFormat="1" applyFont="1" applyAlignment="1">
      <alignment horizontal="center" vertical="center"/>
    </xf>
    <xf numFmtId="0" fontId="7" fillId="2" borderId="0" xfId="1" applyFont="1" applyFill="1"/>
    <xf numFmtId="0" fontId="7" fillId="0" borderId="0" xfId="0" applyFont="1" applyAlignment="1">
      <alignment horizontal="left" vertical="center"/>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9" fontId="12" fillId="0" borderId="15"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13" xfId="8" applyFont="1" applyFill="1" applyBorder="1" applyAlignment="1" applyProtection="1">
      <alignment horizontal="center" vertical="center"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1" fontId="8" fillId="0" borderId="2"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0" xfId="1" applyFont="1" applyAlignment="1">
      <alignment horizontal="center" vertical="center"/>
    </xf>
    <xf numFmtId="0" fontId="7" fillId="2" borderId="21" xfId="1" applyFont="1" applyFill="1" applyBorder="1" applyAlignment="1">
      <alignment horizontal="center"/>
    </xf>
    <xf numFmtId="0" fontId="7" fillId="2" borderId="0" xfId="1" applyFont="1" applyFill="1" applyAlignment="1">
      <alignment horizontal="center"/>
    </xf>
    <xf numFmtId="0" fontId="7" fillId="2" borderId="0" xfId="1" applyFont="1" applyFill="1" applyBorder="1" applyAlignment="1">
      <alignment horizontal="left"/>
    </xf>
    <xf numFmtId="0" fontId="7" fillId="2" borderId="0" xfId="1" applyFont="1" applyFill="1" applyAlignment="1">
      <alignment horizontal="left"/>
    </xf>
    <xf numFmtId="0" fontId="8" fillId="0" borderId="14" xfId="1" applyFont="1" applyBorder="1" applyAlignment="1" applyProtection="1">
      <alignment horizontal="center" vertical="top"/>
      <protection locked="0"/>
    </xf>
    <xf numFmtId="167" fontId="12" fillId="0" borderId="1" xfId="9" applyNumberFormat="1" applyFont="1" applyFill="1" applyBorder="1" applyAlignment="1" applyProtection="1">
      <alignment horizontal="right" vertical="top"/>
      <protection locked="0"/>
    </xf>
    <xf numFmtId="1" fontId="6" fillId="0" borderId="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4" fillId="0" borderId="2"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13" fillId="0" borderId="7"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26" fillId="0" borderId="7" xfId="0" applyNumberFormat="1" applyFont="1" applyBorder="1" applyAlignment="1" applyProtection="1">
      <alignment vertical="top" wrapText="1"/>
      <protection locked="0"/>
    </xf>
    <xf numFmtId="1" fontId="26" fillId="0" borderId="19" xfId="0" applyNumberFormat="1" applyFont="1" applyBorder="1" applyAlignment="1" applyProtection="1">
      <alignment vertical="top" wrapText="1"/>
      <protection locked="0"/>
    </xf>
    <xf numFmtId="1" fontId="26" fillId="0" borderId="8" xfId="0" applyNumberFormat="1" applyFont="1" applyBorder="1" applyAlignment="1" applyProtection="1">
      <alignment vertical="top" wrapText="1"/>
      <protection locked="0"/>
    </xf>
    <xf numFmtId="1" fontId="12" fillId="0" borderId="15" xfId="1" applyNumberFormat="1" applyFont="1" applyBorder="1" applyAlignment="1" applyProtection="1">
      <alignment horizontal="center" vertical="center" wrapText="1"/>
      <protection locked="0"/>
    </xf>
    <xf numFmtId="1" fontId="12" fillId="0" borderId="16"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22"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center" wrapText="1"/>
      <protection locked="0"/>
    </xf>
    <xf numFmtId="1" fontId="12" fillId="0" borderId="18" xfId="1" applyNumberFormat="1" applyFont="1" applyBorder="1" applyAlignment="1" applyProtection="1">
      <alignment horizontal="center" vertical="center" wrapText="1"/>
      <protection locked="0"/>
    </xf>
    <xf numFmtId="0" fontId="13" fillId="0" borderId="1" xfId="1" applyFont="1" applyBorder="1" applyAlignment="1" applyProtection="1">
      <alignment vertical="top"/>
      <protection locked="0"/>
    </xf>
    <xf numFmtId="1" fontId="10" fillId="0" borderId="7" xfId="0" applyNumberFormat="1" applyFont="1" applyBorder="1" applyAlignment="1" applyProtection="1">
      <alignment vertical="top" wrapText="1"/>
      <protection locked="0"/>
    </xf>
    <xf numFmtId="1" fontId="10" fillId="0" borderId="19"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8" fillId="0" borderId="7"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1" fontId="13" fillId="0" borderId="1" xfId="0" applyNumberFormat="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8" fillId="0" borderId="14"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164" fontId="6"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left"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7" xfId="1" applyFont="1" applyBorder="1" applyAlignment="1" applyProtection="1">
      <alignment horizontal="left"/>
      <protection locked="0"/>
    </xf>
    <xf numFmtId="0" fontId="7" fillId="0" borderId="19" xfId="1" applyFont="1" applyBorder="1" applyAlignment="1" applyProtection="1">
      <alignment horizontal="left"/>
      <protection locked="0"/>
    </xf>
    <xf numFmtId="0" fontId="7" fillId="0" borderId="8" xfId="1" applyFont="1" applyBorder="1" applyAlignment="1" applyProtection="1">
      <alignment horizontal="left"/>
      <protection locked="0"/>
    </xf>
    <xf numFmtId="0" fontId="25" fillId="0" borderId="7" xfId="10" applyBorder="1" applyAlignment="1" applyProtection="1">
      <alignment horizontal="left"/>
      <protection locked="0"/>
    </xf>
    <xf numFmtId="1" fontId="13" fillId="0" borderId="7" xfId="1" applyNumberFormat="1" applyFont="1" applyBorder="1" applyAlignment="1" applyProtection="1">
      <alignment horizontal="center" vertical="center" wrapText="1"/>
      <protection locked="0"/>
    </xf>
    <xf numFmtId="1" fontId="13" fillId="0" borderId="19"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2" fillId="0" borderId="7"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xf numFmtId="1" fontId="10" fillId="0" borderId="1" xfId="0" applyNumberFormat="1" applyFont="1" applyBorder="1" applyAlignment="1" applyProtection="1">
      <alignment vertical="top" wrapText="1"/>
      <protection locked="0"/>
    </xf>
    <xf numFmtId="1" fontId="6" fillId="0" borderId="7"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9" fontId="12" fillId="0" borderId="16"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0" fillId="0" borderId="1" xfId="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232</xdr:row>
      <xdr:rowOff>142234</xdr:rowOff>
    </xdr:from>
    <xdr:to>
      <xdr:col>7</xdr:col>
      <xdr:colOff>3708</xdr:colOff>
      <xdr:row>249</xdr:row>
      <xdr:rowOff>88859</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76300" y="50224684"/>
          <a:ext cx="5193101" cy="3347050"/>
        </a:xfrm>
        <a:prstGeom prst="rect">
          <a:avLst/>
        </a:prstGeom>
        <a:ln>
          <a:solidFill>
            <a:schemeClr val="tx1"/>
          </a:solidFill>
        </a:ln>
      </xdr:spPr>
    </xdr:pic>
    <xdr:clientData/>
  </xdr:twoCellAnchor>
  <xdr:twoCellAnchor editAs="oneCell">
    <xdr:from>
      <xdr:col>1</xdr:col>
      <xdr:colOff>57151</xdr:colOff>
      <xdr:row>215</xdr:row>
      <xdr:rowOff>0</xdr:rowOff>
    </xdr:from>
    <xdr:to>
      <xdr:col>7</xdr:col>
      <xdr:colOff>3709</xdr:colOff>
      <xdr:row>231</xdr:row>
      <xdr:rowOff>163902</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76301" y="46682025"/>
          <a:ext cx="5193101" cy="3364302"/>
        </a:xfrm>
        <a:prstGeom prst="rect">
          <a:avLst/>
        </a:prstGeom>
        <a:ln>
          <a:solidFill>
            <a:schemeClr val="tx1"/>
          </a:solidFill>
        </a:ln>
      </xdr:spPr>
    </xdr:pic>
    <xdr:clientData/>
  </xdr:twoCellAnchor>
  <xdr:twoCellAnchor editAs="oneCell">
    <xdr:from>
      <xdr:col>12</xdr:col>
      <xdr:colOff>657225</xdr:colOff>
      <xdr:row>65</xdr:row>
      <xdr:rowOff>685800</xdr:rowOff>
    </xdr:from>
    <xdr:to>
      <xdr:col>22</xdr:col>
      <xdr:colOff>124689</xdr:colOff>
      <xdr:row>79</xdr:row>
      <xdr:rowOff>28959</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tretch>
          <a:fillRect/>
        </a:stretch>
      </xdr:blipFill>
      <xdr:spPr>
        <a:xfrm>
          <a:off x="10515600" y="15859125"/>
          <a:ext cx="6192114" cy="2753109"/>
        </a:xfrm>
        <a:prstGeom prst="rect">
          <a:avLst/>
        </a:prstGeom>
      </xdr:spPr>
    </xdr:pic>
    <xdr:clientData/>
  </xdr:twoCellAnchor>
  <xdr:twoCellAnchor editAs="oneCell">
    <xdr:from>
      <xdr:col>14</xdr:col>
      <xdr:colOff>494845</xdr:colOff>
      <xdr:row>193</xdr:row>
      <xdr:rowOff>141702</xdr:rowOff>
    </xdr:from>
    <xdr:to>
      <xdr:col>17</xdr:col>
      <xdr:colOff>27743</xdr:colOff>
      <xdr:row>204</xdr:row>
      <xdr:rowOff>136353</xdr:rowOff>
    </xdr:to>
    <xdr:pic>
      <xdr:nvPicPr>
        <xdr:cNvPr id="18" name="Picture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2003286" y="42074114"/>
          <a:ext cx="1583575" cy="2213415"/>
        </a:xfrm>
        <a:prstGeom prst="rect">
          <a:avLst/>
        </a:prstGeom>
        <a:ln>
          <a:solidFill>
            <a:schemeClr val="tx1"/>
          </a:solidFill>
        </a:ln>
      </xdr:spPr>
    </xdr:pic>
    <xdr:clientData/>
  </xdr:twoCellAnchor>
  <xdr:twoCellAnchor editAs="oneCell">
    <xdr:from>
      <xdr:col>8</xdr:col>
      <xdr:colOff>846885</xdr:colOff>
      <xdr:row>172</xdr:row>
      <xdr:rowOff>186391</xdr:rowOff>
    </xdr:from>
    <xdr:to>
      <xdr:col>12</xdr:col>
      <xdr:colOff>356404</xdr:colOff>
      <xdr:row>193</xdr:row>
      <xdr:rowOff>14035</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379914" y="37894185"/>
          <a:ext cx="2848872" cy="4052262"/>
        </a:xfrm>
        <a:prstGeom prst="rect">
          <a:avLst/>
        </a:prstGeom>
        <a:ln>
          <a:solidFill>
            <a:schemeClr val="tx1"/>
          </a:solidFill>
        </a:ln>
      </xdr:spPr>
    </xdr:pic>
    <xdr:clientData/>
  </xdr:twoCellAnchor>
  <xdr:twoCellAnchor editAs="oneCell">
    <xdr:from>
      <xdr:col>12</xdr:col>
      <xdr:colOff>501985</xdr:colOff>
      <xdr:row>172</xdr:row>
      <xdr:rowOff>186391</xdr:rowOff>
    </xdr:from>
    <xdr:to>
      <xdr:col>16</xdr:col>
      <xdr:colOff>233753</xdr:colOff>
      <xdr:row>193</xdr:row>
      <xdr:rowOff>14035</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374367" y="37894185"/>
          <a:ext cx="2813386" cy="4052262"/>
        </a:xfrm>
        <a:prstGeom prst="rect">
          <a:avLst/>
        </a:prstGeom>
        <a:ln>
          <a:solidFill>
            <a:schemeClr val="tx1"/>
          </a:solidFill>
        </a:ln>
      </xdr:spPr>
    </xdr:pic>
    <xdr:clientData/>
  </xdr:twoCellAnchor>
  <xdr:twoCellAnchor editAs="oneCell">
    <xdr:from>
      <xdr:col>8</xdr:col>
      <xdr:colOff>590177</xdr:colOff>
      <xdr:row>193</xdr:row>
      <xdr:rowOff>141702</xdr:rowOff>
    </xdr:from>
    <xdr:to>
      <xdr:col>10</xdr:col>
      <xdr:colOff>200396</xdr:colOff>
      <xdr:row>204</xdr:row>
      <xdr:rowOff>136353</xdr:rowOff>
    </xdr:to>
    <xdr:pic>
      <xdr:nvPicPr>
        <xdr:cNvPr id="27" name="Picture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123206" y="42074114"/>
          <a:ext cx="1537631" cy="2213415"/>
        </a:xfrm>
        <a:prstGeom prst="rect">
          <a:avLst/>
        </a:prstGeom>
        <a:ln>
          <a:solidFill>
            <a:schemeClr val="tx1"/>
          </a:solidFill>
        </a:ln>
      </xdr:spPr>
    </xdr:pic>
    <xdr:clientData/>
  </xdr:twoCellAnchor>
  <xdr:twoCellAnchor editAs="oneCell">
    <xdr:from>
      <xdr:col>10</xdr:col>
      <xdr:colOff>301912</xdr:colOff>
      <xdr:row>193</xdr:row>
      <xdr:rowOff>141702</xdr:rowOff>
    </xdr:from>
    <xdr:to>
      <xdr:col>12</xdr:col>
      <xdr:colOff>470931</xdr:colOff>
      <xdr:row>204</xdr:row>
      <xdr:rowOff>136353</xdr:rowOff>
    </xdr:to>
    <xdr:pic>
      <xdr:nvPicPr>
        <xdr:cNvPr id="28" name="Picture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762353" y="42074114"/>
          <a:ext cx="1580960" cy="2213415"/>
        </a:xfrm>
        <a:prstGeom prst="rect">
          <a:avLst/>
        </a:prstGeom>
        <a:ln>
          <a:solidFill>
            <a:schemeClr val="tx1"/>
          </a:solidFill>
        </a:ln>
      </xdr:spPr>
    </xdr:pic>
    <xdr:clientData/>
  </xdr:twoCellAnchor>
  <xdr:twoCellAnchor editAs="oneCell">
    <xdr:from>
      <xdr:col>12</xdr:col>
      <xdr:colOff>543872</xdr:colOff>
      <xdr:row>193</xdr:row>
      <xdr:rowOff>141702</xdr:rowOff>
    </xdr:from>
    <xdr:to>
      <xdr:col>14</xdr:col>
      <xdr:colOff>451607</xdr:colOff>
      <xdr:row>204</xdr:row>
      <xdr:rowOff>136353</xdr:rowOff>
    </xdr:to>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0416254" y="42074114"/>
          <a:ext cx="1543794" cy="2213415"/>
        </a:xfrm>
        <a:prstGeom prst="rect">
          <a:avLst/>
        </a:prstGeom>
        <a:ln>
          <a:solidFill>
            <a:schemeClr val="tx1"/>
          </a:solidFill>
        </a:ln>
      </xdr:spPr>
    </xdr:pic>
    <xdr:clientData/>
  </xdr:twoCellAnchor>
  <xdr:twoCellAnchor>
    <xdr:from>
      <xdr:col>8</xdr:col>
      <xdr:colOff>196850</xdr:colOff>
      <xdr:row>174</xdr:row>
      <xdr:rowOff>19050</xdr:rowOff>
    </xdr:from>
    <xdr:to>
      <xdr:col>15</xdr:col>
      <xdr:colOff>746337</xdr:colOff>
      <xdr:row>205</xdr:row>
      <xdr:rowOff>31386</xdr:rowOff>
    </xdr:to>
    <xdr:grpSp>
      <xdr:nvGrpSpPr>
        <xdr:cNvPr id="5" name="Group 4">
          <a:extLst>
            <a:ext uri="{FF2B5EF4-FFF2-40B4-BE49-F238E27FC236}">
              <a16:creationId xmlns:a16="http://schemas.microsoft.com/office/drawing/2014/main" xmlns="" id="{00000000-0008-0000-0000-000005000000}"/>
            </a:ext>
          </a:extLst>
        </xdr:cNvPr>
        <xdr:cNvGrpSpPr/>
      </xdr:nvGrpSpPr>
      <xdr:grpSpPr>
        <a:xfrm>
          <a:off x="6721475" y="37861875"/>
          <a:ext cx="6169237" cy="6213111"/>
          <a:chOff x="177800" y="37312600"/>
          <a:chExt cx="6448637" cy="6117861"/>
        </a:xfrm>
      </xdr:grpSpPr>
      <xdr:pic>
        <xdr:nvPicPr>
          <xdr:cNvPr id="31" name="Picture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5089040" y="41378461"/>
            <a:ext cx="1537397" cy="2052000"/>
          </a:xfrm>
          <a:prstGeom prst="rect">
            <a:avLst/>
          </a:prstGeom>
          <a:ln>
            <a:solidFill>
              <a:schemeClr val="tx1"/>
            </a:solidFill>
          </a:ln>
        </xdr:spPr>
      </xdr:pic>
      <xdr:pic>
        <xdr:nvPicPr>
          <xdr:cNvPr id="32" name="Picture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47792" y="37312600"/>
            <a:ext cx="2966907" cy="3960000"/>
          </a:xfrm>
          <a:prstGeom prst="rect">
            <a:avLst/>
          </a:prstGeom>
          <a:ln>
            <a:solidFill>
              <a:schemeClr val="tx1"/>
            </a:solidFill>
          </a:ln>
        </xdr:spPr>
      </xdr:pic>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814880" y="41378461"/>
            <a:ext cx="1537397" cy="2052000"/>
          </a:xfrm>
          <a:prstGeom prst="rect">
            <a:avLst/>
          </a:prstGeom>
          <a:ln>
            <a:solidFill>
              <a:schemeClr val="tx1"/>
            </a:solidFill>
          </a:ln>
        </xdr:spPr>
      </xdr:pic>
      <xdr:pic>
        <xdr:nvPicPr>
          <xdr:cNvPr id="34" name="Picture 33">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77800" y="41378461"/>
            <a:ext cx="1537397" cy="2052000"/>
          </a:xfrm>
          <a:prstGeom prst="rect">
            <a:avLst/>
          </a:prstGeom>
          <a:ln>
            <a:solidFill>
              <a:schemeClr val="tx1"/>
            </a:solidFill>
          </a:ln>
        </xdr:spPr>
      </xdr:pic>
      <xdr:pic>
        <xdr:nvPicPr>
          <xdr:cNvPr id="35" name="Picture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477538" y="37312600"/>
            <a:ext cx="2966907" cy="3960000"/>
          </a:xfrm>
          <a:prstGeom prst="rect">
            <a:avLst/>
          </a:prstGeom>
          <a:ln>
            <a:solidFill>
              <a:schemeClr val="tx1"/>
            </a:solidFill>
          </a:ln>
        </xdr:spPr>
      </xdr:pic>
      <xdr:pic>
        <xdr:nvPicPr>
          <xdr:cNvPr id="36" name="Picture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451960" y="41378461"/>
            <a:ext cx="1537397" cy="2052000"/>
          </a:xfrm>
          <a:prstGeom prst="rect">
            <a:avLst/>
          </a:prstGeom>
          <a:ln>
            <a:solidFill>
              <a:schemeClr val="tx1"/>
            </a:solidFill>
          </a:ln>
        </xdr:spPr>
      </xdr:pic>
    </xdr:grpSp>
    <xdr:clientData/>
  </xdr:twoCellAnchor>
  <xdr:twoCellAnchor>
    <xdr:from>
      <xdr:col>0</xdr:col>
      <xdr:colOff>428625</xdr:colOff>
      <xdr:row>171</xdr:row>
      <xdr:rowOff>180975</xdr:rowOff>
    </xdr:from>
    <xdr:to>
      <xdr:col>7</xdr:col>
      <xdr:colOff>388215</xdr:colOff>
      <xdr:row>211</xdr:row>
      <xdr:rowOff>177127</xdr:rowOff>
    </xdr:to>
    <xdr:grpSp>
      <xdr:nvGrpSpPr>
        <xdr:cNvPr id="21" name="Group 20">
          <a:extLst>
            <a:ext uri="{FF2B5EF4-FFF2-40B4-BE49-F238E27FC236}">
              <a16:creationId xmlns:a16="http://schemas.microsoft.com/office/drawing/2014/main" xmlns="" id="{B948F82C-2833-45FC-A231-DD4A2C82BD86}"/>
            </a:ext>
          </a:extLst>
        </xdr:cNvPr>
        <xdr:cNvGrpSpPr/>
      </xdr:nvGrpSpPr>
      <xdr:grpSpPr>
        <a:xfrm>
          <a:off x="428625" y="37433250"/>
          <a:ext cx="5655540" cy="7987627"/>
          <a:chOff x="810396" y="824753"/>
          <a:chExt cx="5655540" cy="7987627"/>
        </a:xfrm>
      </xdr:grpSpPr>
      <xdr:pic>
        <xdr:nvPicPr>
          <xdr:cNvPr id="22" name="Picture 21">
            <a:extLst>
              <a:ext uri="{FF2B5EF4-FFF2-40B4-BE49-F238E27FC236}">
                <a16:creationId xmlns:a16="http://schemas.microsoft.com/office/drawing/2014/main" xmlns="" id="{326C241D-9875-4C38-AA14-6870A57BB0D3}"/>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810396" y="824753"/>
            <a:ext cx="2697187" cy="3600000"/>
          </a:xfrm>
          <a:prstGeom prst="rect">
            <a:avLst/>
          </a:prstGeom>
          <a:ln>
            <a:solidFill>
              <a:schemeClr val="tx1"/>
            </a:solidFill>
          </a:ln>
        </xdr:spPr>
      </xdr:pic>
      <xdr:pic>
        <xdr:nvPicPr>
          <xdr:cNvPr id="23" name="Picture 22">
            <a:extLst>
              <a:ext uri="{FF2B5EF4-FFF2-40B4-BE49-F238E27FC236}">
                <a16:creationId xmlns:a16="http://schemas.microsoft.com/office/drawing/2014/main" xmlns="" id="{79942533-E3BC-45BF-A499-1BA87179A00B}"/>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768749" y="824753"/>
            <a:ext cx="2697187" cy="3600000"/>
          </a:xfrm>
          <a:prstGeom prst="rect">
            <a:avLst/>
          </a:prstGeom>
          <a:ln>
            <a:solidFill>
              <a:schemeClr val="tx1"/>
            </a:solidFill>
          </a:ln>
        </xdr:spPr>
      </xdr:pic>
      <xdr:pic>
        <xdr:nvPicPr>
          <xdr:cNvPr id="24" name="Picture 23">
            <a:extLst>
              <a:ext uri="{FF2B5EF4-FFF2-40B4-BE49-F238E27FC236}">
                <a16:creationId xmlns:a16="http://schemas.microsoft.com/office/drawing/2014/main" xmlns="" id="{21335B13-1853-4A6E-B9DC-A820EF296A66}"/>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024642" y="4683390"/>
            <a:ext cx="1618312" cy="2160000"/>
          </a:xfrm>
          <a:prstGeom prst="rect">
            <a:avLst/>
          </a:prstGeom>
          <a:ln>
            <a:solidFill>
              <a:schemeClr val="tx1"/>
            </a:solidFill>
          </a:ln>
        </xdr:spPr>
      </xdr:pic>
      <xdr:pic>
        <xdr:nvPicPr>
          <xdr:cNvPr id="25" name="Picture 24">
            <a:extLst>
              <a:ext uri="{FF2B5EF4-FFF2-40B4-BE49-F238E27FC236}">
                <a16:creationId xmlns:a16="http://schemas.microsoft.com/office/drawing/2014/main" xmlns="" id="{7822C43D-FDC3-4482-BF58-FF928044351C}"/>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643540" y="4683390"/>
            <a:ext cx="1618312" cy="2160000"/>
          </a:xfrm>
          <a:prstGeom prst="rect">
            <a:avLst/>
          </a:prstGeom>
          <a:ln>
            <a:solidFill>
              <a:schemeClr val="tx1"/>
            </a:solidFill>
          </a:ln>
        </xdr:spPr>
      </xdr:pic>
      <xdr:pic>
        <xdr:nvPicPr>
          <xdr:cNvPr id="26" name="Picture 25">
            <a:extLst>
              <a:ext uri="{FF2B5EF4-FFF2-40B4-BE49-F238E27FC236}">
                <a16:creationId xmlns:a16="http://schemas.microsoft.com/office/drawing/2014/main" xmlns="" id="{6DE8A83F-F86F-44D6-B6B6-6FB911ACE429}"/>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834090" y="4683390"/>
            <a:ext cx="1618312" cy="2160000"/>
          </a:xfrm>
          <a:prstGeom prst="rect">
            <a:avLst/>
          </a:prstGeom>
          <a:ln>
            <a:solidFill>
              <a:schemeClr val="tx1"/>
            </a:solidFill>
          </a:ln>
        </xdr:spPr>
      </xdr:pic>
      <xdr:pic>
        <xdr:nvPicPr>
          <xdr:cNvPr id="30" name="Picture 29">
            <a:extLst>
              <a:ext uri="{FF2B5EF4-FFF2-40B4-BE49-F238E27FC236}">
                <a16:creationId xmlns:a16="http://schemas.microsoft.com/office/drawing/2014/main" xmlns="" id="{1546A9D8-26DC-4EEC-B15D-EAC2AC9F9EB4}"/>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158989" y="7012380"/>
            <a:ext cx="1348594" cy="1800000"/>
          </a:xfrm>
          <a:prstGeom prst="rect">
            <a:avLst/>
          </a:prstGeom>
          <a:ln>
            <a:solidFill>
              <a:schemeClr val="tx1"/>
            </a:solidFill>
          </a:ln>
        </xdr:spPr>
      </xdr:pic>
      <xdr:pic>
        <xdr:nvPicPr>
          <xdr:cNvPr id="37" name="Picture 36">
            <a:extLst>
              <a:ext uri="{FF2B5EF4-FFF2-40B4-BE49-F238E27FC236}">
                <a16:creationId xmlns:a16="http://schemas.microsoft.com/office/drawing/2014/main" xmlns="" id="{06322BD3-DF87-4AC3-9E80-175FFE5D0FE3}"/>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778105" y="7012380"/>
            <a:ext cx="1348594" cy="180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xPQux79sbnuWKqb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214"/>
  <sheetViews>
    <sheetView tabSelected="1" view="pageBreakPreview" topLeftCell="A141" zoomScaleNormal="100" zoomScaleSheetLayoutView="100" workbookViewId="0">
      <selection activeCell="J148" sqref="J148"/>
    </sheetView>
  </sheetViews>
  <sheetFormatPr defaultColWidth="9.140625" defaultRowHeight="15.75" x14ac:dyDescent="0.25"/>
  <cols>
    <col min="1" max="1" width="11.42578125" style="39" customWidth="1"/>
    <col min="2" max="2" width="12" style="39" customWidth="1"/>
    <col min="3" max="3" width="12.7109375" style="39" customWidth="1"/>
    <col min="4" max="4" width="14.140625" style="39" customWidth="1"/>
    <col min="5" max="7" width="11.7109375" style="39" customWidth="1"/>
    <col min="8" max="8" width="12.42578125" style="39" customWidth="1"/>
    <col min="9" max="9" width="17.42578125" style="19" customWidth="1"/>
    <col min="10" max="10" width="11.42578125" style="19" customWidth="1"/>
    <col min="11" max="11" width="10.5703125" style="19" bestFit="1" customWidth="1"/>
    <col min="12" max="12" width="10.5703125" style="19" customWidth="1"/>
    <col min="13" max="13" width="11.85546875" style="19" customWidth="1"/>
    <col min="14" max="14" width="12.5703125" style="19" customWidth="1"/>
    <col min="15" max="15" width="9.85546875" style="19" customWidth="1"/>
    <col min="16" max="16" width="11.7109375" style="19" customWidth="1"/>
    <col min="17"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8" ht="46.5" customHeight="1" x14ac:dyDescent="0.25">
      <c r="A1" s="170" t="s">
        <v>248</v>
      </c>
      <c r="B1" s="170"/>
      <c r="C1" s="170"/>
      <c r="D1" s="170"/>
      <c r="E1" s="170"/>
      <c r="F1" s="170"/>
      <c r="G1" s="170"/>
      <c r="H1" s="170"/>
    </row>
    <row r="2" spans="1:8" ht="16.5" customHeight="1" x14ac:dyDescent="0.25">
      <c r="A2" s="80" t="s">
        <v>0</v>
      </c>
      <c r="B2" s="80"/>
      <c r="C2" s="80"/>
      <c r="D2" s="80"/>
      <c r="E2" s="80"/>
      <c r="F2" s="80"/>
      <c r="G2" s="80"/>
      <c r="H2" s="80"/>
    </row>
    <row r="3" spans="1:8" x14ac:dyDescent="0.25">
      <c r="A3" s="104" t="s">
        <v>1</v>
      </c>
      <c r="B3" s="104"/>
      <c r="C3" s="104"/>
      <c r="D3" s="104"/>
      <c r="E3" s="171" t="str">
        <f ca="1">TEXT(TODAY(),"DD/MM/YYYY")</f>
        <v>20/08/2025</v>
      </c>
      <c r="F3" s="104"/>
      <c r="G3" s="104"/>
      <c r="H3" s="104"/>
    </row>
    <row r="4" spans="1:8" ht="15" customHeight="1" x14ac:dyDescent="0.25">
      <c r="A4" s="104" t="s">
        <v>2</v>
      </c>
      <c r="B4" s="104"/>
      <c r="C4" s="104"/>
      <c r="D4" s="104"/>
      <c r="E4" s="104" t="s">
        <v>191</v>
      </c>
      <c r="F4" s="104"/>
      <c r="G4" s="104"/>
      <c r="H4" s="104"/>
    </row>
    <row r="5" spans="1:8" x14ac:dyDescent="0.25">
      <c r="A5" s="104" t="s">
        <v>3</v>
      </c>
      <c r="B5" s="104"/>
      <c r="C5" s="104"/>
      <c r="D5" s="104"/>
      <c r="E5" s="171">
        <v>45880</v>
      </c>
      <c r="F5" s="171"/>
      <c r="G5" s="171"/>
      <c r="H5" s="171"/>
    </row>
    <row r="6" spans="1:8" ht="16.5" customHeight="1" x14ac:dyDescent="0.25">
      <c r="A6" s="104" t="s">
        <v>4</v>
      </c>
      <c r="B6" s="104"/>
      <c r="C6" s="104"/>
      <c r="D6" s="104"/>
      <c r="E6" s="104" t="s">
        <v>192</v>
      </c>
      <c r="F6" s="104"/>
      <c r="G6" s="104"/>
      <c r="H6" s="104"/>
    </row>
    <row r="7" spans="1:8" ht="15" customHeight="1" x14ac:dyDescent="0.25">
      <c r="A7" s="104" t="s">
        <v>5</v>
      </c>
      <c r="B7" s="104"/>
      <c r="C7" s="104"/>
      <c r="D7" s="104"/>
      <c r="E7" s="104" t="str">
        <f>E6</f>
        <v>M/s. Renuka Realtors</v>
      </c>
      <c r="F7" s="104"/>
      <c r="G7" s="104"/>
      <c r="H7" s="104"/>
    </row>
    <row r="8" spans="1:8" x14ac:dyDescent="0.25">
      <c r="A8" s="104" t="s">
        <v>6</v>
      </c>
      <c r="B8" s="104"/>
      <c r="C8" s="104"/>
      <c r="D8" s="104"/>
      <c r="E8" s="172" t="s">
        <v>196</v>
      </c>
      <c r="F8" s="172"/>
      <c r="G8" s="172"/>
      <c r="H8" s="172"/>
    </row>
    <row r="9" spans="1:8" x14ac:dyDescent="0.25">
      <c r="A9" s="104" t="s">
        <v>126</v>
      </c>
      <c r="B9" s="104"/>
      <c r="C9" s="104"/>
      <c r="D9" s="104"/>
      <c r="E9" s="104">
        <v>9018149149</v>
      </c>
      <c r="F9" s="104"/>
      <c r="G9" s="104"/>
      <c r="H9" s="104"/>
    </row>
    <row r="10" spans="1:8" hidden="1" x14ac:dyDescent="0.25">
      <c r="A10" s="104" t="s">
        <v>251</v>
      </c>
      <c r="B10" s="104"/>
      <c r="C10" s="104"/>
      <c r="D10" s="104"/>
      <c r="E10" s="104" t="s">
        <v>255</v>
      </c>
      <c r="F10" s="104"/>
      <c r="G10" s="104"/>
      <c r="H10" s="104"/>
    </row>
    <row r="11" spans="1:8" x14ac:dyDescent="0.25">
      <c r="A11" s="104" t="s">
        <v>7</v>
      </c>
      <c r="B11" s="104"/>
      <c r="C11" s="104"/>
      <c r="D11" s="104"/>
      <c r="E11" s="104" t="s">
        <v>167</v>
      </c>
      <c r="F11" s="104"/>
      <c r="G11" s="104"/>
      <c r="H11" s="104"/>
    </row>
    <row r="12" spans="1:8" x14ac:dyDescent="0.25">
      <c r="A12" s="86" t="s">
        <v>8</v>
      </c>
      <c r="B12" s="86"/>
      <c r="C12" s="86"/>
      <c r="D12" s="86"/>
      <c r="E12" s="163" t="s">
        <v>194</v>
      </c>
      <c r="F12" s="163"/>
      <c r="G12" s="163"/>
      <c r="H12" s="163"/>
    </row>
    <row r="13" spans="1:8" x14ac:dyDescent="0.25">
      <c r="A13" s="86" t="s">
        <v>9</v>
      </c>
      <c r="B13" s="86"/>
      <c r="C13" s="86"/>
      <c r="D13" s="86"/>
      <c r="E13" s="163" t="s">
        <v>195</v>
      </c>
      <c r="F13" s="104"/>
      <c r="G13" s="104"/>
      <c r="H13" s="104"/>
    </row>
    <row r="14" spans="1:8" ht="66" customHeight="1" x14ac:dyDescent="0.25">
      <c r="A14" s="156" t="s">
        <v>10</v>
      </c>
      <c r="B14" s="156"/>
      <c r="C14" s="156" t="str">
        <f>CONCATENATE((IF(OR(E8="",E8="NA"),"",E8)),", ",(IF(OR(A15="",A15="NA"),"",A15)),".",(IF(OR(C15="",C15="NA"),"",C15)),", near ",(IF(OR(C19="",C19="NA"),"",C19)),", ",(IF(OR(C16="",C16="NA"),"",C16)),", ",(IF(OR(G16="",G16="NA"),"",G16)),", ",(IF(OR(C17="",C17="NA"),"",C17)),", ",(IF(OR(C18="",C18="NA"),"",C18)),", ",(IF(OR(G17="",G17="NA"),"",G17))," - ",(IF(OR(G18="",G18="NA"),"",G18)),".")</f>
        <v>Ruparel Jewel, CTS No.155(pt), 167(pt), 168, 169(pt), 170(pt), 171(pt), 714(pt), 715, 716, 717(pt), 718(pt),719(pt), 720(pt) &amp; 131 (pt) &amp; Existing Building Name - Shree Balaji SRA CHS LTD &amp; Ramyaghar CHS LTD., near Ruparel Millennia, Jerbai Wadia Road, Parel Sewree, Parel East, Mumbai, Mumbai - 400012
.</v>
      </c>
      <c r="D14" s="156"/>
      <c r="E14" s="156"/>
      <c r="F14" s="156"/>
      <c r="G14" s="156"/>
      <c r="H14" s="156"/>
    </row>
    <row r="15" spans="1:8" ht="50.25" customHeight="1" x14ac:dyDescent="0.25">
      <c r="A15" s="163" t="s">
        <v>197</v>
      </c>
      <c r="B15" s="163"/>
      <c r="C15" s="163" t="s">
        <v>215</v>
      </c>
      <c r="D15" s="163"/>
      <c r="E15" s="163"/>
      <c r="F15" s="163"/>
      <c r="G15" s="163"/>
      <c r="H15" s="163"/>
    </row>
    <row r="16" spans="1:8" ht="15.75" customHeight="1" x14ac:dyDescent="0.25">
      <c r="A16" s="156" t="s">
        <v>11</v>
      </c>
      <c r="B16" s="156"/>
      <c r="C16" s="104" t="s">
        <v>201</v>
      </c>
      <c r="D16" s="104"/>
      <c r="E16" s="156" t="s">
        <v>75</v>
      </c>
      <c r="F16" s="156"/>
      <c r="G16" s="163" t="s">
        <v>212</v>
      </c>
      <c r="H16" s="163"/>
    </row>
    <row r="17" spans="1:8" x14ac:dyDescent="0.25">
      <c r="A17" s="86" t="s">
        <v>13</v>
      </c>
      <c r="B17" s="86"/>
      <c r="C17" s="163" t="s">
        <v>202</v>
      </c>
      <c r="D17" s="163"/>
      <c r="E17" s="156" t="s">
        <v>12</v>
      </c>
      <c r="F17" s="156"/>
      <c r="G17" s="173" t="s">
        <v>198</v>
      </c>
      <c r="H17" s="174"/>
    </row>
    <row r="18" spans="1:8" x14ac:dyDescent="0.25">
      <c r="A18" s="86" t="s">
        <v>76</v>
      </c>
      <c r="B18" s="86"/>
      <c r="C18" s="163" t="s">
        <v>198</v>
      </c>
      <c r="D18" s="163"/>
      <c r="E18" s="156" t="s">
        <v>14</v>
      </c>
      <c r="F18" s="156"/>
      <c r="G18" s="163" t="s">
        <v>199</v>
      </c>
      <c r="H18" s="163"/>
    </row>
    <row r="19" spans="1:8" ht="32.25" customHeight="1" x14ac:dyDescent="0.25">
      <c r="A19" s="86" t="s">
        <v>127</v>
      </c>
      <c r="B19" s="86"/>
      <c r="C19" s="163" t="s">
        <v>193</v>
      </c>
      <c r="D19" s="163"/>
      <c r="E19" s="156" t="s">
        <v>15</v>
      </c>
      <c r="F19" s="156"/>
      <c r="G19" s="163" t="s">
        <v>200</v>
      </c>
      <c r="H19" s="163"/>
    </row>
    <row r="20" spans="1:8" ht="15" customHeight="1" x14ac:dyDescent="0.25">
      <c r="A20" s="156" t="s">
        <v>79</v>
      </c>
      <c r="B20" s="156"/>
      <c r="C20" s="156"/>
      <c r="D20" s="156"/>
      <c r="E20" s="104" t="s">
        <v>16</v>
      </c>
      <c r="F20" s="104"/>
      <c r="G20" s="104"/>
      <c r="H20" s="104"/>
    </row>
    <row r="21" spans="1:8" ht="18.75" customHeight="1" x14ac:dyDescent="0.25">
      <c r="A21" s="156"/>
      <c r="B21" s="156"/>
      <c r="C21" s="156"/>
      <c r="D21" s="156"/>
      <c r="E21" s="104"/>
      <c r="F21" s="104"/>
      <c r="G21" s="104"/>
      <c r="H21" s="104"/>
    </row>
    <row r="22" spans="1:8" ht="15" customHeight="1" x14ac:dyDescent="0.25">
      <c r="A22" s="156" t="s">
        <v>17</v>
      </c>
      <c r="B22" s="156"/>
      <c r="C22" s="156"/>
      <c r="D22" s="156"/>
      <c r="E22" s="163" t="s">
        <v>18</v>
      </c>
      <c r="F22" s="163"/>
      <c r="G22" s="163"/>
      <c r="H22" s="163"/>
    </row>
    <row r="23" spans="1:8" ht="15" customHeight="1" x14ac:dyDescent="0.25">
      <c r="A23" s="86" t="s">
        <v>19</v>
      </c>
      <c r="B23" s="86"/>
      <c r="C23" s="86"/>
      <c r="D23" s="86"/>
      <c r="E23" s="163" t="str">
        <f>IF(AND(G17="Mumbai"),"Upper Class","Middle Class")</f>
        <v>Upper Class</v>
      </c>
      <c r="F23" s="163"/>
      <c r="G23" s="163"/>
      <c r="H23" s="163"/>
    </row>
    <row r="24" spans="1:8" x14ac:dyDescent="0.25">
      <c r="A24" s="86" t="s">
        <v>20</v>
      </c>
      <c r="B24" s="86"/>
      <c r="C24" s="86"/>
      <c r="D24" s="86"/>
      <c r="E24" s="163" t="s">
        <v>21</v>
      </c>
      <c r="F24" s="163"/>
      <c r="G24" s="163"/>
      <c r="H24" s="163"/>
    </row>
    <row r="25" spans="1:8" ht="15.75" customHeight="1" x14ac:dyDescent="0.25">
      <c r="A25" s="86" t="s">
        <v>22</v>
      </c>
      <c r="B25" s="86"/>
      <c r="C25" s="86"/>
      <c r="D25" s="86"/>
      <c r="E25" s="163" t="str">
        <f>IF(AND(G17="Mumbai"),"Developed","Developing")</f>
        <v>Developed</v>
      </c>
      <c r="F25" s="163"/>
      <c r="G25" s="163"/>
      <c r="H25" s="163"/>
    </row>
    <row r="26" spans="1:8" x14ac:dyDescent="0.25">
      <c r="A26" s="86" t="s">
        <v>23</v>
      </c>
      <c r="B26" s="86"/>
      <c r="C26" s="86"/>
      <c r="D26" s="86"/>
      <c r="E26" s="163" t="s">
        <v>24</v>
      </c>
      <c r="F26" s="163"/>
      <c r="G26" s="163"/>
      <c r="H26" s="163"/>
    </row>
    <row r="27" spans="1:8" ht="15.75" customHeight="1" x14ac:dyDescent="0.25">
      <c r="A27" s="86" t="s">
        <v>84</v>
      </c>
      <c r="B27" s="86"/>
      <c r="C27" s="86"/>
      <c r="D27" s="86"/>
      <c r="E27" s="163" t="s">
        <v>85</v>
      </c>
      <c r="F27" s="163"/>
      <c r="G27" s="163"/>
      <c r="H27" s="163"/>
    </row>
    <row r="28" spans="1:8" ht="15" customHeight="1" x14ac:dyDescent="0.25">
      <c r="A28" s="86" t="s">
        <v>33</v>
      </c>
      <c r="B28" s="86"/>
      <c r="C28" s="86"/>
      <c r="D28" s="86"/>
      <c r="E28" s="163" t="str">
        <f>IF(AND(ISNUMBER(SEARCH("Flat",D54)),ISNUMBER(SEARCH("Shop",D54)),ISNUMBER(SEARCH("Office",D54))),"Residential + Commercial",IF(AND(ISNUMBER(SEARCH("Flat",D54)),ISNUMBER(SEARCH("Shop",D54))),"Residential + Commercial",IF(AND(ISNUMBER(SEARCH("Flat",D54)),ISNUMBER(SEARCH("Office",D54))),"Residential + Commercial",IF(AND(ISNUMBER(SEARCH("Shop",D54)),ISNUMBER(SEARCH("Office",D54))),"Commercial",IF(ISNUMBER(SEARCH("Shop",D54)),"Commercial",IF(ISNUMBER(SEARCH("Office",D54)),"Commercial",IF(ISNUMBER(SEARCH("Flat",D54)),"Residentail")))))))</f>
        <v>Residential + Commercial</v>
      </c>
      <c r="F28" s="163"/>
      <c r="G28" s="163"/>
      <c r="H28" s="163"/>
    </row>
    <row r="29" spans="1:8" ht="15.75" customHeight="1" x14ac:dyDescent="0.25">
      <c r="A29" s="86" t="s">
        <v>96</v>
      </c>
      <c r="B29" s="86"/>
      <c r="C29" s="86"/>
      <c r="D29" s="86"/>
      <c r="E29" s="163" t="s">
        <v>34</v>
      </c>
      <c r="F29" s="163"/>
      <c r="G29" s="163"/>
      <c r="H29" s="163"/>
    </row>
    <row r="30" spans="1:8" s="20" customFormat="1" x14ac:dyDescent="0.25">
      <c r="A30" s="180" t="s">
        <v>97</v>
      </c>
      <c r="B30" s="180"/>
      <c r="C30" s="178" t="s">
        <v>29</v>
      </c>
      <c r="D30" s="178"/>
      <c r="E30" s="178"/>
      <c r="F30" s="178" t="s">
        <v>31</v>
      </c>
      <c r="G30" s="178"/>
      <c r="H30" s="178"/>
    </row>
    <row r="31" spans="1:8" s="20" customFormat="1" x14ac:dyDescent="0.25">
      <c r="A31" s="175" t="s">
        <v>25</v>
      </c>
      <c r="B31" s="175" t="s">
        <v>30</v>
      </c>
      <c r="C31" s="176" t="s">
        <v>30</v>
      </c>
      <c r="D31" s="176"/>
      <c r="E31" s="176"/>
      <c r="F31" s="176" t="s">
        <v>203</v>
      </c>
      <c r="G31" s="176"/>
      <c r="H31" s="176"/>
    </row>
    <row r="32" spans="1:8" x14ac:dyDescent="0.25">
      <c r="A32" s="175" t="s">
        <v>26</v>
      </c>
      <c r="B32" s="175" t="s">
        <v>30</v>
      </c>
      <c r="C32" s="176" t="s">
        <v>30</v>
      </c>
      <c r="D32" s="176"/>
      <c r="E32" s="176"/>
      <c r="F32" s="176" t="s">
        <v>193</v>
      </c>
      <c r="G32" s="176"/>
      <c r="H32" s="176"/>
    </row>
    <row r="33" spans="1:8" s="20" customFormat="1" x14ac:dyDescent="0.25">
      <c r="A33" s="175" t="s">
        <v>28</v>
      </c>
      <c r="B33" s="175" t="s">
        <v>30</v>
      </c>
      <c r="C33" s="176" t="s">
        <v>30</v>
      </c>
      <c r="D33" s="176"/>
      <c r="E33" s="176"/>
      <c r="F33" s="176" t="s">
        <v>204</v>
      </c>
      <c r="G33" s="176"/>
      <c r="H33" s="176"/>
    </row>
    <row r="34" spans="1:8" x14ac:dyDescent="0.25">
      <c r="A34" s="175" t="s">
        <v>27</v>
      </c>
      <c r="B34" s="175" t="s">
        <v>30</v>
      </c>
      <c r="C34" s="176" t="s">
        <v>30</v>
      </c>
      <c r="D34" s="176"/>
      <c r="E34" s="176"/>
      <c r="F34" s="176" t="s">
        <v>205</v>
      </c>
      <c r="G34" s="176"/>
      <c r="H34" s="176"/>
    </row>
    <row r="35" spans="1:8" x14ac:dyDescent="0.25">
      <c r="A35" s="86" t="s">
        <v>32</v>
      </c>
      <c r="B35" s="86"/>
      <c r="C35" s="86"/>
      <c r="D35" s="86"/>
      <c r="E35" s="86"/>
      <c r="F35" s="86"/>
      <c r="G35" s="86"/>
      <c r="H35" s="86"/>
    </row>
    <row r="36" spans="1:8" ht="15.75" customHeight="1" x14ac:dyDescent="0.25">
      <c r="A36" s="179" t="s">
        <v>244</v>
      </c>
      <c r="B36" s="179"/>
      <c r="C36" s="181" t="s">
        <v>252</v>
      </c>
      <c r="D36" s="182"/>
      <c r="E36" s="182"/>
      <c r="F36" s="182"/>
      <c r="G36" s="182"/>
      <c r="H36" s="183"/>
    </row>
    <row r="37" spans="1:8" ht="15.75" customHeight="1" x14ac:dyDescent="0.25">
      <c r="A37" s="179" t="s">
        <v>245</v>
      </c>
      <c r="B37" s="179"/>
      <c r="C37" s="184" t="s">
        <v>246</v>
      </c>
      <c r="D37" s="182"/>
      <c r="E37" s="182"/>
      <c r="F37" s="182"/>
      <c r="G37" s="182"/>
      <c r="H37" s="183"/>
    </row>
    <row r="38" spans="1:8" x14ac:dyDescent="0.25">
      <c r="A38" s="147" t="s">
        <v>35</v>
      </c>
      <c r="B38" s="147"/>
      <c r="C38" s="147"/>
      <c r="D38" s="147"/>
      <c r="E38" s="147"/>
      <c r="F38" s="147"/>
      <c r="G38" s="147"/>
      <c r="H38" s="147"/>
    </row>
    <row r="39" spans="1:8" x14ac:dyDescent="0.25">
      <c r="A39" s="86" t="s">
        <v>36</v>
      </c>
      <c r="B39" s="86"/>
      <c r="C39" s="86"/>
      <c r="D39" s="86"/>
      <c r="E39" s="177">
        <v>5483.21</v>
      </c>
      <c r="F39" s="177"/>
      <c r="G39" s="177"/>
      <c r="H39" s="177"/>
    </row>
    <row r="40" spans="1:8" x14ac:dyDescent="0.25">
      <c r="A40" s="86" t="s">
        <v>37</v>
      </c>
      <c r="B40" s="86"/>
      <c r="C40" s="86"/>
      <c r="D40" s="86"/>
      <c r="E40" s="133">
        <v>3</v>
      </c>
      <c r="F40" s="133"/>
      <c r="G40" s="133"/>
      <c r="H40" s="133"/>
    </row>
    <row r="41" spans="1:8" x14ac:dyDescent="0.25">
      <c r="A41" s="86" t="s">
        <v>38</v>
      </c>
      <c r="B41" s="86"/>
      <c r="C41" s="86"/>
      <c r="D41" s="86"/>
      <c r="E41" s="133">
        <f>E43/E39-E40</f>
        <v>3.1248684620869893</v>
      </c>
      <c r="F41" s="133"/>
      <c r="G41" s="133"/>
      <c r="H41" s="133"/>
    </row>
    <row r="42" spans="1:8" x14ac:dyDescent="0.25">
      <c r="A42" s="86" t="s">
        <v>39</v>
      </c>
      <c r="B42" s="86"/>
      <c r="C42" s="86"/>
      <c r="D42" s="86"/>
      <c r="E42" s="133">
        <f>E40+E41</f>
        <v>6.1248684620869893</v>
      </c>
      <c r="F42" s="133"/>
      <c r="G42" s="133"/>
      <c r="H42" s="133"/>
    </row>
    <row r="43" spans="1:8" x14ac:dyDescent="0.25">
      <c r="A43" s="86" t="s">
        <v>95</v>
      </c>
      <c r="B43" s="86"/>
      <c r="C43" s="86"/>
      <c r="D43" s="86"/>
      <c r="E43" s="169">
        <v>33583.94</v>
      </c>
      <c r="F43" s="169"/>
      <c r="G43" s="169"/>
      <c r="H43" s="169"/>
    </row>
    <row r="44" spans="1:8" x14ac:dyDescent="0.25">
      <c r="A44" s="104" t="s">
        <v>40</v>
      </c>
      <c r="B44" s="104"/>
      <c r="C44" s="104"/>
      <c r="D44" s="104"/>
      <c r="E44" s="104" t="s">
        <v>206</v>
      </c>
      <c r="F44" s="104"/>
      <c r="G44" s="104"/>
      <c r="H44" s="104"/>
    </row>
    <row r="45" spans="1:8" x14ac:dyDescent="0.25">
      <c r="A45" s="147" t="s">
        <v>41</v>
      </c>
      <c r="B45" s="147"/>
      <c r="C45" s="147"/>
      <c r="D45" s="147"/>
      <c r="E45" s="147"/>
      <c r="F45" s="147"/>
      <c r="G45" s="147"/>
      <c r="H45" s="147"/>
    </row>
    <row r="46" spans="1:8" ht="33.75" customHeight="1" x14ac:dyDescent="0.25">
      <c r="A46" s="134" t="s">
        <v>155</v>
      </c>
      <c r="B46" s="135"/>
      <c r="C46" s="166" t="s">
        <v>207</v>
      </c>
      <c r="D46" s="167"/>
      <c r="E46" s="167"/>
      <c r="F46" s="167"/>
      <c r="G46" s="167"/>
      <c r="H46" s="168"/>
    </row>
    <row r="47" spans="1:8" x14ac:dyDescent="0.25">
      <c r="A47" s="134" t="s">
        <v>42</v>
      </c>
      <c r="B47" s="135"/>
      <c r="C47" s="134" t="s">
        <v>208</v>
      </c>
      <c r="D47" s="136"/>
      <c r="E47" s="135"/>
      <c r="F47" s="18" t="s">
        <v>43</v>
      </c>
      <c r="G47" s="137">
        <v>44547</v>
      </c>
      <c r="H47" s="135"/>
    </row>
    <row r="48" spans="1:8" x14ac:dyDescent="0.25">
      <c r="A48" s="134" t="s">
        <v>44</v>
      </c>
      <c r="B48" s="135"/>
      <c r="C48" s="134" t="str">
        <f>C47</f>
        <v>SRA/ENG/2674/FS/ML/AP</v>
      </c>
      <c r="D48" s="136"/>
      <c r="E48" s="135"/>
      <c r="F48" s="18" t="s">
        <v>43</v>
      </c>
      <c r="G48" s="137">
        <f>G47</f>
        <v>44547</v>
      </c>
      <c r="H48" s="138"/>
    </row>
    <row r="49" spans="1:14" s="21" customFormat="1" ht="15.75" customHeight="1" x14ac:dyDescent="0.25">
      <c r="A49" s="151" t="s">
        <v>159</v>
      </c>
      <c r="B49" s="152"/>
      <c r="C49" s="134" t="str">
        <f>C48</f>
        <v>SRA/ENG/2674/FS/ML/AP</v>
      </c>
      <c r="D49" s="136"/>
      <c r="E49" s="135"/>
      <c r="F49" s="18" t="s">
        <v>43</v>
      </c>
      <c r="G49" s="137">
        <v>43080</v>
      </c>
      <c r="H49" s="138"/>
    </row>
    <row r="50" spans="1:14" s="21" customFormat="1" ht="34.5" customHeight="1" x14ac:dyDescent="0.25">
      <c r="A50" s="153"/>
      <c r="B50" s="154"/>
      <c r="C50" s="134" t="s">
        <v>211</v>
      </c>
      <c r="D50" s="136"/>
      <c r="E50" s="136"/>
      <c r="F50" s="136"/>
      <c r="G50" s="136"/>
      <c r="H50" s="135"/>
    </row>
    <row r="51" spans="1:14" x14ac:dyDescent="0.25">
      <c r="A51" s="144" t="s">
        <v>45</v>
      </c>
      <c r="B51" s="145"/>
      <c r="C51" s="144" t="s">
        <v>110</v>
      </c>
      <c r="D51" s="146"/>
      <c r="E51" s="145"/>
      <c r="F51" s="43" t="s">
        <v>43</v>
      </c>
      <c r="G51" s="164" t="s">
        <v>30</v>
      </c>
      <c r="H51" s="165"/>
    </row>
    <row r="52" spans="1:14" x14ac:dyDescent="0.25">
      <c r="A52" s="155" t="s">
        <v>47</v>
      </c>
      <c r="B52" s="155"/>
      <c r="C52" s="155"/>
      <c r="D52" s="155"/>
      <c r="E52" s="155"/>
      <c r="F52" s="155"/>
      <c r="G52" s="155"/>
      <c r="H52" s="155"/>
    </row>
    <row r="53" spans="1:14" x14ac:dyDescent="0.25">
      <c r="A53" s="156" t="s">
        <v>94</v>
      </c>
      <c r="B53" s="156"/>
      <c r="C53" s="156"/>
      <c r="D53" s="86">
        <f>E43</f>
        <v>33583.94</v>
      </c>
      <c r="E53" s="86"/>
      <c r="F53" s="86"/>
      <c r="G53" s="86"/>
      <c r="H53" s="86"/>
    </row>
    <row r="54" spans="1:14" x14ac:dyDescent="0.25">
      <c r="A54" s="163" t="s">
        <v>48</v>
      </c>
      <c r="B54" s="104"/>
      <c r="C54" s="104"/>
      <c r="D54" s="104" t="s">
        <v>190</v>
      </c>
      <c r="E54" s="104"/>
      <c r="F54" s="104"/>
      <c r="G54" s="104"/>
      <c r="H54" s="104"/>
      <c r="I54" s="22"/>
    </row>
    <row r="55" spans="1:14" x14ac:dyDescent="0.25">
      <c r="A55" s="139" t="s">
        <v>49</v>
      </c>
      <c r="B55" s="140"/>
      <c r="C55" s="150"/>
      <c r="D55" s="148" t="s">
        <v>209</v>
      </c>
      <c r="E55" s="149"/>
      <c r="F55" s="149"/>
      <c r="G55" s="149"/>
      <c r="H55" s="149"/>
    </row>
    <row r="56" spans="1:14" ht="15.75" customHeight="1" x14ac:dyDescent="0.25">
      <c r="A56" s="139" t="s">
        <v>92</v>
      </c>
      <c r="B56" s="140"/>
      <c r="C56" s="140"/>
      <c r="D56" s="141" t="s">
        <v>209</v>
      </c>
      <c r="E56" s="142"/>
      <c r="F56" s="142"/>
      <c r="G56" s="142"/>
      <c r="H56" s="143"/>
    </row>
    <row r="57" spans="1:14" ht="15.75" customHeight="1" x14ac:dyDescent="0.25">
      <c r="A57" s="86" t="s">
        <v>46</v>
      </c>
      <c r="B57" s="86"/>
      <c r="C57" s="86"/>
      <c r="D57" s="163" t="s">
        <v>258</v>
      </c>
      <c r="E57" s="163"/>
      <c r="F57" s="163"/>
      <c r="G57" s="163"/>
      <c r="H57" s="163"/>
      <c r="J57" s="23"/>
      <c r="K57" s="22"/>
      <c r="N57" s="22"/>
    </row>
    <row r="58" spans="1:14" ht="15.75" customHeight="1" x14ac:dyDescent="0.25">
      <c r="A58" s="86" t="s">
        <v>90</v>
      </c>
      <c r="B58" s="86"/>
      <c r="C58" s="86"/>
      <c r="D58" s="199" t="str">
        <f>(IF(G51="NA","60 Years After Completion",IF(G51&lt;&gt;"NA",""&amp;60-ROUNDDOWN((E3-G51)/360,0)&amp;" Years"," ")))</f>
        <v>60 Years After Completion</v>
      </c>
      <c r="E58" s="199"/>
      <c r="F58" s="199"/>
      <c r="G58" s="199"/>
      <c r="H58" s="199"/>
      <c r="N58" s="22"/>
    </row>
    <row r="59" spans="1:14" ht="15.75" customHeight="1" x14ac:dyDescent="0.25">
      <c r="A59" s="86" t="s">
        <v>91</v>
      </c>
      <c r="B59" s="86"/>
      <c r="C59" s="86"/>
      <c r="D59" s="156" t="s">
        <v>24</v>
      </c>
      <c r="E59" s="156"/>
      <c r="F59" s="156"/>
      <c r="G59" s="156"/>
      <c r="H59" s="156"/>
      <c r="J59" s="16"/>
      <c r="K59" s="16"/>
    </row>
    <row r="60" spans="1:14" x14ac:dyDescent="0.25">
      <c r="A60" s="86" t="s">
        <v>77</v>
      </c>
      <c r="B60" s="86"/>
      <c r="C60" s="86"/>
      <c r="D60" s="163" t="s">
        <v>247</v>
      </c>
      <c r="E60" s="156"/>
      <c r="F60" s="156"/>
      <c r="G60" s="156"/>
      <c r="H60" s="156"/>
    </row>
    <row r="61" spans="1:14" x14ac:dyDescent="0.25">
      <c r="A61" s="156" t="s">
        <v>153</v>
      </c>
      <c r="B61" s="156"/>
      <c r="C61" s="156"/>
      <c r="D61" s="156" t="s">
        <v>30</v>
      </c>
      <c r="E61" s="156"/>
      <c r="F61" s="156"/>
      <c r="G61" s="156"/>
      <c r="H61" s="156"/>
      <c r="I61" s="24"/>
      <c r="J61" s="24"/>
      <c r="K61" s="24"/>
      <c r="L61" s="24"/>
      <c r="M61" s="24"/>
      <c r="N61" s="24"/>
    </row>
    <row r="62" spans="1:14" ht="15.75" customHeight="1" x14ac:dyDescent="0.25">
      <c r="A62" s="157" t="s">
        <v>89</v>
      </c>
      <c r="B62" s="157"/>
      <c r="C62" s="157"/>
      <c r="D62" s="148" t="str">
        <f ca="1">(IF(G68&gt;95%,"Nothing",IF(G68&gt;0%,"Cement, Aggregate, Steel, etc",IF(G68=0%,"Work not yet Started"))))</f>
        <v>Cement, Aggregate, Steel, etc</v>
      </c>
      <c r="E62" s="148"/>
      <c r="F62" s="148"/>
      <c r="G62" s="148"/>
      <c r="H62" s="148"/>
      <c r="J62" s="16"/>
    </row>
    <row r="63" spans="1:14" ht="33.75" customHeight="1" thickBot="1" x14ac:dyDescent="0.3">
      <c r="A63" s="156" t="s">
        <v>123</v>
      </c>
      <c r="B63" s="156"/>
      <c r="C63" s="156"/>
      <c r="D63" s="163" t="str">
        <f ca="1">(IF(D62="Nothing","Yes",IF(D62="Cement, Aggregate, Steel, etc","Under Construction",IF(D62="Work not yet Started","Work not yet Started"))))</f>
        <v>Under Construction</v>
      </c>
      <c r="E63" s="163"/>
      <c r="F63" s="163" t="str">
        <f ca="1">(IF(D62="Nothing","Yes",IF(D62="Cement, Aggregate, Steel, etc","Under Construction",IF(D62="Work not yet Started","Work not yet Started"))))</f>
        <v>Under Construction</v>
      </c>
      <c r="G63" s="163"/>
      <c r="H63" s="163"/>
      <c r="I63" s="90"/>
      <c r="J63" s="91"/>
      <c r="K63" s="91"/>
      <c r="L63" s="91"/>
    </row>
    <row r="64" spans="1:14" ht="15.75" customHeight="1" x14ac:dyDescent="0.25">
      <c r="A64" s="200" t="s">
        <v>145</v>
      </c>
      <c r="B64" s="200"/>
      <c r="C64" s="202" t="str">
        <f>D56</f>
        <v>LG + UG + 1st to 7th Podium Floor + 1st to 50th Floor.</v>
      </c>
      <c r="D64" s="202"/>
      <c r="E64" s="202"/>
      <c r="F64" s="202"/>
      <c r="G64" s="202"/>
      <c r="H64" s="202"/>
      <c r="I64" s="15" t="str">
        <f ca="1">(IF(E68&gt;99%,"All work completed. Please provide OC.",IF(E68&gt;89.8%,"Plinth, RCC, Brick, Plaster, Flooring, Painting work Completed. Finishing work is in process.",IF(E68&lt;94%,(IF(C68=0,"Work not yet Started.",IF(D68=25%,"Piling work in process",IF(D68=50%,"Excavation work in process",IF(D68=100%,"Excavation work Completed. ","0")))&amp;(IF(C69=0%,"",IF(C69=J70,"Footing work is process",IF(C69=J71,"Footing work Completed",IF(C69=J72,"1st Basement Completed",IF(C69=J73,"1st &amp; 2nd Basement Completed",IF(C69=J74,"1st to 3rd Basement Completed",IF(C69=J75,"1st to 4th Basement Completed",IF(C69=J76,"Plinth work is process",IF(C69=J77,"Plinth work completed","0")))))))))))&amp;(IF(C70=(D65+F65+H65),", RCC Slab Completed",IF(C70&gt;0,", RCC upto "&amp;C70&amp;" Slab Completed",""))&amp;(IF(C71=H65,", Brickwork Completed",IF(C71&gt;0,", Brickwork upto "&amp;C71&amp;" Floor Completed",""))&amp;(IF(C72=H65,", Internal Plaster Completed",IF(C72&gt;0,", Internal Plaster upto "&amp;C72&amp;" Floor Completed",""))&amp;(IF(C73=H65,", External Plaster Completed",IF(C73&gt;0,", External Plaster upto "&amp;C73&amp;" Floor Completed",""))&amp;(IF(C74=H65,", Flooring Completed",IF(C74&gt;0,", Flooring upto "&amp;C74&amp;" Floor Completed",""))&amp;(IF(C75=H65,", Painting Completed",IF(C75&gt;0,", Painting upto "&amp;C75&amp;" Floor Completed",""))&amp;(IF(C76&gt;0,", Finishing upto "&amp;C76&amp;" Floor Completed","")&amp;(IF(C70&gt;0.5,".",""))))))))))))))</f>
        <v>Excavation work Completed. Plinth work completed, RCC upto 38 Slab Completed, Brickwork upto 30 Floor Completed, Internal Plaster upto 22.5 Floor Completed, External Plaster upto 22.5 Floor Completed, Flooring upto 15 Floor Completed.</v>
      </c>
      <c r="J64" s="25"/>
    </row>
    <row r="65" spans="1:14" x14ac:dyDescent="0.25">
      <c r="A65" s="68" t="s">
        <v>147</v>
      </c>
      <c r="B65" s="68">
        <v>0</v>
      </c>
      <c r="C65" s="68" t="s">
        <v>74</v>
      </c>
      <c r="D65" s="68">
        <v>2</v>
      </c>
      <c r="E65" s="68" t="s">
        <v>73</v>
      </c>
      <c r="F65" s="68">
        <v>7</v>
      </c>
      <c r="G65" s="68" t="s">
        <v>83</v>
      </c>
      <c r="H65" s="68">
        <f ca="1">--TRIM(RIGHT(SUBSTITUTE(LEFT(C64,_xlfn.AGGREGATE(16,6,FIND({0,1,2,3,4,5,6,7,8,9},C64,ROW(INDIRECT("1:"&amp;LEN(C64)))),1))," ",REPT(" ",LEN(C64))),LEN(C64)))</f>
        <v>50</v>
      </c>
      <c r="I65" s="16"/>
      <c r="J65" s="26"/>
    </row>
    <row r="66" spans="1:14" ht="63.75" customHeight="1" x14ac:dyDescent="0.25">
      <c r="A66" s="172" t="s">
        <v>93</v>
      </c>
      <c r="B66" s="172"/>
      <c r="C66" s="200" t="str">
        <f ca="1">(IF($G$51="NA",I64,"All work Completed. OC Received."))</f>
        <v>Excavation work Completed. Plinth work completed, RCC upto 38 Slab Completed, Brickwork upto 30 Floor Completed, Internal Plaster upto 22.5 Floor Completed, External Plaster upto 22.5 Floor Completed, Flooring upto 15 Floor Completed.</v>
      </c>
      <c r="D66" s="200"/>
      <c r="E66" s="200"/>
      <c r="F66" s="200"/>
      <c r="G66" s="200"/>
      <c r="H66" s="200"/>
      <c r="I66" s="16" t="s">
        <v>109</v>
      </c>
      <c r="J66" s="26"/>
    </row>
    <row r="67" spans="1:14" ht="15.75" customHeight="1" x14ac:dyDescent="0.25">
      <c r="A67" s="76" t="s">
        <v>50</v>
      </c>
      <c r="B67" s="77"/>
      <c r="C67" s="46" t="s">
        <v>144</v>
      </c>
      <c r="D67" s="46" t="s">
        <v>86</v>
      </c>
      <c r="E67" s="77" t="s">
        <v>88</v>
      </c>
      <c r="F67" s="77"/>
      <c r="G67" s="77" t="s">
        <v>87</v>
      </c>
      <c r="H67" s="201"/>
      <c r="I67" s="14" t="s">
        <v>146</v>
      </c>
      <c r="J67" s="27">
        <f ca="1">H65*25%</f>
        <v>12.5</v>
      </c>
    </row>
    <row r="68" spans="1:14" x14ac:dyDescent="0.25">
      <c r="A68" s="76" t="s">
        <v>133</v>
      </c>
      <c r="B68" s="77"/>
      <c r="C68" s="46">
        <f ca="1">J69</f>
        <v>50</v>
      </c>
      <c r="D68" s="47">
        <f ca="1">((100/H65)*C68)/100</f>
        <v>1</v>
      </c>
      <c r="E68" s="70">
        <f ca="1">(((C69/H65*10)+(40/(D65+F65+H65)*C70)+(7.5/(H65)*C71)+(7.5/(H65)*C72)+(10/H65*C73)+(10/H65*C74)+(5/H65*C75)+(5/H65*C76)+(5/H65*C77))/100)</f>
        <v>0.51137711864406787</v>
      </c>
      <c r="F68" s="196"/>
      <c r="G68" s="70">
        <f ca="1">((((C68/H65)*20)+((C69/H65)*25)+(30/(H65+F65+D65)*C70)+(5/H65*C71)+(5/H65*C72)+(5/H65*C73)+(5/H65*C74)+(0/H65*C75)+(0/H65*C76)+(5/H65*C77))/100)</f>
        <v>0.73322033898305083</v>
      </c>
      <c r="H68" s="71"/>
      <c r="I68" s="14" t="s">
        <v>104</v>
      </c>
      <c r="J68" s="28">
        <f ca="1">H65*50%</f>
        <v>25</v>
      </c>
    </row>
    <row r="69" spans="1:14" x14ac:dyDescent="0.25">
      <c r="A69" s="76" t="s">
        <v>51</v>
      </c>
      <c r="B69" s="77"/>
      <c r="C69" s="46">
        <f ca="1">J77</f>
        <v>50</v>
      </c>
      <c r="D69" s="47">
        <f ca="1">((100/H65)*C69)/100</f>
        <v>1</v>
      </c>
      <c r="E69" s="72"/>
      <c r="F69" s="197"/>
      <c r="G69" s="72"/>
      <c r="H69" s="73"/>
      <c r="I69" s="14" t="s">
        <v>105</v>
      </c>
      <c r="J69" s="28">
        <f ca="1">H65</f>
        <v>50</v>
      </c>
    </row>
    <row r="70" spans="1:14" ht="15.75" customHeight="1" x14ac:dyDescent="0.25">
      <c r="A70" s="76" t="s">
        <v>134</v>
      </c>
      <c r="B70" s="77"/>
      <c r="C70" s="46">
        <v>38</v>
      </c>
      <c r="D70" s="47">
        <f ca="1">((100/(D65+F65+H65))*C70)/100</f>
        <v>0.64406779661016944</v>
      </c>
      <c r="E70" s="72"/>
      <c r="F70" s="197"/>
      <c r="G70" s="72"/>
      <c r="H70" s="73"/>
      <c r="I70" s="14" t="s">
        <v>106</v>
      </c>
      <c r="J70" s="29">
        <f ca="1">(IF(B65&gt;1,(H65/(B65+2)),H65/4))</f>
        <v>12.5</v>
      </c>
      <c r="K70" s="66" t="s">
        <v>250</v>
      </c>
    </row>
    <row r="71" spans="1:14" ht="15.75" customHeight="1" x14ac:dyDescent="0.25">
      <c r="A71" s="76" t="s">
        <v>141</v>
      </c>
      <c r="B71" s="77" t="s">
        <v>135</v>
      </c>
      <c r="C71" s="46">
        <f>C70-F65-1</f>
        <v>30</v>
      </c>
      <c r="D71" s="47">
        <f ca="1">((100/H65)*C71)/100</f>
        <v>0.6</v>
      </c>
      <c r="E71" s="72"/>
      <c r="F71" s="197"/>
      <c r="G71" s="72"/>
      <c r="H71" s="73"/>
      <c r="I71" s="14" t="s">
        <v>107</v>
      </c>
      <c r="J71" s="29">
        <f ca="1">(IF(B65&gt;1,(H65/(B65+2)+J70),H65/4+J70))</f>
        <v>25</v>
      </c>
      <c r="L71" s="19">
        <f>0.48*56</f>
        <v>26.88</v>
      </c>
    </row>
    <row r="72" spans="1:14" ht="15.75" customHeight="1" x14ac:dyDescent="0.25">
      <c r="A72" s="76" t="s">
        <v>142</v>
      </c>
      <c r="B72" s="77" t="s">
        <v>135</v>
      </c>
      <c r="C72" s="64">
        <f>C71*0.75</f>
        <v>22.5</v>
      </c>
      <c r="D72" s="47">
        <f ca="1">((100/H65)*C72)/100</f>
        <v>0.45</v>
      </c>
      <c r="E72" s="72"/>
      <c r="F72" s="197"/>
      <c r="G72" s="72"/>
      <c r="H72" s="73"/>
      <c r="I72" s="14" t="s">
        <v>151</v>
      </c>
      <c r="J72" s="29">
        <f>(IF(B65&gt;1,(H65/(B65+2)+J71),0))</f>
        <v>0</v>
      </c>
    </row>
    <row r="73" spans="1:14" ht="15" customHeight="1" x14ac:dyDescent="0.25">
      <c r="A73" s="76" t="s">
        <v>140</v>
      </c>
      <c r="B73" s="77" t="s">
        <v>137</v>
      </c>
      <c r="C73" s="64">
        <f>C72</f>
        <v>22.5</v>
      </c>
      <c r="D73" s="47">
        <f ca="1">((100/(H65))*C73)/100</f>
        <v>0.45</v>
      </c>
      <c r="E73" s="72"/>
      <c r="F73" s="197"/>
      <c r="G73" s="72"/>
      <c r="H73" s="73"/>
      <c r="I73" s="14" t="s">
        <v>148</v>
      </c>
      <c r="J73" s="29">
        <f>(IF(B65&gt;2,(H65/(B65+2)+J72),0))</f>
        <v>0</v>
      </c>
    </row>
    <row r="74" spans="1:14" ht="15.75" customHeight="1" x14ac:dyDescent="0.25">
      <c r="A74" s="76" t="s">
        <v>136</v>
      </c>
      <c r="B74" s="77" t="s">
        <v>136</v>
      </c>
      <c r="C74" s="46">
        <v>15</v>
      </c>
      <c r="D74" s="47">
        <f ca="1">((100/H65)*C74)/100</f>
        <v>0.3</v>
      </c>
      <c r="E74" s="72"/>
      <c r="F74" s="197"/>
      <c r="G74" s="72"/>
      <c r="H74" s="73"/>
      <c r="I74" s="14" t="s">
        <v>149</v>
      </c>
      <c r="J74" s="30">
        <f>(IF(B65&gt;3,(H65/(B65+2)+J73),0))</f>
        <v>0</v>
      </c>
    </row>
    <row r="75" spans="1:14" ht="15.75" customHeight="1" x14ac:dyDescent="0.25">
      <c r="A75" s="76" t="s">
        <v>143</v>
      </c>
      <c r="B75" s="77"/>
      <c r="C75" s="46">
        <v>0</v>
      </c>
      <c r="D75" s="47">
        <f ca="1">((100/H65)*C75)/100</f>
        <v>0</v>
      </c>
      <c r="E75" s="72"/>
      <c r="F75" s="197"/>
      <c r="G75" s="72"/>
      <c r="H75" s="73"/>
      <c r="I75" s="14" t="s">
        <v>150</v>
      </c>
      <c r="J75" s="29">
        <f>(IF(B65&gt;4,(H65/(B65+2)+J74),0))</f>
        <v>0</v>
      </c>
    </row>
    <row r="76" spans="1:14" ht="15.75" customHeight="1" x14ac:dyDescent="0.25">
      <c r="A76" s="76" t="s">
        <v>138</v>
      </c>
      <c r="B76" s="77" t="s">
        <v>138</v>
      </c>
      <c r="C76" s="46">
        <v>0</v>
      </c>
      <c r="D76" s="47">
        <f ca="1">((100/(H65))*C76)/100</f>
        <v>0</v>
      </c>
      <c r="E76" s="72"/>
      <c r="F76" s="197"/>
      <c r="G76" s="72"/>
      <c r="H76" s="73"/>
      <c r="I76" s="14" t="s">
        <v>152</v>
      </c>
      <c r="J76" s="29">
        <f ca="1">(IF(B65=1,(H65/(B65+3)+J71),IF(B65=0,(H65/4+J71),IF(B65&gt;1,0))))</f>
        <v>37.5</v>
      </c>
    </row>
    <row r="77" spans="1:14" ht="16.5" thickBot="1" x14ac:dyDescent="0.3">
      <c r="A77" s="78" t="s">
        <v>139</v>
      </c>
      <c r="B77" s="79"/>
      <c r="C77" s="48">
        <v>0</v>
      </c>
      <c r="D77" s="49">
        <f ca="1">((100/(H65))*C77)/100</f>
        <v>0</v>
      </c>
      <c r="E77" s="74"/>
      <c r="F77" s="198"/>
      <c r="G77" s="74"/>
      <c r="H77" s="75"/>
      <c r="I77" s="17" t="s">
        <v>108</v>
      </c>
      <c r="J77" s="31">
        <f ca="1">(IF(B65&gt;1.5,(H65/(B65+2)+J71+MAX(0,J72-J71)+MAX(0,J73-J72)+MAX(0,J74-J73)+MAX(0,J75-J74)+MAX(0,J76-J75)),IF(B65=1,(H65/(B65+3)+J76),IF(B65=0,H65/4+J76))))</f>
        <v>50</v>
      </c>
    </row>
    <row r="78" spans="1:14" x14ac:dyDescent="0.25">
      <c r="A78" s="131" t="s">
        <v>161</v>
      </c>
      <c r="B78" s="131"/>
      <c r="C78" s="131"/>
      <c r="D78" s="131"/>
      <c r="E78" s="131"/>
      <c r="F78" s="92" t="s">
        <v>165</v>
      </c>
      <c r="G78" s="92"/>
      <c r="H78" s="92"/>
      <c r="N78" s="19" t="s">
        <v>249</v>
      </c>
    </row>
    <row r="79" spans="1:14" x14ac:dyDescent="0.25">
      <c r="A79" s="86" t="s">
        <v>163</v>
      </c>
      <c r="B79" s="86"/>
      <c r="C79" s="86"/>
      <c r="D79" s="86"/>
      <c r="E79" s="86"/>
      <c r="F79" s="82">
        <v>22600</v>
      </c>
      <c r="G79" s="82"/>
      <c r="H79" s="82"/>
      <c r="I79" s="88" t="s">
        <v>213</v>
      </c>
      <c r="J79" s="89"/>
    </row>
    <row r="80" spans="1:14" x14ac:dyDescent="0.25">
      <c r="A80" s="86" t="s">
        <v>162</v>
      </c>
      <c r="B80" s="86"/>
      <c r="C80" s="86"/>
      <c r="D80" s="86"/>
      <c r="E80" s="86"/>
      <c r="F80" s="82">
        <v>40000</v>
      </c>
      <c r="G80" s="82"/>
      <c r="H80" s="82"/>
    </row>
    <row r="81" spans="1:10" hidden="1" x14ac:dyDescent="0.25">
      <c r="A81" s="86" t="s">
        <v>164</v>
      </c>
      <c r="B81" s="86"/>
      <c r="C81" s="86"/>
      <c r="D81" s="86"/>
      <c r="E81" s="86"/>
      <c r="F81" s="82"/>
      <c r="G81" s="82"/>
      <c r="H81" s="82"/>
    </row>
    <row r="82" spans="1:10" s="32" customFormat="1" x14ac:dyDescent="0.25">
      <c r="A82" s="86" t="s">
        <v>243</v>
      </c>
      <c r="B82" s="86"/>
      <c r="C82" s="86"/>
      <c r="D82" s="86"/>
      <c r="E82" s="86"/>
      <c r="F82" s="93">
        <v>100</v>
      </c>
      <c r="G82" s="93"/>
      <c r="H82" s="93"/>
    </row>
    <row r="83" spans="1:10" s="32" customFormat="1" hidden="1" x14ac:dyDescent="0.25">
      <c r="A83" s="86" t="s">
        <v>98</v>
      </c>
      <c r="B83" s="86"/>
      <c r="C83" s="86"/>
      <c r="D83" s="86"/>
      <c r="E83" s="86"/>
      <c r="F83" s="82"/>
      <c r="G83" s="82"/>
      <c r="H83" s="82"/>
    </row>
    <row r="84" spans="1:10" s="32" customFormat="1" hidden="1" x14ac:dyDescent="0.25">
      <c r="A84" s="86" t="s">
        <v>99</v>
      </c>
      <c r="B84" s="86"/>
      <c r="C84" s="86"/>
      <c r="D84" s="86"/>
      <c r="E84" s="86"/>
      <c r="F84" s="82"/>
      <c r="G84" s="82"/>
      <c r="H84" s="82"/>
    </row>
    <row r="85" spans="1:10" s="32" customFormat="1" hidden="1" x14ac:dyDescent="0.25">
      <c r="A85" s="86" t="s">
        <v>166</v>
      </c>
      <c r="B85" s="86"/>
      <c r="C85" s="86"/>
      <c r="D85" s="86"/>
      <c r="E85" s="86"/>
      <c r="F85" s="82"/>
      <c r="G85" s="82"/>
      <c r="H85" s="82"/>
    </row>
    <row r="86" spans="1:10" s="32" customFormat="1" hidden="1" x14ac:dyDescent="0.25">
      <c r="A86" s="86" t="s">
        <v>100</v>
      </c>
      <c r="B86" s="86"/>
      <c r="C86" s="86"/>
      <c r="D86" s="86"/>
      <c r="E86" s="86"/>
      <c r="F86" s="82"/>
      <c r="G86" s="82"/>
      <c r="H86" s="82"/>
    </row>
    <row r="87" spans="1:10" s="32" customFormat="1" hidden="1" x14ac:dyDescent="0.25">
      <c r="A87" s="86" t="s">
        <v>101</v>
      </c>
      <c r="B87" s="86"/>
      <c r="C87" s="86"/>
      <c r="D87" s="86"/>
      <c r="E87" s="86"/>
      <c r="F87" s="82"/>
      <c r="G87" s="82"/>
      <c r="H87" s="82"/>
    </row>
    <row r="88" spans="1:10" s="32" customFormat="1" hidden="1" x14ac:dyDescent="0.25">
      <c r="A88" s="86" t="s">
        <v>102</v>
      </c>
      <c r="B88" s="86"/>
      <c r="C88" s="86"/>
      <c r="D88" s="86"/>
      <c r="E88" s="86"/>
      <c r="F88" s="82"/>
      <c r="G88" s="82"/>
      <c r="H88" s="82"/>
    </row>
    <row r="89" spans="1:10" s="32" customFormat="1" hidden="1" x14ac:dyDescent="0.25">
      <c r="A89" s="86" t="s">
        <v>103</v>
      </c>
      <c r="B89" s="86"/>
      <c r="C89" s="86"/>
      <c r="D89" s="86"/>
      <c r="E89" s="86"/>
      <c r="F89" s="82"/>
      <c r="G89" s="82"/>
      <c r="H89" s="82"/>
    </row>
    <row r="90" spans="1:10" x14ac:dyDescent="0.25">
      <c r="A90" s="86" t="s">
        <v>52</v>
      </c>
      <c r="B90" s="86"/>
      <c r="C90" s="86"/>
      <c r="D90" s="86"/>
      <c r="E90" s="86"/>
      <c r="F90" s="82">
        <v>1000000</v>
      </c>
      <c r="G90" s="82"/>
      <c r="H90" s="82"/>
    </row>
    <row r="91" spans="1:10" s="33" customFormat="1" x14ac:dyDescent="0.25">
      <c r="A91" s="147" t="s">
        <v>53</v>
      </c>
      <c r="B91" s="147"/>
      <c r="C91" s="147"/>
      <c r="D91" s="147"/>
      <c r="E91" s="147"/>
      <c r="F91" s="82">
        <f>F79*0.8</f>
        <v>18080</v>
      </c>
      <c r="G91" s="82"/>
      <c r="H91" s="82"/>
      <c r="I91" s="63"/>
    </row>
    <row r="92" spans="1:10" s="34" customFormat="1" ht="15.75" customHeight="1" x14ac:dyDescent="0.25">
      <c r="A92" s="160" t="s">
        <v>78</v>
      </c>
      <c r="B92" s="160"/>
      <c r="C92" s="160"/>
      <c r="D92" s="160"/>
      <c r="E92" s="160"/>
      <c r="F92" s="160"/>
      <c r="G92" s="160"/>
      <c r="H92" s="160"/>
    </row>
    <row r="93" spans="1:10" s="34" customFormat="1" ht="15.75" customHeight="1" x14ac:dyDescent="0.25">
      <c r="A93" s="81" t="s">
        <v>54</v>
      </c>
      <c r="B93" s="81"/>
      <c r="C93" s="83" t="s">
        <v>81</v>
      </c>
      <c r="D93" s="83"/>
      <c r="E93" s="95" t="s">
        <v>55</v>
      </c>
      <c r="F93" s="95"/>
      <c r="G93" s="81" t="s">
        <v>56</v>
      </c>
      <c r="H93" s="81"/>
    </row>
    <row r="94" spans="1:10" s="34" customFormat="1" x14ac:dyDescent="0.25">
      <c r="A94" s="161" t="s">
        <v>189</v>
      </c>
      <c r="B94" s="161"/>
      <c r="C94" s="132">
        <f>COUNT(D104:D105,D108:D113)</f>
        <v>8</v>
      </c>
      <c r="D94" s="96"/>
      <c r="E94" s="129">
        <f>SUM(D104:D105,D108:D113)</f>
        <v>5215.9168620000009</v>
      </c>
      <c r="F94" s="130"/>
      <c r="G94" s="129">
        <f>SUM(F104:F105,F108:F113)</f>
        <v>8345.4669792000004</v>
      </c>
      <c r="H94" s="130"/>
      <c r="J94" s="65">
        <f>E94+E97</f>
        <v>251706.9077172</v>
      </c>
    </row>
    <row r="95" spans="1:10" s="34" customFormat="1" x14ac:dyDescent="0.25">
      <c r="A95" s="160" t="s">
        <v>72</v>
      </c>
      <c r="B95" s="160"/>
      <c r="C95" s="160"/>
      <c r="D95" s="160"/>
      <c r="E95" s="160"/>
      <c r="F95" s="160"/>
      <c r="G95" s="160"/>
      <c r="H95" s="160"/>
    </row>
    <row r="96" spans="1:10" s="34" customFormat="1" ht="15.75" customHeight="1" x14ac:dyDescent="0.25">
      <c r="A96" s="81" t="s">
        <v>54</v>
      </c>
      <c r="B96" s="81"/>
      <c r="C96" s="83" t="s">
        <v>81</v>
      </c>
      <c r="D96" s="83"/>
      <c r="E96" s="95" t="s">
        <v>55</v>
      </c>
      <c r="F96" s="95"/>
      <c r="G96" s="81" t="s">
        <v>56</v>
      </c>
      <c r="H96" s="81"/>
    </row>
    <row r="97" spans="1:14" s="34" customFormat="1" x14ac:dyDescent="0.25">
      <c r="A97" s="161" t="s">
        <v>189</v>
      </c>
      <c r="B97" s="161"/>
      <c r="C97" s="96">
        <f>COUNT(D125:D128)*30+COUNT(D131:D133)*5+COUNT(D135:D138)*14+COUNT(D141:D143)</f>
        <v>194</v>
      </c>
      <c r="D97" s="96"/>
      <c r="E97" s="129">
        <f>SUM(D125:D128)*30+SUM(D131:D133)*5+SUM(D135:D138)*14+SUM(D141:D143)</f>
        <v>246490.99085519998</v>
      </c>
      <c r="F97" s="129"/>
      <c r="G97" s="129">
        <f>SUM(F125:F128)*30+SUM(F131:F133)*5+SUM(F135:F138)*14+SUM(F141:F143)</f>
        <v>394385.58536832</v>
      </c>
      <c r="H97" s="129"/>
    </row>
    <row r="98" spans="1:14" s="33" customFormat="1" x14ac:dyDescent="0.25">
      <c r="A98" s="80" t="s">
        <v>57</v>
      </c>
      <c r="B98" s="80"/>
      <c r="C98" s="80"/>
      <c r="D98" s="80"/>
      <c r="E98" s="80"/>
      <c r="F98" s="80"/>
      <c r="G98" s="80"/>
      <c r="H98" s="80"/>
    </row>
    <row r="99" spans="1:14" x14ac:dyDescent="0.25">
      <c r="A99" s="80" t="s">
        <v>58</v>
      </c>
      <c r="B99" s="80"/>
      <c r="C99" s="80"/>
      <c r="D99" s="80"/>
      <c r="E99" s="80"/>
      <c r="F99" s="80"/>
      <c r="G99" s="80"/>
      <c r="H99" s="80"/>
    </row>
    <row r="100" spans="1:14" ht="47.25" customHeight="1" x14ac:dyDescent="0.25">
      <c r="A100" s="84" t="s">
        <v>124</v>
      </c>
      <c r="B100" s="100" t="s">
        <v>169</v>
      </c>
      <c r="C100" s="84" t="s">
        <v>59</v>
      </c>
      <c r="D100" s="84" t="s">
        <v>60</v>
      </c>
      <c r="E100" s="98" t="s">
        <v>160</v>
      </c>
      <c r="F100" s="42" t="s">
        <v>154</v>
      </c>
      <c r="G100" s="100" t="s">
        <v>62</v>
      </c>
      <c r="H100" s="101"/>
    </row>
    <row r="101" spans="1:14" s="36" customFormat="1" x14ac:dyDescent="0.25">
      <c r="A101" s="85"/>
      <c r="B101" s="102"/>
      <c r="C101" s="85"/>
      <c r="D101" s="85"/>
      <c r="E101" s="99"/>
      <c r="F101" s="13">
        <v>0.6</v>
      </c>
      <c r="G101" s="102"/>
      <c r="H101" s="103"/>
    </row>
    <row r="102" spans="1:14" x14ac:dyDescent="0.25">
      <c r="A102" s="80" t="s">
        <v>167</v>
      </c>
      <c r="B102" s="80"/>
      <c r="C102" s="80"/>
      <c r="D102" s="80"/>
      <c r="E102" s="80"/>
      <c r="F102" s="80"/>
      <c r="G102" s="80"/>
      <c r="H102" s="80"/>
    </row>
    <row r="103" spans="1:14" s="36" customFormat="1" x14ac:dyDescent="0.25">
      <c r="A103" s="162" t="s">
        <v>172</v>
      </c>
      <c r="B103" s="162"/>
      <c r="C103" s="162"/>
      <c r="D103" s="162"/>
      <c r="E103" s="162"/>
      <c r="F103" s="162"/>
      <c r="G103" s="162"/>
      <c r="H103" s="162"/>
      <c r="J103" s="35"/>
    </row>
    <row r="104" spans="1:14" s="36" customFormat="1" x14ac:dyDescent="0.25">
      <c r="A104" s="45">
        <v>1</v>
      </c>
      <c r="B104" s="41" t="s">
        <v>171</v>
      </c>
      <c r="C104" s="41" t="s">
        <v>170</v>
      </c>
      <c r="D104" s="41">
        <f>(5.55*0.88+4.95*0.6+5.55*2.1+4.95*0.45)*10.764</f>
        <v>233.97168599999998</v>
      </c>
      <c r="E104" s="41">
        <v>0</v>
      </c>
      <c r="F104" s="41">
        <f>(D104+E104)*(($F$101)+1)</f>
        <v>374.35469760000001</v>
      </c>
      <c r="G104" s="94" t="str">
        <f>A103</f>
        <v>Lower Ground Floor for Commercial Parking</v>
      </c>
      <c r="H104" s="94"/>
      <c r="I104" s="35"/>
      <c r="L104" s="87"/>
      <c r="M104" s="87"/>
      <c r="N104" s="35"/>
    </row>
    <row r="105" spans="1:14" s="36" customFormat="1" ht="78.75" x14ac:dyDescent="0.25">
      <c r="A105" s="41">
        <v>1</v>
      </c>
      <c r="B105" s="41" t="s">
        <v>173</v>
      </c>
      <c r="C105" s="41" t="s">
        <v>174</v>
      </c>
      <c r="D105" s="41">
        <f>(5.65*22.17+5.8*2.06+5.8*16.2+13.15*12.25-1.8*1.73-5.8*2.06)*10.764</f>
        <v>4060.1162159999999</v>
      </c>
      <c r="E105" s="41">
        <v>0</v>
      </c>
      <c r="F105" s="41">
        <f t="shared" ref="F105" si="0">(D105+E105)*(($F$101)+1)</f>
        <v>6496.1859456000002</v>
      </c>
      <c r="G105" s="94" t="str">
        <f t="shared" ref="G105" si="1">G104</f>
        <v>Lower Ground Floor for Commercial Parking</v>
      </c>
      <c r="H105" s="94"/>
      <c r="I105" s="35"/>
      <c r="L105" s="87"/>
      <c r="M105" s="87"/>
      <c r="N105" s="35"/>
    </row>
    <row r="106" spans="1:14" s="36" customFormat="1" x14ac:dyDescent="0.25">
      <c r="A106" s="162" t="s">
        <v>168</v>
      </c>
      <c r="B106" s="162"/>
      <c r="C106" s="162"/>
      <c r="D106" s="162"/>
      <c r="E106" s="162"/>
      <c r="F106" s="162"/>
      <c r="G106" s="162"/>
      <c r="H106" s="162"/>
      <c r="J106" s="35"/>
    </row>
    <row r="107" spans="1:14" s="36" customFormat="1" ht="15.75" customHeight="1" x14ac:dyDescent="0.25">
      <c r="A107" s="45">
        <v>1</v>
      </c>
      <c r="B107" s="41" t="s">
        <v>173</v>
      </c>
      <c r="C107" s="94" t="s">
        <v>175</v>
      </c>
      <c r="D107" s="94"/>
      <c r="E107" s="94"/>
      <c r="F107" s="94"/>
      <c r="G107" s="94" t="str">
        <f>A106</f>
        <v>Upper Ground Floor for Commercial Parking</v>
      </c>
      <c r="H107" s="94"/>
      <c r="I107" s="35"/>
      <c r="L107" s="87"/>
      <c r="M107" s="87"/>
      <c r="N107" s="35"/>
    </row>
    <row r="108" spans="1:14" s="36" customFormat="1" ht="15.75" customHeight="1" x14ac:dyDescent="0.25">
      <c r="A108" s="41">
        <v>12</v>
      </c>
      <c r="B108" s="41" t="s">
        <v>171</v>
      </c>
      <c r="C108" s="41" t="s">
        <v>170</v>
      </c>
      <c r="D108" s="41">
        <f>(20.9)*10.764</f>
        <v>224.96759999999998</v>
      </c>
      <c r="E108" s="41">
        <v>0</v>
      </c>
      <c r="F108" s="41">
        <f t="shared" ref="F108:F110" si="2">(D108+E108)*(($F$101)+1)</f>
        <v>359.94815999999997</v>
      </c>
      <c r="G108" s="94"/>
      <c r="H108" s="94"/>
      <c r="I108" s="35"/>
      <c r="L108" s="87"/>
      <c r="M108" s="87"/>
      <c r="N108" s="35"/>
    </row>
    <row r="109" spans="1:14" s="36" customFormat="1" ht="15.75" customHeight="1" x14ac:dyDescent="0.25">
      <c r="A109" s="41">
        <f t="shared" ref="A109:A113" si="3">A108+1</f>
        <v>13</v>
      </c>
      <c r="B109" s="41" t="s">
        <v>171</v>
      </c>
      <c r="C109" s="41" t="s">
        <v>170</v>
      </c>
      <c r="D109" s="41">
        <f>(14.86)*10.764</f>
        <v>159.95303999999999</v>
      </c>
      <c r="E109" s="41">
        <v>0</v>
      </c>
      <c r="F109" s="41">
        <f t="shared" si="2"/>
        <v>255.92486399999999</v>
      </c>
      <c r="G109" s="94"/>
      <c r="H109" s="94"/>
      <c r="I109" s="35"/>
      <c r="L109" s="87"/>
      <c r="M109" s="87"/>
      <c r="N109" s="35"/>
    </row>
    <row r="110" spans="1:14" s="36" customFormat="1" ht="15.75" customHeight="1" x14ac:dyDescent="0.25">
      <c r="A110" s="41">
        <f t="shared" si="3"/>
        <v>14</v>
      </c>
      <c r="B110" s="41" t="s">
        <v>171</v>
      </c>
      <c r="C110" s="41" t="s">
        <v>170</v>
      </c>
      <c r="D110" s="41">
        <f>(3.34)*10.764</f>
        <v>35.951759999999993</v>
      </c>
      <c r="E110" s="41">
        <v>0</v>
      </c>
      <c r="F110" s="41">
        <f t="shared" si="2"/>
        <v>57.522815999999992</v>
      </c>
      <c r="G110" s="94"/>
      <c r="H110" s="94"/>
      <c r="I110" s="35"/>
      <c r="L110" s="87"/>
      <c r="M110" s="87"/>
      <c r="N110" s="35"/>
    </row>
    <row r="111" spans="1:14" s="36" customFormat="1" ht="15.75" customHeight="1" x14ac:dyDescent="0.25">
      <c r="A111" s="41">
        <f t="shared" si="3"/>
        <v>15</v>
      </c>
      <c r="B111" s="41" t="s">
        <v>171</v>
      </c>
      <c r="C111" s="41" t="s">
        <v>170</v>
      </c>
      <c r="D111" s="41">
        <f>(18.86)*10.764</f>
        <v>203.00903999999997</v>
      </c>
      <c r="E111" s="41">
        <v>0</v>
      </c>
      <c r="F111" s="41">
        <f t="shared" ref="F111:F113" si="4">(D111+E111)*(($F$101)+1)</f>
        <v>324.81446399999999</v>
      </c>
      <c r="G111" s="94"/>
      <c r="H111" s="94"/>
      <c r="I111" s="35"/>
      <c r="L111" s="87"/>
      <c r="M111" s="87"/>
      <c r="N111" s="35"/>
    </row>
    <row r="112" spans="1:14" s="36" customFormat="1" ht="15.75" customHeight="1" x14ac:dyDescent="0.25">
      <c r="A112" s="41">
        <f t="shared" si="3"/>
        <v>16</v>
      </c>
      <c r="B112" s="41" t="s">
        <v>171</v>
      </c>
      <c r="C112" s="41" t="s">
        <v>170</v>
      </c>
      <c r="D112" s="41">
        <f>(16.9)*10.764</f>
        <v>181.91159999999996</v>
      </c>
      <c r="E112" s="41">
        <v>0</v>
      </c>
      <c r="F112" s="41">
        <f t="shared" si="4"/>
        <v>291.05855999999994</v>
      </c>
      <c r="G112" s="94"/>
      <c r="H112" s="94"/>
      <c r="I112" s="35"/>
      <c r="L112" s="87"/>
      <c r="M112" s="87"/>
      <c r="N112" s="35"/>
    </row>
    <row r="113" spans="1:14" s="36" customFormat="1" ht="15.75" customHeight="1" x14ac:dyDescent="0.25">
      <c r="A113" s="41">
        <f t="shared" si="3"/>
        <v>17</v>
      </c>
      <c r="B113" s="41" t="s">
        <v>171</v>
      </c>
      <c r="C113" s="41" t="s">
        <v>170</v>
      </c>
      <c r="D113" s="41">
        <f>(10.78)*10.764</f>
        <v>116.03591999999999</v>
      </c>
      <c r="E113" s="41">
        <v>0</v>
      </c>
      <c r="F113" s="41">
        <f t="shared" si="4"/>
        <v>185.65747199999998</v>
      </c>
      <c r="G113" s="94"/>
      <c r="H113" s="94"/>
      <c r="I113" s="35"/>
      <c r="L113" s="87"/>
      <c r="M113" s="87"/>
      <c r="N113" s="35"/>
    </row>
    <row r="114" spans="1:14" s="36" customFormat="1" x14ac:dyDescent="0.25">
      <c r="A114" s="193"/>
      <c r="B114" s="194"/>
      <c r="C114" s="194"/>
      <c r="D114" s="194"/>
      <c r="E114" s="194"/>
      <c r="F114" s="194"/>
      <c r="G114" s="194"/>
      <c r="H114" s="195"/>
      <c r="I114" s="35"/>
      <c r="N114" s="35"/>
    </row>
    <row r="115" spans="1:14" ht="47.25" customHeight="1" x14ac:dyDescent="0.25">
      <c r="A115" s="100" t="s">
        <v>125</v>
      </c>
      <c r="B115" s="100" t="s">
        <v>169</v>
      </c>
      <c r="C115" s="84" t="s">
        <v>59</v>
      </c>
      <c r="D115" s="84" t="s">
        <v>60</v>
      </c>
      <c r="E115" s="98" t="s">
        <v>61</v>
      </c>
      <c r="F115" s="42" t="s">
        <v>154</v>
      </c>
      <c r="G115" s="100" t="s">
        <v>62</v>
      </c>
      <c r="H115" s="101"/>
      <c r="I115" s="35"/>
    </row>
    <row r="116" spans="1:14" s="36" customFormat="1" x14ac:dyDescent="0.25">
      <c r="A116" s="102"/>
      <c r="B116" s="102"/>
      <c r="C116" s="85"/>
      <c r="D116" s="85"/>
      <c r="E116" s="99"/>
      <c r="F116" s="13">
        <v>0.6</v>
      </c>
      <c r="G116" s="102"/>
      <c r="H116" s="103"/>
      <c r="I116" s="35"/>
    </row>
    <row r="117" spans="1:14" x14ac:dyDescent="0.25">
      <c r="A117" s="80" t="s">
        <v>167</v>
      </c>
      <c r="B117" s="80"/>
      <c r="C117" s="80"/>
      <c r="D117" s="80"/>
      <c r="E117" s="80"/>
      <c r="F117" s="80"/>
      <c r="G117" s="80"/>
      <c r="H117" s="80"/>
    </row>
    <row r="118" spans="1:14" x14ac:dyDescent="0.25">
      <c r="A118" s="80" t="s">
        <v>176</v>
      </c>
      <c r="B118" s="80"/>
      <c r="C118" s="80"/>
      <c r="D118" s="80"/>
      <c r="E118" s="80"/>
      <c r="F118" s="80"/>
      <c r="G118" s="80"/>
      <c r="H118" s="80"/>
    </row>
    <row r="119" spans="1:14" x14ac:dyDescent="0.25">
      <c r="A119" s="80" t="s">
        <v>177</v>
      </c>
      <c r="B119" s="80"/>
      <c r="C119" s="80"/>
      <c r="D119" s="80"/>
      <c r="E119" s="80"/>
      <c r="F119" s="80"/>
      <c r="G119" s="80"/>
      <c r="H119" s="80"/>
    </row>
    <row r="120" spans="1:14" x14ac:dyDescent="0.25">
      <c r="A120" s="80" t="s">
        <v>178</v>
      </c>
      <c r="B120" s="80"/>
      <c r="C120" s="80"/>
      <c r="D120" s="80"/>
      <c r="E120" s="80"/>
      <c r="F120" s="80"/>
      <c r="G120" s="80"/>
      <c r="H120" s="80"/>
    </row>
    <row r="121" spans="1:14" x14ac:dyDescent="0.25">
      <c r="A121" s="80" t="s">
        <v>179</v>
      </c>
      <c r="B121" s="80"/>
      <c r="C121" s="80"/>
      <c r="D121" s="80"/>
      <c r="E121" s="80"/>
      <c r="F121" s="80"/>
      <c r="G121" s="80"/>
      <c r="H121" s="80"/>
    </row>
    <row r="122" spans="1:14" x14ac:dyDescent="0.25">
      <c r="A122" s="80" t="s">
        <v>180</v>
      </c>
      <c r="B122" s="80"/>
      <c r="C122" s="80"/>
      <c r="D122" s="80"/>
      <c r="E122" s="80"/>
      <c r="F122" s="80"/>
      <c r="G122" s="80"/>
      <c r="H122" s="80"/>
    </row>
    <row r="123" spans="1:14" x14ac:dyDescent="0.25">
      <c r="A123" s="80" t="s">
        <v>181</v>
      </c>
      <c r="B123" s="80"/>
      <c r="C123" s="80"/>
      <c r="D123" s="80"/>
      <c r="E123" s="80"/>
      <c r="F123" s="80"/>
      <c r="G123" s="80"/>
      <c r="H123" s="80"/>
    </row>
    <row r="124" spans="1:14" s="36" customFormat="1" ht="15.75" customHeight="1" x14ac:dyDescent="0.25">
      <c r="A124" s="121" t="s">
        <v>182</v>
      </c>
      <c r="B124" s="122"/>
      <c r="C124" s="122"/>
      <c r="D124" s="122"/>
      <c r="E124" s="122"/>
      <c r="F124" s="122"/>
      <c r="G124" s="122"/>
      <c r="H124" s="123"/>
      <c r="I124" s="35"/>
    </row>
    <row r="125" spans="1:14" s="36" customFormat="1" ht="15.75" customHeight="1" x14ac:dyDescent="0.25">
      <c r="A125" s="45">
        <v>1</v>
      </c>
      <c r="B125" s="45" t="s">
        <v>173</v>
      </c>
      <c r="C125" s="45" t="s">
        <v>183</v>
      </c>
      <c r="D125" s="45">
        <f>(95.64+7.3*1.1+4.795*2.4+3*0.9+1.02*(4.94+7.03)+13.3*4.7*0.5)*10.764</f>
        <v>1736.6895935999999</v>
      </c>
      <c r="E125" s="45">
        <v>0</v>
      </c>
      <c r="F125" s="45">
        <f>D125*(($F$116)+1)+(IF(E125&lt;101,E125,IF(E125&lt;201,E125/2,IF(E125&lt;=301,E125/3,E125/4))))</f>
        <v>2778.70334976</v>
      </c>
      <c r="G125" s="111" t="str">
        <f>A124</f>
        <v>1st to 6th, 8th to 13th, 15 to 20th, 22nd to 27th, 29th, 30th to 34th Floor for Residential</v>
      </c>
      <c r="H125" s="112"/>
      <c r="I125" s="35"/>
    </row>
    <row r="126" spans="1:14" s="36" customFormat="1" ht="15.75" customHeight="1" x14ac:dyDescent="0.25">
      <c r="A126" s="45">
        <v>2</v>
      </c>
      <c r="B126" s="45" t="s">
        <v>173</v>
      </c>
      <c r="C126" s="45" t="s">
        <v>184</v>
      </c>
      <c r="D126" s="45">
        <f>(68.78+2.65*3.05)*10.764</f>
        <v>827.34794999999997</v>
      </c>
      <c r="E126" s="45">
        <v>0</v>
      </c>
      <c r="F126" s="45">
        <f>D126*(($F$116)+1)+(IF(E126&lt;101,E126,IF(E126&lt;201,E126/2,IF(E126&lt;=301,E126/3,E126/4))))</f>
        <v>1323.7567200000001</v>
      </c>
      <c r="G126" s="113"/>
      <c r="H126" s="114"/>
      <c r="I126" s="35"/>
    </row>
    <row r="127" spans="1:14" s="36" customFormat="1" ht="15.75" customHeight="1" x14ac:dyDescent="0.25">
      <c r="A127" s="45">
        <v>3</v>
      </c>
      <c r="B127" s="45" t="s">
        <v>173</v>
      </c>
      <c r="C127" s="45" t="s">
        <v>184</v>
      </c>
      <c r="D127" s="45">
        <f>(68.78+2.65*3.05)*10.764</f>
        <v>827.34794999999997</v>
      </c>
      <c r="E127" s="45">
        <v>0</v>
      </c>
      <c r="F127" s="45">
        <f>D127*(($F$116)+1)+(IF(E127&lt;101,E127,IF(E127&lt;201,E127/2,IF(E127&lt;=301,E127/3,E127/4))))</f>
        <v>1323.7567200000001</v>
      </c>
      <c r="G127" s="113"/>
      <c r="H127" s="114"/>
      <c r="I127" s="35"/>
    </row>
    <row r="128" spans="1:14" s="36" customFormat="1" ht="15.75" customHeight="1" x14ac:dyDescent="0.25">
      <c r="A128" s="45">
        <v>4</v>
      </c>
      <c r="B128" s="45" t="s">
        <v>173</v>
      </c>
      <c r="C128" s="45" t="s">
        <v>183</v>
      </c>
      <c r="D128" s="45">
        <f>(95.64+7.3*1.1+4.795*2.4+3*0.9+1.02*(4.94+7.03)+13.3*4.7*0.5)*10.764</f>
        <v>1736.6895935999999</v>
      </c>
      <c r="E128" s="45">
        <v>0</v>
      </c>
      <c r="F128" s="45">
        <f>D128*(($F$116)+1)+(IF(E128&lt;101,E128,IF(E128&lt;201,E128/2,IF(E128&lt;=301,E128/3,E128/4))))</f>
        <v>2778.70334976</v>
      </c>
      <c r="G128" s="115"/>
      <c r="H128" s="116"/>
      <c r="I128" s="35"/>
    </row>
    <row r="129" spans="1:14" s="36" customFormat="1" x14ac:dyDescent="0.25">
      <c r="A129" s="185" t="s">
        <v>185</v>
      </c>
      <c r="B129" s="186"/>
      <c r="C129" s="186"/>
      <c r="D129" s="186"/>
      <c r="E129" s="186"/>
      <c r="F129" s="186"/>
      <c r="G129" s="186"/>
      <c r="H129" s="187"/>
      <c r="J129" s="35"/>
    </row>
    <row r="130" spans="1:14" s="36" customFormat="1" ht="15.75" customHeight="1" x14ac:dyDescent="0.25">
      <c r="A130" s="45">
        <v>1</v>
      </c>
      <c r="B130" s="188" t="s">
        <v>186</v>
      </c>
      <c r="C130" s="189"/>
      <c r="D130" s="189"/>
      <c r="E130" s="189"/>
      <c r="F130" s="190"/>
      <c r="G130" s="111" t="str">
        <f>A129</f>
        <v>7th, 14th, 21st, 28th &amp; 35th Floor (Part Refuge Area)</v>
      </c>
      <c r="H130" s="112"/>
      <c r="I130" s="35"/>
      <c r="L130" s="87"/>
      <c r="M130" s="87"/>
      <c r="N130" s="35"/>
    </row>
    <row r="131" spans="1:14" s="36" customFormat="1" ht="15.75" customHeight="1" x14ac:dyDescent="0.25">
      <c r="A131" s="45">
        <v>2</v>
      </c>
      <c r="B131" s="45" t="s">
        <v>173</v>
      </c>
      <c r="C131" s="45" t="s">
        <v>184</v>
      </c>
      <c r="D131" s="45">
        <f>(68.78+2.65*3.05)*10.764</f>
        <v>827.34794999999997</v>
      </c>
      <c r="E131" s="45">
        <v>0</v>
      </c>
      <c r="F131" s="45">
        <f>D131*(($F$116)+1)+(IF(E131&lt;101,E131,IF(E131&lt;201,E131/2,IF(E131&lt;=301,E131/3,E131/4))))</f>
        <v>1323.7567200000001</v>
      </c>
      <c r="G131" s="113"/>
      <c r="H131" s="114"/>
      <c r="I131" s="35"/>
      <c r="L131" s="87"/>
      <c r="M131" s="87"/>
      <c r="N131" s="35"/>
    </row>
    <row r="132" spans="1:14" s="36" customFormat="1" ht="15.75" customHeight="1" x14ac:dyDescent="0.25">
      <c r="A132" s="45">
        <v>3</v>
      </c>
      <c r="B132" s="45" t="s">
        <v>173</v>
      </c>
      <c r="C132" s="45" t="s">
        <v>184</v>
      </c>
      <c r="D132" s="45">
        <f>(68.78+2.65*3.05)*10.764</f>
        <v>827.34794999999997</v>
      </c>
      <c r="E132" s="45">
        <v>0</v>
      </c>
      <c r="F132" s="45">
        <f>D132*(($F$116)+1)+(IF(E132&lt;101,E132,IF(E132&lt;201,E132/2,IF(E132&lt;=301,E132/3,E132/4))))</f>
        <v>1323.7567200000001</v>
      </c>
      <c r="G132" s="113"/>
      <c r="H132" s="114"/>
      <c r="I132" s="35"/>
      <c r="L132" s="87"/>
      <c r="M132" s="87"/>
      <c r="N132" s="35"/>
    </row>
    <row r="133" spans="1:14" s="36" customFormat="1" ht="15.75" customHeight="1" x14ac:dyDescent="0.25">
      <c r="A133" s="45">
        <v>4</v>
      </c>
      <c r="B133" s="45" t="s">
        <v>173</v>
      </c>
      <c r="C133" s="45" t="s">
        <v>183</v>
      </c>
      <c r="D133" s="45">
        <f>(95.64+7.3*1.1+4.795*2.4+3*0.9+1.02*(4.94+7.03)+13.3*4.7*0.5)*10.764</f>
        <v>1736.6895935999999</v>
      </c>
      <c r="E133" s="45">
        <v>0</v>
      </c>
      <c r="F133" s="45">
        <f>D133*(($F$116)+1)+(IF(E133&lt;101,E133,IF(E133&lt;201,E133/2,IF(E133&lt;=301,E133/3,E133/4))))</f>
        <v>2778.70334976</v>
      </c>
      <c r="G133" s="115"/>
      <c r="H133" s="116"/>
      <c r="I133" s="35"/>
      <c r="L133" s="87"/>
      <c r="M133" s="87"/>
      <c r="N133" s="35"/>
    </row>
    <row r="134" spans="1:14" s="36" customFormat="1" ht="15.75" customHeight="1" x14ac:dyDescent="0.25">
      <c r="A134" s="185" t="s">
        <v>187</v>
      </c>
      <c r="B134" s="186"/>
      <c r="C134" s="186"/>
      <c r="D134" s="186"/>
      <c r="E134" s="186"/>
      <c r="F134" s="186"/>
      <c r="G134" s="186"/>
      <c r="H134" s="187"/>
      <c r="I134" s="35"/>
    </row>
    <row r="135" spans="1:14" s="36" customFormat="1" ht="15.75" customHeight="1" x14ac:dyDescent="0.25">
      <c r="A135" s="45">
        <v>1</v>
      </c>
      <c r="B135" s="45" t="s">
        <v>173</v>
      </c>
      <c r="C135" s="45" t="s">
        <v>183</v>
      </c>
      <c r="D135" s="45">
        <f>(96.67+7.3*1.1+4.795*2.4+3*0.9+1.02*(4.94+7.17)+13.3*4.7*0.5)*10.764</f>
        <v>1749.3136127999999</v>
      </c>
      <c r="E135" s="45">
        <v>0</v>
      </c>
      <c r="F135" s="45">
        <f>D135*(($F$116)+1)+(IF(E135&lt;101,E135,IF(E135&lt;201,E135/2,IF(E135&lt;=301,E135/3,E135/4))))</f>
        <v>2798.9017804800001</v>
      </c>
      <c r="G135" s="111" t="str">
        <f>A134</f>
        <v>36th to 41st,  43rd to 50th Floor</v>
      </c>
      <c r="H135" s="112"/>
      <c r="I135" s="35"/>
    </row>
    <row r="136" spans="1:14" s="36" customFormat="1" ht="15.75" customHeight="1" x14ac:dyDescent="0.25">
      <c r="A136" s="45">
        <v>2</v>
      </c>
      <c r="B136" s="45" t="s">
        <v>173</v>
      </c>
      <c r="C136" s="45" t="s">
        <v>184</v>
      </c>
      <c r="D136" s="45">
        <f>(69.35+3*2.65)*10.764</f>
        <v>832.05719999999997</v>
      </c>
      <c r="E136" s="45">
        <v>0</v>
      </c>
      <c r="F136" s="45">
        <f>D136*(($F$116)+1)+(IF(E136&lt;101,E136,IF(E136&lt;201,E136/2,IF(E136&lt;=301,E136/3,E136/4))))</f>
        <v>1331.29152</v>
      </c>
      <c r="G136" s="113"/>
      <c r="H136" s="114"/>
      <c r="I136" s="35"/>
    </row>
    <row r="137" spans="1:14" s="36" customFormat="1" ht="15.75" customHeight="1" x14ac:dyDescent="0.25">
      <c r="A137" s="45">
        <v>3</v>
      </c>
      <c r="B137" s="45" t="s">
        <v>173</v>
      </c>
      <c r="C137" s="45" t="s">
        <v>184</v>
      </c>
      <c r="D137" s="45">
        <f>(69.35+3*2.65)*10.764</f>
        <v>832.05719999999997</v>
      </c>
      <c r="E137" s="45">
        <v>0</v>
      </c>
      <c r="F137" s="45">
        <f>D137*(($F$116)+1)+(IF(E137&lt;101,E137,IF(E137&lt;201,E137/2,IF(E137&lt;=301,E137/3,E137/4))))</f>
        <v>1331.29152</v>
      </c>
      <c r="G137" s="113"/>
      <c r="H137" s="114"/>
      <c r="I137" s="35"/>
    </row>
    <row r="138" spans="1:14" s="36" customFormat="1" ht="15.75" customHeight="1" x14ac:dyDescent="0.25">
      <c r="A138" s="45">
        <v>4</v>
      </c>
      <c r="B138" s="45" t="s">
        <v>173</v>
      </c>
      <c r="C138" s="45" t="s">
        <v>183</v>
      </c>
      <c r="D138" s="45">
        <f>(96.67+7.3*1.1+4.795*2.4+3*0.9+1.02*(4.94+7.17)+13.3*4.7*0.5)*10.764</f>
        <v>1749.3136127999999</v>
      </c>
      <c r="E138" s="45">
        <v>0</v>
      </c>
      <c r="F138" s="45">
        <f>D138*(($F$116)+1)+(IF(E138&lt;101,E138,IF(E138&lt;201,E138/2,IF(E138&lt;=301,E138/3,E138/4))))</f>
        <v>2798.9017804800001</v>
      </c>
      <c r="G138" s="115"/>
      <c r="H138" s="116"/>
      <c r="I138" s="35"/>
    </row>
    <row r="139" spans="1:14" s="36" customFormat="1" ht="15.75" customHeight="1" x14ac:dyDescent="0.25">
      <c r="A139" s="185" t="s">
        <v>188</v>
      </c>
      <c r="B139" s="186"/>
      <c r="C139" s="186"/>
      <c r="D139" s="186"/>
      <c r="E139" s="186"/>
      <c r="F139" s="186"/>
      <c r="G139" s="186"/>
      <c r="H139" s="187"/>
      <c r="I139" s="35"/>
    </row>
    <row r="140" spans="1:14" s="36" customFormat="1" ht="15.75" customHeight="1" x14ac:dyDescent="0.25">
      <c r="A140" s="45">
        <v>1</v>
      </c>
      <c r="B140" s="188" t="s">
        <v>186</v>
      </c>
      <c r="C140" s="189"/>
      <c r="D140" s="189"/>
      <c r="E140" s="189"/>
      <c r="F140" s="190"/>
      <c r="G140" s="111" t="str">
        <f>A139</f>
        <v>42nd Floor (Part Refuge Area)</v>
      </c>
      <c r="H140" s="112"/>
      <c r="I140" s="35"/>
    </row>
    <row r="141" spans="1:14" s="36" customFormat="1" ht="15.75" customHeight="1" x14ac:dyDescent="0.25">
      <c r="A141" s="45">
        <v>2</v>
      </c>
      <c r="B141" s="45" t="s">
        <v>173</v>
      </c>
      <c r="C141" s="45" t="s">
        <v>184</v>
      </c>
      <c r="D141" s="45">
        <f>(69.35+3*2.65)*10.764</f>
        <v>832.05719999999997</v>
      </c>
      <c r="E141" s="45">
        <v>0</v>
      </c>
      <c r="F141" s="45">
        <f>D141*(($F$116)+1)+(IF(E141&lt;101,E141,IF(E141&lt;201,E141/2,IF(E141&lt;=301,E141/3,E141/4))))</f>
        <v>1331.29152</v>
      </c>
      <c r="G141" s="113"/>
      <c r="H141" s="114"/>
      <c r="I141" s="35"/>
    </row>
    <row r="142" spans="1:14" s="36" customFormat="1" ht="15.75" customHeight="1" x14ac:dyDescent="0.25">
      <c r="A142" s="45">
        <v>3</v>
      </c>
      <c r="B142" s="45" t="s">
        <v>173</v>
      </c>
      <c r="C142" s="45" t="s">
        <v>184</v>
      </c>
      <c r="D142" s="45">
        <f>(69.35+3*2.65)*10.764</f>
        <v>832.05719999999997</v>
      </c>
      <c r="E142" s="45">
        <v>0</v>
      </c>
      <c r="F142" s="45">
        <f>D142*(($F$116)+1)+(IF(E142&lt;101,E142,IF(E142&lt;201,E142/2,IF(E142&lt;=301,E142/3,E142/4))))</f>
        <v>1331.29152</v>
      </c>
      <c r="G142" s="113"/>
      <c r="H142" s="114"/>
      <c r="I142" s="35"/>
    </row>
    <row r="143" spans="1:14" s="36" customFormat="1" ht="15.75" customHeight="1" x14ac:dyDescent="0.25">
      <c r="A143" s="45">
        <v>4</v>
      </c>
      <c r="B143" s="45" t="s">
        <v>173</v>
      </c>
      <c r="C143" s="45" t="s">
        <v>183</v>
      </c>
      <c r="D143" s="45">
        <f>(96.67+7.3*1.1+4.795*2.4+3*0.9+1.02*(4.94+7.17)+13.3*4.7*0.5)*10.764</f>
        <v>1749.3136127999999</v>
      </c>
      <c r="E143" s="45">
        <v>0</v>
      </c>
      <c r="F143" s="45">
        <f>D143*(($F$116)+1)+(IF(E143&lt;101,E143,IF(E143&lt;201,E143/2,IF(E143&lt;=301,E143/3,E143/4))))</f>
        <v>2798.9017804800001</v>
      </c>
      <c r="G143" s="115"/>
      <c r="H143" s="116"/>
      <c r="I143" s="35"/>
    </row>
    <row r="144" spans="1:14" s="34" customFormat="1" x14ac:dyDescent="0.25">
      <c r="A144" s="128" t="s">
        <v>70</v>
      </c>
      <c r="B144" s="128"/>
      <c r="C144" s="128"/>
      <c r="D144" s="128"/>
      <c r="E144" s="128"/>
      <c r="F144" s="128"/>
      <c r="G144" s="128"/>
      <c r="H144" s="128"/>
    </row>
    <row r="145" spans="1:10" s="34" customFormat="1" x14ac:dyDescent="0.25">
      <c r="A145" s="50" t="s">
        <v>157</v>
      </c>
      <c r="B145" s="192" t="s">
        <v>261</v>
      </c>
      <c r="C145" s="192"/>
      <c r="D145" s="192"/>
      <c r="E145" s="192"/>
      <c r="F145" s="192"/>
      <c r="G145" s="192"/>
      <c r="H145" s="192"/>
    </row>
    <row r="146" spans="1:10" s="34" customFormat="1" x14ac:dyDescent="0.25">
      <c r="A146" s="50" t="s">
        <v>157</v>
      </c>
      <c r="B146" s="191" t="str">
        <f>(IF(F115="Saleable area Loading :","We have considered Saleable area of Flats as per our Calculation.","We considered Saleable area of Flat as per Builder area Sheet."))</f>
        <v>We have considered Saleable area of Flats as per our Calculation.</v>
      </c>
      <c r="C146" s="191"/>
      <c r="D146" s="191"/>
      <c r="E146" s="191"/>
      <c r="F146" s="191"/>
      <c r="G146" s="191"/>
      <c r="H146" s="191"/>
      <c r="J146" s="67" t="s">
        <v>256</v>
      </c>
    </row>
    <row r="147" spans="1:10" s="34" customFormat="1" x14ac:dyDescent="0.25">
      <c r="A147" s="50" t="s">
        <v>157</v>
      </c>
      <c r="B147" s="191" t="str">
        <f>(IF(F100="Saleable area Loading :","We have considered Saleable area of Commercial as per our Calculation.","We considered Saleable area of Commercial as per Builder area Sheet."))</f>
        <v>We have considered Saleable area of Commercial as per our Calculation.</v>
      </c>
      <c r="C147" s="191"/>
      <c r="D147" s="191"/>
      <c r="E147" s="191"/>
      <c r="F147" s="191"/>
      <c r="G147" s="191"/>
      <c r="H147" s="191"/>
    </row>
    <row r="148" spans="1:10" s="34" customFormat="1" x14ac:dyDescent="0.25">
      <c r="A148" s="69" t="s">
        <v>157</v>
      </c>
      <c r="B148" s="127" t="s">
        <v>128</v>
      </c>
      <c r="C148" s="127"/>
      <c r="D148" s="127"/>
      <c r="E148" s="127"/>
      <c r="F148" s="127"/>
      <c r="G148" s="127"/>
      <c r="H148" s="127"/>
    </row>
    <row r="149" spans="1:10" s="34" customFormat="1" x14ac:dyDescent="0.25">
      <c r="A149" s="69" t="s">
        <v>157</v>
      </c>
      <c r="B149" s="127" t="s">
        <v>210</v>
      </c>
      <c r="C149" s="127"/>
      <c r="D149" s="127"/>
      <c r="E149" s="127"/>
      <c r="F149" s="127"/>
      <c r="G149" s="127"/>
      <c r="H149" s="127"/>
    </row>
    <row r="150" spans="1:10" s="34" customFormat="1" x14ac:dyDescent="0.25">
      <c r="A150" s="69" t="s">
        <v>157</v>
      </c>
      <c r="B150" s="127" t="s">
        <v>156</v>
      </c>
      <c r="C150" s="127"/>
      <c r="D150" s="127"/>
      <c r="E150" s="127"/>
      <c r="F150" s="127"/>
      <c r="G150" s="127"/>
      <c r="H150" s="127"/>
    </row>
    <row r="151" spans="1:10" s="34" customFormat="1" x14ac:dyDescent="0.25">
      <c r="A151" s="44" t="s">
        <v>157</v>
      </c>
      <c r="B151" s="124" t="s">
        <v>129</v>
      </c>
      <c r="C151" s="125"/>
      <c r="D151" s="125"/>
      <c r="E151" s="125"/>
      <c r="F151" s="125"/>
      <c r="G151" s="125"/>
      <c r="H151" s="126"/>
    </row>
    <row r="152" spans="1:10" s="34" customFormat="1" ht="34.5" customHeight="1" x14ac:dyDescent="0.25">
      <c r="A152" s="44" t="s">
        <v>157</v>
      </c>
      <c r="B152" s="124" t="s">
        <v>158</v>
      </c>
      <c r="C152" s="125"/>
      <c r="D152" s="125"/>
      <c r="E152" s="125"/>
      <c r="F152" s="125"/>
      <c r="G152" s="125"/>
      <c r="H152" s="126"/>
    </row>
    <row r="153" spans="1:10" s="34" customFormat="1" x14ac:dyDescent="0.25">
      <c r="A153" s="50" t="s">
        <v>157</v>
      </c>
      <c r="B153" s="105" t="s">
        <v>130</v>
      </c>
      <c r="C153" s="106"/>
      <c r="D153" s="106"/>
      <c r="E153" s="106"/>
      <c r="F153" s="106"/>
      <c r="G153" s="106"/>
      <c r="H153" s="107"/>
    </row>
    <row r="154" spans="1:10" s="34" customFormat="1" hidden="1" x14ac:dyDescent="0.25">
      <c r="A154" s="50" t="s">
        <v>157</v>
      </c>
      <c r="B154" s="105" t="s">
        <v>214</v>
      </c>
      <c r="C154" s="106"/>
      <c r="D154" s="106"/>
      <c r="E154" s="106"/>
      <c r="F154" s="106"/>
      <c r="G154" s="106"/>
      <c r="H154" s="107"/>
    </row>
    <row r="155" spans="1:10" s="34" customFormat="1" x14ac:dyDescent="0.25">
      <c r="A155" s="50" t="s">
        <v>157</v>
      </c>
      <c r="B155" s="105" t="s">
        <v>242</v>
      </c>
      <c r="C155" s="106"/>
      <c r="D155" s="106"/>
      <c r="E155" s="106"/>
      <c r="F155" s="106"/>
      <c r="G155" s="106"/>
      <c r="H155" s="107"/>
    </row>
    <row r="156" spans="1:10" s="34" customFormat="1" x14ac:dyDescent="0.25">
      <c r="A156" s="50" t="s">
        <v>157</v>
      </c>
      <c r="B156" s="118" t="s">
        <v>254</v>
      </c>
      <c r="C156" s="119"/>
      <c r="D156" s="119"/>
      <c r="E156" s="119"/>
      <c r="F156" s="119"/>
      <c r="G156" s="119"/>
      <c r="H156" s="120"/>
    </row>
    <row r="157" spans="1:10" s="34" customFormat="1" ht="33.75" customHeight="1" x14ac:dyDescent="0.25">
      <c r="A157" s="50" t="s">
        <v>157</v>
      </c>
      <c r="B157" s="108" t="s">
        <v>259</v>
      </c>
      <c r="C157" s="109"/>
      <c r="D157" s="109"/>
      <c r="E157" s="109"/>
      <c r="F157" s="109"/>
      <c r="G157" s="109"/>
      <c r="H157" s="110"/>
    </row>
    <row r="158" spans="1:10" s="34" customFormat="1" ht="33.75" hidden="1" customHeight="1" x14ac:dyDescent="0.25">
      <c r="A158" s="50" t="s">
        <v>157</v>
      </c>
      <c r="B158" s="108" t="s">
        <v>257</v>
      </c>
      <c r="C158" s="109"/>
      <c r="D158" s="109"/>
      <c r="E158" s="109"/>
      <c r="F158" s="109"/>
      <c r="G158" s="109"/>
      <c r="H158" s="110"/>
    </row>
    <row r="159" spans="1:10" x14ac:dyDescent="0.25">
      <c r="A159" s="117" t="s">
        <v>63</v>
      </c>
      <c r="B159" s="117"/>
      <c r="C159" s="117"/>
      <c r="D159" s="117"/>
      <c r="E159" s="117"/>
      <c r="F159" s="117"/>
      <c r="G159" s="117"/>
      <c r="H159" s="117"/>
    </row>
    <row r="160" spans="1:10" x14ac:dyDescent="0.25">
      <c r="A160" s="104" t="s">
        <v>64</v>
      </c>
      <c r="B160" s="104"/>
      <c r="C160" s="104"/>
      <c r="D160" s="104"/>
      <c r="E160" s="104"/>
      <c r="F160" s="104"/>
      <c r="G160" s="104"/>
      <c r="H160" s="104"/>
    </row>
    <row r="161" spans="1:8" ht="15.75" customHeight="1" x14ac:dyDescent="0.25">
      <c r="A161" s="97" t="s">
        <v>65</v>
      </c>
      <c r="B161" s="97"/>
      <c r="C161" s="97"/>
      <c r="D161" s="97"/>
      <c r="E161" s="97"/>
      <c r="F161" s="97"/>
      <c r="G161" s="97"/>
      <c r="H161" s="97"/>
    </row>
    <row r="162" spans="1:8" x14ac:dyDescent="0.25">
      <c r="A162" s="86" t="s">
        <v>66</v>
      </c>
      <c r="B162" s="86"/>
      <c r="C162" s="86"/>
      <c r="D162" s="86"/>
      <c r="E162" s="86"/>
      <c r="F162" s="86"/>
      <c r="G162" s="86"/>
      <c r="H162" s="86"/>
    </row>
    <row r="163" spans="1:8" x14ac:dyDescent="0.25">
      <c r="A163" s="86" t="s">
        <v>67</v>
      </c>
      <c r="B163" s="86"/>
      <c r="C163" s="86"/>
      <c r="D163" s="86"/>
      <c r="E163" s="86"/>
      <c r="F163" s="86"/>
      <c r="G163" s="86"/>
      <c r="H163" s="86"/>
    </row>
    <row r="164" spans="1:8" x14ac:dyDescent="0.25">
      <c r="A164" s="86" t="s">
        <v>131</v>
      </c>
      <c r="B164" s="86"/>
      <c r="C164" s="86"/>
      <c r="D164" s="86"/>
      <c r="E164" s="86"/>
      <c r="F164" s="86"/>
      <c r="G164" s="86"/>
      <c r="H164" s="86"/>
    </row>
    <row r="165" spans="1:8" ht="31.5" customHeight="1" x14ac:dyDescent="0.25">
      <c r="A165" s="156" t="s">
        <v>132</v>
      </c>
      <c r="B165" s="156"/>
      <c r="C165" s="156"/>
      <c r="D165" s="156"/>
      <c r="E165" s="156"/>
      <c r="F165" s="156"/>
      <c r="G165" s="156"/>
      <c r="H165" s="156"/>
    </row>
    <row r="166" spans="1:8" x14ac:dyDescent="0.25">
      <c r="A166" s="159" t="s">
        <v>80</v>
      </c>
      <c r="B166" s="159"/>
      <c r="C166" s="159" t="s">
        <v>253</v>
      </c>
      <c r="D166" s="159"/>
      <c r="E166" s="159" t="s">
        <v>111</v>
      </c>
      <c r="F166" s="159"/>
      <c r="G166" s="159" t="s">
        <v>260</v>
      </c>
      <c r="H166" s="159"/>
    </row>
    <row r="167" spans="1:8" x14ac:dyDescent="0.25">
      <c r="A167" s="158" t="s">
        <v>82</v>
      </c>
      <c r="B167" s="158"/>
      <c r="C167" s="158"/>
      <c r="D167" s="158"/>
      <c r="E167" s="158"/>
      <c r="F167" s="158"/>
      <c r="G167" s="158"/>
      <c r="H167" s="158"/>
    </row>
    <row r="168" spans="1:8" x14ac:dyDescent="0.25">
      <c r="A168" s="158"/>
      <c r="B168" s="158"/>
      <c r="C168" s="158"/>
      <c r="D168" s="158"/>
      <c r="E168" s="158"/>
      <c r="F168" s="158"/>
      <c r="G168" s="158"/>
      <c r="H168" s="158"/>
    </row>
    <row r="169" spans="1:8" x14ac:dyDescent="0.25">
      <c r="A169" s="158"/>
      <c r="B169" s="158"/>
      <c r="C169" s="158"/>
      <c r="D169" s="158"/>
      <c r="E169" s="158"/>
      <c r="F169" s="158"/>
      <c r="G169" s="158"/>
      <c r="H169" s="158"/>
    </row>
    <row r="170" spans="1:8" x14ac:dyDescent="0.25">
      <c r="A170" s="158"/>
      <c r="B170" s="158"/>
      <c r="C170" s="158"/>
      <c r="D170" s="158"/>
      <c r="E170" s="158"/>
      <c r="F170" s="158"/>
      <c r="G170" s="158"/>
      <c r="H170" s="158"/>
    </row>
    <row r="171" spans="1:8" x14ac:dyDescent="0.25">
      <c r="A171" s="37" t="s">
        <v>68</v>
      </c>
      <c r="B171" s="38"/>
      <c r="C171" s="38"/>
      <c r="D171" s="37" t="str">
        <f>E8</f>
        <v>Ruparel Jewel</v>
      </c>
      <c r="F171" s="38"/>
      <c r="G171" s="38"/>
      <c r="H171" s="38"/>
    </row>
    <row r="172" spans="1:8" x14ac:dyDescent="0.25">
      <c r="A172" s="38"/>
      <c r="B172" s="38"/>
      <c r="C172" s="38"/>
      <c r="D172" s="38"/>
      <c r="E172" s="38"/>
      <c r="F172" s="38"/>
      <c r="G172" s="38"/>
      <c r="H172" s="38"/>
    </row>
    <row r="173" spans="1:8" x14ac:dyDescent="0.25">
      <c r="A173" s="38"/>
      <c r="B173" s="38"/>
      <c r="C173" s="38"/>
      <c r="D173" s="38"/>
      <c r="E173" s="38"/>
      <c r="F173" s="38"/>
      <c r="G173" s="38"/>
      <c r="H173" s="38"/>
    </row>
    <row r="174" spans="1:8" ht="15" customHeight="1" x14ac:dyDescent="0.25"/>
    <row r="214" spans="1:1" x14ac:dyDescent="0.25">
      <c r="A214" s="40" t="s">
        <v>69</v>
      </c>
    </row>
  </sheetData>
  <mergeCells count="280">
    <mergeCell ref="A72:B72"/>
    <mergeCell ref="G100:H101"/>
    <mergeCell ref="E68:F77"/>
    <mergeCell ref="B157:H157"/>
    <mergeCell ref="A57:C57"/>
    <mergeCell ref="A58:C58"/>
    <mergeCell ref="D57:H57"/>
    <mergeCell ref="D58:H58"/>
    <mergeCell ref="A59:C59"/>
    <mergeCell ref="D59:H59"/>
    <mergeCell ref="C66:H66"/>
    <mergeCell ref="A69:B69"/>
    <mergeCell ref="A71:B71"/>
    <mergeCell ref="D60:H60"/>
    <mergeCell ref="A63:C63"/>
    <mergeCell ref="D63:H63"/>
    <mergeCell ref="A61:C61"/>
    <mergeCell ref="D61:H61"/>
    <mergeCell ref="A60:C60"/>
    <mergeCell ref="G67:H67"/>
    <mergeCell ref="A67:B67"/>
    <mergeCell ref="A66:B66"/>
    <mergeCell ref="A64:B64"/>
    <mergeCell ref="C64:H64"/>
    <mergeCell ref="L133:M133"/>
    <mergeCell ref="L130:M130"/>
    <mergeCell ref="L131:M131"/>
    <mergeCell ref="L132:M132"/>
    <mergeCell ref="A129:H129"/>
    <mergeCell ref="B130:F130"/>
    <mergeCell ref="A81:E81"/>
    <mergeCell ref="B151:H151"/>
    <mergeCell ref="B147:H147"/>
    <mergeCell ref="B145:H145"/>
    <mergeCell ref="B146:H146"/>
    <mergeCell ref="B148:H148"/>
    <mergeCell ref="B149:H149"/>
    <mergeCell ref="A114:H114"/>
    <mergeCell ref="A115:A116"/>
    <mergeCell ref="A123:H123"/>
    <mergeCell ref="A134:H134"/>
    <mergeCell ref="A139:H139"/>
    <mergeCell ref="B140:F140"/>
    <mergeCell ref="E94:F94"/>
    <mergeCell ref="A122:H122"/>
    <mergeCell ref="L113:M113"/>
    <mergeCell ref="A103:H103"/>
    <mergeCell ref="G104:H104"/>
    <mergeCell ref="A39:D39"/>
    <mergeCell ref="E39:H39"/>
    <mergeCell ref="F31:H31"/>
    <mergeCell ref="F32:H32"/>
    <mergeCell ref="C30:E30"/>
    <mergeCell ref="F33:H33"/>
    <mergeCell ref="F34:H34"/>
    <mergeCell ref="A36:B36"/>
    <mergeCell ref="F30:H30"/>
    <mergeCell ref="A31:B31"/>
    <mergeCell ref="A30:B30"/>
    <mergeCell ref="C31:E31"/>
    <mergeCell ref="A32:B32"/>
    <mergeCell ref="C32:E32"/>
    <mergeCell ref="A35:H35"/>
    <mergeCell ref="A34:B34"/>
    <mergeCell ref="A38:H38"/>
    <mergeCell ref="C34:E34"/>
    <mergeCell ref="C36:H36"/>
    <mergeCell ref="A37:B37"/>
    <mergeCell ref="C37:H37"/>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41:D41"/>
    <mergeCell ref="E41:H41"/>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E24:H24"/>
    <mergeCell ref="A26:D26"/>
    <mergeCell ref="A19:B19"/>
    <mergeCell ref="C19:D19"/>
    <mergeCell ref="E19:F19"/>
    <mergeCell ref="G19:H19"/>
    <mergeCell ref="A11:D11"/>
    <mergeCell ref="E11:H11"/>
    <mergeCell ref="A5:D5"/>
    <mergeCell ref="E5:H5"/>
    <mergeCell ref="A6:D6"/>
    <mergeCell ref="E6:H6"/>
    <mergeCell ref="A7:D7"/>
    <mergeCell ref="E7:H7"/>
    <mergeCell ref="A15:B15"/>
    <mergeCell ref="A12:D12"/>
    <mergeCell ref="E12:H12"/>
    <mergeCell ref="A13:D13"/>
    <mergeCell ref="A1:H1"/>
    <mergeCell ref="A2:H2"/>
    <mergeCell ref="A3:D3"/>
    <mergeCell ref="E3:H3"/>
    <mergeCell ref="A4:D4"/>
    <mergeCell ref="A8:D8"/>
    <mergeCell ref="E8:H8"/>
    <mergeCell ref="A10:D10"/>
    <mergeCell ref="E10:H10"/>
    <mergeCell ref="E4:H4"/>
    <mergeCell ref="A9:D9"/>
    <mergeCell ref="E9:H9"/>
    <mergeCell ref="A54:C54"/>
    <mergeCell ref="D54:H54"/>
    <mergeCell ref="G51:H51"/>
    <mergeCell ref="A46:B46"/>
    <mergeCell ref="C46:H46"/>
    <mergeCell ref="E42:H42"/>
    <mergeCell ref="E43:H43"/>
    <mergeCell ref="C50:H50"/>
    <mergeCell ref="E44:H44"/>
    <mergeCell ref="A62:C62"/>
    <mergeCell ref="D62:H62"/>
    <mergeCell ref="G135:H138"/>
    <mergeCell ref="G140:H143"/>
    <mergeCell ref="A117:H117"/>
    <mergeCell ref="A118:H118"/>
    <mergeCell ref="A119:H119"/>
    <mergeCell ref="A167:H170"/>
    <mergeCell ref="A166:B166"/>
    <mergeCell ref="E166:F166"/>
    <mergeCell ref="C166:D166"/>
    <mergeCell ref="G166:H166"/>
    <mergeCell ref="A92:H92"/>
    <mergeCell ref="A90:E90"/>
    <mergeCell ref="F90:H90"/>
    <mergeCell ref="A91:E91"/>
    <mergeCell ref="F91:H91"/>
    <mergeCell ref="A97:B97"/>
    <mergeCell ref="A94:B94"/>
    <mergeCell ref="A162:H162"/>
    <mergeCell ref="A95:H95"/>
    <mergeCell ref="A165:H165"/>
    <mergeCell ref="A163:H163"/>
    <mergeCell ref="A106:H106"/>
    <mergeCell ref="E40:H40"/>
    <mergeCell ref="A40:D40"/>
    <mergeCell ref="A47:B47"/>
    <mergeCell ref="C47:E47"/>
    <mergeCell ref="G47:H47"/>
    <mergeCell ref="G49:H49"/>
    <mergeCell ref="D53:H53"/>
    <mergeCell ref="C49:E49"/>
    <mergeCell ref="A56:C56"/>
    <mergeCell ref="D56:H56"/>
    <mergeCell ref="C48:E48"/>
    <mergeCell ref="A51:B51"/>
    <mergeCell ref="C51:E51"/>
    <mergeCell ref="A42:D42"/>
    <mergeCell ref="A43:D43"/>
    <mergeCell ref="A44:D44"/>
    <mergeCell ref="A45:H45"/>
    <mergeCell ref="D55:H55"/>
    <mergeCell ref="A55:C55"/>
    <mergeCell ref="G48:H48"/>
    <mergeCell ref="A49:B50"/>
    <mergeCell ref="A48:B48"/>
    <mergeCell ref="A52:H52"/>
    <mergeCell ref="A53:C53"/>
    <mergeCell ref="G94:H94"/>
    <mergeCell ref="B153:H153"/>
    <mergeCell ref="B154:H154"/>
    <mergeCell ref="B100:B101"/>
    <mergeCell ref="A100:A101"/>
    <mergeCell ref="A78:E78"/>
    <mergeCell ref="F89:H89"/>
    <mergeCell ref="F87:H87"/>
    <mergeCell ref="A99:H99"/>
    <mergeCell ref="G93:H93"/>
    <mergeCell ref="A88:E88"/>
    <mergeCell ref="C94:D94"/>
    <mergeCell ref="E97:F97"/>
    <mergeCell ref="F85:H85"/>
    <mergeCell ref="A79:E79"/>
    <mergeCell ref="A83:E83"/>
    <mergeCell ref="F88:H88"/>
    <mergeCell ref="G97:H97"/>
    <mergeCell ref="E100:E101"/>
    <mergeCell ref="C115:C116"/>
    <mergeCell ref="B115:B116"/>
    <mergeCell ref="G125:H128"/>
    <mergeCell ref="A164:H164"/>
    <mergeCell ref="A161:H161"/>
    <mergeCell ref="A96:B96"/>
    <mergeCell ref="D115:D116"/>
    <mergeCell ref="E115:E116"/>
    <mergeCell ref="G115:H116"/>
    <mergeCell ref="A160:H160"/>
    <mergeCell ref="B155:H155"/>
    <mergeCell ref="B158:H158"/>
    <mergeCell ref="G130:H133"/>
    <mergeCell ref="A159:H159"/>
    <mergeCell ref="B156:H156"/>
    <mergeCell ref="A120:H120"/>
    <mergeCell ref="A121:H121"/>
    <mergeCell ref="A124:H124"/>
    <mergeCell ref="B152:H152"/>
    <mergeCell ref="B150:H150"/>
    <mergeCell ref="A144:H144"/>
    <mergeCell ref="L109:M109"/>
    <mergeCell ref="L108:M108"/>
    <mergeCell ref="L107:M107"/>
    <mergeCell ref="I79:J79"/>
    <mergeCell ref="I63:L63"/>
    <mergeCell ref="L105:M105"/>
    <mergeCell ref="F78:H78"/>
    <mergeCell ref="F83:H83"/>
    <mergeCell ref="F82:H82"/>
    <mergeCell ref="F80:H80"/>
    <mergeCell ref="G107:H113"/>
    <mergeCell ref="L111:M111"/>
    <mergeCell ref="L112:M112"/>
    <mergeCell ref="L104:M104"/>
    <mergeCell ref="G105:H105"/>
    <mergeCell ref="L110:M110"/>
    <mergeCell ref="C107:F107"/>
    <mergeCell ref="A102:H102"/>
    <mergeCell ref="E67:F67"/>
    <mergeCell ref="A70:B70"/>
    <mergeCell ref="E96:F96"/>
    <mergeCell ref="E93:F93"/>
    <mergeCell ref="A75:B75"/>
    <mergeCell ref="C97:D97"/>
    <mergeCell ref="G68:H77"/>
    <mergeCell ref="A76:B76"/>
    <mergeCell ref="A77:B77"/>
    <mergeCell ref="A74:B74"/>
    <mergeCell ref="A98:H98"/>
    <mergeCell ref="A93:B93"/>
    <mergeCell ref="F86:H86"/>
    <mergeCell ref="C93:D93"/>
    <mergeCell ref="C100:C101"/>
    <mergeCell ref="A68:B68"/>
    <mergeCell ref="A80:E80"/>
    <mergeCell ref="A89:E89"/>
    <mergeCell ref="C96:D96"/>
    <mergeCell ref="G96:H96"/>
    <mergeCell ref="A84:E84"/>
    <mergeCell ref="D100:D101"/>
    <mergeCell ref="A82:E82"/>
    <mergeCell ref="F84:H84"/>
    <mergeCell ref="A85:E85"/>
    <mergeCell ref="A87:E87"/>
    <mergeCell ref="F81:H81"/>
    <mergeCell ref="A86:E86"/>
    <mergeCell ref="A73:B73"/>
    <mergeCell ref="F79:H79"/>
  </mergeCells>
  <hyperlinks>
    <hyperlink ref="C37" r:id="rId1"/>
  </hyperlinks>
  <printOptions horizontalCentered="1"/>
  <pageMargins left="0.39370078740157483" right="0.39370078740157483" top="0.78740157480314965"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63" max="16383" man="1"/>
    <brk id="170" max="16383" man="1"/>
    <brk id="21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03" t="s">
        <v>112</v>
      </c>
      <c r="C3" s="203"/>
      <c r="D3" s="203"/>
      <c r="E3" s="203"/>
      <c r="F3" s="203"/>
      <c r="G3" s="203"/>
      <c r="H3" s="203"/>
    </row>
    <row r="4" spans="1:9" x14ac:dyDescent="0.25">
      <c r="A4" s="2"/>
      <c r="B4" s="3" t="s">
        <v>113</v>
      </c>
      <c r="C4" s="3" t="s">
        <v>114</v>
      </c>
      <c r="D4" s="3" t="s">
        <v>71</v>
      </c>
      <c r="E4" s="3" t="s">
        <v>115</v>
      </c>
      <c r="F4" s="3" t="s">
        <v>121</v>
      </c>
      <c r="G4" s="3" t="s">
        <v>122</v>
      </c>
      <c r="H4" s="3" t="s">
        <v>116</v>
      </c>
    </row>
    <row r="5" spans="1:9" ht="15" customHeight="1" x14ac:dyDescent="0.25">
      <c r="A5" s="2"/>
      <c r="B5" s="5" t="s">
        <v>117</v>
      </c>
      <c r="C5" s="6"/>
      <c r="D5" s="5"/>
      <c r="E5" s="5"/>
      <c r="F5" s="7">
        <f>E5*1.6</f>
        <v>0</v>
      </c>
      <c r="G5" s="7" t="e">
        <f>H5/F5</f>
        <v>#DIV/0!</v>
      </c>
      <c r="H5" s="8"/>
    </row>
    <row r="6" spans="1:9" x14ac:dyDescent="0.25">
      <c r="A6" s="2"/>
      <c r="B6" s="5" t="s">
        <v>117</v>
      </c>
      <c r="C6" s="9"/>
      <c r="D6" s="5"/>
      <c r="E6" s="5"/>
      <c r="F6" s="7">
        <f t="shared" ref="F6:F11" si="0">E6*1.6</f>
        <v>0</v>
      </c>
      <c r="G6" s="7" t="e">
        <f t="shared" ref="G6:G11" si="1">H6/F6</f>
        <v>#DIV/0!</v>
      </c>
      <c r="H6" s="8"/>
    </row>
    <row r="7" spans="1:9" ht="15" customHeight="1" x14ac:dyDescent="0.25">
      <c r="A7" s="2"/>
      <c r="B7" s="5" t="s">
        <v>117</v>
      </c>
      <c r="C7" s="6"/>
      <c r="D7" s="5"/>
      <c r="E7" s="5"/>
      <c r="F7" s="7">
        <f t="shared" si="0"/>
        <v>0</v>
      </c>
      <c r="G7" s="7" t="e">
        <f t="shared" si="1"/>
        <v>#DIV/0!</v>
      </c>
      <c r="H7" s="8"/>
    </row>
    <row r="8" spans="1:9" x14ac:dyDescent="0.25">
      <c r="A8" s="2"/>
      <c r="B8" s="5" t="s">
        <v>117</v>
      </c>
      <c r="C8" s="9"/>
      <c r="D8" s="5"/>
      <c r="E8" s="5"/>
      <c r="F8" s="7">
        <f t="shared" si="0"/>
        <v>0</v>
      </c>
      <c r="G8" s="7" t="e">
        <f t="shared" si="1"/>
        <v>#DIV/0!</v>
      </c>
      <c r="H8" s="8"/>
    </row>
    <row r="9" spans="1:9" ht="15" customHeight="1" x14ac:dyDescent="0.25">
      <c r="A9" s="2"/>
      <c r="B9" s="5" t="s">
        <v>117</v>
      </c>
      <c r="C9" s="9"/>
      <c r="D9" s="5"/>
      <c r="E9" s="5"/>
      <c r="F9" s="7">
        <f t="shared" si="0"/>
        <v>0</v>
      </c>
      <c r="G9" s="7" t="e">
        <f t="shared" si="1"/>
        <v>#DIV/0!</v>
      </c>
      <c r="H9" s="8"/>
    </row>
    <row r="10" spans="1:9" ht="15" customHeight="1" x14ac:dyDescent="0.25">
      <c r="A10" s="2"/>
      <c r="B10" s="5" t="s">
        <v>118</v>
      </c>
      <c r="C10" s="6"/>
      <c r="D10" s="5"/>
      <c r="E10" s="5"/>
      <c r="F10" s="7">
        <f t="shared" si="0"/>
        <v>0</v>
      </c>
      <c r="G10" s="7" t="e">
        <f t="shared" si="1"/>
        <v>#DIV/0!</v>
      </c>
      <c r="H10" s="8"/>
    </row>
    <row r="11" spans="1:9" ht="15" customHeight="1" x14ac:dyDescent="0.25">
      <c r="A11" s="2"/>
      <c r="B11" s="5" t="s">
        <v>118</v>
      </c>
      <c r="C11" s="6"/>
      <c r="D11" s="5"/>
      <c r="E11" s="5"/>
      <c r="F11" s="7">
        <f t="shared" si="0"/>
        <v>0</v>
      </c>
      <c r="G11" s="7" t="e">
        <f t="shared" si="1"/>
        <v>#DIV/0!</v>
      </c>
      <c r="H11" s="8"/>
    </row>
    <row r="12" spans="1:9" ht="15" customHeight="1" x14ac:dyDescent="0.25">
      <c r="A12" s="2"/>
      <c r="B12" s="10" t="s">
        <v>119</v>
      </c>
      <c r="C12" s="5"/>
      <c r="D12" s="5"/>
      <c r="E12" s="5"/>
      <c r="F12" s="5"/>
      <c r="G12" s="11" t="e">
        <f>AVERAGE(G5:G11)</f>
        <v>#DIV/0!</v>
      </c>
      <c r="H12" s="5"/>
    </row>
    <row r="13" spans="1:9" ht="15" customHeight="1" x14ac:dyDescent="0.25">
      <c r="B13" s="10" t="s">
        <v>120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I4:K17"/>
  <sheetViews>
    <sheetView topLeftCell="A7" zoomScale="70" zoomScaleNormal="70" workbookViewId="0">
      <selection activeCell="I5" sqref="I5:K17"/>
    </sheetView>
  </sheetViews>
  <sheetFormatPr defaultRowHeight="15" x14ac:dyDescent="0.25"/>
  <cols>
    <col min="9" max="9" width="7.85546875" bestFit="1" customWidth="1"/>
    <col min="10" max="11" width="41.5703125" customWidth="1"/>
  </cols>
  <sheetData>
    <row r="4" spans="9:11" ht="15.75" thickBot="1" x14ac:dyDescent="0.3"/>
    <row r="5" spans="9:11" ht="51.75" customHeight="1" thickBot="1" x14ac:dyDescent="0.3">
      <c r="I5" s="53" t="s">
        <v>216</v>
      </c>
      <c r="J5" s="54" t="s">
        <v>217</v>
      </c>
      <c r="K5" s="55" t="s">
        <v>218</v>
      </c>
    </row>
    <row r="6" spans="9:11" ht="39.75" customHeight="1" x14ac:dyDescent="0.25">
      <c r="I6" s="56">
        <v>1</v>
      </c>
      <c r="J6" s="52" t="s">
        <v>219</v>
      </c>
      <c r="K6" s="57" t="s">
        <v>231</v>
      </c>
    </row>
    <row r="7" spans="9:11" ht="39.75" customHeight="1" x14ac:dyDescent="0.25">
      <c r="I7" s="58">
        <v>2</v>
      </c>
      <c r="J7" s="51" t="s">
        <v>220</v>
      </c>
      <c r="K7" s="59" t="s">
        <v>232</v>
      </c>
    </row>
    <row r="8" spans="9:11" ht="39.75" customHeight="1" x14ac:dyDescent="0.25">
      <c r="I8" s="58">
        <v>3</v>
      </c>
      <c r="J8" s="51" t="s">
        <v>221</v>
      </c>
      <c r="K8" s="59" t="s">
        <v>233</v>
      </c>
    </row>
    <row r="9" spans="9:11" ht="39.75" customHeight="1" x14ac:dyDescent="0.25">
      <c r="I9" s="58">
        <v>4</v>
      </c>
      <c r="J9" s="51" t="s">
        <v>222</v>
      </c>
      <c r="K9" s="59" t="s">
        <v>234</v>
      </c>
    </row>
    <row r="10" spans="9:11" ht="39.75" customHeight="1" x14ac:dyDescent="0.25">
      <c r="I10" s="58">
        <v>5</v>
      </c>
      <c r="J10" s="51" t="s">
        <v>223</v>
      </c>
      <c r="K10" s="59" t="s">
        <v>235</v>
      </c>
    </row>
    <row r="11" spans="9:11" ht="39.75" customHeight="1" x14ac:dyDescent="0.25">
      <c r="I11" s="58">
        <v>6</v>
      </c>
      <c r="J11" s="51" t="s">
        <v>224</v>
      </c>
      <c r="K11" s="59" t="s">
        <v>236</v>
      </c>
    </row>
    <row r="12" spans="9:11" ht="39.75" customHeight="1" x14ac:dyDescent="0.25">
      <c r="I12" s="58">
        <v>7</v>
      </c>
      <c r="J12" s="51" t="s">
        <v>225</v>
      </c>
      <c r="K12" s="59" t="s">
        <v>237</v>
      </c>
    </row>
    <row r="13" spans="9:11" ht="39.75" customHeight="1" x14ac:dyDescent="0.25">
      <c r="I13" s="58">
        <v>8</v>
      </c>
      <c r="J13" s="51" t="s">
        <v>226</v>
      </c>
      <c r="K13" s="59" t="s">
        <v>238</v>
      </c>
    </row>
    <row r="14" spans="9:11" ht="39.75" customHeight="1" x14ac:dyDescent="0.25">
      <c r="I14" s="58">
        <v>9</v>
      </c>
      <c r="J14" s="51" t="s">
        <v>227</v>
      </c>
      <c r="K14" s="59" t="s">
        <v>239</v>
      </c>
    </row>
    <row r="15" spans="9:11" ht="39.75" customHeight="1" x14ac:dyDescent="0.25">
      <c r="I15" s="58">
        <v>10</v>
      </c>
      <c r="J15" s="51" t="s">
        <v>228</v>
      </c>
      <c r="K15" s="59" t="s">
        <v>238</v>
      </c>
    </row>
    <row r="16" spans="9:11" ht="39.75" customHeight="1" x14ac:dyDescent="0.25">
      <c r="I16" s="58">
        <v>11</v>
      </c>
      <c r="J16" s="51" t="s">
        <v>229</v>
      </c>
      <c r="K16" s="59" t="s">
        <v>240</v>
      </c>
    </row>
    <row r="17" spans="9:11" ht="39.75" customHeight="1" thickBot="1" x14ac:dyDescent="0.3">
      <c r="I17" s="60">
        <v>12</v>
      </c>
      <c r="J17" s="61" t="s">
        <v>230</v>
      </c>
      <c r="K17" s="62"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2025-08-20T07:52:37Z</cp:lastPrinted>
  <dcterms:created xsi:type="dcterms:W3CDTF">2019-07-16T09:29:46Z</dcterms:created>
  <dcterms:modified xsi:type="dcterms:W3CDTF">2025-08-20T07:54:06Z</dcterms:modified>
</cp:coreProperties>
</file>