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Aug 25\AXIS\DUMP\"/>
    </mc:Choice>
  </mc:AlternateContent>
  <xr:revisionPtr revIDLastSave="0" documentId="13_ncr:1_{FB8AE0E7-ABF4-472D-B543-3F34CAC2BC25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Report!$A$1:$H$460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1" l="1"/>
  <c r="C125" i="1"/>
  <c r="C127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A293" i="1"/>
  <c r="A294" i="1" s="1"/>
  <c r="A295" i="1" s="1"/>
  <c r="A296" i="1" s="1"/>
  <c r="A297" i="1" s="1"/>
  <c r="A298" i="1" s="1"/>
  <c r="A299" i="1" s="1"/>
  <c r="G292" i="1"/>
  <c r="D292" i="1"/>
  <c r="F292" i="1" s="1"/>
  <c r="D344" i="1"/>
  <c r="F344" i="1" s="1"/>
  <c r="D341" i="1"/>
  <c r="F341" i="1" s="1"/>
  <c r="D339" i="1"/>
  <c r="F339" i="1" s="1"/>
  <c r="D338" i="1"/>
  <c r="F338" i="1" s="1"/>
  <c r="A338" i="1"/>
  <c r="A339" i="1" s="1"/>
  <c r="A340" i="1" s="1"/>
  <c r="A341" i="1" s="1"/>
  <c r="A342" i="1" s="1"/>
  <c r="A343" i="1" s="1"/>
  <c r="A344" i="1" s="1"/>
  <c r="G337" i="1"/>
  <c r="D335" i="1"/>
  <c r="F335" i="1" s="1"/>
  <c r="D332" i="1"/>
  <c r="F332" i="1" s="1"/>
  <c r="D330" i="1"/>
  <c r="F330" i="1" s="1"/>
  <c r="D328" i="1"/>
  <c r="F328" i="1" s="1"/>
  <c r="A329" i="1"/>
  <c r="A330" i="1" s="1"/>
  <c r="A331" i="1" s="1"/>
  <c r="A332" i="1" s="1"/>
  <c r="A333" i="1" s="1"/>
  <c r="A334" i="1" s="1"/>
  <c r="A335" i="1" s="1"/>
  <c r="G328" i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A320" i="1"/>
  <c r="A321" i="1" s="1"/>
  <c r="A322" i="1" s="1"/>
  <c r="A323" i="1" s="1"/>
  <c r="A324" i="1" s="1"/>
  <c r="A325" i="1" s="1"/>
  <c r="A326" i="1" s="1"/>
  <c r="G319" i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A311" i="1"/>
  <c r="A312" i="1" s="1"/>
  <c r="A313" i="1" s="1"/>
  <c r="A314" i="1" s="1"/>
  <c r="A315" i="1" s="1"/>
  <c r="A316" i="1" s="1"/>
  <c r="A317" i="1" s="1"/>
  <c r="G310" i="1"/>
  <c r="D310" i="1"/>
  <c r="F310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A302" i="1"/>
  <c r="A303" i="1" s="1"/>
  <c r="A304" i="1" s="1"/>
  <c r="A305" i="1" s="1"/>
  <c r="A306" i="1" s="1"/>
  <c r="A307" i="1" s="1"/>
  <c r="A308" i="1" s="1"/>
  <c r="G301" i="1"/>
  <c r="D288" i="1"/>
  <c r="F288" i="1" s="1"/>
  <c r="D290" i="1"/>
  <c r="F290" i="1" s="1"/>
  <c r="D289" i="1"/>
  <c r="F289" i="1" s="1"/>
  <c r="D287" i="1"/>
  <c r="F287" i="1" s="1"/>
  <c r="D286" i="1"/>
  <c r="F286" i="1" s="1"/>
  <c r="D285" i="1"/>
  <c r="F285" i="1" s="1"/>
  <c r="D283" i="1"/>
  <c r="F283" i="1" s="1"/>
  <c r="D284" i="1"/>
  <c r="F284" i="1" s="1"/>
  <c r="A284" i="1"/>
  <c r="A285" i="1" s="1"/>
  <c r="A286" i="1" s="1"/>
  <c r="A287" i="1" s="1"/>
  <c r="A288" i="1" s="1"/>
  <c r="A289" i="1" s="1"/>
  <c r="A290" i="1" s="1"/>
  <c r="G283" i="1"/>
  <c r="G54" i="1"/>
  <c r="G154" i="1" l="1"/>
  <c r="C154" i="1"/>
  <c r="E154" i="1"/>
  <c r="C126" i="1"/>
  <c r="J87" i="1"/>
  <c r="J86" i="1"/>
  <c r="J85" i="1"/>
  <c r="J84" i="1"/>
  <c r="C83" i="1"/>
  <c r="G60" i="1"/>
  <c r="J129" i="1"/>
  <c r="J128" i="1"/>
  <c r="J127" i="1"/>
  <c r="J126" i="1"/>
  <c r="J115" i="1"/>
  <c r="J114" i="1"/>
  <c r="J113" i="1"/>
  <c r="J112" i="1"/>
  <c r="H119" i="1"/>
  <c r="H76" i="1"/>
  <c r="H105" i="1"/>
  <c r="D89" i="1" l="1"/>
  <c r="D87" i="1"/>
  <c r="D85" i="1"/>
  <c r="D83" i="1"/>
  <c r="J81" i="1"/>
  <c r="C80" i="1" s="1"/>
  <c r="J79" i="1"/>
  <c r="D88" i="1"/>
  <c r="D84" i="1"/>
  <c r="J82" i="1"/>
  <c r="J83" i="1" s="1"/>
  <c r="J88" i="1" s="1"/>
  <c r="J89" i="1" s="1"/>
  <c r="C81" i="1" s="1"/>
  <c r="D82" i="1"/>
  <c r="J80" i="1"/>
  <c r="D86" i="1"/>
  <c r="D124" i="1"/>
  <c r="J122" i="1"/>
  <c r="D131" i="1"/>
  <c r="D129" i="1"/>
  <c r="D127" i="1"/>
  <c r="D125" i="1"/>
  <c r="J123" i="1"/>
  <c r="C122" i="1" s="1"/>
  <c r="D122" i="1" s="1"/>
  <c r="J121" i="1"/>
  <c r="D130" i="1"/>
  <c r="D126" i="1"/>
  <c r="D128" i="1"/>
  <c r="J124" i="1"/>
  <c r="J125" i="1" s="1"/>
  <c r="J130" i="1" s="1"/>
  <c r="J131" i="1" s="1"/>
  <c r="C123" i="1" s="1"/>
  <c r="D117" i="1"/>
  <c r="D115" i="1"/>
  <c r="D113" i="1"/>
  <c r="D111" i="1"/>
  <c r="J109" i="1"/>
  <c r="C108" i="1" s="1"/>
  <c r="J107" i="1"/>
  <c r="D116" i="1"/>
  <c r="D114" i="1"/>
  <c r="J110" i="1"/>
  <c r="D110" i="1"/>
  <c r="J108" i="1"/>
  <c r="D112" i="1"/>
  <c r="D237" i="1"/>
  <c r="F237" i="1" s="1"/>
  <c r="D108" i="1" l="1"/>
  <c r="J111" i="1"/>
  <c r="E80" i="1"/>
  <c r="D81" i="1"/>
  <c r="G80" i="1"/>
  <c r="D80" i="1"/>
  <c r="E122" i="1"/>
  <c r="I118" i="1" s="1"/>
  <c r="C120" i="1" s="1"/>
  <c r="D123" i="1"/>
  <c r="G122" i="1"/>
  <c r="D350" i="1"/>
  <c r="F350" i="1" s="1"/>
  <c r="D349" i="1"/>
  <c r="F349" i="1" s="1"/>
  <c r="J116" i="1" l="1"/>
  <c r="I75" i="1"/>
  <c r="C77" i="1" s="1"/>
  <c r="F348" i="1"/>
  <c r="F347" i="1"/>
  <c r="G346" i="1"/>
  <c r="G347" i="1" s="1"/>
  <c r="G348" i="1" s="1"/>
  <c r="G349" i="1" s="1"/>
  <c r="G350" i="1" s="1"/>
  <c r="F346" i="1"/>
  <c r="J117" i="1" l="1"/>
  <c r="C109" i="1" s="1"/>
  <c r="G108" i="1" s="1"/>
  <c r="D229" i="1"/>
  <c r="F229" i="1" s="1"/>
  <c r="L229" i="1" s="1"/>
  <c r="F228" i="1"/>
  <c r="F227" i="1"/>
  <c r="F231" i="1"/>
  <c r="F230" i="1"/>
  <c r="F226" i="1"/>
  <c r="F225" i="1"/>
  <c r="G224" i="1"/>
  <c r="G225" i="1" s="1"/>
  <c r="G226" i="1" s="1"/>
  <c r="G229" i="1" s="1"/>
  <c r="G230" i="1" s="1"/>
  <c r="G231" i="1" s="1"/>
  <c r="F224" i="1"/>
  <c r="E108" i="1" l="1"/>
  <c r="I104" i="1" s="1"/>
  <c r="C106" i="1" s="1"/>
  <c r="D109" i="1"/>
  <c r="G227" i="1"/>
  <c r="G228" i="1" s="1"/>
  <c r="D177" i="1"/>
  <c r="F177" i="1" s="1"/>
  <c r="F176" i="1"/>
  <c r="F175" i="1"/>
  <c r="G174" i="1"/>
  <c r="G175" i="1" s="1"/>
  <c r="G176" i="1" s="1"/>
  <c r="G177" i="1" s="1"/>
  <c r="F174" i="1"/>
  <c r="D235" i="1" l="1"/>
  <c r="G233" i="1"/>
  <c r="D233" i="1"/>
  <c r="F233" i="1" s="1"/>
  <c r="C97" i="1" l="1"/>
  <c r="D182" i="1" l="1"/>
  <c r="F278" i="1" l="1"/>
  <c r="F277" i="1"/>
  <c r="F276" i="1"/>
  <c r="G275" i="1"/>
  <c r="G276" i="1" s="1"/>
  <c r="G277" i="1" s="1"/>
  <c r="G278" i="1" s="1"/>
  <c r="F275" i="1"/>
  <c r="F272" i="1"/>
  <c r="F271" i="1"/>
  <c r="F270" i="1"/>
  <c r="G269" i="1"/>
  <c r="G270" i="1" s="1"/>
  <c r="G271" i="1" s="1"/>
  <c r="G272" i="1" s="1"/>
  <c r="G273" i="1" s="1"/>
  <c r="F269" i="1"/>
  <c r="F267" i="1"/>
  <c r="F266" i="1"/>
  <c r="F265" i="1"/>
  <c r="G264" i="1"/>
  <c r="G265" i="1" s="1"/>
  <c r="G266" i="1" s="1"/>
  <c r="G267" i="1" s="1"/>
  <c r="F264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G262" i="1" s="1"/>
  <c r="F255" i="1"/>
  <c r="F252" i="1"/>
  <c r="F251" i="1"/>
  <c r="F250" i="1"/>
  <c r="F249" i="1"/>
  <c r="F248" i="1"/>
  <c r="F247" i="1"/>
  <c r="G246" i="1"/>
  <c r="G247" i="1" s="1"/>
  <c r="G248" i="1" s="1"/>
  <c r="G249" i="1" s="1"/>
  <c r="G250" i="1" s="1"/>
  <c r="G251" i="1" s="1"/>
  <c r="G252" i="1" s="1"/>
  <c r="G253" i="1" s="1"/>
  <c r="F246" i="1"/>
  <c r="F244" i="1"/>
  <c r="F243" i="1"/>
  <c r="F242" i="1"/>
  <c r="F241" i="1"/>
  <c r="F240" i="1"/>
  <c r="F239" i="1"/>
  <c r="F238" i="1"/>
  <c r="G237" i="1"/>
  <c r="G238" i="1" s="1"/>
  <c r="G239" i="1" s="1"/>
  <c r="G240" i="1" s="1"/>
  <c r="G241" i="1" s="1"/>
  <c r="G242" i="1" s="1"/>
  <c r="G243" i="1" s="1"/>
  <c r="G244" i="1" s="1"/>
  <c r="G235" i="1"/>
  <c r="F235" i="1"/>
  <c r="F222" i="1"/>
  <c r="F221" i="1"/>
  <c r="F220" i="1"/>
  <c r="F219" i="1"/>
  <c r="F218" i="1"/>
  <c r="F217" i="1"/>
  <c r="F216" i="1"/>
  <c r="G215" i="1"/>
  <c r="G216" i="1" s="1"/>
  <c r="G217" i="1" s="1"/>
  <c r="G218" i="1" s="1"/>
  <c r="G219" i="1" s="1"/>
  <c r="G220" i="1" s="1"/>
  <c r="G221" i="1" s="1"/>
  <c r="G222" i="1" s="1"/>
  <c r="F215" i="1"/>
  <c r="F212" i="1"/>
  <c r="F211" i="1"/>
  <c r="F210" i="1"/>
  <c r="F209" i="1"/>
  <c r="F208" i="1"/>
  <c r="F207" i="1"/>
  <c r="G206" i="1"/>
  <c r="G207" i="1" s="1"/>
  <c r="G208" i="1" s="1"/>
  <c r="G209" i="1" s="1"/>
  <c r="G210" i="1" s="1"/>
  <c r="G211" i="1" s="1"/>
  <c r="G212" i="1" s="1"/>
  <c r="G213" i="1" s="1"/>
  <c r="F206" i="1"/>
  <c r="F204" i="1"/>
  <c r="F203" i="1"/>
  <c r="F202" i="1"/>
  <c r="F201" i="1"/>
  <c r="F200" i="1"/>
  <c r="F199" i="1"/>
  <c r="F198" i="1"/>
  <c r="G197" i="1"/>
  <c r="G198" i="1" s="1"/>
  <c r="G199" i="1" s="1"/>
  <c r="G200" i="1" s="1"/>
  <c r="G201" i="1" s="1"/>
  <c r="G202" i="1" s="1"/>
  <c r="G203" i="1" s="1"/>
  <c r="G204" i="1" s="1"/>
  <c r="F197" i="1"/>
  <c r="F195" i="1"/>
  <c r="F194" i="1"/>
  <c r="F193" i="1"/>
  <c r="F192" i="1"/>
  <c r="F191" i="1"/>
  <c r="F190" i="1"/>
  <c r="F189" i="1"/>
  <c r="G188" i="1"/>
  <c r="G189" i="1" s="1"/>
  <c r="G190" i="1" s="1"/>
  <c r="G191" i="1" s="1"/>
  <c r="G192" i="1" s="1"/>
  <c r="G193" i="1" s="1"/>
  <c r="G194" i="1" s="1"/>
  <c r="G195" i="1" s="1"/>
  <c r="F188" i="1"/>
  <c r="F186" i="1" l="1"/>
  <c r="F185" i="1"/>
  <c r="F184" i="1"/>
  <c r="F183" i="1"/>
  <c r="F182" i="1"/>
  <c r="F181" i="1"/>
  <c r="F180" i="1"/>
  <c r="G179" i="1"/>
  <c r="G180" i="1" s="1"/>
  <c r="G181" i="1" s="1"/>
  <c r="G182" i="1" s="1"/>
  <c r="G183" i="1" s="1"/>
  <c r="G184" i="1" s="1"/>
  <c r="G185" i="1" s="1"/>
  <c r="G186" i="1" s="1"/>
  <c r="F179" i="1"/>
  <c r="D72" i="1" l="1"/>
  <c r="J101" i="1" l="1"/>
  <c r="J100" i="1"/>
  <c r="H91" i="1"/>
  <c r="D96" i="1" l="1"/>
  <c r="D102" i="1"/>
  <c r="J94" i="1"/>
  <c r="D103" i="1"/>
  <c r="D99" i="1"/>
  <c r="J95" i="1"/>
  <c r="C94" i="1" s="1"/>
  <c r="D94" i="1" s="1"/>
  <c r="J93" i="1"/>
  <c r="D98" i="1"/>
  <c r="D101" i="1"/>
  <c r="D97" i="1"/>
  <c r="J96" i="1"/>
  <c r="J97" i="1" s="1"/>
  <c r="J102" i="1" s="1"/>
  <c r="D100" i="1"/>
  <c r="G49" i="1"/>
  <c r="J98" i="1" l="1"/>
  <c r="J99" i="1" s="1"/>
  <c r="A353" i="1"/>
  <c r="A354" i="1" s="1"/>
  <c r="A355" i="1" s="1"/>
  <c r="A357" i="1" s="1"/>
  <c r="A358" i="1" s="1"/>
  <c r="A359" i="1" s="1"/>
  <c r="A360" i="1" l="1"/>
  <c r="A361" i="1" s="1"/>
  <c r="A362" i="1" s="1"/>
  <c r="J103" i="1"/>
  <c r="C95" i="1" s="1"/>
  <c r="E94" i="1" l="1"/>
  <c r="I90" i="1" s="1"/>
  <c r="C92" i="1" s="1"/>
  <c r="D95" i="1"/>
  <c r="G94" i="1"/>
  <c r="D74" i="1" l="1"/>
  <c r="F132" i="1" s="1"/>
  <c r="C14" i="1" l="1"/>
  <c r="F160" i="1" l="1"/>
  <c r="G160" i="1"/>
  <c r="G161" i="1" s="1"/>
  <c r="G162" i="1" s="1"/>
  <c r="G163" i="1" s="1"/>
  <c r="G164" i="1" s="1"/>
  <c r="G165" i="1" s="1"/>
  <c r="G166" i="1" s="1"/>
  <c r="A161" i="1"/>
  <c r="A162" i="1" s="1"/>
  <c r="A163" i="1" s="1"/>
  <c r="A164" i="1" s="1"/>
  <c r="A165" i="1" s="1"/>
  <c r="A166" i="1" s="1"/>
  <c r="F161" i="1"/>
  <c r="F162" i="1"/>
  <c r="F163" i="1"/>
  <c r="F164" i="1"/>
  <c r="F165" i="1"/>
  <c r="F166" i="1"/>
  <c r="E3" i="1"/>
  <c r="E25" i="1" l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376" i="1" l="1"/>
  <c r="F148" i="1"/>
  <c r="D64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<sst xmlns="http://schemas.openxmlformats.org/spreadsheetml/2006/main" count="638" uniqueCount="296">
  <si>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</si>
  <si>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</si>
  <si>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</si>
  <si>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</si>
  <si>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</si>
  <si>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</si>
  <si>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</si>
  <si>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</si>
  <si>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</si>
  <si>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</si>
  <si>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</si>
  <si>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</si>
  <si>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</si>
  <si>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</si>
  <si>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</si>
  <si>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</si>
  <si>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</si>
  <si>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</si>
  <si>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</si>
  <si>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</si>
  <si>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</si>
  <si>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</si>
  <si>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</si>
  <si>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</si>
  <si>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</si>
  <si>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</si>
  <si>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</si>
  <si>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</si>
  <si>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</si>
  <si>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</si>
  <si>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</si>
  <si>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</si>
  <si>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</si>
  <si>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</si>
  <si>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</si>
  <si>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</si>
  <si>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</si>
  <si>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</si>
  <si>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</si>
  <si>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</si>
  <si>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</si>
  <si>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</si>
  <si>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</si>
  <si>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</si>
  <si>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</si>
  <si>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</si>
  <si>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</si>
  <si>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</si>
  <si>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</si>
  <si>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</si>
  <si>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</si>
  <si>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</si>
  <si>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</si>
  <si>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</si>
  <si>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</si>
  <si>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</si>
  <si>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</si>
  <si>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</si>
  <si>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</si>
  <si>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</si>
  <si>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</si>
  <si>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</si>
  <si>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</si>
  <si>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</si>
  <si>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</si>
  <si>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</si>
  <si>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</si>
  <si>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</si>
  <si>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</si>
  <si>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</si>
  <si>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</si>
  <si>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</si>
  <si>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</si>
  <si>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</si>
  <si>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</si>
  <si>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</si>
  <si>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</si>
  <si>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</si>
  <si>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</si>
  <si>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</si>
  <si>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</si>
  <si>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</si>
  <si>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</si>
  <si>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</si>
  <si>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</si>
  <si>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</si>
  <si>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</si>
  <si>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</si>
  <si>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</si>
  <si>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</si>
  <si>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</si>
  <si>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</si>
  <si>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</si>
  <si>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</si>
  <si>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</si>
  <si>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</si>
  <si>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</si>
  <si>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</si>
  <si>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</si>
  <si>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</si>
  <si>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</si>
  <si>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</si>
  <si>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</si>
  <si>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</si>
  <si>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</si>
  <si>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</si>
  <si>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</si>
  <si>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</si>
  <si>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</si>
  <si>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</si>
  <si>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</si>
  <si>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</si>
  <si>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</si>
  <si>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</si>
  <si>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</si>
  <si>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</si>
  <si>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</si>
  <si>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</si>
  <si>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</si>
  <si>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</si>
  <si>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</si>
  <si>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</si>
  <si>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</si>
  <si>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</si>
  <si>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</si>
  <si>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</si>
  <si>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</si>
  <si>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</si>
  <si>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</si>
  <si>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</si>
  <si>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</si>
  <si>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</si>
  <si>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</si>
  <si>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</si>
  <si>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</si>
  <si>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</si>
  <si>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</si>
  <si>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</si>
  <si>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</si>
  <si>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</si>
  <si>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</si>
  <si>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</si>
  <si>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</si>
  <si>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</si>
  <si>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</si>
  <si>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</si>
  <si>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</si>
  <si>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</si>
  <si>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</si>
  <si>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</si>
  <si>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</si>
  <si>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</si>
  <si>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</si>
  <si>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</si>
  <si>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</si>
  <si>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</si>
  <si>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</si>
  <si>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</si>
  <si>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</si>
  <si>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</si>
  <si>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</si>
  <si>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</si>
  <si>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 Saleable area  as per our calculation/ Builder area sheet.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</si>
  <si>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</si>
  <si>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</si>
  <si>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</si>
  <si>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</si>
  <si>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</si>
  <si>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</si>
  <si>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</si>
  <si>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</si>
  <si>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</si>
  <si>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</si>
  <si>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</si>
  <si>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</si>
  <si>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</si>
  <si>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</si>
  <si>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</si>
  <si>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</si>
  <si>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</si>
  <si>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</si>
  <si>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</si>
  <si>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</si>
  <si>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</si>
  <si>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</si>
  <si>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</si>
  <si>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</si>
  <si>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</si>
  <si>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</si>
  <si>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</si>
  <si>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M/s.Aurum Platz IT Private Limited</t>
  </si>
  <si>
    <t>Miss. Tejal-8169917399</t>
  </si>
  <si>
    <t>Building no.R4 &amp; R5</t>
  </si>
  <si>
    <t>Thane</t>
  </si>
  <si>
    <t>Ghansoli</t>
  </si>
  <si>
    <t>Locality</t>
  </si>
  <si>
    <t>Q Park Road</t>
  </si>
  <si>
    <t>Aurum Ventures Pvt. Ltd</t>
  </si>
  <si>
    <t>Aurum Q Residences</t>
  </si>
  <si>
    <t>1.7Km from Ghansoli Railway Station</t>
  </si>
  <si>
    <t>Plot No</t>
  </si>
  <si>
    <t>Building R4</t>
  </si>
  <si>
    <t xml:space="preserve">Ground Floor For Parking </t>
  </si>
  <si>
    <t xml:space="preserve">1st &amp; 2nd Floor For Parking </t>
  </si>
  <si>
    <t>Building R5</t>
  </si>
  <si>
    <t>2BHK</t>
  </si>
  <si>
    <t>1BHK</t>
  </si>
  <si>
    <t>4th Floor</t>
  </si>
  <si>
    <t>5th to 17th Floor</t>
  </si>
  <si>
    <t>Refuge Area</t>
  </si>
  <si>
    <t>18th Floor (Part Refuge Area)</t>
  </si>
  <si>
    <t>19th to 21st Floor</t>
  </si>
  <si>
    <t>22nd Floor</t>
  </si>
  <si>
    <t>28th Floor (Part Refuge Area)</t>
  </si>
  <si>
    <t>29th Floor (Part Refuge Area)</t>
  </si>
  <si>
    <t>30th to 37th Floor</t>
  </si>
  <si>
    <t>4BHK</t>
  </si>
  <si>
    <t>39th Floor</t>
  </si>
  <si>
    <t>38th Floor (Part Refuge Area)</t>
  </si>
  <si>
    <t>Approved Plans, CC</t>
  </si>
  <si>
    <t>GEN -4/1</t>
  </si>
  <si>
    <t>EE/SPA/GEN-4/1/E-31223/of 2019</t>
  </si>
  <si>
    <t>Valid Up to: Plinth Level</t>
  </si>
  <si>
    <t>10th Floor</t>
  </si>
  <si>
    <t>30th Floor</t>
  </si>
  <si>
    <t>3.5BHK</t>
  </si>
  <si>
    <t>5th Floor</t>
  </si>
  <si>
    <t>18th Floor</t>
  </si>
  <si>
    <t>Rushikesh Naik</t>
  </si>
  <si>
    <t>Location Link</t>
  </si>
  <si>
    <t>7th Floor</t>
  </si>
  <si>
    <t>sanket</t>
  </si>
  <si>
    <t>12000 to 12500</t>
  </si>
  <si>
    <t>34th Floor</t>
  </si>
  <si>
    <t>4.5BHK</t>
  </si>
  <si>
    <t>Shubham</t>
  </si>
  <si>
    <t>On Site, we meet Mr. Sagar : 8828079398</t>
  </si>
  <si>
    <t>Pandurang Bidkar</t>
  </si>
  <si>
    <t xml:space="preserve">Site Person - Contact Details ( Name &amp; Contact No.)
</t>
  </si>
  <si>
    <t xml:space="preserve">Q Islands R4 = P51700023775
Q Islands R5 = P51700023911
Q Islands R6 = P51700048523
Q Islands R7 = P51700048656
</t>
  </si>
  <si>
    <t xml:space="preserve">Approved Floor plan No.
Wing R6 &amp; R7  </t>
  </si>
  <si>
    <t xml:space="preserve">Commencement Certificate No.
Wing R6 &amp; R7 </t>
  </si>
  <si>
    <t>Valid Up to: R6 &amp; R7 = G + 1st &amp; 2nd Podium(Pt.)/Resi(Pt.) + 3rd to 39th Floor</t>
  </si>
  <si>
    <t>EE/Dn.II/MHP/SPA/I/1872/of 2023</t>
  </si>
  <si>
    <t>Q Islands R4 to R7</t>
  </si>
  <si>
    <t>EE/Dn. II/MHP/SPA/GEN-4/1/C62272/of 2022</t>
  </si>
  <si>
    <t>Approved Floor plan No.
Wing R4</t>
  </si>
  <si>
    <t>Commencement Certificate No. 
Wing R4</t>
  </si>
  <si>
    <t xml:space="preserve">Commencement Certificate No. 
Wing R5  </t>
  </si>
  <si>
    <t xml:space="preserve">EE/SPA/GEN-4/1/E-31223/of 2019
</t>
  </si>
  <si>
    <t>Valid Up to: G + 1st &amp; 2nd Podium + 3rd to 21st Floor</t>
  </si>
  <si>
    <t>22nd to 27th &amp; 29th Floor</t>
  </si>
  <si>
    <t>30th to 37th &amp; 39th Floor</t>
  </si>
  <si>
    <t>Merged with Flat No. 1</t>
  </si>
  <si>
    <t>Merged with Flat No. 3</t>
  </si>
  <si>
    <t>Merged with Flat No. 5</t>
  </si>
  <si>
    <t>Merged with Flat No. 8</t>
  </si>
  <si>
    <t>5th to 17th &amp; 19th to 21st Floor</t>
  </si>
  <si>
    <t>3rd &amp; 4th Floor</t>
  </si>
  <si>
    <t>Wing R5</t>
  </si>
  <si>
    <t>Gross Carpet area
(As per Index 2 or Plan )</t>
  </si>
  <si>
    <t>R7 = 1B + G + 1st &amp; 2nd Podium(Pt.)/Resi(Pt.) + 3rd to 39th Floor</t>
  </si>
  <si>
    <t>R6 = 1B + G + 1st &amp; 2nd Podium(Pt.)/Resi(Pt.) + 3rd to 39th Floor</t>
  </si>
  <si>
    <t>R5 = 1B + G + 1st &amp; 2nd Podium(Pt.)/Resi(Pt.) + 3rd to 39th Floor</t>
  </si>
  <si>
    <t>R4 = 1B + G + 1st &amp; 2nd Podium(Pt.)/Resi(Pt.) + 3rd to 39th Floor</t>
  </si>
  <si>
    <t>R5 = 1B + G + P1 + P2 + 3rd to 39th Floor
R5 = 1B + G + P1 + P2 + 3rd to 39th Floor</t>
  </si>
  <si>
    <t>R4 = 1B + G + P1 + P2 + 3rd to 39th Floor</t>
  </si>
  <si>
    <t>R5 = 1B + G + P1 + P2 + 3rd to 39th Floor</t>
  </si>
  <si>
    <t>R6 = 1B + G + P1 + P2 + 3rd to 39th Floor</t>
  </si>
  <si>
    <t>R7 = 1B + G + P1 + P2 + 3rd to 39th Floor</t>
  </si>
  <si>
    <t>Flat's measurements/dimensions are not shown in MIDC approved plans of R4, R6 &amp; R7, Please provide the RERA carpet area with architect letter &amp; Sale Plans along with approved Plans for all typical Floors.</t>
  </si>
  <si>
    <t>Since Plans of Wing R5 was only provided with proper dimensions, Plan Area is drafted for Wing R5 only on 31/05/2024.</t>
  </si>
  <si>
    <t>Wing R4, R6 &amp; R7 flat area is considered from index2 provided to us by bank officials.</t>
  </si>
  <si>
    <t>Approved Floor plan No.
Wing R5 (Gr. + 21st Floor)</t>
  </si>
  <si>
    <t>Approved Floor plan No.
Wing R5 (22nd to 39th Floor)</t>
  </si>
  <si>
    <t>Flats - 254</t>
  </si>
  <si>
    <t>Latitude,Longitude</t>
  </si>
  <si>
    <t>19.1199784,73.0083409</t>
  </si>
  <si>
    <t>04 Buildings</t>
  </si>
  <si>
    <t>Wing R4</t>
  </si>
  <si>
    <t>Valid Up to: 22nd to 39th Floor</t>
  </si>
  <si>
    <t>Wing R6 &amp; R7</t>
  </si>
  <si>
    <t>Recommended rate of the flat Per Sq. Ft. ( on Saleable area) 
(Wing R5)</t>
  </si>
  <si>
    <t>Recommended rate of the flat Per Sq. Ft. ( on Saleable area) 
(Wing R4, R6 &amp; R7)
(Including Car Parking)</t>
  </si>
  <si>
    <t>600000/-</t>
  </si>
  <si>
    <t>Rate for Wing R5 is changed by Sanjay 10/06/2024</t>
  </si>
  <si>
    <t>Constrution work goes beyond CC. Please provide latest CC for R4 Wing.</t>
  </si>
  <si>
    <t>As per RERA
Q Islands R4 = Completed
Q Islands R5 = 30/12/2025
Q Islands R6 &amp; R7 = 31/12/2027</t>
  </si>
  <si>
    <t xml:space="preserve">Office No. 1031, Wing J, Akshar Business Park, Plot No. 03 Sector 25, Near APMC Market, 
Vashi, Navi Mumbai, Maharashtra 400703 TEL: 022-46090378/79/80
E mail : vsjcapf@gmail.com. Web site : www.vsjadon.com
</t>
  </si>
  <si>
    <t>Gaurav Panchal</t>
  </si>
  <si>
    <t>Aakash Chaure</t>
  </si>
  <si>
    <t>Mr. Sudesh Kadam - 8828079398</t>
  </si>
  <si>
    <t>R4  = Construction work completed. Please provide OC.
R5 = Finishing work is in process. (Internal visit Not allowed)
R6 &amp; R7 = Construction work is in process at the time of Visit. (Internal visit Not allowed). Details taken from sales person.</t>
  </si>
  <si>
    <t>Changed on 20/8/2025</t>
  </si>
  <si>
    <t>19.120597,73.007958</t>
  </si>
  <si>
    <t>https://maps.app.goo.gl/W8rMrwXZ9Mm8GPpT7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</si>
</sst>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14" fontId="7" fillId="0" borderId="0" xfId="1" applyNumberFormat="1" applyFont="1" applyAlignment="1">
      <alignment horizontal="center" vertical="center"/>
    </xf>
    <xf numFmtId="1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1" applyFont="1"/>
    <xf numFmtId="0" fontId="10" fillId="3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3" fillId="6" borderId="9" xfId="1" applyFont="1" applyFill="1" applyBorder="1" applyAlignment="1" applyProtection="1">
      <alignment horizontal="center" vertical="top" wrapText="1"/>
      <protection locked="0"/>
    </xf>
    <xf numFmtId="0" fontId="13" fillId="6" borderId="24" xfId="1" applyFont="1" applyFill="1" applyBorder="1" applyAlignment="1" applyProtection="1">
      <alignment horizontal="center" vertical="top" wrapText="1"/>
      <protection locked="0"/>
    </xf>
    <xf numFmtId="0" fontId="13" fillId="6" borderId="10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6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5" fillId="0" borderId="9" xfId="1" applyNumberFormat="1" applyFont="1" applyBorder="1" applyAlignment="1" applyProtection="1">
      <alignment horizontal="center" vertical="center" wrapText="1"/>
      <protection locked="0"/>
    </xf>
    <xf numFmtId="1" fontId="15" fillId="0" borderId="10" xfId="1" applyNumberFormat="1" applyFont="1" applyBorder="1" applyAlignment="1" applyProtection="1">
      <alignment horizontal="center" vertical="center" wrapText="1"/>
      <protection locked="0"/>
    </xf>
    <xf numFmtId="1" fontId="15" fillId="0" borderId="24" xfId="1" applyNumberFormat="1" applyFont="1" applyBorder="1" applyAlignment="1" applyProtection="1">
      <alignment horizontal="center" vertical="center" wrapText="1"/>
      <protection locked="0"/>
    </xf>
    <xf numFmtId="1" fontId="17" fillId="0" borderId="9" xfId="1" applyNumberFormat="1" applyFont="1" applyBorder="1" applyAlignment="1" applyProtection="1">
      <alignment horizontal="center" vertical="center" wrapText="1"/>
      <protection locked="0"/>
    </xf>
    <xf numFmtId="1" fontId="17" fillId="0" borderId="24" xfId="1" applyNumberFormat="1" applyFont="1" applyBorder="1" applyAlignment="1" applyProtection="1">
      <alignment horizontal="center" vertical="center" wrapText="1"/>
      <protection locked="0"/>
    </xf>
    <xf numFmtId="1" fontId="17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6" borderId="1" xfId="1" applyFont="1" applyFill="1" applyBorder="1" applyAlignment="1" applyProtection="1">
      <alignment horizontal="left" vertical="top"/>
      <protection locked="0"/>
    </xf>
    <xf numFmtId="0" fontId="8" fillId="6" borderId="1" xfId="1" applyFont="1" applyFill="1" applyBorder="1" applyAlignment="1" applyProtection="1">
      <alignment horizontal="left" vertical="top" wrapText="1"/>
      <protection locked="0"/>
    </xf>
    <xf numFmtId="0" fontId="8" fillId="6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24" xfId="1" applyFont="1" applyBorder="1" applyAlignment="1" applyProtection="1">
      <alignment horizontal="center" vertical="top"/>
      <protection locked="0"/>
    </xf>
    <xf numFmtId="0" fontId="12" fillId="0" borderId="10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24" fillId="0" borderId="9" xfId="9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166" fontId="12" fillId="0" borderId="1" xfId="1" applyNumberFormat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0" borderId="32" xfId="1" applyNumberFormat="1" applyFont="1" applyBorder="1" applyAlignment="1" applyProtection="1">
      <alignment horizontal="center" vertical="top" wrapText="1"/>
      <protection locked="0"/>
    </xf>
    <xf numFmtId="0" fontId="13" fillId="0" borderId="33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0" fontId="13" fillId="0" borderId="3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694765</xdr:colOff>
      <xdr:row>438</xdr:row>
      <xdr:rowOff>43323</xdr:rowOff>
    </xdr:from>
    <xdr:to>
      <xdr:col>7</xdr:col>
      <xdr:colOff>154218</xdr:colOff>
      <xdr:row>456</xdr:row>
      <xdr:rowOff>12615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65" y="52061029"/>
          <a:ext cx="557786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694764</xdr:colOff>
      <xdr:row>419</xdr:row>
      <xdr:rowOff>134471</xdr:rowOff>
    </xdr:from>
    <xdr:to>
      <xdr:col>7</xdr:col>
      <xdr:colOff>154217</xdr:colOff>
      <xdr:row>437</xdr:row>
      <xdr:rowOff>103766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64" y="48319765"/>
          <a:ext cx="557786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746760</xdr:colOff>
      <xdr:row>377</xdr:row>
      <xdr:rowOff>30480</xdr:rowOff>
    </xdr:from>
    <xdr:to>
      <xdr:col>22</xdr:col>
      <xdr:colOff>266700</xdr:colOff>
      <xdr:row>410</xdr:row>
      <xdr:rowOff>186030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433435" y="54723030"/>
          <a:ext cx="6225540" cy="6746850"/>
          <a:chOff x="159265" y="137160"/>
          <a:chExt cx="6713778" cy="7249770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338848" y="3222045"/>
            <a:ext cx="6354613" cy="2160000"/>
            <a:chOff x="159265" y="3222045"/>
            <a:chExt cx="6354613" cy="216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95566" y="322204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56926" y="322204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265" y="3222045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322345" y="5586930"/>
            <a:ext cx="6387618" cy="1800000"/>
            <a:chOff x="159265" y="5586930"/>
            <a:chExt cx="6387618" cy="180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49105" y="558693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265" y="558693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77371" y="5586930"/>
              <a:ext cx="135140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159265" y="137160"/>
            <a:ext cx="6713778" cy="2880000"/>
            <a:chOff x="159265" y="137160"/>
            <a:chExt cx="6713778" cy="288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265" y="13716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7279" y="13716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15293" y="13716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9</xdr:col>
      <xdr:colOff>20955</xdr:colOff>
      <xdr:row>376</xdr:row>
      <xdr:rowOff>99060</xdr:rowOff>
    </xdr:from>
    <xdr:to>
      <xdr:col>20</xdr:col>
      <xdr:colOff>334315</xdr:colOff>
      <xdr:row>412</xdr:row>
      <xdr:rowOff>112480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30F23B-396B-209A-DEA3-CF10EC4DD56C}"/>
            </a:ext>
          </a:extLst>
        </xdr:cNvPr>
        <xdr:cNvGrpSpPr/>
      </xdr:nvGrpSpPr>
      <xdr:grpSpPr>
        <a:xfrm>
          <a:off x="7707630" y="54591585"/>
          <a:ext cx="5799760" cy="7204795"/>
          <a:chOff x="199451" y="61783"/>
          <a:chExt cx="5948350" cy="713812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5079FC60-0AEE-EA8F-360E-ADD921962245}"/>
              </a:ext>
            </a:extLst>
          </xdr:cNvPr>
          <xdr:cNvGrpSpPr/>
        </xdr:nvGrpSpPr>
        <xdr:grpSpPr>
          <a:xfrm>
            <a:off x="1008327" y="5399903"/>
            <a:ext cx="4330599" cy="1800000"/>
            <a:chOff x="738702" y="5399903"/>
            <a:chExt cx="4330599" cy="180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BEE42A52-69FB-680D-6D4E-BFCB3FB741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21176" y="5399903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6A459AE6-D9E2-1BF9-48F4-75014FD430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38702" y="5399903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451CDC97-794B-513E-FCB9-6F5054A49B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9939" y="5399903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91DEBF6-082A-D106-F1E2-986631C93F22}"/>
              </a:ext>
            </a:extLst>
          </xdr:cNvPr>
          <xdr:cNvGrpSpPr/>
        </xdr:nvGrpSpPr>
        <xdr:grpSpPr>
          <a:xfrm>
            <a:off x="199451" y="61783"/>
            <a:ext cx="5948350" cy="5189060"/>
            <a:chOff x="199451" y="61783"/>
            <a:chExt cx="5948350" cy="518906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477EBF25-005F-47C6-CF69-E3EFD71504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9939" y="27308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29807370-1440-C097-645C-6B6CF3C47B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9939" y="6178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D809196C-9703-8D3D-3035-96776D899A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0426" y="27308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D226F449-016D-49FE-6212-DE89FD2486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451" y="6178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1147BC6-53F3-0D6F-0F92-573493965B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0426" y="6178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BC07E171-011E-A793-0FD5-CF63DD3462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452" y="27308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1" name="TextBox 20">
              <a:extLst>
                <a:ext uri="{FF2B5EF4-FFF2-40B4-BE49-F238E27FC236}">
                  <a16:creationId xmlns:a16="http://schemas.microsoft.com/office/drawing/2014/main" id="{6CD2BAF7-CB11-B4C1-7C31-F93FA3A995FE}"/>
                </a:ext>
              </a:extLst>
            </xdr:cNvPr>
            <xdr:cNvSpPr txBox="1"/>
          </xdr:nvSpPr>
          <xdr:spPr>
            <a:xfrm>
              <a:off x="2559580" y="3072341"/>
              <a:ext cx="293670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00" b="1"/>
                <a:t>R5</a:t>
              </a:r>
              <a:endParaRPr lang="en-IN" sz="800" b="1"/>
            </a:p>
          </xdr:txBody>
        </xdr:sp>
        <xdr:sp macro="" textlink="">
          <xdr:nvSpPr>
            <xdr:cNvPr id="12" name="TextBox 21">
              <a:extLst>
                <a:ext uri="{FF2B5EF4-FFF2-40B4-BE49-F238E27FC236}">
                  <a16:creationId xmlns:a16="http://schemas.microsoft.com/office/drawing/2014/main" id="{295BAEA2-3F95-85D6-2944-30C0A36F347A}"/>
                </a:ext>
              </a:extLst>
            </xdr:cNvPr>
            <xdr:cNvSpPr txBox="1"/>
          </xdr:nvSpPr>
          <xdr:spPr>
            <a:xfrm>
              <a:off x="2987168" y="3257007"/>
              <a:ext cx="293670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00" b="1"/>
                <a:t>R4</a:t>
              </a:r>
              <a:endParaRPr lang="en-IN" sz="800" b="1"/>
            </a:p>
          </xdr:txBody>
        </xdr:sp>
        <xdr:sp macro="" textlink="">
          <xdr:nvSpPr>
            <xdr:cNvPr id="13" name="TextBox 22">
              <a:extLst>
                <a:ext uri="{FF2B5EF4-FFF2-40B4-BE49-F238E27FC236}">
                  <a16:creationId xmlns:a16="http://schemas.microsoft.com/office/drawing/2014/main" id="{163BEF49-75D1-5348-E0B3-B7893449ED03}"/>
                </a:ext>
              </a:extLst>
            </xdr:cNvPr>
            <xdr:cNvSpPr txBox="1"/>
          </xdr:nvSpPr>
          <xdr:spPr>
            <a:xfrm>
              <a:off x="3689726" y="2995397"/>
              <a:ext cx="293670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00" b="1"/>
                <a:t>R7</a:t>
              </a:r>
              <a:endParaRPr lang="en-IN" sz="800" b="1"/>
            </a:p>
          </xdr:txBody>
        </xdr:sp>
        <xdr:sp macro="" textlink="">
          <xdr:nvSpPr>
            <xdr:cNvPr id="14" name="TextBox 23">
              <a:extLst>
                <a:ext uri="{FF2B5EF4-FFF2-40B4-BE49-F238E27FC236}">
                  <a16:creationId xmlns:a16="http://schemas.microsoft.com/office/drawing/2014/main" id="{81E6535F-39AC-FF89-AE83-55B6C6FD1D0E}"/>
                </a:ext>
              </a:extLst>
            </xdr:cNvPr>
            <xdr:cNvSpPr txBox="1"/>
          </xdr:nvSpPr>
          <xdr:spPr>
            <a:xfrm>
              <a:off x="4637773" y="142240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R7</a:t>
              </a:r>
              <a:endParaRPr lang="en-IN" b="1"/>
            </a:p>
          </xdr:txBody>
        </xdr:sp>
        <xdr:sp macro="" textlink="">
          <xdr:nvSpPr>
            <xdr:cNvPr id="30" name="TextBox 24">
              <a:extLst>
                <a:ext uri="{FF2B5EF4-FFF2-40B4-BE49-F238E27FC236}">
                  <a16:creationId xmlns:a16="http://schemas.microsoft.com/office/drawing/2014/main" id="{95D8CD95-A350-4AED-8EF3-43C1622CE95F}"/>
                </a:ext>
              </a:extLst>
            </xdr:cNvPr>
            <xdr:cNvSpPr txBox="1"/>
          </xdr:nvSpPr>
          <xdr:spPr>
            <a:xfrm>
              <a:off x="791472" y="3103119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R6</a:t>
              </a:r>
              <a:endParaRPr lang="en-IN" b="1"/>
            </a:p>
          </xdr:txBody>
        </xdr:sp>
        <xdr:sp macro="" textlink="">
          <xdr:nvSpPr>
            <xdr:cNvPr id="31" name="TextBox 25">
              <a:extLst>
                <a:ext uri="{FF2B5EF4-FFF2-40B4-BE49-F238E27FC236}">
                  <a16:creationId xmlns:a16="http://schemas.microsoft.com/office/drawing/2014/main" id="{F486D8CF-FCA2-30A5-B82B-793A26C2F932}"/>
                </a:ext>
              </a:extLst>
            </xdr:cNvPr>
            <xdr:cNvSpPr txBox="1"/>
          </xdr:nvSpPr>
          <xdr:spPr>
            <a:xfrm>
              <a:off x="2556610" y="61783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R5</a:t>
              </a:r>
              <a:endParaRPr lang="en-IN" b="1"/>
            </a:p>
          </xdr:txBody>
        </xdr:sp>
        <xdr:sp macro="" textlink="">
          <xdr:nvSpPr>
            <xdr:cNvPr id="32" name="TextBox 26">
              <a:extLst>
                <a:ext uri="{FF2B5EF4-FFF2-40B4-BE49-F238E27FC236}">
                  <a16:creationId xmlns:a16="http://schemas.microsoft.com/office/drawing/2014/main" id="{59489CB7-DA02-849D-2FBF-2D1D09A977B3}"/>
                </a:ext>
              </a:extLst>
            </xdr:cNvPr>
            <xdr:cNvSpPr txBox="1"/>
          </xdr:nvSpPr>
          <xdr:spPr>
            <a:xfrm>
              <a:off x="1197000" y="61783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R4</a:t>
              </a:r>
              <a:endParaRPr lang="en-IN" b="1"/>
            </a:p>
          </xdr:txBody>
        </xdr:sp>
      </xdr:grpSp>
    </xdr:grpSp>
    <xdr:clientData/>
  </xdr:twoCellAnchor>
  <xdr:twoCellAnchor editAs="oneCell">
    <xdr:from>
      <xdr:col>8</xdr:col>
      <xdr:colOff>209550</xdr:colOff>
      <xdr:row>70</xdr:row>
      <xdr:rowOff>552450</xdr:rowOff>
    </xdr:from>
    <xdr:to>
      <xdr:col>18</xdr:col>
      <xdr:colOff>229360</xdr:colOff>
      <xdr:row>105</xdr:row>
      <xdr:rowOff>162664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17625D8-329F-42E2-9BB2-9D3ED1B0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34175" y="18278475"/>
          <a:ext cx="5449060" cy="5296639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376</xdr:row>
      <xdr:rowOff>95250</xdr:rowOff>
    </xdr:from>
    <xdr:to>
      <xdr:col>7</xdr:col>
      <xdr:colOff>771524</xdr:colOff>
      <xdr:row>408</xdr:row>
      <xdr:rowOff>155352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DA3EF015-1DE9-4784-91DD-0D4B4B324949}"/>
            </a:ext>
          </a:extLst>
        </xdr:cNvPr>
        <xdr:cNvGrpSpPr/>
      </xdr:nvGrpSpPr>
      <xdr:grpSpPr>
        <a:xfrm>
          <a:off x="57150" y="54587775"/>
          <a:ext cx="6410324" cy="6451377"/>
          <a:chOff x="223837" y="1286701"/>
          <a:chExt cx="6410324" cy="6451377"/>
        </a:xfrm>
      </xdr:grpSpPr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10D97924-96EF-4193-84FB-BB0D768ED7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5369" y="1286701"/>
            <a:ext cx="3282130" cy="24609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A5DDB9C6-3B04-4F8E-9C03-8660AAC48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1024" y="1286701"/>
            <a:ext cx="1846198" cy="24609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84E1E7EB-DB6B-4D65-A233-44F2BBD73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837" y="3915740"/>
            <a:ext cx="1600038" cy="213284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EA394AEA-A34D-4D4A-A886-993D9369B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4068" y="3918249"/>
            <a:ext cx="2844512" cy="213284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F546D8A7-1731-4C03-9EE2-BC66C98454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4123" y="3915740"/>
            <a:ext cx="1600038" cy="213284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593E83F-BC63-401B-83F5-A7CDA03A00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532" y="6226078"/>
            <a:ext cx="2016509" cy="151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D422CAC-FD02-458A-BCA5-66DC04C3C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9680" y="6216649"/>
            <a:ext cx="2016509" cy="151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9" name="TextBox 32">
            <a:extLst>
              <a:ext uri="{FF2B5EF4-FFF2-40B4-BE49-F238E27FC236}">
                <a16:creationId xmlns:a16="http://schemas.microsoft.com/office/drawing/2014/main" id="{99C75EDF-E38B-4672-A86A-B2453E87010A}"/>
              </a:ext>
            </a:extLst>
          </xdr:cNvPr>
          <xdr:cNvSpPr txBox="1"/>
        </xdr:nvSpPr>
        <xdr:spPr>
          <a:xfrm>
            <a:off x="1042988" y="1457273"/>
            <a:ext cx="455292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R4</a:t>
            </a:r>
            <a:endParaRPr lang="en-IN" b="1"/>
          </a:p>
        </xdr:txBody>
      </xdr:sp>
      <xdr:sp macro="" textlink="">
        <xdr:nvSpPr>
          <xdr:cNvPr id="60" name="TextBox 33">
            <a:extLst>
              <a:ext uri="{FF2B5EF4-FFF2-40B4-BE49-F238E27FC236}">
                <a16:creationId xmlns:a16="http://schemas.microsoft.com/office/drawing/2014/main" id="{3914261D-D369-4158-96A9-796F6183D948}"/>
              </a:ext>
            </a:extLst>
          </xdr:cNvPr>
          <xdr:cNvSpPr txBox="1"/>
        </xdr:nvSpPr>
        <xdr:spPr>
          <a:xfrm>
            <a:off x="3229611" y="1405922"/>
            <a:ext cx="480375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R5</a:t>
            </a:r>
            <a:endParaRPr lang="en-IN" b="1"/>
          </a:p>
        </xdr:txBody>
      </xdr:sp>
      <xdr:sp macro="" textlink="">
        <xdr:nvSpPr>
          <xdr:cNvPr id="61" name="TextBox 34">
            <a:extLst>
              <a:ext uri="{FF2B5EF4-FFF2-40B4-BE49-F238E27FC236}">
                <a16:creationId xmlns:a16="http://schemas.microsoft.com/office/drawing/2014/main" id="{F6469247-41F2-4FCB-9892-383718033D09}"/>
              </a:ext>
            </a:extLst>
          </xdr:cNvPr>
          <xdr:cNvSpPr txBox="1"/>
        </xdr:nvSpPr>
        <xdr:spPr>
          <a:xfrm>
            <a:off x="4110037" y="1288955"/>
            <a:ext cx="451142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R4</a:t>
            </a:r>
            <a:endParaRPr lang="en-IN" b="1"/>
          </a:p>
        </xdr:txBody>
      </xdr:sp>
      <xdr:sp macro="" textlink="">
        <xdr:nvSpPr>
          <xdr:cNvPr id="62" name="TextBox 35">
            <a:extLst>
              <a:ext uri="{FF2B5EF4-FFF2-40B4-BE49-F238E27FC236}">
                <a16:creationId xmlns:a16="http://schemas.microsoft.com/office/drawing/2014/main" id="{9E7ADC09-F6EF-4C22-8B46-22BAE98559BC}"/>
              </a:ext>
            </a:extLst>
          </xdr:cNvPr>
          <xdr:cNvSpPr txBox="1"/>
        </xdr:nvSpPr>
        <xdr:spPr>
          <a:xfrm>
            <a:off x="1262062" y="4043072"/>
            <a:ext cx="452679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R5</a:t>
            </a:r>
            <a:endParaRPr lang="en-IN" b="1"/>
          </a:p>
        </xdr:txBody>
      </xdr:sp>
      <xdr:sp macro="" textlink="">
        <xdr:nvSpPr>
          <xdr:cNvPr id="63" name="TextBox 36">
            <a:extLst>
              <a:ext uri="{FF2B5EF4-FFF2-40B4-BE49-F238E27FC236}">
                <a16:creationId xmlns:a16="http://schemas.microsoft.com/office/drawing/2014/main" id="{367B0873-0A3F-46B2-A902-B8D846B12F51}"/>
              </a:ext>
            </a:extLst>
          </xdr:cNvPr>
          <xdr:cNvSpPr txBox="1"/>
        </xdr:nvSpPr>
        <xdr:spPr>
          <a:xfrm>
            <a:off x="2976562" y="3940123"/>
            <a:ext cx="444719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R7</a:t>
            </a:r>
            <a:endParaRPr lang="en-IN" b="1"/>
          </a:p>
        </xdr:txBody>
      </xdr:sp>
      <xdr:sp macro="" textlink="">
        <xdr:nvSpPr>
          <xdr:cNvPr id="64" name="TextBox 37">
            <a:extLst>
              <a:ext uri="{FF2B5EF4-FFF2-40B4-BE49-F238E27FC236}">
                <a16:creationId xmlns:a16="http://schemas.microsoft.com/office/drawing/2014/main" id="{AD9A72F3-5E6C-4AC0-B702-E935596E9A78}"/>
              </a:ext>
            </a:extLst>
          </xdr:cNvPr>
          <xdr:cNvSpPr txBox="1"/>
        </xdr:nvSpPr>
        <xdr:spPr>
          <a:xfrm>
            <a:off x="5119687" y="3940123"/>
            <a:ext cx="442544" cy="374141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R7</a:t>
            </a:r>
            <a:endParaRPr lang="en-IN" b="1"/>
          </a:p>
        </xdr:txBody>
      </xdr:sp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D7CB3FCB-0040-4FFC-A26C-4D007B9156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811" y="6216649"/>
            <a:ext cx="2016000" cy="151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8rMrwXZ9Mm8GPpT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19"/>
  <sheetViews>
    <sheetView tabSelected="1" view="pageBreakPreview" topLeftCell="A441" zoomScaleNormal="100" zoomScaleSheetLayoutView="100" zoomScalePageLayoutView="85" workbookViewId="0">
      <selection activeCell="J453" sqref="J453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1.8554687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12" ht="46.5" customHeight="1" x14ac:dyDescent="0.25">
      <c r="A1" s="166" t="s">
        <v>288</v>
      </c>
      <c r="B1" s="166"/>
      <c r="C1" s="166"/>
      <c r="D1" s="166"/>
      <c r="E1" s="166"/>
      <c r="F1" s="166"/>
      <c r="G1" s="166"/>
      <c r="H1" s="166"/>
    </row>
    <row r="2" spans="1:12" ht="16.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12" x14ac:dyDescent="0.25">
      <c r="A3" s="136" t="s">
        <v>1</v>
      </c>
      <c r="B3" s="136"/>
      <c r="C3" s="136"/>
      <c r="D3" s="136"/>
      <c r="E3" s="167" t="str">
        <f ca="1">TEXT(TODAY(),"DD/MM/YYYY")</f>
        <v>21/08/2025</v>
      </c>
      <c r="F3" s="167"/>
      <c r="G3" s="167"/>
      <c r="H3" s="167"/>
    </row>
    <row r="4" spans="1:12" ht="15" customHeight="1" x14ac:dyDescent="0.25">
      <c r="A4" s="136" t="s">
        <v>2</v>
      </c>
      <c r="B4" s="136"/>
      <c r="C4" s="136"/>
      <c r="D4" s="136"/>
      <c r="E4" s="164" t="s">
        <v>189</v>
      </c>
      <c r="F4" s="164"/>
      <c r="G4" s="164"/>
      <c r="H4" s="164"/>
    </row>
    <row r="5" spans="1:12" x14ac:dyDescent="0.25">
      <c r="A5" s="136" t="s">
        <v>3</v>
      </c>
      <c r="B5" s="136"/>
      <c r="C5" s="136"/>
      <c r="D5" s="136"/>
      <c r="E5" s="168">
        <v>45889</v>
      </c>
      <c r="F5" s="168"/>
      <c r="G5" s="168"/>
      <c r="H5" s="168"/>
    </row>
    <row r="6" spans="1:12" ht="16.5" customHeight="1" x14ac:dyDescent="0.25">
      <c r="A6" s="136" t="s">
        <v>4</v>
      </c>
      <c r="B6" s="136"/>
      <c r="C6" s="136"/>
      <c r="D6" s="136"/>
      <c r="E6" s="71" t="s">
        <v>190</v>
      </c>
      <c r="F6" s="71"/>
      <c r="G6" s="71"/>
      <c r="H6" s="71"/>
      <c r="J6" s="8" t="s">
        <v>237</v>
      </c>
    </row>
    <row r="7" spans="1:12" ht="15" customHeight="1" x14ac:dyDescent="0.25">
      <c r="A7" s="136" t="s">
        <v>5</v>
      </c>
      <c r="B7" s="136"/>
      <c r="C7" s="136"/>
      <c r="D7" s="136"/>
      <c r="E7" s="71" t="str">
        <f>E6</f>
        <v>M/s.Aurum Platz IT Private Limited</v>
      </c>
      <c r="F7" s="71"/>
      <c r="G7" s="71"/>
      <c r="H7" s="71"/>
    </row>
    <row r="8" spans="1:12" x14ac:dyDescent="0.25">
      <c r="A8" s="136" t="s">
        <v>6</v>
      </c>
      <c r="B8" s="136"/>
      <c r="C8" s="136"/>
      <c r="D8" s="136"/>
      <c r="E8" s="102" t="s">
        <v>244</v>
      </c>
      <c r="F8" s="102"/>
      <c r="G8" s="102"/>
      <c r="H8" s="102"/>
    </row>
    <row r="9" spans="1:12" x14ac:dyDescent="0.25">
      <c r="A9" s="136" t="s">
        <v>160</v>
      </c>
      <c r="B9" s="136"/>
      <c r="C9" s="136"/>
      <c r="D9" s="136"/>
      <c r="E9" s="78" t="s">
        <v>191</v>
      </c>
      <c r="F9" s="78"/>
      <c r="G9" s="78"/>
      <c r="H9" s="78"/>
    </row>
    <row r="10" spans="1:12" x14ac:dyDescent="0.25">
      <c r="A10" s="135" t="s">
        <v>238</v>
      </c>
      <c r="B10" s="136"/>
      <c r="C10" s="136"/>
      <c r="D10" s="136"/>
      <c r="E10" s="78" t="s">
        <v>291</v>
      </c>
      <c r="F10" s="78"/>
      <c r="G10" s="78"/>
      <c r="H10" s="78"/>
      <c r="I10" s="78" t="s">
        <v>191</v>
      </c>
      <c r="J10" s="78"/>
      <c r="K10" s="78"/>
      <c r="L10" s="78"/>
    </row>
    <row r="11" spans="1:12" x14ac:dyDescent="0.25">
      <c r="A11" s="78" t="s">
        <v>7</v>
      </c>
      <c r="B11" s="78"/>
      <c r="C11" s="78"/>
      <c r="D11" s="78"/>
      <c r="E11" s="78" t="s">
        <v>192</v>
      </c>
      <c r="F11" s="78"/>
      <c r="G11" s="78"/>
      <c r="H11" s="78"/>
    </row>
    <row r="12" spans="1:12" x14ac:dyDescent="0.25">
      <c r="A12" s="136" t="s">
        <v>8</v>
      </c>
      <c r="B12" s="136"/>
      <c r="C12" s="136"/>
      <c r="D12" s="136"/>
      <c r="E12" s="71" t="s">
        <v>219</v>
      </c>
      <c r="F12" s="71"/>
      <c r="G12" s="71"/>
      <c r="H12" s="71"/>
    </row>
    <row r="13" spans="1:12" ht="65.25" customHeight="1" x14ac:dyDescent="0.25">
      <c r="A13" s="136" t="s">
        <v>9</v>
      </c>
      <c r="B13" s="136"/>
      <c r="C13" s="136"/>
      <c r="D13" s="136"/>
      <c r="E13" s="71" t="s">
        <v>239</v>
      </c>
      <c r="F13" s="78"/>
      <c r="G13" s="78"/>
      <c r="H13" s="78"/>
    </row>
    <row r="14" spans="1:12" ht="35.25" customHeight="1" x14ac:dyDescent="0.25">
      <c r="A14" s="71" t="s">
        <v>10</v>
      </c>
      <c r="B14" s="71"/>
      <c r="C14" s="7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Q Islands R4 to R7, Plot No.GEN -4/1, near Aurum Q Residences, Q Park Road, Ghansoli, Ghansoli, Thane, Thane.</v>
      </c>
      <c r="D14" s="71"/>
      <c r="E14" s="71"/>
      <c r="F14" s="71"/>
      <c r="G14" s="71"/>
      <c r="H14" s="71"/>
    </row>
    <row r="15" spans="1:12" x14ac:dyDescent="0.25">
      <c r="A15" s="71" t="s">
        <v>200</v>
      </c>
      <c r="B15" s="71"/>
      <c r="C15" s="71" t="s">
        <v>220</v>
      </c>
      <c r="D15" s="71"/>
      <c r="E15" s="71"/>
      <c r="F15" s="71"/>
      <c r="G15" s="71"/>
      <c r="H15" s="71"/>
    </row>
    <row r="16" spans="1:12" ht="15.75" customHeight="1" x14ac:dyDescent="0.25">
      <c r="A16" s="71" t="s">
        <v>11</v>
      </c>
      <c r="B16" s="71"/>
      <c r="C16" s="78" t="s">
        <v>196</v>
      </c>
      <c r="D16" s="78"/>
      <c r="E16" s="71" t="s">
        <v>195</v>
      </c>
      <c r="F16" s="71"/>
      <c r="G16" s="71" t="s">
        <v>194</v>
      </c>
      <c r="H16" s="71"/>
    </row>
    <row r="17" spans="1:8" x14ac:dyDescent="0.25">
      <c r="A17" s="78" t="s">
        <v>13</v>
      </c>
      <c r="B17" s="78"/>
      <c r="C17" s="71" t="s">
        <v>194</v>
      </c>
      <c r="D17" s="71"/>
      <c r="E17" s="71" t="s">
        <v>12</v>
      </c>
      <c r="F17" s="71"/>
      <c r="G17" s="165" t="s">
        <v>193</v>
      </c>
      <c r="H17" s="165"/>
    </row>
    <row r="18" spans="1:8" x14ac:dyDescent="0.25">
      <c r="A18" s="78" t="s">
        <v>100</v>
      </c>
      <c r="B18" s="78"/>
      <c r="C18" s="71" t="s">
        <v>193</v>
      </c>
      <c r="D18" s="71"/>
      <c r="E18" s="71" t="s">
        <v>14</v>
      </c>
      <c r="F18" s="71"/>
      <c r="G18" s="71">
        <v>400710</v>
      </c>
      <c r="H18" s="71"/>
    </row>
    <row r="19" spans="1:8" ht="32.25" customHeight="1" x14ac:dyDescent="0.25">
      <c r="A19" s="78" t="s">
        <v>161</v>
      </c>
      <c r="B19" s="78"/>
      <c r="C19" s="72" t="s">
        <v>198</v>
      </c>
      <c r="D19" s="72"/>
      <c r="E19" s="71" t="s">
        <v>15</v>
      </c>
      <c r="F19" s="71"/>
      <c r="G19" s="71" t="s">
        <v>199</v>
      </c>
      <c r="H19" s="71"/>
    </row>
    <row r="20" spans="1:8" ht="15" customHeight="1" x14ac:dyDescent="0.25">
      <c r="A20" s="135" t="s">
        <v>104</v>
      </c>
      <c r="B20" s="135"/>
      <c r="C20" s="135"/>
      <c r="D20" s="135"/>
      <c r="E20" s="78" t="s">
        <v>16</v>
      </c>
      <c r="F20" s="78"/>
      <c r="G20" s="78"/>
      <c r="H20" s="78"/>
    </row>
    <row r="21" spans="1:8" ht="18.75" customHeight="1" x14ac:dyDescent="0.25">
      <c r="A21" s="135"/>
      <c r="B21" s="135"/>
      <c r="C21" s="135"/>
      <c r="D21" s="135"/>
      <c r="E21" s="78"/>
      <c r="F21" s="78"/>
      <c r="G21" s="78"/>
      <c r="H21" s="78"/>
    </row>
    <row r="22" spans="1:8" ht="15" customHeight="1" x14ac:dyDescent="0.25">
      <c r="A22" s="135" t="s">
        <v>17</v>
      </c>
      <c r="B22" s="135"/>
      <c r="C22" s="135"/>
      <c r="D22" s="135"/>
      <c r="E22" s="71" t="s">
        <v>18</v>
      </c>
      <c r="F22" s="71"/>
      <c r="G22" s="71"/>
      <c r="H22" s="71"/>
    </row>
    <row r="23" spans="1:8" ht="15" customHeight="1" x14ac:dyDescent="0.25">
      <c r="A23" s="136" t="s">
        <v>19</v>
      </c>
      <c r="B23" s="136"/>
      <c r="C23" s="136"/>
      <c r="D23" s="136"/>
      <c r="E23" s="71" t="str">
        <f>IF(AND(G17="Mumbai"),"Upper Class","Middle Class")</f>
        <v>Middle Class</v>
      </c>
      <c r="F23" s="71"/>
      <c r="G23" s="71"/>
      <c r="H23" s="71"/>
    </row>
    <row r="24" spans="1:8" x14ac:dyDescent="0.25">
      <c r="A24" s="136" t="s">
        <v>20</v>
      </c>
      <c r="B24" s="136"/>
      <c r="C24" s="136"/>
      <c r="D24" s="136"/>
      <c r="E24" s="71" t="s">
        <v>21</v>
      </c>
      <c r="F24" s="71"/>
      <c r="G24" s="71"/>
      <c r="H24" s="71"/>
    </row>
    <row r="25" spans="1:8" ht="15.75" customHeight="1" x14ac:dyDescent="0.25">
      <c r="A25" s="136" t="s">
        <v>22</v>
      </c>
      <c r="B25" s="136"/>
      <c r="C25" s="136"/>
      <c r="D25" s="136"/>
      <c r="E25" s="71" t="str">
        <f>IF(AND(G17="Mumbai"),"Developed","Developing")</f>
        <v>Developing</v>
      </c>
      <c r="F25" s="71"/>
      <c r="G25" s="71"/>
      <c r="H25" s="71"/>
    </row>
    <row r="26" spans="1:8" x14ac:dyDescent="0.25">
      <c r="A26" s="136" t="s">
        <v>23</v>
      </c>
      <c r="B26" s="136"/>
      <c r="C26" s="136"/>
      <c r="D26" s="136"/>
      <c r="E26" s="71" t="s">
        <v>24</v>
      </c>
      <c r="F26" s="71"/>
      <c r="G26" s="71"/>
      <c r="H26" s="71"/>
    </row>
    <row r="27" spans="1:8" x14ac:dyDescent="0.25">
      <c r="A27" s="136" t="s">
        <v>111</v>
      </c>
      <c r="B27" s="136"/>
      <c r="C27" s="136"/>
      <c r="D27" s="136"/>
      <c r="E27" s="71" t="s">
        <v>112</v>
      </c>
      <c r="F27" s="71"/>
      <c r="G27" s="71"/>
      <c r="H27" s="71"/>
    </row>
    <row r="28" spans="1:8" ht="15" customHeight="1" x14ac:dyDescent="0.25">
      <c r="A28" s="135" t="s">
        <v>33</v>
      </c>
      <c r="B28" s="135"/>
      <c r="C28" s="135"/>
      <c r="D28" s="135"/>
      <c r="E28" s="164" t="s">
        <v>108</v>
      </c>
      <c r="F28" s="164"/>
      <c r="G28" s="164"/>
      <c r="H28" s="164"/>
    </row>
    <row r="29" spans="1:8" x14ac:dyDescent="0.25">
      <c r="A29" s="135" t="s">
        <v>123</v>
      </c>
      <c r="B29" s="135"/>
      <c r="C29" s="135"/>
      <c r="D29" s="135"/>
      <c r="E29" s="135" t="s">
        <v>34</v>
      </c>
      <c r="F29" s="135"/>
      <c r="G29" s="135"/>
      <c r="H29" s="135"/>
    </row>
    <row r="30" spans="1:8" s="11" customFormat="1" x14ac:dyDescent="0.25">
      <c r="A30" s="157" t="s">
        <v>124</v>
      </c>
      <c r="B30" s="157"/>
      <c r="C30" s="152" t="s">
        <v>29</v>
      </c>
      <c r="D30" s="152"/>
      <c r="E30" s="152"/>
      <c r="F30" s="152" t="s">
        <v>31</v>
      </c>
      <c r="G30" s="152"/>
      <c r="H30" s="152"/>
    </row>
    <row r="31" spans="1:8" s="11" customFormat="1" x14ac:dyDescent="0.25">
      <c r="A31" s="156" t="s">
        <v>25</v>
      </c>
      <c r="B31" s="156" t="s">
        <v>30</v>
      </c>
      <c r="C31" s="151" t="s">
        <v>30</v>
      </c>
      <c r="D31" s="151"/>
      <c r="E31" s="151"/>
      <c r="F31" s="151" t="s">
        <v>197</v>
      </c>
      <c r="G31" s="151"/>
      <c r="H31" s="151"/>
    </row>
    <row r="32" spans="1:8" x14ac:dyDescent="0.25">
      <c r="A32" s="156" t="s">
        <v>26</v>
      </c>
      <c r="B32" s="156" t="s">
        <v>30</v>
      </c>
      <c r="C32" s="151" t="s">
        <v>30</v>
      </c>
      <c r="D32" s="151"/>
      <c r="E32" s="151"/>
      <c r="F32" s="151" t="s">
        <v>11</v>
      </c>
      <c r="G32" s="151"/>
      <c r="H32" s="151"/>
    </row>
    <row r="33" spans="1:11" s="11" customFormat="1" x14ac:dyDescent="0.25">
      <c r="A33" s="156" t="s">
        <v>28</v>
      </c>
      <c r="B33" s="156" t="s">
        <v>30</v>
      </c>
      <c r="C33" s="151" t="s">
        <v>30</v>
      </c>
      <c r="D33" s="151"/>
      <c r="E33" s="151"/>
      <c r="F33" s="151" t="s">
        <v>11</v>
      </c>
      <c r="G33" s="151"/>
      <c r="H33" s="151"/>
    </row>
    <row r="34" spans="1:11" x14ac:dyDescent="0.25">
      <c r="A34" s="156" t="s">
        <v>27</v>
      </c>
      <c r="B34" s="156" t="s">
        <v>30</v>
      </c>
      <c r="C34" s="151" t="s">
        <v>30</v>
      </c>
      <c r="D34" s="151"/>
      <c r="E34" s="151"/>
      <c r="F34" s="153" t="s">
        <v>196</v>
      </c>
      <c r="G34" s="154"/>
      <c r="H34" s="155"/>
    </row>
    <row r="35" spans="1:11" x14ac:dyDescent="0.25">
      <c r="A35" s="136" t="s">
        <v>32</v>
      </c>
      <c r="B35" s="136"/>
      <c r="C35" s="136"/>
      <c r="D35" s="136"/>
      <c r="E35" s="136"/>
      <c r="F35" s="136"/>
      <c r="G35" s="136"/>
      <c r="H35" s="136"/>
      <c r="I35" s="11" t="s">
        <v>293</v>
      </c>
    </row>
    <row r="36" spans="1:11" ht="15.75" customHeight="1" x14ac:dyDescent="0.25">
      <c r="A36" s="136" t="s">
        <v>276</v>
      </c>
      <c r="B36" s="136"/>
      <c r="C36" s="158" t="s">
        <v>294</v>
      </c>
      <c r="D36" s="159"/>
      <c r="E36" s="159"/>
      <c r="F36" s="159"/>
      <c r="G36" s="159"/>
      <c r="H36" s="160"/>
      <c r="I36" s="11" t="s">
        <v>277</v>
      </c>
    </row>
    <row r="37" spans="1:11" ht="15.75" customHeight="1" x14ac:dyDescent="0.25">
      <c r="A37" s="136" t="s">
        <v>229</v>
      </c>
      <c r="B37" s="136"/>
      <c r="C37" s="161" t="s">
        <v>295</v>
      </c>
      <c r="D37" s="162"/>
      <c r="E37" s="162"/>
      <c r="F37" s="162"/>
      <c r="G37" s="162"/>
      <c r="H37" s="163"/>
    </row>
    <row r="38" spans="1:11" x14ac:dyDescent="0.25">
      <c r="A38" s="148" t="s">
        <v>35</v>
      </c>
      <c r="B38" s="148"/>
      <c r="C38" s="148"/>
      <c r="D38" s="148"/>
      <c r="E38" s="148"/>
      <c r="F38" s="148"/>
      <c r="G38" s="148"/>
      <c r="H38" s="148"/>
    </row>
    <row r="39" spans="1:11" x14ac:dyDescent="0.25">
      <c r="A39" s="136" t="s">
        <v>36</v>
      </c>
      <c r="B39" s="136"/>
      <c r="C39" s="136"/>
      <c r="D39" s="136"/>
      <c r="E39" s="150" t="s">
        <v>30</v>
      </c>
      <c r="F39" s="150"/>
      <c r="G39" s="150"/>
      <c r="H39" s="150"/>
    </row>
    <row r="40" spans="1:11" x14ac:dyDescent="0.25">
      <c r="A40" s="136" t="s">
        <v>37</v>
      </c>
      <c r="B40" s="136"/>
      <c r="C40" s="136"/>
      <c r="D40" s="136"/>
      <c r="E40" s="150" t="s">
        <v>30</v>
      </c>
      <c r="F40" s="150"/>
      <c r="G40" s="150"/>
      <c r="H40" s="150"/>
    </row>
    <row r="41" spans="1:11" x14ac:dyDescent="0.25">
      <c r="A41" s="136" t="s">
        <v>38</v>
      </c>
      <c r="B41" s="136"/>
      <c r="C41" s="136"/>
      <c r="D41" s="136"/>
      <c r="E41" s="150" t="s">
        <v>30</v>
      </c>
      <c r="F41" s="150"/>
      <c r="G41" s="150"/>
      <c r="H41" s="150"/>
    </row>
    <row r="42" spans="1:11" x14ac:dyDescent="0.25">
      <c r="A42" s="136" t="s">
        <v>39</v>
      </c>
      <c r="B42" s="136"/>
      <c r="C42" s="136"/>
      <c r="D42" s="136"/>
      <c r="E42" s="150" t="s">
        <v>30</v>
      </c>
      <c r="F42" s="150"/>
      <c r="G42" s="150"/>
      <c r="H42" s="150"/>
    </row>
    <row r="43" spans="1:11" x14ac:dyDescent="0.25">
      <c r="A43" s="136" t="s">
        <v>122</v>
      </c>
      <c r="B43" s="136"/>
      <c r="C43" s="136"/>
      <c r="D43" s="136"/>
      <c r="E43" s="150" t="s">
        <v>30</v>
      </c>
      <c r="F43" s="150"/>
      <c r="G43" s="150"/>
      <c r="H43" s="150"/>
    </row>
    <row r="44" spans="1:11" x14ac:dyDescent="0.25">
      <c r="A44" s="78" t="s">
        <v>40</v>
      </c>
      <c r="B44" s="78"/>
      <c r="C44" s="78"/>
      <c r="D44" s="78"/>
      <c r="E44" s="78" t="s">
        <v>278</v>
      </c>
      <c r="F44" s="78"/>
      <c r="G44" s="78"/>
      <c r="H44" s="78"/>
    </row>
    <row r="45" spans="1:11" x14ac:dyDescent="0.25">
      <c r="A45" s="102" t="s">
        <v>41</v>
      </c>
      <c r="B45" s="102"/>
      <c r="C45" s="102"/>
      <c r="D45" s="102"/>
      <c r="E45" s="102"/>
      <c r="F45" s="102"/>
      <c r="G45" s="102"/>
      <c r="H45" s="102"/>
    </row>
    <row r="46" spans="1:11" x14ac:dyDescent="0.25">
      <c r="A46" s="71" t="s">
        <v>42</v>
      </c>
      <c r="B46" s="71"/>
      <c r="C46" s="72" t="s">
        <v>30</v>
      </c>
      <c r="D46" s="72"/>
      <c r="E46" s="72"/>
      <c r="F46" s="51" t="s">
        <v>43</v>
      </c>
      <c r="G46" s="74" t="s">
        <v>30</v>
      </c>
      <c r="H46" s="74"/>
    </row>
    <row r="47" spans="1:11" x14ac:dyDescent="0.25">
      <c r="A47" s="68" t="s">
        <v>279</v>
      </c>
      <c r="B47" s="69"/>
      <c r="C47" s="69"/>
      <c r="D47" s="69"/>
      <c r="E47" s="69"/>
      <c r="F47" s="69"/>
      <c r="G47" s="69"/>
      <c r="H47" s="70"/>
      <c r="K47" s="64"/>
    </row>
    <row r="48" spans="1:11" ht="36.75" customHeight="1" x14ac:dyDescent="0.25">
      <c r="A48" s="71" t="s">
        <v>246</v>
      </c>
      <c r="B48" s="78"/>
      <c r="C48" s="72" t="s">
        <v>221</v>
      </c>
      <c r="D48" s="72"/>
      <c r="E48" s="72"/>
      <c r="F48" s="51" t="s">
        <v>43</v>
      </c>
      <c r="G48" s="74">
        <v>43825</v>
      </c>
      <c r="H48" s="74"/>
    </row>
    <row r="49" spans="1:11" s="10" customFormat="1" ht="32.25" customHeight="1" x14ac:dyDescent="0.25">
      <c r="A49" s="71" t="s">
        <v>247</v>
      </c>
      <c r="B49" s="71"/>
      <c r="C49" s="72" t="s">
        <v>249</v>
      </c>
      <c r="D49" s="73"/>
      <c r="E49" s="73"/>
      <c r="F49" s="13" t="s">
        <v>43</v>
      </c>
      <c r="G49" s="74">
        <f>G48</f>
        <v>43825</v>
      </c>
      <c r="H49" s="74"/>
    </row>
    <row r="50" spans="1:11" s="10" customFormat="1" x14ac:dyDescent="0.25">
      <c r="A50" s="71"/>
      <c r="B50" s="71"/>
      <c r="C50" s="75" t="s">
        <v>222</v>
      </c>
      <c r="D50" s="76"/>
      <c r="E50" s="76"/>
      <c r="F50" s="76"/>
      <c r="G50" s="76"/>
      <c r="H50" s="77"/>
    </row>
    <row r="51" spans="1:11" x14ac:dyDescent="0.25">
      <c r="A51" s="68" t="s">
        <v>259</v>
      </c>
      <c r="B51" s="69"/>
      <c r="C51" s="69"/>
      <c r="D51" s="69"/>
      <c r="E51" s="69"/>
      <c r="F51" s="69"/>
      <c r="G51" s="69"/>
      <c r="H51" s="70"/>
      <c r="K51" s="64"/>
    </row>
    <row r="52" spans="1:11" ht="51.75" customHeight="1" x14ac:dyDescent="0.25">
      <c r="A52" s="71" t="s">
        <v>273</v>
      </c>
      <c r="B52" s="78"/>
      <c r="C52" s="72" t="s">
        <v>245</v>
      </c>
      <c r="D52" s="72"/>
      <c r="E52" s="72"/>
      <c r="F52" s="51" t="s">
        <v>43</v>
      </c>
      <c r="G52" s="74">
        <v>44776</v>
      </c>
      <c r="H52" s="74"/>
    </row>
    <row r="53" spans="1:11" ht="51.75" customHeight="1" x14ac:dyDescent="0.25">
      <c r="A53" s="71" t="s">
        <v>274</v>
      </c>
      <c r="B53" s="78"/>
      <c r="C53" s="72" t="s">
        <v>243</v>
      </c>
      <c r="D53" s="73"/>
      <c r="E53" s="73"/>
      <c r="F53" s="51" t="s">
        <v>43</v>
      </c>
      <c r="G53" s="74">
        <v>45084</v>
      </c>
      <c r="H53" s="74"/>
    </row>
    <row r="54" spans="1:11" s="10" customFormat="1" ht="32.25" customHeight="1" x14ac:dyDescent="0.25">
      <c r="A54" s="71" t="s">
        <v>248</v>
      </c>
      <c r="B54" s="71"/>
      <c r="C54" s="72" t="s">
        <v>245</v>
      </c>
      <c r="D54" s="73"/>
      <c r="E54" s="73"/>
      <c r="F54" s="13" t="s">
        <v>43</v>
      </c>
      <c r="G54" s="74">
        <f>G52</f>
        <v>44776</v>
      </c>
      <c r="H54" s="74"/>
    </row>
    <row r="55" spans="1:11" s="10" customFormat="1" x14ac:dyDescent="0.25">
      <c r="A55" s="71"/>
      <c r="B55" s="71"/>
      <c r="C55" s="75" t="s">
        <v>250</v>
      </c>
      <c r="D55" s="76"/>
      <c r="E55" s="76"/>
      <c r="F55" s="76"/>
      <c r="G55" s="76"/>
      <c r="H55" s="77"/>
    </row>
    <row r="56" spans="1:11" s="10" customFormat="1" ht="32.25" customHeight="1" x14ac:dyDescent="0.25">
      <c r="A56" s="71" t="s">
        <v>248</v>
      </c>
      <c r="B56" s="71"/>
      <c r="C56" s="72" t="s">
        <v>243</v>
      </c>
      <c r="D56" s="73"/>
      <c r="E56" s="73"/>
      <c r="F56" s="13" t="s">
        <v>43</v>
      </c>
      <c r="G56" s="74">
        <v>45084</v>
      </c>
      <c r="H56" s="74"/>
    </row>
    <row r="57" spans="1:11" s="10" customFormat="1" x14ac:dyDescent="0.25">
      <c r="A57" s="71"/>
      <c r="B57" s="71"/>
      <c r="C57" s="75" t="s">
        <v>280</v>
      </c>
      <c r="D57" s="76"/>
      <c r="E57" s="76"/>
      <c r="F57" s="76"/>
      <c r="G57" s="76"/>
      <c r="H57" s="77"/>
    </row>
    <row r="58" spans="1:11" x14ac:dyDescent="0.25">
      <c r="A58" s="68" t="s">
        <v>281</v>
      </c>
      <c r="B58" s="69"/>
      <c r="C58" s="69"/>
      <c r="D58" s="69"/>
      <c r="E58" s="69"/>
      <c r="F58" s="69"/>
      <c r="G58" s="69"/>
      <c r="H58" s="70"/>
      <c r="K58" s="64"/>
    </row>
    <row r="59" spans="1:11" ht="34.5" customHeight="1" x14ac:dyDescent="0.25">
      <c r="A59" s="71" t="s">
        <v>240</v>
      </c>
      <c r="B59" s="78"/>
      <c r="C59" s="72" t="s">
        <v>221</v>
      </c>
      <c r="D59" s="72"/>
      <c r="E59" s="72"/>
      <c r="F59" s="51" t="s">
        <v>43</v>
      </c>
      <c r="G59" s="74">
        <v>45084</v>
      </c>
      <c r="H59" s="74"/>
    </row>
    <row r="60" spans="1:11" s="10" customFormat="1" x14ac:dyDescent="0.25">
      <c r="A60" s="71" t="s">
        <v>241</v>
      </c>
      <c r="B60" s="71"/>
      <c r="C60" s="72" t="s">
        <v>243</v>
      </c>
      <c r="D60" s="73"/>
      <c r="E60" s="73"/>
      <c r="F60" s="13" t="s">
        <v>43</v>
      </c>
      <c r="G60" s="74">
        <f>G59</f>
        <v>45084</v>
      </c>
      <c r="H60" s="74"/>
    </row>
    <row r="61" spans="1:11" s="10" customFormat="1" ht="31.5" customHeight="1" x14ac:dyDescent="0.25">
      <c r="A61" s="71"/>
      <c r="B61" s="71"/>
      <c r="C61" s="75" t="s">
        <v>242</v>
      </c>
      <c r="D61" s="76"/>
      <c r="E61" s="76"/>
      <c r="F61" s="76"/>
      <c r="G61" s="76"/>
      <c r="H61" s="77"/>
    </row>
    <row r="62" spans="1:11" x14ac:dyDescent="0.25">
      <c r="A62" s="103" t="s">
        <v>44</v>
      </c>
      <c r="B62" s="103"/>
      <c r="C62" s="190" t="s">
        <v>139</v>
      </c>
      <c r="D62" s="191"/>
      <c r="E62" s="191" t="s">
        <v>45</v>
      </c>
      <c r="F62" s="59" t="s">
        <v>43</v>
      </c>
      <c r="G62" s="99" t="s">
        <v>30</v>
      </c>
      <c r="H62" s="99"/>
    </row>
    <row r="63" spans="1:11" x14ac:dyDescent="0.25">
      <c r="A63" s="192" t="s">
        <v>47</v>
      </c>
      <c r="B63" s="192"/>
      <c r="C63" s="192"/>
      <c r="D63" s="192"/>
      <c r="E63" s="192"/>
      <c r="F63" s="192"/>
      <c r="G63" s="192"/>
      <c r="H63" s="192"/>
    </row>
    <row r="64" spans="1:11" x14ac:dyDescent="0.25">
      <c r="A64" s="71" t="s">
        <v>121</v>
      </c>
      <c r="B64" s="71"/>
      <c r="C64" s="71"/>
      <c r="D64" s="78" t="str">
        <f>E43</f>
        <v>NA</v>
      </c>
      <c r="E64" s="78"/>
      <c r="F64" s="78"/>
      <c r="G64" s="78"/>
      <c r="H64" s="78"/>
    </row>
    <row r="65" spans="1:14" x14ac:dyDescent="0.25">
      <c r="A65" s="71" t="s">
        <v>48</v>
      </c>
      <c r="B65" s="78"/>
      <c r="C65" s="78"/>
      <c r="D65" s="78" t="s">
        <v>275</v>
      </c>
      <c r="E65" s="78"/>
      <c r="F65" s="78"/>
      <c r="G65" s="78"/>
      <c r="H65" s="78"/>
      <c r="I65" s="40"/>
    </row>
    <row r="66" spans="1:14" x14ac:dyDescent="0.25">
      <c r="A66" s="90" t="s">
        <v>49</v>
      </c>
      <c r="B66" s="91"/>
      <c r="C66" s="98"/>
      <c r="D66" s="96" t="s">
        <v>265</v>
      </c>
      <c r="E66" s="97"/>
      <c r="F66" s="97"/>
      <c r="G66" s="97"/>
      <c r="H66" s="97"/>
    </row>
    <row r="67" spans="1:14" ht="15.75" customHeight="1" x14ac:dyDescent="0.25">
      <c r="A67" s="90" t="s">
        <v>119</v>
      </c>
      <c r="B67" s="91"/>
      <c r="C67" s="91"/>
      <c r="D67" s="187" t="s">
        <v>266</v>
      </c>
      <c r="E67" s="188"/>
      <c r="F67" s="188"/>
      <c r="G67" s="188"/>
      <c r="H67" s="189"/>
    </row>
    <row r="68" spans="1:14" ht="15.75" customHeight="1" x14ac:dyDescent="0.25">
      <c r="A68" s="92"/>
      <c r="B68" s="93"/>
      <c r="C68" s="93"/>
      <c r="D68" s="84" t="s">
        <v>267</v>
      </c>
      <c r="E68" s="85"/>
      <c r="F68" s="85"/>
      <c r="G68" s="85"/>
      <c r="H68" s="86"/>
    </row>
    <row r="69" spans="1:14" ht="15.75" customHeight="1" x14ac:dyDescent="0.25">
      <c r="A69" s="92"/>
      <c r="B69" s="93"/>
      <c r="C69" s="93"/>
      <c r="D69" s="84" t="s">
        <v>268</v>
      </c>
      <c r="E69" s="85"/>
      <c r="F69" s="85"/>
      <c r="G69" s="85"/>
      <c r="H69" s="86"/>
    </row>
    <row r="70" spans="1:14" ht="15.75" customHeight="1" x14ac:dyDescent="0.25">
      <c r="A70" s="94"/>
      <c r="B70" s="95"/>
      <c r="C70" s="95"/>
      <c r="D70" s="87" t="s">
        <v>269</v>
      </c>
      <c r="E70" s="88"/>
      <c r="F70" s="88"/>
      <c r="G70" s="88"/>
      <c r="H70" s="89"/>
    </row>
    <row r="71" spans="1:14" ht="66" customHeight="1" x14ac:dyDescent="0.25">
      <c r="A71" s="78" t="s">
        <v>46</v>
      </c>
      <c r="B71" s="78"/>
      <c r="C71" s="78"/>
      <c r="D71" s="100" t="s">
        <v>287</v>
      </c>
      <c r="E71" s="100"/>
      <c r="F71" s="100"/>
      <c r="G71" s="100"/>
      <c r="H71" s="100"/>
      <c r="J71" s="39"/>
      <c r="K71" s="40"/>
      <c r="N71" s="40"/>
    </row>
    <row r="72" spans="1:14" ht="15.75" customHeight="1" x14ac:dyDescent="0.25">
      <c r="A72" s="78" t="s">
        <v>117</v>
      </c>
      <c r="B72" s="78"/>
      <c r="C72" s="78"/>
      <c r="D72" s="169" t="str">
        <f>(IF(G62="NA","60 Years After Completion",IF(G62&lt;&gt;"NA",""&amp;60-ROUNDDOWN((E3-G62)/360,0)&amp;" Years"," ")))</f>
        <v>60 Years After Completion</v>
      </c>
      <c r="E72" s="169"/>
      <c r="F72" s="169"/>
      <c r="G72" s="169"/>
      <c r="H72" s="169"/>
      <c r="N72" s="40"/>
    </row>
    <row r="73" spans="1:14" ht="15.75" customHeight="1" x14ac:dyDescent="0.25">
      <c r="A73" s="78" t="s">
        <v>118</v>
      </c>
      <c r="B73" s="78"/>
      <c r="C73" s="78"/>
      <c r="D73" s="71" t="s">
        <v>24</v>
      </c>
      <c r="E73" s="71"/>
      <c r="F73" s="71"/>
      <c r="G73" s="71"/>
      <c r="H73" s="71"/>
      <c r="J73" s="18"/>
      <c r="K73" s="18"/>
    </row>
    <row r="74" spans="1:14" ht="15.75" customHeight="1" thickBot="1" x14ac:dyDescent="0.3">
      <c r="A74" s="97" t="s">
        <v>116</v>
      </c>
      <c r="B74" s="97"/>
      <c r="C74" s="97"/>
      <c r="D74" s="96" t="str">
        <f ca="1">(IF(G94&gt;95%,"Nothing",IF(G94&gt;0%,"Cement, Aggregate, Steel, etc",IF(G94=0%,"Work not yet Started"))))</f>
        <v>Cement, Aggregate, Steel, etc</v>
      </c>
      <c r="E74" s="96"/>
      <c r="F74" s="96"/>
      <c r="G74" s="96"/>
      <c r="H74" s="96"/>
      <c r="J74" s="18"/>
    </row>
    <row r="75" spans="1:14" ht="15.75" customHeight="1" x14ac:dyDescent="0.25">
      <c r="A75" s="79" t="s">
        <v>181</v>
      </c>
      <c r="B75" s="80"/>
      <c r="C75" s="81" t="s">
        <v>264</v>
      </c>
      <c r="D75" s="82"/>
      <c r="E75" s="82"/>
      <c r="F75" s="82"/>
      <c r="G75" s="82"/>
      <c r="H75" s="83"/>
      <c r="I75" s="43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completed","0")))))))))))&amp;(IF(C82=(D76+F76+H76),", RCC Slab",IF(C82&gt;0,", RCC upto "&amp;C82&amp;" Slab",""))&amp;(IF(C83=H76,", Brickwork",IF(C83&gt;0,", Brickwork upto "&amp;C83&amp;" Floor",""))&amp;(IF(C84=H76,", Internal Plaster",IF(C84&gt;0,", Internal Plaster upto "&amp;C84&amp;" Floor",""))&amp;(IF(C85=H76,", External Plaster",IF(C85&gt;0,", External Plaster upto "&amp;C85&amp;" Floor",""))&amp;(IF(C86=H76,", Flooring",IF(C86&gt;0,", Flooring upto "&amp;C86&amp;" Floor",""))&amp;(IF(C87=H76,", Painting",IF(C87&gt;0,", Painting upto "&amp;C87&amp;" Floor",""))&amp;(IF(C88&gt;0,", Finishing upto "&amp;C88&amp;" Floor","")&amp;(IF(C82&gt;0.5," Completed",""))))))))))))))</f>
        <v>All work completed. Please provide OC.</v>
      </c>
      <c r="J75" s="19"/>
    </row>
    <row r="76" spans="1:14" x14ac:dyDescent="0.25">
      <c r="A76" s="48" t="s">
        <v>183</v>
      </c>
      <c r="B76" s="66">
        <v>0</v>
      </c>
      <c r="C76" s="66" t="s">
        <v>99</v>
      </c>
      <c r="D76" s="66">
        <v>1</v>
      </c>
      <c r="E76" s="66" t="s">
        <v>98</v>
      </c>
      <c r="F76" s="66">
        <v>0</v>
      </c>
      <c r="G76" s="66" t="s">
        <v>110</v>
      </c>
      <c r="H76" s="49">
        <f ca="1">--TRIM(RIGHT(SUBSTITUTE(LEFT(C75,_xlfn.AGGREGATE(16,6,FIND({0,1,2,3,4,5,6,7,8,9},C75,ROW(INDIRECT("1:"&amp;LEN(C75)))),1))," ",REPT(" ",LEN(C75))),LEN(C75)))</f>
        <v>39</v>
      </c>
      <c r="I76" s="18"/>
      <c r="J76" s="20"/>
    </row>
    <row r="77" spans="1:14" x14ac:dyDescent="0.25">
      <c r="A77" s="101" t="s">
        <v>120</v>
      </c>
      <c r="B77" s="102"/>
      <c r="C77" s="103" t="str">
        <f ca="1">I75</f>
        <v>All work completed. Please provide OC.</v>
      </c>
      <c r="D77" s="103"/>
      <c r="E77" s="103"/>
      <c r="F77" s="103"/>
      <c r="G77" s="103"/>
      <c r="H77" s="104"/>
      <c r="I77" s="18" t="s">
        <v>138</v>
      </c>
      <c r="J77" s="20"/>
    </row>
    <row r="78" spans="1:14" ht="16.5" thickBot="1" x14ac:dyDescent="0.3">
      <c r="A78" s="170" t="s">
        <v>115</v>
      </c>
      <c r="B78" s="171"/>
      <c r="C78" s="172">
        <v>1</v>
      </c>
      <c r="D78" s="173"/>
      <c r="E78" s="171" t="s">
        <v>114</v>
      </c>
      <c r="F78" s="174"/>
      <c r="G78" s="172">
        <v>1</v>
      </c>
      <c r="H78" s="175"/>
      <c r="I78" s="18"/>
      <c r="J78" s="20"/>
    </row>
    <row r="79" spans="1:14" ht="15.75" hidden="1" customHeight="1" x14ac:dyDescent="0.25">
      <c r="A79" s="114" t="s">
        <v>50</v>
      </c>
      <c r="B79" s="115"/>
      <c r="C79" s="67" t="s">
        <v>180</v>
      </c>
      <c r="D79" s="67" t="s">
        <v>113</v>
      </c>
      <c r="E79" s="115" t="s">
        <v>115</v>
      </c>
      <c r="F79" s="115"/>
      <c r="G79" s="115" t="s">
        <v>114</v>
      </c>
      <c r="H79" s="116"/>
      <c r="I79" s="38" t="s">
        <v>182</v>
      </c>
      <c r="J79" s="21">
        <f ca="1">H76*25%</f>
        <v>9.75</v>
      </c>
    </row>
    <row r="80" spans="1:14" hidden="1" x14ac:dyDescent="0.25">
      <c r="A80" s="105" t="s">
        <v>169</v>
      </c>
      <c r="B80" s="106"/>
      <c r="C80" s="54">
        <f ca="1">J81</f>
        <v>39</v>
      </c>
      <c r="D80" s="55">
        <f ca="1">((100/H76)*C80)/100</f>
        <v>1.0000000000000002</v>
      </c>
      <c r="E80" s="108">
        <f ca="1">(((C81/H76*10)+(40/(D76+F76+H76)*C82)+(7.5/(H76)*C83)+(7.5/(H76)*C84)+(10/H76*C85)+(10/H76*C86)+(5/H76*C87)+(5/H76*C88)+(5/H76*C89))/100)</f>
        <v>1</v>
      </c>
      <c r="F80" s="108"/>
      <c r="G80" s="108">
        <f ca="1">((((C80/H76)*20)+((C81/H76)*25)+(30/(H76+F76+D76)*C82)+(5/H76*C83)+(5/H76*C84)+(5/H76*C85)+(5/H76*C86)+(0/H76*C87)+(0/H76*C88)+(5/H76*C89))/100)</f>
        <v>1</v>
      </c>
      <c r="H80" s="110"/>
      <c r="I80" s="38" t="s">
        <v>133</v>
      </c>
      <c r="J80" s="42">
        <f ca="1">H76*50%</f>
        <v>19.5</v>
      </c>
    </row>
    <row r="81" spans="1:10" hidden="1" x14ac:dyDescent="0.25">
      <c r="A81" s="105" t="s">
        <v>51</v>
      </c>
      <c r="B81" s="106"/>
      <c r="C81" s="56">
        <f ca="1">J89</f>
        <v>39</v>
      </c>
      <c r="D81" s="55">
        <f ca="1">((100/H76)*C81)/100</f>
        <v>1.0000000000000002</v>
      </c>
      <c r="E81" s="108"/>
      <c r="F81" s="108"/>
      <c r="G81" s="108"/>
      <c r="H81" s="110"/>
      <c r="I81" s="38" t="s">
        <v>134</v>
      </c>
      <c r="J81" s="42">
        <f ca="1">H76</f>
        <v>39</v>
      </c>
    </row>
    <row r="82" spans="1:10" ht="15.75" hidden="1" customHeight="1" x14ac:dyDescent="0.25">
      <c r="A82" s="105" t="s">
        <v>170</v>
      </c>
      <c r="B82" s="106"/>
      <c r="C82" s="56">
        <v>40</v>
      </c>
      <c r="D82" s="55">
        <f ca="1">((100/(D76+F76+H76))*C82)/100</f>
        <v>1</v>
      </c>
      <c r="E82" s="108"/>
      <c r="F82" s="108"/>
      <c r="G82" s="108"/>
      <c r="H82" s="110"/>
      <c r="I82" s="38" t="s">
        <v>135</v>
      </c>
      <c r="J82" s="45">
        <f ca="1">(IF(B76&gt;1,(H76/(B76+2)),H76/4))</f>
        <v>9.75</v>
      </c>
    </row>
    <row r="83" spans="1:10" ht="15.75" hidden="1" customHeight="1" x14ac:dyDescent="0.25">
      <c r="A83" s="105" t="s">
        <v>177</v>
      </c>
      <c r="B83" s="106" t="s">
        <v>171</v>
      </c>
      <c r="C83" s="56">
        <f>C82-1</f>
        <v>39</v>
      </c>
      <c r="D83" s="55">
        <f ca="1">((100/H76)*C83)/100</f>
        <v>1.0000000000000002</v>
      </c>
      <c r="E83" s="108"/>
      <c r="F83" s="108"/>
      <c r="G83" s="108"/>
      <c r="H83" s="110"/>
      <c r="I83" s="38" t="s">
        <v>136</v>
      </c>
      <c r="J83" s="45">
        <f ca="1">(IF(B76&gt;1,(H76/(B76+2)+J82),H76/4+J82))</f>
        <v>19.5</v>
      </c>
    </row>
    <row r="84" spans="1:10" ht="15.75" hidden="1" customHeight="1" x14ac:dyDescent="0.25">
      <c r="A84" s="105" t="s">
        <v>178</v>
      </c>
      <c r="B84" s="106" t="s">
        <v>171</v>
      </c>
      <c r="C84" s="56">
        <v>39</v>
      </c>
      <c r="D84" s="55">
        <f ca="1">((100/H76)*C84)/100</f>
        <v>1.0000000000000002</v>
      </c>
      <c r="E84" s="108"/>
      <c r="F84" s="108"/>
      <c r="G84" s="108"/>
      <c r="H84" s="110"/>
      <c r="I84" s="38" t="s">
        <v>187</v>
      </c>
      <c r="J84" s="45">
        <f>(IF(B76&gt;1,(H76/(B76+2)+J83),0))</f>
        <v>0</v>
      </c>
    </row>
    <row r="85" spans="1:10" ht="15" hidden="1" customHeight="1" x14ac:dyDescent="0.25">
      <c r="A85" s="105" t="s">
        <v>176</v>
      </c>
      <c r="B85" s="106" t="s">
        <v>173</v>
      </c>
      <c r="C85" s="56">
        <v>39</v>
      </c>
      <c r="D85" s="55">
        <f ca="1">((100/(H76))*C85)/100</f>
        <v>1.0000000000000002</v>
      </c>
      <c r="E85" s="108"/>
      <c r="F85" s="108"/>
      <c r="G85" s="108"/>
      <c r="H85" s="110"/>
      <c r="I85" s="38" t="s">
        <v>184</v>
      </c>
      <c r="J85" s="45">
        <f>(IF(B76&gt;2,(H76/(B76+2)+J84),0))</f>
        <v>0</v>
      </c>
    </row>
    <row r="86" spans="1:10" ht="15.75" hidden="1" customHeight="1" x14ac:dyDescent="0.25">
      <c r="A86" s="105" t="s">
        <v>172</v>
      </c>
      <c r="B86" s="106" t="s">
        <v>172</v>
      </c>
      <c r="C86" s="54">
        <v>39</v>
      </c>
      <c r="D86" s="55">
        <f ca="1">((100/H76)*C86)/100</f>
        <v>1.0000000000000002</v>
      </c>
      <c r="E86" s="108"/>
      <c r="F86" s="108"/>
      <c r="G86" s="108"/>
      <c r="H86" s="110"/>
      <c r="I86" s="38" t="s">
        <v>185</v>
      </c>
      <c r="J86" s="46">
        <f>(IF(B76&gt;3,(H76/(B76+2)+J85),0))</f>
        <v>0</v>
      </c>
    </row>
    <row r="87" spans="1:10" ht="15.75" hidden="1" customHeight="1" x14ac:dyDescent="0.25">
      <c r="A87" s="105" t="s">
        <v>179</v>
      </c>
      <c r="B87" s="106"/>
      <c r="C87" s="54">
        <v>39</v>
      </c>
      <c r="D87" s="55">
        <f ca="1">((100/H76)*C87)/100</f>
        <v>1.0000000000000002</v>
      </c>
      <c r="E87" s="108"/>
      <c r="F87" s="108"/>
      <c r="G87" s="108"/>
      <c r="H87" s="110"/>
      <c r="I87" s="38" t="s">
        <v>186</v>
      </c>
      <c r="J87" s="45">
        <f>(IF(B76&gt;4,(H76/(B76+2)+J86),0))</f>
        <v>0</v>
      </c>
    </row>
    <row r="88" spans="1:10" ht="15.75" hidden="1" customHeight="1" x14ac:dyDescent="0.25">
      <c r="A88" s="105" t="s">
        <v>174</v>
      </c>
      <c r="B88" s="106" t="s">
        <v>174</v>
      </c>
      <c r="C88" s="54">
        <v>39</v>
      </c>
      <c r="D88" s="55">
        <f ca="1">((100/(H76))*C88)/100</f>
        <v>1.0000000000000002</v>
      </c>
      <c r="E88" s="108"/>
      <c r="F88" s="108"/>
      <c r="G88" s="108"/>
      <c r="H88" s="110"/>
      <c r="I88" s="38" t="s">
        <v>188</v>
      </c>
      <c r="J88" s="45">
        <f ca="1">(IF(B76=1,(H76/(B76+3)+J83),IF(B76=0,(H76/4+J83),IF(B76&gt;1,0))))</f>
        <v>29.25</v>
      </c>
    </row>
    <row r="89" spans="1:10" ht="16.5" hidden="1" thickBot="1" x14ac:dyDescent="0.3">
      <c r="A89" s="112" t="s">
        <v>175</v>
      </c>
      <c r="B89" s="113"/>
      <c r="C89" s="57">
        <v>39</v>
      </c>
      <c r="D89" s="58">
        <f ca="1">((100/(H76))*C89)/100</f>
        <v>1.0000000000000002</v>
      </c>
      <c r="E89" s="109"/>
      <c r="F89" s="109"/>
      <c r="G89" s="109"/>
      <c r="H89" s="111"/>
      <c r="I89" s="44" t="s">
        <v>137</v>
      </c>
      <c r="J89" s="47">
        <f ca="1">(IF(B76&gt;1.5,(H76/(B76+2)+J83+MAX(0,J84-J83)+MAX(0,J85-J84)+MAX(0,J86-J85)+MAX(0,J87-J86)+MAX(0,J88-J87)),IF(B76=1,(H76/(B76+3)+J88),IF(B76=0,H76/4+J88))))</f>
        <v>39</v>
      </c>
    </row>
    <row r="90" spans="1:10" ht="15.75" customHeight="1" x14ac:dyDescent="0.25">
      <c r="A90" s="79" t="s">
        <v>181</v>
      </c>
      <c r="B90" s="80"/>
      <c r="C90" s="81" t="s">
        <v>263</v>
      </c>
      <c r="D90" s="82"/>
      <c r="E90" s="82"/>
      <c r="F90" s="82"/>
      <c r="G90" s="82"/>
      <c r="H90" s="83"/>
      <c r="I90" s="43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Plinth, RCC, Brick, Plaster, Flooring, Painting work Completed. Finishing work is in process.</v>
      </c>
      <c r="J90" s="19"/>
    </row>
    <row r="91" spans="1:10" x14ac:dyDescent="0.25">
      <c r="A91" s="48" t="s">
        <v>183</v>
      </c>
      <c r="B91" s="52">
        <v>0</v>
      </c>
      <c r="C91" s="52" t="s">
        <v>99</v>
      </c>
      <c r="D91" s="52">
        <v>1</v>
      </c>
      <c r="E91" s="52" t="s">
        <v>98</v>
      </c>
      <c r="F91" s="52">
        <v>0</v>
      </c>
      <c r="G91" s="52" t="s">
        <v>110</v>
      </c>
      <c r="H91" s="49">
        <f ca="1">--TRIM(RIGHT(SUBSTITUTE(LEFT(C90,_xlfn.AGGREGATE(16,6,FIND({0,1,2,3,4,5,6,7,8,9},C90,ROW(INDIRECT("1:"&amp;LEN(C90)))),1))," ",REPT(" ",LEN(C90))),LEN(C90)))</f>
        <v>39</v>
      </c>
      <c r="I91" s="18"/>
      <c r="J91" s="20"/>
    </row>
    <row r="92" spans="1:10" ht="34.5" customHeight="1" x14ac:dyDescent="0.25">
      <c r="A92" s="101" t="s">
        <v>120</v>
      </c>
      <c r="B92" s="102"/>
      <c r="C92" s="103" t="str">
        <f ca="1">I90</f>
        <v>Plinth, RCC, Brick, Plaster, Flooring, Painting work Completed. Finishing work is in process.</v>
      </c>
      <c r="D92" s="103"/>
      <c r="E92" s="103"/>
      <c r="F92" s="103"/>
      <c r="G92" s="103"/>
      <c r="H92" s="104"/>
      <c r="I92" s="18" t="s">
        <v>138</v>
      </c>
      <c r="J92" s="20"/>
    </row>
    <row r="93" spans="1:10" ht="15.75" customHeight="1" x14ac:dyDescent="0.25">
      <c r="A93" s="105" t="s">
        <v>50</v>
      </c>
      <c r="B93" s="106"/>
      <c r="C93" s="53" t="s">
        <v>180</v>
      </c>
      <c r="D93" s="53" t="s">
        <v>113</v>
      </c>
      <c r="E93" s="106" t="s">
        <v>115</v>
      </c>
      <c r="F93" s="106"/>
      <c r="G93" s="106" t="s">
        <v>114</v>
      </c>
      <c r="H93" s="107"/>
      <c r="I93" s="38" t="s">
        <v>182</v>
      </c>
      <c r="J93" s="21">
        <f ca="1">H91*25%</f>
        <v>9.75</v>
      </c>
    </row>
    <row r="94" spans="1:10" x14ac:dyDescent="0.25">
      <c r="A94" s="105" t="s">
        <v>169</v>
      </c>
      <c r="B94" s="106"/>
      <c r="C94" s="54">
        <f ca="1">J95</f>
        <v>39</v>
      </c>
      <c r="D94" s="55">
        <f ca="1">((100/H91)*C94)/100</f>
        <v>1.0000000000000002</v>
      </c>
      <c r="E94" s="108">
        <f ca="1">(((C95/H91*10)+(40/(D91+F91+H91)*C96)+(7.5/(H91)*C97)+(7.5/(H91)*C98)+(10/H91*C99)+(10/H91*C100)+(5/H91*C101)+(5/H91*C102)+(5/H91*C103))/100)</f>
        <v>0.93333333333333324</v>
      </c>
      <c r="F94" s="108"/>
      <c r="G94" s="108">
        <f ca="1">((((C94/H91)*20)+((C95/H91)*25)+(30/(H91+F91+D91)*C96)+(5/H91*C97)+(5/H91*C98)+(5/H91*C99)+(5/H91*C100)+(0/H91*C101)+(0/H91*C102)+(5/H91*C103))/100)</f>
        <v>0.95</v>
      </c>
      <c r="H94" s="110"/>
      <c r="I94" s="38" t="s">
        <v>133</v>
      </c>
      <c r="J94" s="42">
        <f ca="1">H91*50%</f>
        <v>19.5</v>
      </c>
    </row>
    <row r="95" spans="1:10" x14ac:dyDescent="0.25">
      <c r="A95" s="105" t="s">
        <v>51</v>
      </c>
      <c r="B95" s="106"/>
      <c r="C95" s="56">
        <f ca="1">J103</f>
        <v>39</v>
      </c>
      <c r="D95" s="55">
        <f ca="1">((100/H91)*C95)/100</f>
        <v>1.0000000000000002</v>
      </c>
      <c r="E95" s="108"/>
      <c r="F95" s="108"/>
      <c r="G95" s="108"/>
      <c r="H95" s="110"/>
      <c r="I95" s="38" t="s">
        <v>134</v>
      </c>
      <c r="J95" s="42">
        <f ca="1">H91</f>
        <v>39</v>
      </c>
    </row>
    <row r="96" spans="1:10" ht="15.75" customHeight="1" x14ac:dyDescent="0.25">
      <c r="A96" s="105" t="s">
        <v>170</v>
      </c>
      <c r="B96" s="106"/>
      <c r="C96" s="56">
        <v>40</v>
      </c>
      <c r="D96" s="55">
        <f ca="1">((100/(D91+F91+H91))*C96)/100</f>
        <v>1</v>
      </c>
      <c r="E96" s="108"/>
      <c r="F96" s="108"/>
      <c r="G96" s="108"/>
      <c r="H96" s="110"/>
      <c r="I96" s="38" t="s">
        <v>135</v>
      </c>
      <c r="J96" s="45">
        <f ca="1">(IF(B91&gt;1,(H91/(B91+2)),H91/4))</f>
        <v>9.75</v>
      </c>
    </row>
    <row r="97" spans="1:12" ht="15.75" customHeight="1" x14ac:dyDescent="0.25">
      <c r="A97" s="105" t="s">
        <v>177</v>
      </c>
      <c r="B97" s="106" t="s">
        <v>171</v>
      </c>
      <c r="C97" s="56">
        <f>C96-1</f>
        <v>39</v>
      </c>
      <c r="D97" s="55">
        <f ca="1">((100/H91)*C97)/100</f>
        <v>1.0000000000000002</v>
      </c>
      <c r="E97" s="108"/>
      <c r="F97" s="108"/>
      <c r="G97" s="108"/>
      <c r="H97" s="110"/>
      <c r="I97" s="38" t="s">
        <v>136</v>
      </c>
      <c r="J97" s="45">
        <f ca="1">(IF(B91&gt;1,(H91/(B91+2)+J96),H91/4+J96))</f>
        <v>19.5</v>
      </c>
    </row>
    <row r="98" spans="1:12" ht="15.75" customHeight="1" x14ac:dyDescent="0.25">
      <c r="A98" s="105" t="s">
        <v>178</v>
      </c>
      <c r="B98" s="106" t="s">
        <v>171</v>
      </c>
      <c r="C98" s="56">
        <v>39</v>
      </c>
      <c r="D98" s="55">
        <f ca="1">((100/H91)*C98)/100</f>
        <v>1.0000000000000002</v>
      </c>
      <c r="E98" s="108"/>
      <c r="F98" s="108"/>
      <c r="G98" s="108"/>
      <c r="H98" s="110"/>
      <c r="I98" s="38" t="s">
        <v>187</v>
      </c>
      <c r="J98" s="45">
        <f>(IF(B91&gt;1,(H91/(B91+2)+J97),0))</f>
        <v>0</v>
      </c>
    </row>
    <row r="99" spans="1:12" ht="15" customHeight="1" x14ac:dyDescent="0.25">
      <c r="A99" s="105" t="s">
        <v>176</v>
      </c>
      <c r="B99" s="106" t="s">
        <v>173</v>
      </c>
      <c r="C99" s="56">
        <v>39</v>
      </c>
      <c r="D99" s="55">
        <f ca="1">((100/(H91))*C99)/100</f>
        <v>1.0000000000000002</v>
      </c>
      <c r="E99" s="108"/>
      <c r="F99" s="108"/>
      <c r="G99" s="108"/>
      <c r="H99" s="110"/>
      <c r="I99" s="38" t="s">
        <v>184</v>
      </c>
      <c r="J99" s="45">
        <f>(IF(B91&gt;2,(H91/(B91+2)+J98),0))</f>
        <v>0</v>
      </c>
    </row>
    <row r="100" spans="1:12" ht="15.75" customHeight="1" x14ac:dyDescent="0.25">
      <c r="A100" s="105" t="s">
        <v>172</v>
      </c>
      <c r="B100" s="106" t="s">
        <v>172</v>
      </c>
      <c r="C100" s="54">
        <v>39</v>
      </c>
      <c r="D100" s="55">
        <f ca="1">((100/H91)*C100)/100</f>
        <v>1.0000000000000002</v>
      </c>
      <c r="E100" s="108"/>
      <c r="F100" s="108"/>
      <c r="G100" s="108"/>
      <c r="H100" s="110"/>
      <c r="I100" s="38" t="s">
        <v>185</v>
      </c>
      <c r="J100" s="46">
        <f>(IF(B91&gt;3,(H91/(B91+2)+J99),0))</f>
        <v>0</v>
      </c>
    </row>
    <row r="101" spans="1:12" ht="15.75" customHeight="1" x14ac:dyDescent="0.25">
      <c r="A101" s="105" t="s">
        <v>179</v>
      </c>
      <c r="B101" s="106"/>
      <c r="C101" s="54">
        <v>36</v>
      </c>
      <c r="D101" s="55">
        <f ca="1">((100/H91)*C101)/100</f>
        <v>0.92307692307692324</v>
      </c>
      <c r="E101" s="108"/>
      <c r="F101" s="108"/>
      <c r="G101" s="108"/>
      <c r="H101" s="110"/>
      <c r="I101" s="38" t="s">
        <v>186</v>
      </c>
      <c r="J101" s="45">
        <f>(IF(B91&gt;4,(H91/(B91+2)+J100),0))</f>
        <v>0</v>
      </c>
    </row>
    <row r="102" spans="1:12" ht="15.75" customHeight="1" x14ac:dyDescent="0.25">
      <c r="A102" s="105" t="s">
        <v>174</v>
      </c>
      <c r="B102" s="106" t="s">
        <v>174</v>
      </c>
      <c r="C102" s="54">
        <v>29</v>
      </c>
      <c r="D102" s="55">
        <f ca="1">((100/(H91))*C102)/100</f>
        <v>0.74358974358974361</v>
      </c>
      <c r="E102" s="108"/>
      <c r="F102" s="108"/>
      <c r="G102" s="108"/>
      <c r="H102" s="110"/>
      <c r="I102" s="38" t="s">
        <v>188</v>
      </c>
      <c r="J102" s="45">
        <f ca="1">(IF(B91=1,(H91/(B91+3)+J97),IF(B91=0,(H91/4+J97),IF(B91&gt;1,0))))</f>
        <v>29.25</v>
      </c>
    </row>
    <row r="103" spans="1:12" ht="16.5" thickBot="1" x14ac:dyDescent="0.3">
      <c r="A103" s="112" t="s">
        <v>175</v>
      </c>
      <c r="B103" s="113"/>
      <c r="C103" s="57">
        <v>0</v>
      </c>
      <c r="D103" s="58">
        <f ca="1">((100/(H91))*C103)/100</f>
        <v>0</v>
      </c>
      <c r="E103" s="109"/>
      <c r="F103" s="109"/>
      <c r="G103" s="109"/>
      <c r="H103" s="111"/>
      <c r="I103" s="44" t="s">
        <v>137</v>
      </c>
      <c r="J103" s="47">
        <f ca="1">(IF(B91&gt;1.5,(H91/(B91+2)+J97+MAX(0,J98-J97)+MAX(0,J99-J98)+MAX(0,J100-J99)+MAX(0,J101-J100)+MAX(0,J102-J101)),IF(B91=1,(H91/(B91+3)+J102),IF(B91=0,H91/4+J102))))</f>
        <v>39</v>
      </c>
    </row>
    <row r="104" spans="1:12" ht="15.75" customHeight="1" x14ac:dyDescent="0.25">
      <c r="A104" s="79" t="s">
        <v>181</v>
      </c>
      <c r="B104" s="80"/>
      <c r="C104" s="81" t="s">
        <v>262</v>
      </c>
      <c r="D104" s="82"/>
      <c r="E104" s="82"/>
      <c r="F104" s="82"/>
      <c r="G104" s="82"/>
      <c r="H104" s="83"/>
      <c r="I104" s="43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completed, RCC upto 7 Slab, Brickwork upto 6 Floor Completed</v>
      </c>
      <c r="J104" s="19"/>
    </row>
    <row r="105" spans="1:12" x14ac:dyDescent="0.25">
      <c r="A105" s="48" t="s">
        <v>183</v>
      </c>
      <c r="B105" s="52">
        <v>1</v>
      </c>
      <c r="C105" s="52" t="s">
        <v>99</v>
      </c>
      <c r="D105" s="52">
        <v>1</v>
      </c>
      <c r="E105" s="52" t="s">
        <v>98</v>
      </c>
      <c r="F105" s="52">
        <v>0</v>
      </c>
      <c r="G105" s="52" t="s">
        <v>110</v>
      </c>
      <c r="H105" s="49">
        <f ca="1">--TRIM(RIGHT(SUBSTITUTE(LEFT(C104,_xlfn.AGGREGATE(16,6,FIND({0,1,2,3,4,5,6,7,8,9},C104,ROW(INDIRECT("1:"&amp;LEN(C104)))),1))," ",REPT(" ",LEN(C104))),LEN(C104)))</f>
        <v>39</v>
      </c>
      <c r="I105" s="18"/>
      <c r="J105" s="20"/>
    </row>
    <row r="106" spans="1:12" ht="34.15" customHeight="1" x14ac:dyDescent="0.25">
      <c r="A106" s="101" t="s">
        <v>120</v>
      </c>
      <c r="B106" s="102"/>
      <c r="C106" s="103" t="str">
        <f ca="1">I104</f>
        <v>Excavation work Completed. Plinth work completed, RCC upto 7 Slab, Brickwork upto 6 Floor Completed</v>
      </c>
      <c r="D106" s="103"/>
      <c r="E106" s="103"/>
      <c r="F106" s="103"/>
      <c r="G106" s="103"/>
      <c r="H106" s="104"/>
      <c r="I106" s="18" t="s">
        <v>138</v>
      </c>
      <c r="J106" s="20"/>
    </row>
    <row r="107" spans="1:12" ht="15.75" customHeight="1" x14ac:dyDescent="0.25">
      <c r="A107" s="105" t="s">
        <v>50</v>
      </c>
      <c r="B107" s="106"/>
      <c r="C107" s="53" t="s">
        <v>180</v>
      </c>
      <c r="D107" s="53" t="s">
        <v>113</v>
      </c>
      <c r="E107" s="106" t="s">
        <v>115</v>
      </c>
      <c r="F107" s="106"/>
      <c r="G107" s="106" t="s">
        <v>114</v>
      </c>
      <c r="H107" s="107"/>
      <c r="I107" s="38" t="s">
        <v>182</v>
      </c>
      <c r="J107" s="21">
        <f ca="1">H105*25%</f>
        <v>9.75</v>
      </c>
    </row>
    <row r="108" spans="1:12" x14ac:dyDescent="0.25">
      <c r="A108" s="105" t="s">
        <v>169</v>
      </c>
      <c r="B108" s="106"/>
      <c r="C108" s="54">
        <f ca="1">J109</f>
        <v>39</v>
      </c>
      <c r="D108" s="55">
        <f ca="1">((100/H105)*C108)/100</f>
        <v>1.0000000000000002</v>
      </c>
      <c r="E108" s="108">
        <f ca="1">(((C109/H105*10)+(40/(D105+F105+H105)*C110)+(7.5/(H105)*C111)+(7.5/(H105)*C112)+(10/H105*C113)+(10/H105*C114)+(5/H105*C115)+(5/H105*C116)+(5/H105*C117))/100)</f>
        <v>0.18153846153846154</v>
      </c>
      <c r="F108" s="108"/>
      <c r="G108" s="108">
        <f ca="1">((((C108/H105)*20)+((C109/H105)*25)+(30/(H105+F105+D105)*C110)+(5/H105*C111)+(5/H105*C112)+(5/H105*C113)+(5/H105*C114)+(0/H105*C115)+(0/H105*C116)+(5/H105*C117))/100)</f>
        <v>0.51019230769230761</v>
      </c>
      <c r="H108" s="110"/>
      <c r="I108" s="38" t="s">
        <v>133</v>
      </c>
      <c r="J108" s="42">
        <f ca="1">H105*50%</f>
        <v>19.5</v>
      </c>
      <c r="L108" s="40"/>
    </row>
    <row r="109" spans="1:12" x14ac:dyDescent="0.25">
      <c r="A109" s="105" t="s">
        <v>51</v>
      </c>
      <c r="B109" s="106"/>
      <c r="C109" s="56">
        <f ca="1">J117</f>
        <v>39</v>
      </c>
      <c r="D109" s="55">
        <f ca="1">((100/H105)*C109)/100</f>
        <v>1.0000000000000002</v>
      </c>
      <c r="E109" s="108"/>
      <c r="F109" s="108"/>
      <c r="G109" s="108"/>
      <c r="H109" s="110"/>
      <c r="I109" s="38" t="s">
        <v>134</v>
      </c>
      <c r="J109" s="42">
        <f ca="1">H105</f>
        <v>39</v>
      </c>
    </row>
    <row r="110" spans="1:12" ht="15.75" customHeight="1" x14ac:dyDescent="0.25">
      <c r="A110" s="105" t="s">
        <v>170</v>
      </c>
      <c r="B110" s="106"/>
      <c r="C110" s="56">
        <v>7</v>
      </c>
      <c r="D110" s="55">
        <f ca="1">((100/(D105+F105+H105))*C110)/100</f>
        <v>0.17499999999999999</v>
      </c>
      <c r="E110" s="108"/>
      <c r="F110" s="108"/>
      <c r="G110" s="108"/>
      <c r="H110" s="110"/>
      <c r="I110" s="38" t="s">
        <v>135</v>
      </c>
      <c r="J110" s="45">
        <f ca="1">(IF(B105&gt;1,(H105/(B105+2)),H105/4))</f>
        <v>9.75</v>
      </c>
    </row>
    <row r="111" spans="1:12" ht="15.75" customHeight="1" x14ac:dyDescent="0.25">
      <c r="A111" s="105" t="s">
        <v>177</v>
      </c>
      <c r="B111" s="106" t="s">
        <v>171</v>
      </c>
      <c r="C111" s="56">
        <f>C110-D105</f>
        <v>6</v>
      </c>
      <c r="D111" s="55">
        <f ca="1">((100/H105)*C111)/100</f>
        <v>0.15384615384615385</v>
      </c>
      <c r="E111" s="108"/>
      <c r="F111" s="108"/>
      <c r="G111" s="108"/>
      <c r="H111" s="110"/>
      <c r="I111" s="38" t="s">
        <v>136</v>
      </c>
      <c r="J111" s="45">
        <f ca="1">(IF(B105&gt;1,(H105/(B105+2)+J110),H105/4+J110))</f>
        <v>19.5</v>
      </c>
    </row>
    <row r="112" spans="1:12" ht="15.75" customHeight="1" x14ac:dyDescent="0.25">
      <c r="A112" s="105" t="s">
        <v>178</v>
      </c>
      <c r="B112" s="106" t="s">
        <v>171</v>
      </c>
      <c r="C112" s="56">
        <v>0</v>
      </c>
      <c r="D112" s="55">
        <f ca="1">((100/H105)*C112)/100</f>
        <v>0</v>
      </c>
      <c r="E112" s="108"/>
      <c r="F112" s="108"/>
      <c r="G112" s="108"/>
      <c r="H112" s="110"/>
      <c r="I112" s="38" t="s">
        <v>187</v>
      </c>
      <c r="J112" s="45">
        <f>(IF(B105&gt;1,(H105/(B105+2)+J111),0))</f>
        <v>0</v>
      </c>
    </row>
    <row r="113" spans="1:10" ht="15" customHeight="1" x14ac:dyDescent="0.25">
      <c r="A113" s="105" t="s">
        <v>176</v>
      </c>
      <c r="B113" s="106" t="s">
        <v>173</v>
      </c>
      <c r="C113" s="56">
        <v>0</v>
      </c>
      <c r="D113" s="55">
        <f ca="1">((100/(H105))*C113)/100</f>
        <v>0</v>
      </c>
      <c r="E113" s="108"/>
      <c r="F113" s="108"/>
      <c r="G113" s="108"/>
      <c r="H113" s="110"/>
      <c r="I113" s="38" t="s">
        <v>184</v>
      </c>
      <c r="J113" s="45">
        <f>(IF(B105&gt;2,(H105/(B105+2)+J112),0))</f>
        <v>0</v>
      </c>
    </row>
    <row r="114" spans="1:10" ht="15.75" customHeight="1" x14ac:dyDescent="0.25">
      <c r="A114" s="105" t="s">
        <v>172</v>
      </c>
      <c r="B114" s="106" t="s">
        <v>172</v>
      </c>
      <c r="C114" s="54">
        <v>0</v>
      </c>
      <c r="D114" s="55">
        <f ca="1">((100/H105)*C114)/100</f>
        <v>0</v>
      </c>
      <c r="E114" s="108"/>
      <c r="F114" s="108"/>
      <c r="G114" s="108"/>
      <c r="H114" s="110"/>
      <c r="I114" s="38" t="s">
        <v>185</v>
      </c>
      <c r="J114" s="46">
        <f>(IF(B105&gt;3,(H105/(B105+2)+J113),0))</f>
        <v>0</v>
      </c>
    </row>
    <row r="115" spans="1:10" ht="15.75" customHeight="1" x14ac:dyDescent="0.25">
      <c r="A115" s="105" t="s">
        <v>179</v>
      </c>
      <c r="B115" s="106"/>
      <c r="C115" s="54">
        <v>0</v>
      </c>
      <c r="D115" s="55">
        <f ca="1">((100/H105)*C115)/100</f>
        <v>0</v>
      </c>
      <c r="E115" s="108"/>
      <c r="F115" s="108"/>
      <c r="G115" s="108"/>
      <c r="H115" s="110"/>
      <c r="I115" s="38" t="s">
        <v>186</v>
      </c>
      <c r="J115" s="45">
        <f>(IF(B105&gt;4,(H105/(B105+2)+J114),0))</f>
        <v>0</v>
      </c>
    </row>
    <row r="116" spans="1:10" ht="15.75" customHeight="1" x14ac:dyDescent="0.25">
      <c r="A116" s="105" t="s">
        <v>174</v>
      </c>
      <c r="B116" s="106" t="s">
        <v>174</v>
      </c>
      <c r="C116" s="54">
        <v>0</v>
      </c>
      <c r="D116" s="55">
        <f ca="1">((100/(H105))*C116)/100</f>
        <v>0</v>
      </c>
      <c r="E116" s="108"/>
      <c r="F116" s="108"/>
      <c r="G116" s="108"/>
      <c r="H116" s="110"/>
      <c r="I116" s="38" t="s">
        <v>188</v>
      </c>
      <c r="J116" s="45">
        <f ca="1">(IF(B105=1,(H105/(B105+3)+J111),IF(B105=0,(H105/4+J111),IF(B105&gt;1,0))))</f>
        <v>29.25</v>
      </c>
    </row>
    <row r="117" spans="1:10" ht="16.5" thickBot="1" x14ac:dyDescent="0.3">
      <c r="A117" s="112" t="s">
        <v>175</v>
      </c>
      <c r="B117" s="113"/>
      <c r="C117" s="57">
        <v>0</v>
      </c>
      <c r="D117" s="58">
        <f ca="1">((100/(H105))*C117)/100</f>
        <v>0</v>
      </c>
      <c r="E117" s="109"/>
      <c r="F117" s="109"/>
      <c r="G117" s="109"/>
      <c r="H117" s="111"/>
      <c r="I117" s="44" t="s">
        <v>137</v>
      </c>
      <c r="J117" s="47">
        <f ca="1">(IF(B105&gt;1.5,(H105/(B105+2)+J111+MAX(0,J112-J111)+MAX(0,J113-J112)+MAX(0,J114-J113)+MAX(0,J115-J114)+MAX(0,J116-J115)),IF(B105=1,(H105/(B105+3)+J116),IF(B105=0,H105/4+J116))))</f>
        <v>39</v>
      </c>
    </row>
    <row r="118" spans="1:10" ht="15.75" customHeight="1" x14ac:dyDescent="0.25">
      <c r="A118" s="79" t="s">
        <v>181</v>
      </c>
      <c r="B118" s="80"/>
      <c r="C118" s="81" t="s">
        <v>261</v>
      </c>
      <c r="D118" s="82"/>
      <c r="E118" s="82"/>
      <c r="F118" s="82"/>
      <c r="G118" s="82"/>
      <c r="H118" s="83"/>
      <c r="I118" s="43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","0")))&amp;(IF(C123=0%,"",IF(C123=J124,"Footing work is process",IF(C123=J125,"Footing work Completed",IF(C123=J126,"1st Basement Completed",IF(C123=J127,"1st &amp; 2nd Basement Completed",IF(C123=J128,"1st to 3rd Basement Completed",IF(C123=J129,"1st to 4th Basement Completed",IF(C123=J130,"Plinth work is process",IF(C123=J131,"Plinth work completed","0")))))))))))&amp;(IF(C124=(D119+F119+H119),", RCC Slab",IF(C124&gt;0,", RCC upto "&amp;C124&amp;" Slab",""))&amp;(IF(C125=H119,", Brickwork",IF(C125&gt;0,", Brickwork upto "&amp;C125&amp;" Floor",""))&amp;(IF(C126=H119,", Internal Plaster",IF(C126&gt;0,", Internal Plaster upto "&amp;C126&amp;" Floor",""))&amp;(IF(C127=H119,", External Plaster",IF(C127&gt;0,", External Plaster upto "&amp;C127&amp;" Floor",""))&amp;(IF(C128=H119,", Flooring",IF(C128&gt;0,", Flooring upto "&amp;C128&amp;" Floor",""))&amp;(IF(C129=H119,", Painting",IF(C129&gt;0,", Painting upto "&amp;C129&amp;" Floor",""))&amp;(IF(C130&gt;0,", Finishing upto "&amp;C130&amp;" Floor","")&amp;(IF(C124&gt;0.5," Completed",""))))))))))))))</f>
        <v>Excavation work Completed. Plinth work completed, RCC upto 38 Slab, Brickwork upto 37 Floor, Internal Plaster upto 29.6 Floor, External Plaster upto 27.75 Floor Completed</v>
      </c>
      <c r="J118" s="19"/>
    </row>
    <row r="119" spans="1:10" x14ac:dyDescent="0.25">
      <c r="A119" s="48" t="s">
        <v>183</v>
      </c>
      <c r="B119" s="52">
        <v>1</v>
      </c>
      <c r="C119" s="52" t="s">
        <v>99</v>
      </c>
      <c r="D119" s="52">
        <v>1</v>
      </c>
      <c r="E119" s="52" t="s">
        <v>98</v>
      </c>
      <c r="F119" s="52">
        <v>0</v>
      </c>
      <c r="G119" s="52" t="s">
        <v>110</v>
      </c>
      <c r="H119" s="49">
        <f ca="1">--TRIM(RIGHT(SUBSTITUTE(LEFT(C118,_xlfn.AGGREGATE(16,6,FIND({0,1,2,3,4,5,6,7,8,9},C118,ROW(INDIRECT("1:"&amp;LEN(C118)))),1))," ",REPT(" ",LEN(C118))),LEN(C118)))</f>
        <v>39</v>
      </c>
      <c r="I119" s="18"/>
      <c r="J119" s="20"/>
    </row>
    <row r="120" spans="1:10" ht="51" customHeight="1" x14ac:dyDescent="0.25">
      <c r="A120" s="101" t="s">
        <v>120</v>
      </c>
      <c r="B120" s="102"/>
      <c r="C120" s="103" t="str">
        <f ca="1">I118</f>
        <v>Excavation work Completed. Plinth work completed, RCC upto 38 Slab, Brickwork upto 37 Floor, Internal Plaster upto 29.6 Floor, External Plaster upto 27.75 Floor Completed</v>
      </c>
      <c r="D120" s="103"/>
      <c r="E120" s="103"/>
      <c r="F120" s="103"/>
      <c r="G120" s="103"/>
      <c r="H120" s="104"/>
      <c r="I120" s="18" t="s">
        <v>138</v>
      </c>
      <c r="J120" s="20"/>
    </row>
    <row r="121" spans="1:10" ht="15.75" customHeight="1" x14ac:dyDescent="0.25">
      <c r="A121" s="105" t="s">
        <v>50</v>
      </c>
      <c r="B121" s="106"/>
      <c r="C121" s="53" t="s">
        <v>180</v>
      </c>
      <c r="D121" s="53" t="s">
        <v>113</v>
      </c>
      <c r="E121" s="106" t="s">
        <v>115</v>
      </c>
      <c r="F121" s="106"/>
      <c r="G121" s="106" t="s">
        <v>114</v>
      </c>
      <c r="H121" s="107"/>
      <c r="I121" s="38" t="s">
        <v>182</v>
      </c>
      <c r="J121" s="21">
        <f ca="1">H119*25%</f>
        <v>9.75</v>
      </c>
    </row>
    <row r="122" spans="1:10" x14ac:dyDescent="0.25">
      <c r="A122" s="105" t="s">
        <v>169</v>
      </c>
      <c r="B122" s="106"/>
      <c r="C122" s="54">
        <f ca="1">J123</f>
        <v>39</v>
      </c>
      <c r="D122" s="55">
        <f ca="1">((100/H119)*C122)/100</f>
        <v>1.0000000000000002</v>
      </c>
      <c r="E122" s="108">
        <f ca="1">(((C123/H119*10)+(40/(D119+F119+H119)*C124)+(7.5/(H119)*C125)+(7.5/(H119)*C126)+(10/H119*C127)+(10/H119*C128)+(5/H119*C129)+(5/H119*C130)+(5/H119*C131))/100)</f>
        <v>0.67923076923076919</v>
      </c>
      <c r="F122" s="108"/>
      <c r="G122" s="108">
        <f ca="1">((((C122/H119)*20)+((C123/H119)*25)+(30/(H119+F119+D119)*C124)+(5/H119*C125)+(5/H119*C126)+(5/H119*C127)+(5/H119*C128)+(0/H119*C129)+(0/H119*C130)+(5/H119*C131))/100)</f>
        <v>0.85596153846153844</v>
      </c>
      <c r="H122" s="110"/>
      <c r="I122" s="38" t="s">
        <v>133</v>
      </c>
      <c r="J122" s="42">
        <f ca="1">H119*50%</f>
        <v>19.5</v>
      </c>
    </row>
    <row r="123" spans="1:10" x14ac:dyDescent="0.25">
      <c r="A123" s="105" t="s">
        <v>51</v>
      </c>
      <c r="B123" s="106"/>
      <c r="C123" s="56">
        <f ca="1">J131</f>
        <v>39</v>
      </c>
      <c r="D123" s="55">
        <f ca="1">((100/H119)*C123)/100</f>
        <v>1.0000000000000002</v>
      </c>
      <c r="E123" s="108"/>
      <c r="F123" s="108"/>
      <c r="G123" s="108"/>
      <c r="H123" s="110"/>
      <c r="I123" s="38" t="s">
        <v>134</v>
      </c>
      <c r="J123" s="42">
        <f ca="1">H119</f>
        <v>39</v>
      </c>
    </row>
    <row r="124" spans="1:10" ht="15.75" customHeight="1" x14ac:dyDescent="0.25">
      <c r="A124" s="105" t="s">
        <v>170</v>
      </c>
      <c r="B124" s="106"/>
      <c r="C124" s="56">
        <v>38</v>
      </c>
      <c r="D124" s="55">
        <f ca="1">((100/(D119+F119+H119))*C124)/100</f>
        <v>0.95</v>
      </c>
      <c r="E124" s="108"/>
      <c r="F124" s="108"/>
      <c r="G124" s="108"/>
      <c r="H124" s="110"/>
      <c r="I124" s="38" t="s">
        <v>135</v>
      </c>
      <c r="J124" s="45">
        <f ca="1">(IF(B119&gt;1,(H119/(B119+2)),H119/4))</f>
        <v>9.75</v>
      </c>
    </row>
    <row r="125" spans="1:10" ht="15.75" customHeight="1" x14ac:dyDescent="0.25">
      <c r="A125" s="105" t="s">
        <v>177</v>
      </c>
      <c r="B125" s="106" t="s">
        <v>171</v>
      </c>
      <c r="C125" s="56">
        <f>C124-1</f>
        <v>37</v>
      </c>
      <c r="D125" s="55">
        <f ca="1">((100/H119)*C125)/100</f>
        <v>0.94871794871794879</v>
      </c>
      <c r="E125" s="108"/>
      <c r="F125" s="108"/>
      <c r="G125" s="108"/>
      <c r="H125" s="110"/>
      <c r="I125" s="38" t="s">
        <v>136</v>
      </c>
      <c r="J125" s="45">
        <f ca="1">(IF(B119&gt;1,(H119/(B119+2)+J124),H119/4+J124))</f>
        <v>19.5</v>
      </c>
    </row>
    <row r="126" spans="1:10" ht="15.75" customHeight="1" x14ac:dyDescent="0.25">
      <c r="A126" s="105" t="s">
        <v>178</v>
      </c>
      <c r="B126" s="106" t="s">
        <v>171</v>
      </c>
      <c r="C126" s="56">
        <f>C125*0.8</f>
        <v>29.6</v>
      </c>
      <c r="D126" s="55">
        <f ca="1">((100/H119)*C126)/100</f>
        <v>0.75897435897435916</v>
      </c>
      <c r="E126" s="108"/>
      <c r="F126" s="108"/>
      <c r="G126" s="108"/>
      <c r="H126" s="110"/>
      <c r="I126" s="38" t="s">
        <v>187</v>
      </c>
      <c r="J126" s="45">
        <f>(IF(B119&gt;1,(H119/(B119+2)+J125),0))</f>
        <v>0</v>
      </c>
    </row>
    <row r="127" spans="1:10" ht="15" customHeight="1" x14ac:dyDescent="0.25">
      <c r="A127" s="105" t="s">
        <v>176</v>
      </c>
      <c r="B127" s="106" t="s">
        <v>173</v>
      </c>
      <c r="C127" s="56">
        <f>C125*0.75</f>
        <v>27.75</v>
      </c>
      <c r="D127" s="55">
        <f ca="1">((100/(H119))*C127)/100</f>
        <v>0.71153846153846156</v>
      </c>
      <c r="E127" s="108"/>
      <c r="F127" s="108"/>
      <c r="G127" s="108"/>
      <c r="H127" s="110"/>
      <c r="I127" s="38" t="s">
        <v>184</v>
      </c>
      <c r="J127" s="45">
        <f>(IF(B119&gt;2,(H119/(B119+2)+J126),0))</f>
        <v>0</v>
      </c>
    </row>
    <row r="128" spans="1:10" ht="15.75" customHeight="1" x14ac:dyDescent="0.25">
      <c r="A128" s="105" t="s">
        <v>172</v>
      </c>
      <c r="B128" s="106" t="s">
        <v>172</v>
      </c>
      <c r="C128" s="54">
        <v>0</v>
      </c>
      <c r="D128" s="55">
        <f ca="1">((100/H119)*C128)/100</f>
        <v>0</v>
      </c>
      <c r="E128" s="108"/>
      <c r="F128" s="108"/>
      <c r="G128" s="108"/>
      <c r="H128" s="110"/>
      <c r="I128" s="38" t="s">
        <v>185</v>
      </c>
      <c r="J128" s="46">
        <f>(IF(B119&gt;3,(H119/(B119+2)+J127),0))</f>
        <v>0</v>
      </c>
    </row>
    <row r="129" spans="1:12" ht="15.75" customHeight="1" x14ac:dyDescent="0.25">
      <c r="A129" s="105" t="s">
        <v>179</v>
      </c>
      <c r="B129" s="106"/>
      <c r="C129" s="54">
        <v>0</v>
      </c>
      <c r="D129" s="55">
        <f ca="1">((100/H119)*C129)/100</f>
        <v>0</v>
      </c>
      <c r="E129" s="108"/>
      <c r="F129" s="108"/>
      <c r="G129" s="108"/>
      <c r="H129" s="110"/>
      <c r="I129" s="38" t="s">
        <v>186</v>
      </c>
      <c r="J129" s="45">
        <f>(IF(B119&gt;4,(H119/(B119+2)+J128),0))</f>
        <v>0</v>
      </c>
    </row>
    <row r="130" spans="1:12" ht="15.75" customHeight="1" x14ac:dyDescent="0.25">
      <c r="A130" s="105" t="s">
        <v>174</v>
      </c>
      <c r="B130" s="106" t="s">
        <v>174</v>
      </c>
      <c r="C130" s="54">
        <v>0</v>
      </c>
      <c r="D130" s="55">
        <f ca="1">((100/(H119))*C130)/100</f>
        <v>0</v>
      </c>
      <c r="E130" s="108"/>
      <c r="F130" s="108"/>
      <c r="G130" s="108"/>
      <c r="H130" s="110"/>
      <c r="I130" s="38" t="s">
        <v>188</v>
      </c>
      <c r="J130" s="45">
        <f ca="1">(IF(B119=1,(H119/(B119+3)+J125),IF(B119=0,(H119/4+J125),IF(B119&gt;1,0))))</f>
        <v>29.25</v>
      </c>
    </row>
    <row r="131" spans="1:12" ht="16.5" thickBot="1" x14ac:dyDescent="0.3">
      <c r="A131" s="112" t="s">
        <v>175</v>
      </c>
      <c r="B131" s="113"/>
      <c r="C131" s="57">
        <v>0</v>
      </c>
      <c r="D131" s="58">
        <f ca="1">((100/(H119))*C131)/100</f>
        <v>0</v>
      </c>
      <c r="E131" s="109"/>
      <c r="F131" s="109"/>
      <c r="G131" s="109"/>
      <c r="H131" s="111"/>
      <c r="I131" s="44" t="s">
        <v>137</v>
      </c>
      <c r="J131" s="47">
        <f ca="1">(IF(B119&gt;1.5,(H119/(B119+2)+J125+MAX(0,J126-J125)+MAX(0,J127-J126)+MAX(0,J128-J127)+MAX(0,J129-J128)+MAX(0,J130-J129)),IF(B119=1,(H119/(B119+3)+J130),IF(B119=0,H119/4+J130))))</f>
        <v>39</v>
      </c>
    </row>
    <row r="132" spans="1:12" x14ac:dyDescent="0.25">
      <c r="A132" s="137" t="s">
        <v>153</v>
      </c>
      <c r="B132" s="138"/>
      <c r="C132" s="138"/>
      <c r="D132" s="138"/>
      <c r="E132" s="139"/>
      <c r="F132" s="137" t="str">
        <f ca="1">(IF(D74="Nothing","Yes",IF(D74="Cement, Aggregate, Steel, etc","Under Construction",IF(D74="Work not yet Started","Work not yet Started"))))</f>
        <v>Under Construction</v>
      </c>
      <c r="G132" s="138"/>
      <c r="H132" s="139"/>
    </row>
    <row r="133" spans="1:12" x14ac:dyDescent="0.25">
      <c r="A133" s="136" t="s">
        <v>52</v>
      </c>
      <c r="B133" s="136"/>
      <c r="C133" s="136"/>
      <c r="D133" s="136"/>
      <c r="E133" s="136"/>
      <c r="F133" s="136"/>
      <c r="G133" s="136"/>
      <c r="H133" s="136"/>
    </row>
    <row r="134" spans="1:12" ht="15" customHeight="1" x14ac:dyDescent="0.25">
      <c r="A134" s="102" t="s">
        <v>101</v>
      </c>
      <c r="B134" s="102"/>
      <c r="C134" s="103" t="s">
        <v>102</v>
      </c>
      <c r="D134" s="103"/>
      <c r="E134" s="103"/>
      <c r="F134" s="103"/>
      <c r="G134" s="103"/>
      <c r="H134" s="103"/>
    </row>
    <row r="135" spans="1:12" x14ac:dyDescent="0.25">
      <c r="A135" s="148" t="s">
        <v>53</v>
      </c>
      <c r="B135" s="148"/>
      <c r="C135" s="148"/>
      <c r="D135" s="148"/>
      <c r="E135" s="148"/>
      <c r="F135" s="148"/>
      <c r="G135" s="148"/>
      <c r="H135" s="148"/>
    </row>
    <row r="136" spans="1:12" ht="35.25" customHeight="1" x14ac:dyDescent="0.25">
      <c r="A136" s="135" t="s">
        <v>283</v>
      </c>
      <c r="B136" s="136"/>
      <c r="C136" s="136"/>
      <c r="D136" s="136"/>
      <c r="E136" s="136"/>
      <c r="F136" s="73">
        <v>12500</v>
      </c>
      <c r="G136" s="73"/>
      <c r="H136" s="73"/>
      <c r="J136" s="8" t="s">
        <v>232</v>
      </c>
      <c r="K136" s="39">
        <v>45107</v>
      </c>
      <c r="L136" s="8" t="s">
        <v>231</v>
      </c>
    </row>
    <row r="137" spans="1:12" s="64" customFormat="1" ht="35.25" customHeight="1" x14ac:dyDescent="0.25">
      <c r="A137" s="144" t="s">
        <v>282</v>
      </c>
      <c r="B137" s="145"/>
      <c r="C137" s="145"/>
      <c r="D137" s="145"/>
      <c r="E137" s="145"/>
      <c r="F137" s="143">
        <v>14500</v>
      </c>
      <c r="G137" s="143"/>
      <c r="H137" s="143"/>
      <c r="I137" s="65" t="s">
        <v>285</v>
      </c>
      <c r="J137" s="65"/>
      <c r="K137" s="65"/>
      <c r="L137" s="65"/>
    </row>
    <row r="138" spans="1:12" hidden="1" x14ac:dyDescent="0.25">
      <c r="A138" s="136" t="s">
        <v>109</v>
      </c>
      <c r="B138" s="136"/>
      <c r="C138" s="136"/>
      <c r="D138" s="136"/>
      <c r="E138" s="136"/>
      <c r="F138" s="73"/>
      <c r="G138" s="73"/>
      <c r="H138" s="73"/>
    </row>
    <row r="139" spans="1:12" s="12" customFormat="1" hidden="1" x14ac:dyDescent="0.25">
      <c r="A139" s="136" t="s">
        <v>125</v>
      </c>
      <c r="B139" s="136"/>
      <c r="C139" s="136"/>
      <c r="D139" s="136"/>
      <c r="E139" s="136"/>
      <c r="F139" s="73" t="s">
        <v>30</v>
      </c>
      <c r="G139" s="73"/>
      <c r="H139" s="73"/>
    </row>
    <row r="140" spans="1:12" s="12" customFormat="1" x14ac:dyDescent="0.25">
      <c r="A140" s="136" t="s">
        <v>126</v>
      </c>
      <c r="B140" s="136"/>
      <c r="C140" s="136"/>
      <c r="D140" s="136"/>
      <c r="E140" s="136"/>
      <c r="F140" s="73">
        <v>600000</v>
      </c>
      <c r="G140" s="73"/>
      <c r="H140" s="73"/>
    </row>
    <row r="141" spans="1:12" s="12" customFormat="1" hidden="1" x14ac:dyDescent="0.25">
      <c r="A141" s="136" t="s">
        <v>127</v>
      </c>
      <c r="B141" s="136"/>
      <c r="C141" s="136"/>
      <c r="D141" s="136"/>
      <c r="E141" s="136"/>
      <c r="F141" s="73" t="s">
        <v>30</v>
      </c>
      <c r="G141" s="73"/>
      <c r="H141" s="73"/>
    </row>
    <row r="142" spans="1:12" s="12" customFormat="1" hidden="1" x14ac:dyDescent="0.25">
      <c r="A142" s="136" t="s">
        <v>128</v>
      </c>
      <c r="B142" s="136"/>
      <c r="C142" s="136"/>
      <c r="D142" s="136"/>
      <c r="E142" s="136"/>
      <c r="F142" s="73" t="s">
        <v>30</v>
      </c>
      <c r="G142" s="73"/>
      <c r="H142" s="73"/>
    </row>
    <row r="143" spans="1:12" s="12" customFormat="1" hidden="1" x14ac:dyDescent="0.25">
      <c r="A143" s="136" t="s">
        <v>129</v>
      </c>
      <c r="B143" s="136"/>
      <c r="C143" s="136"/>
      <c r="D143" s="136"/>
      <c r="E143" s="136"/>
      <c r="F143" s="73" t="s">
        <v>30</v>
      </c>
      <c r="G143" s="73"/>
      <c r="H143" s="73"/>
    </row>
    <row r="144" spans="1:12" s="12" customFormat="1" hidden="1" x14ac:dyDescent="0.25">
      <c r="A144" s="136" t="s">
        <v>130</v>
      </c>
      <c r="B144" s="136"/>
      <c r="C144" s="136"/>
      <c r="D144" s="136"/>
      <c r="E144" s="136"/>
      <c r="F144" s="73" t="s">
        <v>30</v>
      </c>
      <c r="G144" s="73"/>
      <c r="H144" s="73"/>
    </row>
    <row r="145" spans="1:14" s="12" customFormat="1" hidden="1" x14ac:dyDescent="0.25">
      <c r="A145" s="136" t="s">
        <v>131</v>
      </c>
      <c r="B145" s="136"/>
      <c r="C145" s="136"/>
      <c r="D145" s="136"/>
      <c r="E145" s="136"/>
      <c r="F145" s="73" t="s">
        <v>30</v>
      </c>
      <c r="G145" s="73"/>
      <c r="H145" s="73"/>
    </row>
    <row r="146" spans="1:14" s="12" customFormat="1" hidden="1" x14ac:dyDescent="0.25">
      <c r="A146" s="136" t="s">
        <v>132</v>
      </c>
      <c r="B146" s="136"/>
      <c r="C146" s="136"/>
      <c r="D146" s="136"/>
      <c r="E146" s="136"/>
      <c r="F146" s="73" t="s">
        <v>30</v>
      </c>
      <c r="G146" s="73"/>
      <c r="H146" s="73"/>
    </row>
    <row r="147" spans="1:14" x14ac:dyDescent="0.25">
      <c r="A147" s="136" t="s">
        <v>54</v>
      </c>
      <c r="B147" s="136"/>
      <c r="C147" s="136"/>
      <c r="D147" s="136"/>
      <c r="E147" s="136"/>
      <c r="F147" s="72" t="s">
        <v>284</v>
      </c>
      <c r="G147" s="72"/>
      <c r="H147" s="72"/>
    </row>
    <row r="148" spans="1:14" s="9" customFormat="1" x14ac:dyDescent="0.25">
      <c r="A148" s="148" t="s">
        <v>55</v>
      </c>
      <c r="B148" s="148"/>
      <c r="C148" s="148"/>
      <c r="D148" s="148"/>
      <c r="E148" s="148"/>
      <c r="F148" s="73">
        <f>F136*0.8</f>
        <v>10000</v>
      </c>
      <c r="G148" s="73"/>
      <c r="H148" s="73"/>
    </row>
    <row r="149" spans="1:14" s="1" customFormat="1" ht="15.75" hidden="1" customHeight="1" x14ac:dyDescent="0.25">
      <c r="A149" s="130" t="s">
        <v>103</v>
      </c>
      <c r="B149" s="130"/>
      <c r="C149" s="130"/>
      <c r="D149" s="130"/>
      <c r="E149" s="130"/>
      <c r="F149" s="130"/>
      <c r="G149" s="130"/>
      <c r="H149" s="130"/>
    </row>
    <row r="150" spans="1:14" s="1" customFormat="1" ht="15.75" hidden="1" customHeight="1" x14ac:dyDescent="0.25">
      <c r="A150" s="141" t="s">
        <v>56</v>
      </c>
      <c r="B150" s="141"/>
      <c r="C150" s="146" t="s">
        <v>106</v>
      </c>
      <c r="D150" s="146"/>
      <c r="E150" s="147" t="s">
        <v>57</v>
      </c>
      <c r="F150" s="147"/>
      <c r="G150" s="141" t="s">
        <v>58</v>
      </c>
      <c r="H150" s="141"/>
    </row>
    <row r="151" spans="1:14" s="1" customFormat="1" hidden="1" x14ac:dyDescent="0.25">
      <c r="A151" s="149"/>
      <c r="B151" s="149"/>
      <c r="C151" s="133"/>
      <c r="D151" s="133"/>
      <c r="E151" s="142"/>
      <c r="F151" s="142"/>
      <c r="G151" s="199"/>
      <c r="H151" s="199"/>
    </row>
    <row r="152" spans="1:14" s="1" customFormat="1" x14ac:dyDescent="0.25">
      <c r="A152" s="130" t="s">
        <v>97</v>
      </c>
      <c r="B152" s="130"/>
      <c r="C152" s="130"/>
      <c r="D152" s="130"/>
      <c r="E152" s="130"/>
      <c r="F152" s="130"/>
      <c r="G152" s="130"/>
      <c r="H152" s="130"/>
    </row>
    <row r="153" spans="1:14" s="1" customFormat="1" ht="15.75" customHeight="1" x14ac:dyDescent="0.25">
      <c r="A153" s="141" t="s">
        <v>56</v>
      </c>
      <c r="B153" s="141"/>
      <c r="C153" s="146" t="s">
        <v>106</v>
      </c>
      <c r="D153" s="146"/>
      <c r="E153" s="147" t="s">
        <v>57</v>
      </c>
      <c r="F153" s="147"/>
      <c r="G153" s="141" t="s">
        <v>58</v>
      </c>
      <c r="H153" s="141"/>
    </row>
    <row r="154" spans="1:14" s="1" customFormat="1" x14ac:dyDescent="0.25">
      <c r="A154" s="149" t="s">
        <v>259</v>
      </c>
      <c r="B154" s="149"/>
      <c r="C154" s="133">
        <f>COUNT(D283:D290)*2+COUNT(D292:D299)*16+COUNT(D302:D308,D320:D326,D338:D339,D341,D344)+COUNT(D310:D317)*7+COUNT(D328,D330,D332,D335)*9</f>
        <v>254</v>
      </c>
      <c r="D154" s="133"/>
      <c r="E154" s="134">
        <f>SUM(D283:D290)*2+SUM(D292:D299)*16+SUM(D302:D308,D320:D326,D338:D339,D341,D344)+SUM(D310:D317)*7+SUM(D328,D330,D332,D335)*9</f>
        <v>166033.92627506881</v>
      </c>
      <c r="F154" s="134"/>
      <c r="G154" s="134">
        <f>SUM(F283:F290)*2+SUM(F292:F299)*16+SUM(F302:F308,F320:F326,F338:F339,F341,F344)+SUM(F310:F317)*7+SUM(F328,F330,F332,F335)*9</f>
        <v>249050.88941260322</v>
      </c>
      <c r="H154" s="134"/>
    </row>
    <row r="155" spans="1:14" s="9" customFormat="1" hidden="1" x14ac:dyDescent="0.25">
      <c r="A155" s="140" t="s">
        <v>61</v>
      </c>
      <c r="B155" s="140"/>
      <c r="C155" s="140"/>
      <c r="D155" s="140"/>
      <c r="E155" s="140"/>
      <c r="F155" s="140"/>
      <c r="G155" s="140"/>
      <c r="H155" s="140"/>
    </row>
    <row r="156" spans="1:14" hidden="1" x14ac:dyDescent="0.25">
      <c r="A156" s="140" t="s">
        <v>62</v>
      </c>
      <c r="B156" s="140"/>
      <c r="C156" s="140"/>
      <c r="D156" s="140"/>
      <c r="E156" s="140"/>
      <c r="F156" s="140"/>
      <c r="G156" s="140"/>
      <c r="H156" s="140"/>
    </row>
    <row r="157" spans="1:14" ht="47.25" hidden="1" customHeight="1" x14ac:dyDescent="0.25">
      <c r="A157" s="131" t="s">
        <v>157</v>
      </c>
      <c r="B157" s="131" t="s">
        <v>156</v>
      </c>
      <c r="C157" s="131" t="s">
        <v>63</v>
      </c>
      <c r="D157" s="131" t="s">
        <v>64</v>
      </c>
      <c r="E157" s="193" t="s">
        <v>65</v>
      </c>
      <c r="F157" s="34" t="s">
        <v>154</v>
      </c>
      <c r="G157" s="195" t="s">
        <v>66</v>
      </c>
      <c r="H157" s="196"/>
    </row>
    <row r="158" spans="1:14" s="2" customFormat="1" hidden="1" x14ac:dyDescent="0.25">
      <c r="A158" s="132"/>
      <c r="B158" s="132"/>
      <c r="C158" s="132"/>
      <c r="D158" s="132"/>
      <c r="E158" s="194"/>
      <c r="F158" s="35">
        <v>0.6</v>
      </c>
      <c r="G158" s="197"/>
      <c r="H158" s="198"/>
    </row>
    <row r="159" spans="1:14" s="2" customFormat="1" hidden="1" x14ac:dyDescent="0.25">
      <c r="A159" s="119" t="s">
        <v>155</v>
      </c>
      <c r="B159" s="120"/>
      <c r="C159" s="120"/>
      <c r="D159" s="120"/>
      <c r="E159" s="120"/>
      <c r="F159" s="120"/>
      <c r="G159" s="120"/>
      <c r="H159" s="121"/>
    </row>
    <row r="160" spans="1:14" s="2" customFormat="1" hidden="1" x14ac:dyDescent="0.25">
      <c r="A160" s="117">
        <v>1</v>
      </c>
      <c r="B160" s="118"/>
      <c r="C160" s="36"/>
      <c r="D160" s="36"/>
      <c r="E160" s="36">
        <v>0</v>
      </c>
      <c r="F160" s="36">
        <f>D160*(($F$158)+1)+E160</f>
        <v>0</v>
      </c>
      <c r="G160" s="117" t="str">
        <f>A159</f>
        <v>Ground Floor</v>
      </c>
      <c r="H160" s="118"/>
      <c r="I160" s="37"/>
      <c r="L160" s="123"/>
      <c r="M160" s="123"/>
      <c r="N160" s="37"/>
    </row>
    <row r="161" spans="1:14" s="2" customFormat="1" hidden="1" x14ac:dyDescent="0.25">
      <c r="A161" s="117">
        <f>A160+1</f>
        <v>2</v>
      </c>
      <c r="B161" s="118"/>
      <c r="C161" s="36"/>
      <c r="D161" s="36"/>
      <c r="E161" s="36">
        <v>0</v>
      </c>
      <c r="F161" s="36">
        <f t="shared" ref="F161:F162" si="0">D161*(($F$158)+1)+E161</f>
        <v>0</v>
      </c>
      <c r="G161" s="117" t="str">
        <f t="shared" ref="G161:G166" si="1">G160</f>
        <v>Ground Floor</v>
      </c>
      <c r="H161" s="118"/>
      <c r="I161" s="37"/>
      <c r="L161" s="123"/>
      <c r="M161" s="123"/>
      <c r="N161" s="37"/>
    </row>
    <row r="162" spans="1:14" s="2" customFormat="1" hidden="1" x14ac:dyDescent="0.25">
      <c r="A162" s="117">
        <f t="shared" ref="A162:A164" si="2">A161+1</f>
        <v>3</v>
      </c>
      <c r="B162" s="118"/>
      <c r="C162" s="36"/>
      <c r="D162" s="36"/>
      <c r="E162" s="36">
        <v>0</v>
      </c>
      <c r="F162" s="36">
        <f t="shared" si="0"/>
        <v>0</v>
      </c>
      <c r="G162" s="117" t="str">
        <f t="shared" si="1"/>
        <v>Ground Floor</v>
      </c>
      <c r="H162" s="118"/>
      <c r="I162" s="37"/>
      <c r="L162" s="123"/>
      <c r="M162" s="123"/>
      <c r="N162" s="37"/>
    </row>
    <row r="163" spans="1:14" s="2" customFormat="1" hidden="1" x14ac:dyDescent="0.25">
      <c r="A163" s="117">
        <f t="shared" si="2"/>
        <v>4</v>
      </c>
      <c r="B163" s="118"/>
      <c r="C163" s="36"/>
      <c r="D163" s="36"/>
      <c r="E163" s="36">
        <v>0</v>
      </c>
      <c r="F163" s="36">
        <f t="shared" ref="F163:F164" si="3">D163*(($F$158)+1)+E163</f>
        <v>0</v>
      </c>
      <c r="G163" s="117" t="str">
        <f t="shared" si="1"/>
        <v>Ground Floor</v>
      </c>
      <c r="H163" s="118"/>
      <c r="I163" s="37"/>
      <c r="L163" s="123"/>
      <c r="M163" s="123"/>
      <c r="N163" s="37"/>
    </row>
    <row r="164" spans="1:14" s="2" customFormat="1" hidden="1" x14ac:dyDescent="0.25">
      <c r="A164" s="117">
        <f t="shared" si="2"/>
        <v>5</v>
      </c>
      <c r="B164" s="118"/>
      <c r="C164" s="36"/>
      <c r="D164" s="36"/>
      <c r="E164" s="36">
        <v>0</v>
      </c>
      <c r="F164" s="36">
        <f t="shared" si="3"/>
        <v>0</v>
      </c>
      <c r="G164" s="117" t="str">
        <f t="shared" si="1"/>
        <v>Ground Floor</v>
      </c>
      <c r="H164" s="118"/>
      <c r="I164" s="37"/>
      <c r="L164" s="123"/>
      <c r="M164" s="123"/>
      <c r="N164" s="37"/>
    </row>
    <row r="165" spans="1:14" s="2" customFormat="1" hidden="1" x14ac:dyDescent="0.25">
      <c r="A165" s="117">
        <f t="shared" ref="A165:A166" si="4">A164+1</f>
        <v>6</v>
      </c>
      <c r="B165" s="118"/>
      <c r="C165" s="36"/>
      <c r="D165" s="36"/>
      <c r="E165" s="36">
        <v>0</v>
      </c>
      <c r="F165" s="36">
        <f t="shared" ref="F165:F166" si="5">D165*(($F$158)+1)+E165</f>
        <v>0</v>
      </c>
      <c r="G165" s="117" t="str">
        <f t="shared" si="1"/>
        <v>Ground Floor</v>
      </c>
      <c r="H165" s="118"/>
      <c r="I165" s="37"/>
      <c r="L165" s="123"/>
      <c r="M165" s="123"/>
      <c r="N165" s="37"/>
    </row>
    <row r="166" spans="1:14" s="2" customFormat="1" hidden="1" x14ac:dyDescent="0.25">
      <c r="A166" s="117">
        <f t="shared" si="4"/>
        <v>7</v>
      </c>
      <c r="B166" s="118"/>
      <c r="C166" s="36"/>
      <c r="D166" s="36"/>
      <c r="E166" s="36">
        <v>0</v>
      </c>
      <c r="F166" s="36">
        <f t="shared" si="5"/>
        <v>0</v>
      </c>
      <c r="G166" s="117" t="str">
        <f t="shared" si="1"/>
        <v>Ground Floor</v>
      </c>
      <c r="H166" s="118"/>
      <c r="I166" s="37"/>
      <c r="L166" s="123"/>
      <c r="M166" s="123"/>
      <c r="N166" s="37"/>
    </row>
    <row r="167" spans="1:14" s="2" customFormat="1" x14ac:dyDescent="0.25">
      <c r="A167" s="117"/>
      <c r="B167" s="122"/>
      <c r="C167" s="122"/>
      <c r="D167" s="122"/>
      <c r="E167" s="122"/>
      <c r="F167" s="122"/>
      <c r="G167" s="122"/>
      <c r="H167" s="118"/>
      <c r="I167" s="37"/>
      <c r="N167" s="37"/>
    </row>
    <row r="168" spans="1:14" ht="47.25" customHeight="1" x14ac:dyDescent="0.25">
      <c r="A168" s="195" t="s">
        <v>158</v>
      </c>
      <c r="B168" s="195" t="s">
        <v>159</v>
      </c>
      <c r="C168" s="131" t="s">
        <v>63</v>
      </c>
      <c r="D168" s="131" t="s">
        <v>260</v>
      </c>
      <c r="E168" s="193" t="s">
        <v>65</v>
      </c>
      <c r="F168" s="34" t="s">
        <v>154</v>
      </c>
      <c r="G168" s="195" t="s">
        <v>66</v>
      </c>
      <c r="H168" s="196"/>
      <c r="I168" s="37"/>
    </row>
    <row r="169" spans="1:14" s="2" customFormat="1" x14ac:dyDescent="0.25">
      <c r="A169" s="197"/>
      <c r="B169" s="197"/>
      <c r="C169" s="132"/>
      <c r="D169" s="132"/>
      <c r="E169" s="194"/>
      <c r="F169" s="35">
        <v>0.5</v>
      </c>
      <c r="G169" s="197"/>
      <c r="H169" s="198"/>
      <c r="I169" s="37"/>
    </row>
    <row r="170" spans="1:14" s="2" customFormat="1" x14ac:dyDescent="0.25">
      <c r="A170" s="201" t="s">
        <v>201</v>
      </c>
      <c r="B170" s="201"/>
      <c r="C170" s="201"/>
      <c r="D170" s="201"/>
      <c r="E170" s="201"/>
      <c r="F170" s="201"/>
      <c r="G170" s="201"/>
      <c r="H170" s="201"/>
      <c r="I170" s="37"/>
      <c r="L170" s="123"/>
      <c r="M170" s="123"/>
    </row>
    <row r="171" spans="1:14" s="2" customFormat="1" x14ac:dyDescent="0.25">
      <c r="A171" s="200" t="s">
        <v>202</v>
      </c>
      <c r="B171" s="200"/>
      <c r="C171" s="200"/>
      <c r="D171" s="200"/>
      <c r="E171" s="200"/>
      <c r="F171" s="200"/>
      <c r="G171" s="200"/>
      <c r="H171" s="200"/>
      <c r="I171" s="37"/>
      <c r="L171" s="123"/>
      <c r="M171" s="123"/>
    </row>
    <row r="172" spans="1:14" s="2" customFormat="1" x14ac:dyDescent="0.25">
      <c r="A172" s="200" t="s">
        <v>203</v>
      </c>
      <c r="B172" s="200"/>
      <c r="C172" s="200"/>
      <c r="D172" s="200"/>
      <c r="E172" s="200"/>
      <c r="F172" s="200"/>
      <c r="G172" s="200"/>
      <c r="H172" s="200"/>
      <c r="I172" s="37"/>
      <c r="L172" s="123"/>
      <c r="M172" s="123"/>
    </row>
    <row r="173" spans="1:14" s="2" customFormat="1" x14ac:dyDescent="0.25">
      <c r="A173" s="119" t="s">
        <v>226</v>
      </c>
      <c r="B173" s="120"/>
      <c r="C173" s="120"/>
      <c r="D173" s="120"/>
      <c r="E173" s="120"/>
      <c r="F173" s="120"/>
      <c r="G173" s="120"/>
      <c r="H173" s="121"/>
      <c r="I173" s="37"/>
      <c r="L173" s="123"/>
      <c r="M173" s="123"/>
    </row>
    <row r="174" spans="1:14" s="2" customFormat="1" hidden="1" x14ac:dyDescent="0.25">
      <c r="A174" s="117">
        <v>1</v>
      </c>
      <c r="B174" s="118"/>
      <c r="C174" s="36" t="s">
        <v>205</v>
      </c>
      <c r="D174" s="36"/>
      <c r="E174" s="36">
        <v>0</v>
      </c>
      <c r="F174" s="36">
        <f>D174*(($F$169)+1)+E174</f>
        <v>0</v>
      </c>
      <c r="G174" s="117" t="str">
        <f>A173</f>
        <v>5th Floor</v>
      </c>
      <c r="H174" s="118"/>
      <c r="I174" s="37"/>
      <c r="N174" s="37"/>
    </row>
    <row r="175" spans="1:14" s="2" customFormat="1" hidden="1" x14ac:dyDescent="0.25">
      <c r="A175" s="117">
        <v>2</v>
      </c>
      <c r="B175" s="118"/>
      <c r="C175" s="36" t="s">
        <v>205</v>
      </c>
      <c r="D175" s="36"/>
      <c r="E175" s="36">
        <v>0</v>
      </c>
      <c r="F175" s="36">
        <f t="shared" ref="F175:F177" si="6">D175*(($F$169)+1)+E175</f>
        <v>0</v>
      </c>
      <c r="G175" s="117" t="str">
        <f t="shared" ref="G175:G177" si="7">G174</f>
        <v>5th Floor</v>
      </c>
      <c r="H175" s="118"/>
      <c r="I175" s="37"/>
      <c r="N175" s="37"/>
    </row>
    <row r="176" spans="1:14" s="2" customFormat="1" hidden="1" x14ac:dyDescent="0.25">
      <c r="A176" s="117">
        <v>3</v>
      </c>
      <c r="B176" s="118"/>
      <c r="C176" s="36" t="s">
        <v>205</v>
      </c>
      <c r="D176" s="36"/>
      <c r="E176" s="36">
        <v>0</v>
      </c>
      <c r="F176" s="36">
        <f t="shared" si="6"/>
        <v>0</v>
      </c>
      <c r="G176" s="117" t="str">
        <f t="shared" si="7"/>
        <v>5th Floor</v>
      </c>
      <c r="H176" s="118"/>
      <c r="I176" s="37"/>
      <c r="N176" s="37"/>
    </row>
    <row r="177" spans="1:14" s="2" customFormat="1" x14ac:dyDescent="0.25">
      <c r="A177" s="117">
        <v>4</v>
      </c>
      <c r="B177" s="118"/>
      <c r="C177" s="36" t="s">
        <v>205</v>
      </c>
      <c r="D177" s="36">
        <f>(59.72+1.84+5.71)*10.764</f>
        <v>724.09427999999991</v>
      </c>
      <c r="E177" s="36">
        <v>0</v>
      </c>
      <c r="F177" s="36">
        <f t="shared" si="6"/>
        <v>1086.1414199999999</v>
      </c>
      <c r="G177" s="117" t="str">
        <f t="shared" si="7"/>
        <v>5th Floor</v>
      </c>
      <c r="H177" s="118"/>
      <c r="I177" s="37"/>
      <c r="N177" s="37"/>
    </row>
    <row r="178" spans="1:14" s="2" customFormat="1" x14ac:dyDescent="0.25">
      <c r="A178" s="119" t="s">
        <v>223</v>
      </c>
      <c r="B178" s="120"/>
      <c r="C178" s="120"/>
      <c r="D178" s="120"/>
      <c r="E178" s="120"/>
      <c r="F178" s="120"/>
      <c r="G178" s="120"/>
      <c r="H178" s="121"/>
      <c r="I178" s="37"/>
      <c r="L178" s="123"/>
      <c r="M178" s="123"/>
    </row>
    <row r="179" spans="1:14" s="2" customFormat="1" hidden="1" x14ac:dyDescent="0.25">
      <c r="A179" s="117">
        <v>1</v>
      </c>
      <c r="B179" s="118"/>
      <c r="C179" s="36" t="s">
        <v>205</v>
      </c>
      <c r="D179" s="36"/>
      <c r="E179" s="36">
        <v>0</v>
      </c>
      <c r="F179" s="36">
        <f>D179*(($F$169)+1)+E179</f>
        <v>0</v>
      </c>
      <c r="G179" s="117" t="str">
        <f>A178</f>
        <v>10th Floor</v>
      </c>
      <c r="H179" s="118"/>
      <c r="I179" s="37"/>
      <c r="N179" s="37"/>
    </row>
    <row r="180" spans="1:14" s="2" customFormat="1" hidden="1" x14ac:dyDescent="0.25">
      <c r="A180" s="117">
        <v>2</v>
      </c>
      <c r="B180" s="118"/>
      <c r="C180" s="36" t="s">
        <v>205</v>
      </c>
      <c r="D180" s="36"/>
      <c r="E180" s="36">
        <v>0</v>
      </c>
      <c r="F180" s="36">
        <f t="shared" ref="F180:F182" si="8">D180*(($F$169)+1)+E180</f>
        <v>0</v>
      </c>
      <c r="G180" s="117" t="str">
        <f t="shared" ref="G180:G186" si="9">G179</f>
        <v>10th Floor</v>
      </c>
      <c r="H180" s="118"/>
      <c r="I180" s="37"/>
      <c r="N180" s="37"/>
    </row>
    <row r="181" spans="1:14" s="2" customFormat="1" hidden="1" x14ac:dyDescent="0.25">
      <c r="A181" s="117">
        <v>3</v>
      </c>
      <c r="B181" s="118"/>
      <c r="C181" s="36" t="s">
        <v>205</v>
      </c>
      <c r="D181" s="36"/>
      <c r="E181" s="36">
        <v>0</v>
      </c>
      <c r="F181" s="36">
        <f t="shared" si="8"/>
        <v>0</v>
      </c>
      <c r="G181" s="117" t="str">
        <f t="shared" si="9"/>
        <v>10th Floor</v>
      </c>
      <c r="H181" s="118"/>
      <c r="I181" s="37"/>
      <c r="N181" s="37"/>
    </row>
    <row r="182" spans="1:14" s="2" customFormat="1" x14ac:dyDescent="0.25">
      <c r="A182" s="117">
        <v>4</v>
      </c>
      <c r="B182" s="118"/>
      <c r="C182" s="36" t="s">
        <v>205</v>
      </c>
      <c r="D182" s="36">
        <f>(59.72+1.84+5.71)*10.764</f>
        <v>724.09427999999991</v>
      </c>
      <c r="E182" s="36">
        <v>0</v>
      </c>
      <c r="F182" s="36">
        <f t="shared" si="8"/>
        <v>1086.1414199999999</v>
      </c>
      <c r="G182" s="117" t="str">
        <f t="shared" si="9"/>
        <v>10th Floor</v>
      </c>
      <c r="H182" s="118"/>
      <c r="I182" s="37"/>
      <c r="N182" s="37"/>
    </row>
    <row r="183" spans="1:14" s="2" customFormat="1" hidden="1" x14ac:dyDescent="0.25">
      <c r="A183" s="117">
        <v>5</v>
      </c>
      <c r="B183" s="118"/>
      <c r="C183" s="36" t="s">
        <v>206</v>
      </c>
      <c r="D183" s="36"/>
      <c r="E183" s="36">
        <v>0</v>
      </c>
      <c r="F183" s="36">
        <f t="shared" ref="F183:F184" si="10">D183*(($F$169)+1)+E183</f>
        <v>0</v>
      </c>
      <c r="G183" s="117" t="str">
        <f t="shared" si="9"/>
        <v>10th Floor</v>
      </c>
      <c r="H183" s="118"/>
      <c r="I183" s="37"/>
      <c r="N183" s="37"/>
    </row>
    <row r="184" spans="1:14" s="2" customFormat="1" hidden="1" x14ac:dyDescent="0.25">
      <c r="A184" s="117">
        <v>6</v>
      </c>
      <c r="B184" s="118"/>
      <c r="C184" s="36" t="s">
        <v>205</v>
      </c>
      <c r="D184" s="36"/>
      <c r="E184" s="36">
        <v>0</v>
      </c>
      <c r="F184" s="36">
        <f t="shared" si="10"/>
        <v>0</v>
      </c>
      <c r="G184" s="117" t="str">
        <f t="shared" si="9"/>
        <v>10th Floor</v>
      </c>
      <c r="H184" s="118"/>
      <c r="I184" s="37"/>
      <c r="N184" s="37"/>
    </row>
    <row r="185" spans="1:14" s="2" customFormat="1" hidden="1" x14ac:dyDescent="0.25">
      <c r="A185" s="117">
        <v>7</v>
      </c>
      <c r="B185" s="118"/>
      <c r="C185" s="36" t="s">
        <v>205</v>
      </c>
      <c r="D185" s="36"/>
      <c r="E185" s="36">
        <v>0</v>
      </c>
      <c r="F185" s="36">
        <f t="shared" ref="F185:F186" si="11">D185*(($F$169)+1)+E185</f>
        <v>0</v>
      </c>
      <c r="G185" s="117" t="str">
        <f t="shared" si="9"/>
        <v>10th Floor</v>
      </c>
      <c r="H185" s="118"/>
      <c r="I185" s="37"/>
      <c r="N185" s="37"/>
    </row>
    <row r="186" spans="1:14" s="2" customFormat="1" hidden="1" x14ac:dyDescent="0.25">
      <c r="A186" s="117">
        <v>8</v>
      </c>
      <c r="B186" s="118"/>
      <c r="C186" s="36" t="s">
        <v>206</v>
      </c>
      <c r="D186" s="36"/>
      <c r="E186" s="36">
        <v>0</v>
      </c>
      <c r="F186" s="36">
        <f t="shared" si="11"/>
        <v>0</v>
      </c>
      <c r="G186" s="117" t="str">
        <f t="shared" si="9"/>
        <v>10th Floor</v>
      </c>
      <c r="H186" s="118"/>
      <c r="I186" s="37"/>
      <c r="N186" s="37"/>
    </row>
    <row r="187" spans="1:14" s="2" customFormat="1" hidden="1" x14ac:dyDescent="0.25">
      <c r="A187" s="119" t="s">
        <v>207</v>
      </c>
      <c r="B187" s="120"/>
      <c r="C187" s="120"/>
      <c r="D187" s="120"/>
      <c r="E187" s="120"/>
      <c r="F187" s="120"/>
      <c r="G187" s="120"/>
      <c r="H187" s="121"/>
      <c r="I187" s="37"/>
      <c r="L187" s="123"/>
      <c r="M187" s="123"/>
    </row>
    <row r="188" spans="1:14" s="2" customFormat="1" hidden="1" x14ac:dyDescent="0.25">
      <c r="A188" s="117">
        <v>1</v>
      </c>
      <c r="B188" s="118"/>
      <c r="C188" s="36" t="s">
        <v>205</v>
      </c>
      <c r="D188" s="36"/>
      <c r="E188" s="36">
        <v>0</v>
      </c>
      <c r="F188" s="36">
        <f>D188*(($F$169)+1)+E188</f>
        <v>0</v>
      </c>
      <c r="G188" s="117" t="str">
        <f>A187</f>
        <v>4th Floor</v>
      </c>
      <c r="H188" s="118"/>
      <c r="I188" s="37"/>
      <c r="N188" s="37"/>
    </row>
    <row r="189" spans="1:14" s="2" customFormat="1" hidden="1" x14ac:dyDescent="0.25">
      <c r="A189" s="117">
        <v>2</v>
      </c>
      <c r="B189" s="118"/>
      <c r="C189" s="36" t="s">
        <v>205</v>
      </c>
      <c r="D189" s="36"/>
      <c r="E189" s="36">
        <v>0</v>
      </c>
      <c r="F189" s="36">
        <f t="shared" ref="F189:F195" si="12">D189*(($F$169)+1)+E189</f>
        <v>0</v>
      </c>
      <c r="G189" s="117" t="str">
        <f t="shared" ref="G189:G195" si="13">G188</f>
        <v>4th Floor</v>
      </c>
      <c r="H189" s="118"/>
      <c r="I189" s="37"/>
      <c r="N189" s="37"/>
    </row>
    <row r="190" spans="1:14" s="2" customFormat="1" hidden="1" x14ac:dyDescent="0.25">
      <c r="A190" s="117">
        <v>3</v>
      </c>
      <c r="B190" s="118"/>
      <c r="C190" s="36" t="s">
        <v>205</v>
      </c>
      <c r="D190" s="36"/>
      <c r="E190" s="36">
        <v>0</v>
      </c>
      <c r="F190" s="36">
        <f t="shared" si="12"/>
        <v>0</v>
      </c>
      <c r="G190" s="117" t="str">
        <f t="shared" si="13"/>
        <v>4th Floor</v>
      </c>
      <c r="H190" s="118"/>
      <c r="I190" s="37"/>
      <c r="N190" s="37"/>
    </row>
    <row r="191" spans="1:14" s="2" customFormat="1" hidden="1" x14ac:dyDescent="0.25">
      <c r="A191" s="117">
        <v>4</v>
      </c>
      <c r="B191" s="118"/>
      <c r="C191" s="36" t="s">
        <v>205</v>
      </c>
      <c r="D191" s="36"/>
      <c r="E191" s="36">
        <v>0</v>
      </c>
      <c r="F191" s="36">
        <f t="shared" si="12"/>
        <v>0</v>
      </c>
      <c r="G191" s="117" t="str">
        <f t="shared" si="13"/>
        <v>4th Floor</v>
      </c>
      <c r="H191" s="118"/>
      <c r="I191" s="37"/>
      <c r="N191" s="37"/>
    </row>
    <row r="192" spans="1:14" s="2" customFormat="1" hidden="1" x14ac:dyDescent="0.25">
      <c r="A192" s="117">
        <v>5</v>
      </c>
      <c r="B192" s="118"/>
      <c r="C192" s="36" t="s">
        <v>206</v>
      </c>
      <c r="D192" s="36"/>
      <c r="E192" s="36">
        <v>0</v>
      </c>
      <c r="F192" s="36">
        <f t="shared" si="12"/>
        <v>0</v>
      </c>
      <c r="G192" s="117" t="str">
        <f t="shared" si="13"/>
        <v>4th Floor</v>
      </c>
      <c r="H192" s="118"/>
      <c r="I192" s="37"/>
      <c r="N192" s="37"/>
    </row>
    <row r="193" spans="1:14" s="2" customFormat="1" hidden="1" x14ac:dyDescent="0.25">
      <c r="A193" s="117">
        <v>6</v>
      </c>
      <c r="B193" s="118"/>
      <c r="C193" s="36" t="s">
        <v>205</v>
      </c>
      <c r="D193" s="36"/>
      <c r="E193" s="36">
        <v>0</v>
      </c>
      <c r="F193" s="36">
        <f t="shared" si="12"/>
        <v>0</v>
      </c>
      <c r="G193" s="117" t="str">
        <f t="shared" si="13"/>
        <v>4th Floor</v>
      </c>
      <c r="H193" s="118"/>
      <c r="I193" s="37"/>
      <c r="N193" s="37"/>
    </row>
    <row r="194" spans="1:14" s="2" customFormat="1" hidden="1" x14ac:dyDescent="0.25">
      <c r="A194" s="117">
        <v>7</v>
      </c>
      <c r="B194" s="118"/>
      <c r="C194" s="36" t="s">
        <v>205</v>
      </c>
      <c r="D194" s="36"/>
      <c r="E194" s="36">
        <v>0</v>
      </c>
      <c r="F194" s="36">
        <f t="shared" si="12"/>
        <v>0</v>
      </c>
      <c r="G194" s="117" t="str">
        <f t="shared" si="13"/>
        <v>4th Floor</v>
      </c>
      <c r="H194" s="118"/>
      <c r="I194" s="37"/>
      <c r="N194" s="37"/>
    </row>
    <row r="195" spans="1:14" s="2" customFormat="1" hidden="1" x14ac:dyDescent="0.25">
      <c r="A195" s="117">
        <v>8</v>
      </c>
      <c r="B195" s="118"/>
      <c r="C195" s="36" t="s">
        <v>206</v>
      </c>
      <c r="D195" s="36"/>
      <c r="E195" s="36">
        <v>0</v>
      </c>
      <c r="F195" s="36">
        <f t="shared" si="12"/>
        <v>0</v>
      </c>
      <c r="G195" s="117" t="str">
        <f t="shared" si="13"/>
        <v>4th Floor</v>
      </c>
      <c r="H195" s="118"/>
      <c r="I195" s="37"/>
      <c r="N195" s="37"/>
    </row>
    <row r="196" spans="1:14" s="2" customFormat="1" hidden="1" x14ac:dyDescent="0.25">
      <c r="A196" s="119" t="s">
        <v>208</v>
      </c>
      <c r="B196" s="120"/>
      <c r="C196" s="120"/>
      <c r="D196" s="120"/>
      <c r="E196" s="120"/>
      <c r="F196" s="120"/>
      <c r="G196" s="120"/>
      <c r="H196" s="121"/>
      <c r="I196" s="37"/>
      <c r="L196" s="123"/>
      <c r="M196" s="123"/>
    </row>
    <row r="197" spans="1:14" s="2" customFormat="1" hidden="1" x14ac:dyDescent="0.25">
      <c r="A197" s="117">
        <v>1</v>
      </c>
      <c r="B197" s="118"/>
      <c r="C197" s="36" t="s">
        <v>205</v>
      </c>
      <c r="D197" s="36"/>
      <c r="E197" s="36">
        <v>0</v>
      </c>
      <c r="F197" s="36">
        <f>D197*(($F$169)+1)+E197</f>
        <v>0</v>
      </c>
      <c r="G197" s="117" t="str">
        <f>A196</f>
        <v>5th to 17th Floor</v>
      </c>
      <c r="H197" s="118"/>
      <c r="I197" s="37"/>
      <c r="N197" s="37"/>
    </row>
    <row r="198" spans="1:14" s="2" customFormat="1" hidden="1" x14ac:dyDescent="0.25">
      <c r="A198" s="117">
        <v>2</v>
      </c>
      <c r="B198" s="118"/>
      <c r="C198" s="36" t="s">
        <v>205</v>
      </c>
      <c r="D198" s="36"/>
      <c r="E198" s="36">
        <v>0</v>
      </c>
      <c r="F198" s="36">
        <f t="shared" ref="F198:F204" si="14">D198*(($F$169)+1)+E198</f>
        <v>0</v>
      </c>
      <c r="G198" s="117" t="str">
        <f t="shared" ref="G198:G204" si="15">G197</f>
        <v>5th to 17th Floor</v>
      </c>
      <c r="H198" s="118"/>
      <c r="I198" s="37"/>
      <c r="N198" s="37"/>
    </row>
    <row r="199" spans="1:14" s="2" customFormat="1" hidden="1" x14ac:dyDescent="0.25">
      <c r="A199" s="117">
        <v>3</v>
      </c>
      <c r="B199" s="118"/>
      <c r="C199" s="36" t="s">
        <v>205</v>
      </c>
      <c r="D199" s="36"/>
      <c r="E199" s="36">
        <v>0</v>
      </c>
      <c r="F199" s="36">
        <f t="shared" si="14"/>
        <v>0</v>
      </c>
      <c r="G199" s="117" t="str">
        <f t="shared" si="15"/>
        <v>5th to 17th Floor</v>
      </c>
      <c r="H199" s="118"/>
      <c r="I199" s="37"/>
      <c r="N199" s="37"/>
    </row>
    <row r="200" spans="1:14" s="2" customFormat="1" hidden="1" x14ac:dyDescent="0.25">
      <c r="A200" s="117">
        <v>4</v>
      </c>
      <c r="B200" s="118"/>
      <c r="C200" s="36" t="s">
        <v>205</v>
      </c>
      <c r="D200" s="36"/>
      <c r="E200" s="36">
        <v>0</v>
      </c>
      <c r="F200" s="36">
        <f t="shared" si="14"/>
        <v>0</v>
      </c>
      <c r="G200" s="117" t="str">
        <f t="shared" si="15"/>
        <v>5th to 17th Floor</v>
      </c>
      <c r="H200" s="118"/>
      <c r="I200" s="37"/>
      <c r="N200" s="37"/>
    </row>
    <row r="201" spans="1:14" s="2" customFormat="1" hidden="1" x14ac:dyDescent="0.25">
      <c r="A201" s="117">
        <v>5</v>
      </c>
      <c r="B201" s="118"/>
      <c r="C201" s="36" t="s">
        <v>206</v>
      </c>
      <c r="D201" s="36"/>
      <c r="E201" s="36">
        <v>0</v>
      </c>
      <c r="F201" s="36">
        <f t="shared" si="14"/>
        <v>0</v>
      </c>
      <c r="G201" s="117" t="str">
        <f t="shared" si="15"/>
        <v>5th to 17th Floor</v>
      </c>
      <c r="H201" s="118"/>
      <c r="I201" s="37"/>
      <c r="N201" s="37"/>
    </row>
    <row r="202" spans="1:14" s="2" customFormat="1" hidden="1" x14ac:dyDescent="0.25">
      <c r="A202" s="117">
        <v>6</v>
      </c>
      <c r="B202" s="118"/>
      <c r="C202" s="36" t="s">
        <v>205</v>
      </c>
      <c r="D202" s="36"/>
      <c r="E202" s="36">
        <v>0</v>
      </c>
      <c r="F202" s="36">
        <f t="shared" si="14"/>
        <v>0</v>
      </c>
      <c r="G202" s="117" t="str">
        <f t="shared" si="15"/>
        <v>5th to 17th Floor</v>
      </c>
      <c r="H202" s="118"/>
      <c r="I202" s="37"/>
      <c r="N202" s="37"/>
    </row>
    <row r="203" spans="1:14" s="2" customFormat="1" hidden="1" x14ac:dyDescent="0.25">
      <c r="A203" s="117">
        <v>7</v>
      </c>
      <c r="B203" s="118"/>
      <c r="C203" s="36" t="s">
        <v>205</v>
      </c>
      <c r="D203" s="36"/>
      <c r="E203" s="36">
        <v>0</v>
      </c>
      <c r="F203" s="36">
        <f t="shared" si="14"/>
        <v>0</v>
      </c>
      <c r="G203" s="117" t="str">
        <f t="shared" si="15"/>
        <v>5th to 17th Floor</v>
      </c>
      <c r="H203" s="118"/>
      <c r="I203" s="37"/>
      <c r="N203" s="37"/>
    </row>
    <row r="204" spans="1:14" s="2" customFormat="1" hidden="1" x14ac:dyDescent="0.25">
      <c r="A204" s="117">
        <v>8</v>
      </c>
      <c r="B204" s="118"/>
      <c r="C204" s="36" t="s">
        <v>206</v>
      </c>
      <c r="D204" s="36"/>
      <c r="E204" s="36">
        <v>0</v>
      </c>
      <c r="F204" s="36">
        <f t="shared" si="14"/>
        <v>0</v>
      </c>
      <c r="G204" s="117" t="str">
        <f t="shared" si="15"/>
        <v>5th to 17th Floor</v>
      </c>
      <c r="H204" s="118"/>
      <c r="I204" s="37"/>
      <c r="N204" s="37"/>
    </row>
    <row r="205" spans="1:14" s="2" customFormat="1" hidden="1" x14ac:dyDescent="0.25">
      <c r="A205" s="119" t="s">
        <v>210</v>
      </c>
      <c r="B205" s="120"/>
      <c r="C205" s="120"/>
      <c r="D205" s="120"/>
      <c r="E205" s="120"/>
      <c r="F205" s="120"/>
      <c r="G205" s="120"/>
      <c r="H205" s="121"/>
      <c r="I205" s="37"/>
      <c r="L205" s="123"/>
      <c r="M205" s="123"/>
    </row>
    <row r="206" spans="1:14" s="2" customFormat="1" hidden="1" x14ac:dyDescent="0.25">
      <c r="A206" s="117">
        <v>1</v>
      </c>
      <c r="B206" s="118"/>
      <c r="C206" s="36" t="s">
        <v>205</v>
      </c>
      <c r="D206" s="36"/>
      <c r="E206" s="36">
        <v>0</v>
      </c>
      <c r="F206" s="36">
        <f>D206*(($F$169)+1)+E206</f>
        <v>0</v>
      </c>
      <c r="G206" s="117" t="str">
        <f>A205</f>
        <v>18th Floor (Part Refuge Area)</v>
      </c>
      <c r="H206" s="118"/>
      <c r="I206" s="37"/>
      <c r="N206" s="37"/>
    </row>
    <row r="207" spans="1:14" s="2" customFormat="1" hidden="1" x14ac:dyDescent="0.25">
      <c r="A207" s="117">
        <v>2</v>
      </c>
      <c r="B207" s="118"/>
      <c r="C207" s="36" t="s">
        <v>205</v>
      </c>
      <c r="D207" s="36"/>
      <c r="E207" s="36">
        <v>0</v>
      </c>
      <c r="F207" s="36">
        <f t="shared" ref="F207:F212" si="16">D207*(($F$169)+1)+E207</f>
        <v>0</v>
      </c>
      <c r="G207" s="117" t="str">
        <f t="shared" ref="G207:G213" si="17">G206</f>
        <v>18th Floor (Part Refuge Area)</v>
      </c>
      <c r="H207" s="118"/>
      <c r="I207" s="37"/>
      <c r="N207" s="37"/>
    </row>
    <row r="208" spans="1:14" s="2" customFormat="1" hidden="1" x14ac:dyDescent="0.25">
      <c r="A208" s="117">
        <v>3</v>
      </c>
      <c r="B208" s="118"/>
      <c r="C208" s="36" t="s">
        <v>205</v>
      </c>
      <c r="D208" s="36"/>
      <c r="E208" s="36">
        <v>0</v>
      </c>
      <c r="F208" s="36">
        <f t="shared" si="16"/>
        <v>0</v>
      </c>
      <c r="G208" s="117" t="str">
        <f t="shared" si="17"/>
        <v>18th Floor (Part Refuge Area)</v>
      </c>
      <c r="H208" s="118"/>
      <c r="I208" s="37"/>
      <c r="N208" s="37"/>
    </row>
    <row r="209" spans="1:14" s="2" customFormat="1" hidden="1" x14ac:dyDescent="0.25">
      <c r="A209" s="117">
        <v>4</v>
      </c>
      <c r="B209" s="118"/>
      <c r="C209" s="36" t="s">
        <v>205</v>
      </c>
      <c r="D209" s="36"/>
      <c r="E209" s="36">
        <v>0</v>
      </c>
      <c r="F209" s="36">
        <f t="shared" si="16"/>
        <v>0</v>
      </c>
      <c r="G209" s="117" t="str">
        <f t="shared" si="17"/>
        <v>18th Floor (Part Refuge Area)</v>
      </c>
      <c r="H209" s="118"/>
      <c r="I209" s="37"/>
      <c r="N209" s="37"/>
    </row>
    <row r="210" spans="1:14" s="2" customFormat="1" hidden="1" x14ac:dyDescent="0.25">
      <c r="A210" s="117">
        <v>5</v>
      </c>
      <c r="B210" s="118"/>
      <c r="C210" s="36" t="s">
        <v>206</v>
      </c>
      <c r="D210" s="36"/>
      <c r="E210" s="36">
        <v>0</v>
      </c>
      <c r="F210" s="36">
        <f t="shared" si="16"/>
        <v>0</v>
      </c>
      <c r="G210" s="117" t="str">
        <f t="shared" si="17"/>
        <v>18th Floor (Part Refuge Area)</v>
      </c>
      <c r="H210" s="118"/>
      <c r="I210" s="37"/>
      <c r="N210" s="37"/>
    </row>
    <row r="211" spans="1:14" s="2" customFormat="1" hidden="1" x14ac:dyDescent="0.25">
      <c r="A211" s="117">
        <v>6</v>
      </c>
      <c r="B211" s="118"/>
      <c r="C211" s="36" t="s">
        <v>205</v>
      </c>
      <c r="D211" s="36"/>
      <c r="E211" s="36">
        <v>0</v>
      </c>
      <c r="F211" s="36">
        <f t="shared" si="16"/>
        <v>0</v>
      </c>
      <c r="G211" s="117" t="str">
        <f t="shared" si="17"/>
        <v>18th Floor (Part Refuge Area)</v>
      </c>
      <c r="H211" s="118"/>
      <c r="I211" s="37"/>
      <c r="N211" s="37"/>
    </row>
    <row r="212" spans="1:14" s="2" customFormat="1" hidden="1" x14ac:dyDescent="0.25">
      <c r="A212" s="117">
        <v>7</v>
      </c>
      <c r="B212" s="118"/>
      <c r="C212" s="36" t="s">
        <v>205</v>
      </c>
      <c r="D212" s="36"/>
      <c r="E212" s="36">
        <v>0</v>
      </c>
      <c r="F212" s="36">
        <f t="shared" si="16"/>
        <v>0</v>
      </c>
      <c r="G212" s="117" t="str">
        <f t="shared" si="17"/>
        <v>18th Floor (Part Refuge Area)</v>
      </c>
      <c r="H212" s="118"/>
      <c r="I212" s="37"/>
      <c r="N212" s="37"/>
    </row>
    <row r="213" spans="1:14" s="2" customFormat="1" hidden="1" x14ac:dyDescent="0.25">
      <c r="A213" s="117">
        <v>8</v>
      </c>
      <c r="B213" s="118"/>
      <c r="C213" s="117" t="s">
        <v>209</v>
      </c>
      <c r="D213" s="122"/>
      <c r="E213" s="122"/>
      <c r="F213" s="118"/>
      <c r="G213" s="117" t="str">
        <f t="shared" si="17"/>
        <v>18th Floor (Part Refuge Area)</v>
      </c>
      <c r="H213" s="118"/>
      <c r="I213" s="37"/>
      <c r="N213" s="37"/>
    </row>
    <row r="214" spans="1:14" s="2" customFormat="1" hidden="1" x14ac:dyDescent="0.25">
      <c r="A214" s="119" t="s">
        <v>211</v>
      </c>
      <c r="B214" s="120"/>
      <c r="C214" s="120"/>
      <c r="D214" s="120"/>
      <c r="E214" s="120"/>
      <c r="F214" s="120"/>
      <c r="G214" s="120"/>
      <c r="H214" s="121"/>
      <c r="I214" s="37"/>
      <c r="L214" s="123"/>
      <c r="M214" s="123"/>
    </row>
    <row r="215" spans="1:14" s="2" customFormat="1" hidden="1" x14ac:dyDescent="0.25">
      <c r="A215" s="117">
        <v>1</v>
      </c>
      <c r="B215" s="118"/>
      <c r="C215" s="36" t="s">
        <v>205</v>
      </c>
      <c r="D215" s="36"/>
      <c r="E215" s="36">
        <v>0</v>
      </c>
      <c r="F215" s="36">
        <f>D215*(($F$169)+1)+E215</f>
        <v>0</v>
      </c>
      <c r="G215" s="117" t="str">
        <f>A214</f>
        <v>19th to 21st Floor</v>
      </c>
      <c r="H215" s="118"/>
      <c r="I215" s="37"/>
      <c r="N215" s="37"/>
    </row>
    <row r="216" spans="1:14" s="2" customFormat="1" hidden="1" x14ac:dyDescent="0.25">
      <c r="A216" s="117">
        <v>2</v>
      </c>
      <c r="B216" s="118"/>
      <c r="C216" s="36" t="s">
        <v>205</v>
      </c>
      <c r="D216" s="36"/>
      <c r="E216" s="36">
        <v>0</v>
      </c>
      <c r="F216" s="36">
        <f t="shared" ref="F216:F222" si="18">D216*(($F$169)+1)+E216</f>
        <v>0</v>
      </c>
      <c r="G216" s="117" t="str">
        <f t="shared" ref="G216:G222" si="19">G215</f>
        <v>19th to 21st Floor</v>
      </c>
      <c r="H216" s="118"/>
      <c r="I216" s="37"/>
      <c r="N216" s="37"/>
    </row>
    <row r="217" spans="1:14" s="2" customFormat="1" hidden="1" x14ac:dyDescent="0.25">
      <c r="A217" s="117">
        <v>3</v>
      </c>
      <c r="B217" s="118"/>
      <c r="C217" s="36" t="s">
        <v>205</v>
      </c>
      <c r="D217" s="36"/>
      <c r="E217" s="36">
        <v>0</v>
      </c>
      <c r="F217" s="36">
        <f t="shared" si="18"/>
        <v>0</v>
      </c>
      <c r="G217" s="117" t="str">
        <f t="shared" si="19"/>
        <v>19th to 21st Floor</v>
      </c>
      <c r="H217" s="118"/>
      <c r="I217" s="37"/>
      <c r="N217" s="37"/>
    </row>
    <row r="218" spans="1:14" s="2" customFormat="1" hidden="1" x14ac:dyDescent="0.25">
      <c r="A218" s="117">
        <v>4</v>
      </c>
      <c r="B218" s="118"/>
      <c r="C218" s="36" t="s">
        <v>205</v>
      </c>
      <c r="D218" s="36"/>
      <c r="E218" s="36">
        <v>0</v>
      </c>
      <c r="F218" s="36">
        <f t="shared" si="18"/>
        <v>0</v>
      </c>
      <c r="G218" s="117" t="str">
        <f t="shared" si="19"/>
        <v>19th to 21st Floor</v>
      </c>
      <c r="H218" s="118"/>
      <c r="I218" s="37"/>
      <c r="N218" s="37"/>
    </row>
    <row r="219" spans="1:14" s="2" customFormat="1" hidden="1" x14ac:dyDescent="0.25">
      <c r="A219" s="117">
        <v>5</v>
      </c>
      <c r="B219" s="118"/>
      <c r="C219" s="36" t="s">
        <v>206</v>
      </c>
      <c r="D219" s="36"/>
      <c r="E219" s="36">
        <v>0</v>
      </c>
      <c r="F219" s="36">
        <f t="shared" si="18"/>
        <v>0</v>
      </c>
      <c r="G219" s="117" t="str">
        <f t="shared" si="19"/>
        <v>19th to 21st Floor</v>
      </c>
      <c r="H219" s="118"/>
      <c r="I219" s="37"/>
      <c r="N219" s="37"/>
    </row>
    <row r="220" spans="1:14" s="2" customFormat="1" hidden="1" x14ac:dyDescent="0.25">
      <c r="A220" s="117">
        <v>6</v>
      </c>
      <c r="B220" s="118"/>
      <c r="C220" s="36" t="s">
        <v>205</v>
      </c>
      <c r="D220" s="36"/>
      <c r="E220" s="36">
        <v>0</v>
      </c>
      <c r="F220" s="36">
        <f t="shared" si="18"/>
        <v>0</v>
      </c>
      <c r="G220" s="117" t="str">
        <f t="shared" si="19"/>
        <v>19th to 21st Floor</v>
      </c>
      <c r="H220" s="118"/>
      <c r="I220" s="37"/>
      <c r="N220" s="37"/>
    </row>
    <row r="221" spans="1:14" s="2" customFormat="1" hidden="1" x14ac:dyDescent="0.25">
      <c r="A221" s="117">
        <v>7</v>
      </c>
      <c r="B221" s="118"/>
      <c r="C221" s="36" t="s">
        <v>205</v>
      </c>
      <c r="D221" s="36"/>
      <c r="E221" s="36">
        <v>0</v>
      </c>
      <c r="F221" s="36">
        <f t="shared" si="18"/>
        <v>0</v>
      </c>
      <c r="G221" s="117" t="str">
        <f t="shared" si="19"/>
        <v>19th to 21st Floor</v>
      </c>
      <c r="H221" s="118"/>
      <c r="I221" s="37"/>
      <c r="N221" s="37"/>
    </row>
    <row r="222" spans="1:14" s="2" customFormat="1" hidden="1" x14ac:dyDescent="0.25">
      <c r="A222" s="117">
        <v>8</v>
      </c>
      <c r="B222" s="118"/>
      <c r="C222" s="36" t="s">
        <v>206</v>
      </c>
      <c r="D222" s="36"/>
      <c r="E222" s="36">
        <v>0</v>
      </c>
      <c r="F222" s="36">
        <f t="shared" si="18"/>
        <v>0</v>
      </c>
      <c r="G222" s="117" t="str">
        <f t="shared" si="19"/>
        <v>19th to 21st Floor</v>
      </c>
      <c r="H222" s="118"/>
      <c r="I222" s="37"/>
      <c r="N222" s="37"/>
    </row>
    <row r="223" spans="1:14" s="2" customFormat="1" x14ac:dyDescent="0.25">
      <c r="A223" s="119" t="s">
        <v>227</v>
      </c>
      <c r="B223" s="120"/>
      <c r="C223" s="120"/>
      <c r="D223" s="120"/>
      <c r="E223" s="120"/>
      <c r="F223" s="120"/>
      <c r="G223" s="120"/>
      <c r="H223" s="121"/>
      <c r="I223" s="37"/>
      <c r="L223" s="123"/>
      <c r="M223" s="123"/>
    </row>
    <row r="224" spans="1:14" s="2" customFormat="1" hidden="1" x14ac:dyDescent="0.25">
      <c r="A224" s="117">
        <v>1</v>
      </c>
      <c r="B224" s="118"/>
      <c r="C224" s="36" t="s">
        <v>205</v>
      </c>
      <c r="D224" s="36"/>
      <c r="E224" s="36">
        <v>0</v>
      </c>
      <c r="F224" s="36">
        <f>D224*(($F$169)+1)+E224</f>
        <v>0</v>
      </c>
      <c r="G224" s="117" t="str">
        <f>A223</f>
        <v>18th Floor</v>
      </c>
      <c r="H224" s="118"/>
      <c r="I224" s="37"/>
      <c r="N224" s="37"/>
    </row>
    <row r="225" spans="1:14" s="2" customFormat="1" hidden="1" x14ac:dyDescent="0.25">
      <c r="A225" s="117">
        <v>2</v>
      </c>
      <c r="B225" s="118"/>
      <c r="C225" s="36" t="s">
        <v>205</v>
      </c>
      <c r="D225" s="36"/>
      <c r="E225" s="36">
        <v>0</v>
      </c>
      <c r="F225" s="36">
        <f t="shared" ref="F225:F229" si="20">D225*(($F$169)+1)+E225</f>
        <v>0</v>
      </c>
      <c r="G225" s="117" t="str">
        <f t="shared" ref="G225:G231" si="21">G224</f>
        <v>18th Floor</v>
      </c>
      <c r="H225" s="118"/>
      <c r="I225" s="37"/>
      <c r="N225" s="37"/>
    </row>
    <row r="226" spans="1:14" s="2" customFormat="1" hidden="1" x14ac:dyDescent="0.25">
      <c r="A226" s="117">
        <v>3</v>
      </c>
      <c r="B226" s="118"/>
      <c r="C226" s="36" t="s">
        <v>205</v>
      </c>
      <c r="D226" s="36"/>
      <c r="E226" s="36">
        <v>0</v>
      </c>
      <c r="F226" s="36">
        <f t="shared" si="20"/>
        <v>0</v>
      </c>
      <c r="G226" s="117" t="str">
        <f t="shared" si="21"/>
        <v>18th Floor</v>
      </c>
      <c r="H226" s="118"/>
      <c r="I226" s="37"/>
      <c r="N226" s="37"/>
    </row>
    <row r="227" spans="1:14" s="2" customFormat="1" hidden="1" x14ac:dyDescent="0.25">
      <c r="A227" s="117">
        <v>4</v>
      </c>
      <c r="B227" s="118"/>
      <c r="C227" s="36" t="s">
        <v>205</v>
      </c>
      <c r="D227" s="36"/>
      <c r="E227" s="36">
        <v>0</v>
      </c>
      <c r="F227" s="36">
        <f t="shared" si="20"/>
        <v>0</v>
      </c>
      <c r="G227" s="117" t="str">
        <f t="shared" si="21"/>
        <v>18th Floor</v>
      </c>
      <c r="H227" s="118"/>
      <c r="I227" s="37"/>
      <c r="N227" s="37"/>
    </row>
    <row r="228" spans="1:14" s="2" customFormat="1" hidden="1" x14ac:dyDescent="0.25">
      <c r="A228" s="117">
        <v>5</v>
      </c>
      <c r="B228" s="118"/>
      <c r="C228" s="36" t="s">
        <v>205</v>
      </c>
      <c r="D228" s="36"/>
      <c r="E228" s="36">
        <v>0</v>
      </c>
      <c r="F228" s="36">
        <f t="shared" si="20"/>
        <v>0</v>
      </c>
      <c r="G228" s="117" t="str">
        <f t="shared" si="21"/>
        <v>18th Floor</v>
      </c>
      <c r="H228" s="118"/>
      <c r="I228" s="37"/>
      <c r="N228" s="37"/>
    </row>
    <row r="229" spans="1:14" s="2" customFormat="1" x14ac:dyDescent="0.25">
      <c r="A229" s="117">
        <v>6</v>
      </c>
      <c r="B229" s="118"/>
      <c r="C229" s="36" t="s">
        <v>205</v>
      </c>
      <c r="D229" s="36">
        <f>(59.72+1.84+4.86)*10.764</f>
        <v>714.94488000000001</v>
      </c>
      <c r="E229" s="36">
        <v>0</v>
      </c>
      <c r="F229" s="36">
        <f t="shared" si="20"/>
        <v>1072.41732</v>
      </c>
      <c r="G229" s="117" t="str">
        <f>G226</f>
        <v>18th Floor</v>
      </c>
      <c r="H229" s="118"/>
      <c r="I229" s="60">
        <v>44970</v>
      </c>
      <c r="J229" s="2" t="s">
        <v>228</v>
      </c>
      <c r="L229" s="2">
        <f>12000*F229</f>
        <v>12869007.84</v>
      </c>
      <c r="N229" s="37"/>
    </row>
    <row r="230" spans="1:14" s="2" customFormat="1" hidden="1" x14ac:dyDescent="0.25">
      <c r="A230" s="117">
        <v>7</v>
      </c>
      <c r="B230" s="118"/>
      <c r="C230" s="36" t="s">
        <v>205</v>
      </c>
      <c r="D230" s="36"/>
      <c r="E230" s="36">
        <v>0</v>
      </c>
      <c r="F230" s="36">
        <f t="shared" ref="F230:F231" si="22">D230*(($F$169)+1)+E230</f>
        <v>0</v>
      </c>
      <c r="G230" s="117" t="str">
        <f t="shared" si="21"/>
        <v>18th Floor</v>
      </c>
      <c r="H230" s="118"/>
      <c r="I230" s="37"/>
      <c r="N230" s="37"/>
    </row>
    <row r="231" spans="1:14" s="2" customFormat="1" hidden="1" x14ac:dyDescent="0.25">
      <c r="A231" s="117">
        <v>8</v>
      </c>
      <c r="B231" s="118"/>
      <c r="C231" s="36" t="s">
        <v>205</v>
      </c>
      <c r="D231" s="36"/>
      <c r="E231" s="36">
        <v>0</v>
      </c>
      <c r="F231" s="36">
        <f t="shared" si="22"/>
        <v>0</v>
      </c>
      <c r="G231" s="117" t="str">
        <f t="shared" si="21"/>
        <v>18th Floor</v>
      </c>
      <c r="H231" s="118"/>
      <c r="I231" s="37"/>
      <c r="N231" s="37"/>
    </row>
    <row r="232" spans="1:14" s="2" customFormat="1" x14ac:dyDescent="0.25">
      <c r="A232" s="119" t="s">
        <v>212</v>
      </c>
      <c r="B232" s="120"/>
      <c r="C232" s="120"/>
      <c r="D232" s="120"/>
      <c r="E232" s="120"/>
      <c r="F232" s="120"/>
      <c r="G232" s="120"/>
      <c r="H232" s="121"/>
      <c r="I232" s="37"/>
      <c r="L232" s="123"/>
      <c r="M232" s="123"/>
    </row>
    <row r="233" spans="1:14" s="2" customFormat="1" x14ac:dyDescent="0.25">
      <c r="A233" s="117">
        <v>1</v>
      </c>
      <c r="B233" s="118"/>
      <c r="C233" s="36" t="s">
        <v>205</v>
      </c>
      <c r="D233" s="36">
        <f>(59.72+1.84+5.71)*10.764</f>
        <v>724.09427999999991</v>
      </c>
      <c r="E233" s="36">
        <v>0</v>
      </c>
      <c r="F233" s="36">
        <f>D233*(($F$169)+1)+E233</f>
        <v>1086.1414199999999</v>
      </c>
      <c r="G233" s="117" t="str">
        <f>A232</f>
        <v>22nd Floor</v>
      </c>
      <c r="H233" s="118"/>
      <c r="I233" s="60">
        <v>44900</v>
      </c>
      <c r="N233" s="37"/>
    </row>
    <row r="234" spans="1:14" s="2" customFormat="1" x14ac:dyDescent="0.25">
      <c r="A234" s="119" t="s">
        <v>224</v>
      </c>
      <c r="B234" s="120"/>
      <c r="C234" s="120"/>
      <c r="D234" s="120"/>
      <c r="E234" s="120"/>
      <c r="F234" s="120"/>
      <c r="G234" s="120"/>
      <c r="H234" s="121"/>
      <c r="I234" s="37"/>
      <c r="L234" s="123"/>
      <c r="M234" s="123"/>
    </row>
    <row r="235" spans="1:14" s="2" customFormat="1" x14ac:dyDescent="0.25">
      <c r="A235" s="117">
        <v>4</v>
      </c>
      <c r="B235" s="118"/>
      <c r="C235" s="36" t="s">
        <v>225</v>
      </c>
      <c r="D235" s="36">
        <f>(103.34+3.37+10.35)*10.764</f>
        <v>1260.0338400000001</v>
      </c>
      <c r="E235" s="36">
        <v>0</v>
      </c>
      <c r="F235" s="36">
        <f>D235*(($F$169)+1)+E235</f>
        <v>1890.0507600000001</v>
      </c>
      <c r="G235" s="117" t="str">
        <f>A234</f>
        <v>30th Floor</v>
      </c>
      <c r="H235" s="118"/>
      <c r="I235" s="60">
        <v>44926</v>
      </c>
      <c r="N235" s="37"/>
    </row>
    <row r="236" spans="1:14" s="2" customFormat="1" x14ac:dyDescent="0.25">
      <c r="A236" s="119" t="s">
        <v>233</v>
      </c>
      <c r="B236" s="120"/>
      <c r="C236" s="120"/>
      <c r="D236" s="120"/>
      <c r="E236" s="120"/>
      <c r="F236" s="120"/>
      <c r="G236" s="120"/>
      <c r="H236" s="121"/>
      <c r="I236" s="37"/>
      <c r="L236" s="123"/>
      <c r="M236" s="123"/>
    </row>
    <row r="237" spans="1:14" s="2" customFormat="1" x14ac:dyDescent="0.25">
      <c r="A237" s="208">
        <v>2</v>
      </c>
      <c r="B237" s="209"/>
      <c r="C237" s="61" t="s">
        <v>234</v>
      </c>
      <c r="D237" s="61">
        <f>(122.79+3.69+12.05)*10.764</f>
        <v>1491.1369199999999</v>
      </c>
      <c r="E237" s="61">
        <v>0</v>
      </c>
      <c r="F237" s="61">
        <f>D237*(($F$169)+1)+E237</f>
        <v>2236.7053799999999</v>
      </c>
      <c r="G237" s="208" t="str">
        <f>A236</f>
        <v>34th Floor</v>
      </c>
      <c r="H237" s="209"/>
      <c r="I237" s="60">
        <v>45112</v>
      </c>
      <c r="J237" s="2" t="s">
        <v>235</v>
      </c>
      <c r="N237" s="37"/>
    </row>
    <row r="238" spans="1:14" s="2" customFormat="1" hidden="1" x14ac:dyDescent="0.25">
      <c r="A238" s="117">
        <v>2</v>
      </c>
      <c r="B238" s="118"/>
      <c r="C238" s="36" t="s">
        <v>205</v>
      </c>
      <c r="D238" s="36"/>
      <c r="E238" s="36">
        <v>0</v>
      </c>
      <c r="F238" s="36">
        <f t="shared" ref="F238:F244" si="23">D238*(($F$169)+1)+E238</f>
        <v>0</v>
      </c>
      <c r="G238" s="117" t="str">
        <f t="shared" ref="G238:G244" si="24">G237</f>
        <v>34th Floor</v>
      </c>
      <c r="H238" s="118"/>
      <c r="I238" s="37"/>
      <c r="N238" s="37"/>
    </row>
    <row r="239" spans="1:14" s="2" customFormat="1" hidden="1" x14ac:dyDescent="0.25">
      <c r="A239" s="117">
        <v>3</v>
      </c>
      <c r="B239" s="118"/>
      <c r="C239" s="36" t="s">
        <v>205</v>
      </c>
      <c r="D239" s="36"/>
      <c r="E239" s="36">
        <v>0</v>
      </c>
      <c r="F239" s="36">
        <f t="shared" si="23"/>
        <v>0</v>
      </c>
      <c r="G239" s="117" t="str">
        <f t="shared" si="24"/>
        <v>34th Floor</v>
      </c>
      <c r="H239" s="118"/>
      <c r="I239" s="37"/>
      <c r="N239" s="37"/>
    </row>
    <row r="240" spans="1:14" s="2" customFormat="1" hidden="1" x14ac:dyDescent="0.25">
      <c r="A240" s="117">
        <v>4</v>
      </c>
      <c r="B240" s="118"/>
      <c r="C240" s="36" t="s">
        <v>205</v>
      </c>
      <c r="D240" s="36"/>
      <c r="E240" s="36">
        <v>0</v>
      </c>
      <c r="F240" s="36">
        <f t="shared" si="23"/>
        <v>0</v>
      </c>
      <c r="G240" s="117" t="str">
        <f t="shared" si="24"/>
        <v>34th Floor</v>
      </c>
      <c r="H240" s="118"/>
      <c r="I240" s="37"/>
      <c r="N240" s="37"/>
    </row>
    <row r="241" spans="1:14" s="2" customFormat="1" hidden="1" x14ac:dyDescent="0.25">
      <c r="A241" s="117">
        <v>5</v>
      </c>
      <c r="B241" s="118"/>
      <c r="C241" s="36" t="s">
        <v>206</v>
      </c>
      <c r="D241" s="36"/>
      <c r="E241" s="36">
        <v>0</v>
      </c>
      <c r="F241" s="36">
        <f t="shared" si="23"/>
        <v>0</v>
      </c>
      <c r="G241" s="117" t="str">
        <f t="shared" si="24"/>
        <v>34th Floor</v>
      </c>
      <c r="H241" s="118"/>
      <c r="I241" s="37"/>
      <c r="N241" s="37"/>
    </row>
    <row r="242" spans="1:14" s="2" customFormat="1" hidden="1" x14ac:dyDescent="0.25">
      <c r="A242" s="117">
        <v>6</v>
      </c>
      <c r="B242" s="118"/>
      <c r="C242" s="36" t="s">
        <v>205</v>
      </c>
      <c r="D242" s="36"/>
      <c r="E242" s="36">
        <v>0</v>
      </c>
      <c r="F242" s="36">
        <f t="shared" si="23"/>
        <v>0</v>
      </c>
      <c r="G242" s="117" t="str">
        <f t="shared" si="24"/>
        <v>34th Floor</v>
      </c>
      <c r="H242" s="118"/>
      <c r="I242" s="37"/>
      <c r="N242" s="37"/>
    </row>
    <row r="243" spans="1:14" s="2" customFormat="1" hidden="1" x14ac:dyDescent="0.25">
      <c r="A243" s="117">
        <v>7</v>
      </c>
      <c r="B243" s="118"/>
      <c r="C243" s="36" t="s">
        <v>205</v>
      </c>
      <c r="D243" s="36"/>
      <c r="E243" s="36">
        <v>0</v>
      </c>
      <c r="F243" s="36">
        <f t="shared" si="23"/>
        <v>0</v>
      </c>
      <c r="G243" s="117" t="str">
        <f t="shared" si="24"/>
        <v>34th Floor</v>
      </c>
      <c r="H243" s="118"/>
      <c r="I243" s="37"/>
      <c r="N243" s="37"/>
    </row>
    <row r="244" spans="1:14" s="2" customFormat="1" hidden="1" x14ac:dyDescent="0.25">
      <c r="A244" s="117">
        <v>8</v>
      </c>
      <c r="B244" s="118"/>
      <c r="C244" s="36" t="s">
        <v>206</v>
      </c>
      <c r="D244" s="36"/>
      <c r="E244" s="36">
        <v>0</v>
      </c>
      <c r="F244" s="36">
        <f t="shared" si="23"/>
        <v>0</v>
      </c>
      <c r="G244" s="117" t="str">
        <f t="shared" si="24"/>
        <v>34th Floor</v>
      </c>
      <c r="H244" s="118"/>
      <c r="I244" s="37"/>
      <c r="N244" s="37"/>
    </row>
    <row r="245" spans="1:14" s="2" customFormat="1" hidden="1" x14ac:dyDescent="0.25">
      <c r="A245" s="119" t="s">
        <v>213</v>
      </c>
      <c r="B245" s="120"/>
      <c r="C245" s="120"/>
      <c r="D245" s="120"/>
      <c r="E245" s="120"/>
      <c r="F245" s="120"/>
      <c r="G245" s="120"/>
      <c r="H245" s="121"/>
      <c r="I245" s="37"/>
      <c r="L245" s="123"/>
      <c r="M245" s="123"/>
    </row>
    <row r="246" spans="1:14" s="2" customFormat="1" hidden="1" x14ac:dyDescent="0.25">
      <c r="A246" s="117">
        <v>1</v>
      </c>
      <c r="B246" s="118"/>
      <c r="C246" s="36" t="s">
        <v>205</v>
      </c>
      <c r="D246" s="36"/>
      <c r="E246" s="36">
        <v>0</v>
      </c>
      <c r="F246" s="36">
        <f>D246*(($F$169)+1)+E246</f>
        <v>0</v>
      </c>
      <c r="G246" s="117" t="str">
        <f>A245</f>
        <v>28th Floor (Part Refuge Area)</v>
      </c>
      <c r="H246" s="118"/>
      <c r="I246" s="37"/>
      <c r="N246" s="37"/>
    </row>
    <row r="247" spans="1:14" s="2" customFormat="1" hidden="1" x14ac:dyDescent="0.25">
      <c r="A247" s="117">
        <v>2</v>
      </c>
      <c r="B247" s="118"/>
      <c r="C247" s="36" t="s">
        <v>205</v>
      </c>
      <c r="D247" s="36"/>
      <c r="E247" s="36">
        <v>0</v>
      </c>
      <c r="F247" s="36">
        <f t="shared" ref="F247:F252" si="25">D247*(($F$169)+1)+E247</f>
        <v>0</v>
      </c>
      <c r="G247" s="117" t="str">
        <f t="shared" ref="G247:G253" si="26">G246</f>
        <v>28th Floor (Part Refuge Area)</v>
      </c>
      <c r="H247" s="118"/>
      <c r="I247" s="37"/>
      <c r="N247" s="37"/>
    </row>
    <row r="248" spans="1:14" s="2" customFormat="1" hidden="1" x14ac:dyDescent="0.25">
      <c r="A248" s="117">
        <v>3</v>
      </c>
      <c r="B248" s="118"/>
      <c r="C248" s="36" t="s">
        <v>205</v>
      </c>
      <c r="D248" s="36"/>
      <c r="E248" s="36">
        <v>0</v>
      </c>
      <c r="F248" s="36">
        <f t="shared" si="25"/>
        <v>0</v>
      </c>
      <c r="G248" s="117" t="str">
        <f t="shared" si="26"/>
        <v>28th Floor (Part Refuge Area)</v>
      </c>
      <c r="H248" s="118"/>
      <c r="I248" s="37"/>
      <c r="N248" s="37"/>
    </row>
    <row r="249" spans="1:14" s="2" customFormat="1" hidden="1" x14ac:dyDescent="0.25">
      <c r="A249" s="117">
        <v>4</v>
      </c>
      <c r="B249" s="118"/>
      <c r="C249" s="36" t="s">
        <v>205</v>
      </c>
      <c r="D249" s="36"/>
      <c r="E249" s="36">
        <v>0</v>
      </c>
      <c r="F249" s="36">
        <f t="shared" si="25"/>
        <v>0</v>
      </c>
      <c r="G249" s="117" t="str">
        <f t="shared" si="26"/>
        <v>28th Floor (Part Refuge Area)</v>
      </c>
      <c r="H249" s="118"/>
      <c r="I249" s="37"/>
      <c r="N249" s="37"/>
    </row>
    <row r="250" spans="1:14" s="2" customFormat="1" hidden="1" x14ac:dyDescent="0.25">
      <c r="A250" s="117">
        <v>5</v>
      </c>
      <c r="B250" s="118"/>
      <c r="C250" s="36" t="s">
        <v>206</v>
      </c>
      <c r="D250" s="36"/>
      <c r="E250" s="36">
        <v>0</v>
      </c>
      <c r="F250" s="36">
        <f t="shared" si="25"/>
        <v>0</v>
      </c>
      <c r="G250" s="117" t="str">
        <f t="shared" si="26"/>
        <v>28th Floor (Part Refuge Area)</v>
      </c>
      <c r="H250" s="118"/>
      <c r="I250" s="37"/>
      <c r="N250" s="37"/>
    </row>
    <row r="251" spans="1:14" s="2" customFormat="1" hidden="1" x14ac:dyDescent="0.25">
      <c r="A251" s="117">
        <v>6</v>
      </c>
      <c r="B251" s="118"/>
      <c r="C251" s="36" t="s">
        <v>205</v>
      </c>
      <c r="D251" s="36"/>
      <c r="E251" s="36">
        <v>0</v>
      </c>
      <c r="F251" s="36">
        <f t="shared" si="25"/>
        <v>0</v>
      </c>
      <c r="G251" s="117" t="str">
        <f t="shared" si="26"/>
        <v>28th Floor (Part Refuge Area)</v>
      </c>
      <c r="H251" s="118"/>
      <c r="I251" s="37"/>
      <c r="N251" s="37"/>
    </row>
    <row r="252" spans="1:14" s="2" customFormat="1" hidden="1" x14ac:dyDescent="0.25">
      <c r="A252" s="117">
        <v>7</v>
      </c>
      <c r="B252" s="118"/>
      <c r="C252" s="36" t="s">
        <v>205</v>
      </c>
      <c r="D252" s="36"/>
      <c r="E252" s="36">
        <v>0</v>
      </c>
      <c r="F252" s="36">
        <f t="shared" si="25"/>
        <v>0</v>
      </c>
      <c r="G252" s="117" t="str">
        <f t="shared" si="26"/>
        <v>28th Floor (Part Refuge Area)</v>
      </c>
      <c r="H252" s="118"/>
      <c r="I252" s="37"/>
      <c r="N252" s="37"/>
    </row>
    <row r="253" spans="1:14" s="2" customFormat="1" hidden="1" x14ac:dyDescent="0.25">
      <c r="A253" s="117">
        <v>8</v>
      </c>
      <c r="B253" s="118"/>
      <c r="C253" s="117" t="s">
        <v>209</v>
      </c>
      <c r="D253" s="122"/>
      <c r="E253" s="122"/>
      <c r="F253" s="118"/>
      <c r="G253" s="117" t="str">
        <f t="shared" si="26"/>
        <v>28th Floor (Part Refuge Area)</v>
      </c>
      <c r="H253" s="118"/>
      <c r="I253" s="37"/>
      <c r="N253" s="37"/>
    </row>
    <row r="254" spans="1:14" s="2" customFormat="1" hidden="1" x14ac:dyDescent="0.25">
      <c r="A254" s="127" t="s">
        <v>214</v>
      </c>
      <c r="B254" s="128"/>
      <c r="C254" s="128"/>
      <c r="D254" s="128"/>
      <c r="E254" s="128"/>
      <c r="F254" s="128"/>
      <c r="G254" s="128"/>
      <c r="H254" s="129"/>
      <c r="I254" s="37"/>
      <c r="L254" s="123"/>
      <c r="M254" s="123"/>
    </row>
    <row r="255" spans="1:14" s="2" customFormat="1" hidden="1" x14ac:dyDescent="0.25">
      <c r="A255" s="124">
        <v>1</v>
      </c>
      <c r="B255" s="125"/>
      <c r="C255" s="50" t="s">
        <v>205</v>
      </c>
      <c r="D255" s="50"/>
      <c r="E255" s="50">
        <v>0</v>
      </c>
      <c r="F255" s="50">
        <f>D255*(($F$169)+1)+E255</f>
        <v>0</v>
      </c>
      <c r="G255" s="124" t="str">
        <f>A254</f>
        <v>29th Floor (Part Refuge Area)</v>
      </c>
      <c r="H255" s="125"/>
      <c r="I255" s="37"/>
      <c r="N255" s="37"/>
    </row>
    <row r="256" spans="1:14" s="2" customFormat="1" hidden="1" x14ac:dyDescent="0.25">
      <c r="A256" s="124">
        <v>2</v>
      </c>
      <c r="B256" s="125"/>
      <c r="C256" s="50" t="s">
        <v>205</v>
      </c>
      <c r="D256" s="50"/>
      <c r="E256" s="50">
        <v>0</v>
      </c>
      <c r="F256" s="50">
        <f t="shared" ref="F256:F261" si="27">D256*(($F$169)+1)+E256</f>
        <v>0</v>
      </c>
      <c r="G256" s="124" t="str">
        <f t="shared" ref="G256:G262" si="28">G255</f>
        <v>29th Floor (Part Refuge Area)</v>
      </c>
      <c r="H256" s="125"/>
      <c r="I256" s="37"/>
      <c r="N256" s="37"/>
    </row>
    <row r="257" spans="1:14" s="2" customFormat="1" hidden="1" x14ac:dyDescent="0.25">
      <c r="A257" s="124">
        <v>3</v>
      </c>
      <c r="B257" s="125"/>
      <c r="C257" s="50" t="s">
        <v>205</v>
      </c>
      <c r="D257" s="50"/>
      <c r="E257" s="50">
        <v>0</v>
      </c>
      <c r="F257" s="50">
        <f t="shared" si="27"/>
        <v>0</v>
      </c>
      <c r="G257" s="124" t="str">
        <f t="shared" si="28"/>
        <v>29th Floor (Part Refuge Area)</v>
      </c>
      <c r="H257" s="125"/>
      <c r="I257" s="37"/>
      <c r="N257" s="37"/>
    </row>
    <row r="258" spans="1:14" s="2" customFormat="1" hidden="1" x14ac:dyDescent="0.25">
      <c r="A258" s="124">
        <v>4</v>
      </c>
      <c r="B258" s="125"/>
      <c r="C258" s="50" t="s">
        <v>205</v>
      </c>
      <c r="D258" s="50"/>
      <c r="E258" s="50">
        <v>0</v>
      </c>
      <c r="F258" s="50">
        <f t="shared" si="27"/>
        <v>0</v>
      </c>
      <c r="G258" s="124" t="str">
        <f t="shared" si="28"/>
        <v>29th Floor (Part Refuge Area)</v>
      </c>
      <c r="H258" s="125"/>
      <c r="I258" s="37"/>
      <c r="N258" s="37"/>
    </row>
    <row r="259" spans="1:14" s="2" customFormat="1" hidden="1" x14ac:dyDescent="0.25">
      <c r="A259" s="124">
        <v>5</v>
      </c>
      <c r="B259" s="125"/>
      <c r="C259" s="50" t="s">
        <v>206</v>
      </c>
      <c r="D259" s="50"/>
      <c r="E259" s="50">
        <v>0</v>
      </c>
      <c r="F259" s="50">
        <f t="shared" si="27"/>
        <v>0</v>
      </c>
      <c r="G259" s="124" t="str">
        <f t="shared" si="28"/>
        <v>29th Floor (Part Refuge Area)</v>
      </c>
      <c r="H259" s="125"/>
      <c r="I259" s="37"/>
      <c r="N259" s="37"/>
    </row>
    <row r="260" spans="1:14" s="2" customFormat="1" hidden="1" x14ac:dyDescent="0.25">
      <c r="A260" s="124">
        <v>6</v>
      </c>
      <c r="B260" s="125"/>
      <c r="C260" s="50" t="s">
        <v>205</v>
      </c>
      <c r="D260" s="50"/>
      <c r="E260" s="50">
        <v>0</v>
      </c>
      <c r="F260" s="50">
        <f t="shared" si="27"/>
        <v>0</v>
      </c>
      <c r="G260" s="124" t="str">
        <f t="shared" si="28"/>
        <v>29th Floor (Part Refuge Area)</v>
      </c>
      <c r="H260" s="125"/>
      <c r="I260" s="37"/>
      <c r="N260" s="37"/>
    </row>
    <row r="261" spans="1:14" s="2" customFormat="1" hidden="1" x14ac:dyDescent="0.25">
      <c r="A261" s="124">
        <v>7</v>
      </c>
      <c r="B261" s="125"/>
      <c r="C261" s="50" t="s">
        <v>205</v>
      </c>
      <c r="D261" s="50"/>
      <c r="E261" s="50">
        <v>0</v>
      </c>
      <c r="F261" s="50">
        <f t="shared" si="27"/>
        <v>0</v>
      </c>
      <c r="G261" s="124" t="str">
        <f t="shared" si="28"/>
        <v>29th Floor (Part Refuge Area)</v>
      </c>
      <c r="H261" s="125"/>
      <c r="I261" s="37"/>
      <c r="N261" s="37"/>
    </row>
    <row r="262" spans="1:14" s="2" customFormat="1" hidden="1" x14ac:dyDescent="0.25">
      <c r="A262" s="124">
        <v>8</v>
      </c>
      <c r="B262" s="125"/>
      <c r="C262" s="124" t="s">
        <v>209</v>
      </c>
      <c r="D262" s="126"/>
      <c r="E262" s="126"/>
      <c r="F262" s="125"/>
      <c r="G262" s="124" t="str">
        <f t="shared" si="28"/>
        <v>29th Floor (Part Refuge Area)</v>
      </c>
      <c r="H262" s="125"/>
      <c r="I262" s="37"/>
      <c r="N262" s="37"/>
    </row>
    <row r="263" spans="1:14" s="2" customFormat="1" hidden="1" x14ac:dyDescent="0.25">
      <c r="A263" s="119" t="s">
        <v>215</v>
      </c>
      <c r="B263" s="120"/>
      <c r="C263" s="120"/>
      <c r="D263" s="120"/>
      <c r="E263" s="120"/>
      <c r="F263" s="120"/>
      <c r="G263" s="120"/>
      <c r="H263" s="121"/>
      <c r="I263" s="37"/>
      <c r="L263" s="123"/>
      <c r="M263" s="123"/>
    </row>
    <row r="264" spans="1:14" s="2" customFormat="1" hidden="1" x14ac:dyDescent="0.25">
      <c r="A264" s="117">
        <v>1</v>
      </c>
      <c r="B264" s="118"/>
      <c r="C264" s="36" t="s">
        <v>216</v>
      </c>
      <c r="D264" s="36"/>
      <c r="E264" s="36">
        <v>0</v>
      </c>
      <c r="F264" s="36">
        <f>D264*(($F$169)+1)+E264</f>
        <v>0</v>
      </c>
      <c r="G264" s="117" t="str">
        <f>A263</f>
        <v>30th to 37th Floor</v>
      </c>
      <c r="H264" s="118"/>
      <c r="I264" s="37"/>
      <c r="N264" s="37"/>
    </row>
    <row r="265" spans="1:14" s="2" customFormat="1" hidden="1" x14ac:dyDescent="0.25">
      <c r="A265" s="117">
        <v>2</v>
      </c>
      <c r="B265" s="118"/>
      <c r="C265" s="36" t="s">
        <v>216</v>
      </c>
      <c r="D265" s="36"/>
      <c r="E265" s="36">
        <v>0</v>
      </c>
      <c r="F265" s="36">
        <f t="shared" ref="F265:F267" si="29">D265*(($F$169)+1)+E265</f>
        <v>0</v>
      </c>
      <c r="G265" s="117" t="str">
        <f t="shared" ref="G265:G267" si="30">G264</f>
        <v>30th to 37th Floor</v>
      </c>
      <c r="H265" s="118"/>
      <c r="I265" s="37"/>
      <c r="N265" s="37"/>
    </row>
    <row r="266" spans="1:14" s="2" customFormat="1" hidden="1" x14ac:dyDescent="0.25">
      <c r="A266" s="117">
        <v>3</v>
      </c>
      <c r="B266" s="118"/>
      <c r="C266" s="36" t="s">
        <v>147</v>
      </c>
      <c r="D266" s="36"/>
      <c r="E266" s="36">
        <v>0</v>
      </c>
      <c r="F266" s="36">
        <f t="shared" si="29"/>
        <v>0</v>
      </c>
      <c r="G266" s="117" t="str">
        <f t="shared" si="30"/>
        <v>30th to 37th Floor</v>
      </c>
      <c r="H266" s="118"/>
      <c r="I266" s="37"/>
      <c r="N266" s="37"/>
    </row>
    <row r="267" spans="1:14" s="2" customFormat="1" hidden="1" x14ac:dyDescent="0.25">
      <c r="A267" s="117">
        <v>4</v>
      </c>
      <c r="B267" s="118"/>
      <c r="C267" s="36" t="s">
        <v>147</v>
      </c>
      <c r="D267" s="36"/>
      <c r="E267" s="36">
        <v>0</v>
      </c>
      <c r="F267" s="36">
        <f t="shared" si="29"/>
        <v>0</v>
      </c>
      <c r="G267" s="117" t="str">
        <f t="shared" si="30"/>
        <v>30th to 37th Floor</v>
      </c>
      <c r="H267" s="118"/>
      <c r="I267" s="37"/>
      <c r="N267" s="37"/>
    </row>
    <row r="268" spans="1:14" s="2" customFormat="1" hidden="1" x14ac:dyDescent="0.25">
      <c r="A268" s="119" t="s">
        <v>218</v>
      </c>
      <c r="B268" s="120"/>
      <c r="C268" s="120"/>
      <c r="D268" s="120"/>
      <c r="E268" s="120"/>
      <c r="F268" s="120"/>
      <c r="G268" s="120"/>
      <c r="H268" s="121"/>
      <c r="I268" s="37"/>
      <c r="L268" s="123"/>
      <c r="M268" s="123"/>
    </row>
    <row r="269" spans="1:14" s="2" customFormat="1" hidden="1" x14ac:dyDescent="0.25">
      <c r="A269" s="117">
        <v>1</v>
      </c>
      <c r="B269" s="118"/>
      <c r="C269" s="36" t="s">
        <v>216</v>
      </c>
      <c r="D269" s="36"/>
      <c r="E269" s="36">
        <v>0</v>
      </c>
      <c r="F269" s="36">
        <f>D269*(($F$169)+1)+E269</f>
        <v>0</v>
      </c>
      <c r="G269" s="117" t="str">
        <f>A268</f>
        <v>38th Floor (Part Refuge Area)</v>
      </c>
      <c r="H269" s="118"/>
      <c r="I269" s="37"/>
      <c r="N269" s="37"/>
    </row>
    <row r="270" spans="1:14" s="2" customFormat="1" hidden="1" x14ac:dyDescent="0.25">
      <c r="A270" s="117">
        <v>2</v>
      </c>
      <c r="B270" s="118"/>
      <c r="C270" s="36" t="s">
        <v>216</v>
      </c>
      <c r="D270" s="36"/>
      <c r="E270" s="36">
        <v>0</v>
      </c>
      <c r="F270" s="36">
        <f t="shared" ref="F270:F272" si="31">D270*(($F$169)+1)+E270</f>
        <v>0</v>
      </c>
      <c r="G270" s="117" t="str">
        <f t="shared" ref="G270:G273" si="32">G269</f>
        <v>38th Floor (Part Refuge Area)</v>
      </c>
      <c r="H270" s="118"/>
      <c r="I270" s="37"/>
      <c r="N270" s="37"/>
    </row>
    <row r="271" spans="1:14" s="2" customFormat="1" hidden="1" x14ac:dyDescent="0.25">
      <c r="A271" s="117">
        <v>3</v>
      </c>
      <c r="B271" s="118"/>
      <c r="C271" s="36" t="s">
        <v>147</v>
      </c>
      <c r="D271" s="36"/>
      <c r="E271" s="36">
        <v>0</v>
      </c>
      <c r="F271" s="36">
        <f t="shared" si="31"/>
        <v>0</v>
      </c>
      <c r="G271" s="117" t="str">
        <f t="shared" si="32"/>
        <v>38th Floor (Part Refuge Area)</v>
      </c>
      <c r="H271" s="118"/>
      <c r="I271" s="37"/>
      <c r="N271" s="37"/>
    </row>
    <row r="272" spans="1:14" s="2" customFormat="1" hidden="1" x14ac:dyDescent="0.25">
      <c r="A272" s="117">
        <v>4</v>
      </c>
      <c r="B272" s="118"/>
      <c r="C272" s="36" t="s">
        <v>205</v>
      </c>
      <c r="D272" s="36"/>
      <c r="E272" s="36">
        <v>0</v>
      </c>
      <c r="F272" s="36">
        <f t="shared" si="31"/>
        <v>0</v>
      </c>
      <c r="G272" s="117" t="str">
        <f t="shared" si="32"/>
        <v>38th Floor (Part Refuge Area)</v>
      </c>
      <c r="H272" s="118"/>
      <c r="I272" s="37"/>
      <c r="N272" s="37"/>
    </row>
    <row r="273" spans="1:14" s="2" customFormat="1" hidden="1" x14ac:dyDescent="0.25">
      <c r="A273" s="117">
        <v>5</v>
      </c>
      <c r="B273" s="118"/>
      <c r="C273" s="117" t="s">
        <v>209</v>
      </c>
      <c r="D273" s="122"/>
      <c r="E273" s="122"/>
      <c r="F273" s="118"/>
      <c r="G273" s="117" t="str">
        <f t="shared" si="32"/>
        <v>38th Floor (Part Refuge Area)</v>
      </c>
      <c r="H273" s="118"/>
      <c r="I273" s="37"/>
      <c r="N273" s="37"/>
    </row>
    <row r="274" spans="1:14" s="2" customFormat="1" hidden="1" x14ac:dyDescent="0.25">
      <c r="A274" s="119" t="s">
        <v>217</v>
      </c>
      <c r="B274" s="120"/>
      <c r="C274" s="120"/>
      <c r="D274" s="120"/>
      <c r="E274" s="120"/>
      <c r="F274" s="120"/>
      <c r="G274" s="120"/>
      <c r="H274" s="121"/>
      <c r="I274" s="37"/>
      <c r="L274" s="123"/>
      <c r="M274" s="123"/>
    </row>
    <row r="275" spans="1:14" s="2" customFormat="1" hidden="1" x14ac:dyDescent="0.25">
      <c r="A275" s="117">
        <v>1</v>
      </c>
      <c r="B275" s="118"/>
      <c r="C275" s="36" t="s">
        <v>216</v>
      </c>
      <c r="D275" s="36"/>
      <c r="E275" s="36">
        <v>0</v>
      </c>
      <c r="F275" s="36">
        <f>D275*(($F$169)+1)+E275</f>
        <v>0</v>
      </c>
      <c r="G275" s="117" t="str">
        <f>A274</f>
        <v>39th Floor</v>
      </c>
      <c r="H275" s="118"/>
      <c r="I275" s="37"/>
      <c r="N275" s="37"/>
    </row>
    <row r="276" spans="1:14" s="2" customFormat="1" hidden="1" x14ac:dyDescent="0.25">
      <c r="A276" s="117">
        <v>2</v>
      </c>
      <c r="B276" s="118"/>
      <c r="C276" s="36" t="s">
        <v>216</v>
      </c>
      <c r="D276" s="36"/>
      <c r="E276" s="36">
        <v>0</v>
      </c>
      <c r="F276" s="36">
        <f t="shared" ref="F276:F278" si="33">D276*(($F$169)+1)+E276</f>
        <v>0</v>
      </c>
      <c r="G276" s="117" t="str">
        <f t="shared" ref="G276:G278" si="34">G275</f>
        <v>39th Floor</v>
      </c>
      <c r="H276" s="118"/>
      <c r="I276" s="37"/>
      <c r="N276" s="37"/>
    </row>
    <row r="277" spans="1:14" s="2" customFormat="1" hidden="1" x14ac:dyDescent="0.25">
      <c r="A277" s="117">
        <v>3</v>
      </c>
      <c r="B277" s="118"/>
      <c r="C277" s="36" t="s">
        <v>147</v>
      </c>
      <c r="D277" s="36"/>
      <c r="E277" s="36">
        <v>0</v>
      </c>
      <c r="F277" s="36">
        <f t="shared" si="33"/>
        <v>0</v>
      </c>
      <c r="G277" s="117" t="str">
        <f t="shared" si="34"/>
        <v>39th Floor</v>
      </c>
      <c r="H277" s="118"/>
      <c r="I277" s="37"/>
      <c r="N277" s="37"/>
    </row>
    <row r="278" spans="1:14" s="2" customFormat="1" hidden="1" x14ac:dyDescent="0.25">
      <c r="A278" s="117">
        <v>4</v>
      </c>
      <c r="B278" s="118"/>
      <c r="C278" s="36" t="s">
        <v>147</v>
      </c>
      <c r="D278" s="36"/>
      <c r="E278" s="36">
        <v>0</v>
      </c>
      <c r="F278" s="36">
        <f t="shared" si="33"/>
        <v>0</v>
      </c>
      <c r="G278" s="117" t="str">
        <f t="shared" si="34"/>
        <v>39th Floor</v>
      </c>
      <c r="H278" s="118"/>
      <c r="I278" s="37"/>
      <c r="N278" s="37"/>
    </row>
    <row r="279" spans="1:14" s="2" customFormat="1" x14ac:dyDescent="0.25">
      <c r="A279" s="201" t="s">
        <v>204</v>
      </c>
      <c r="B279" s="201"/>
      <c r="C279" s="201"/>
      <c r="D279" s="201"/>
      <c r="E279" s="201"/>
      <c r="F279" s="201"/>
      <c r="G279" s="201"/>
      <c r="H279" s="201"/>
      <c r="I279" s="37"/>
      <c r="L279" s="123"/>
      <c r="M279" s="123"/>
    </row>
    <row r="280" spans="1:14" s="2" customFormat="1" x14ac:dyDescent="0.25">
      <c r="A280" s="200" t="s">
        <v>202</v>
      </c>
      <c r="B280" s="200"/>
      <c r="C280" s="200"/>
      <c r="D280" s="200"/>
      <c r="E280" s="200"/>
      <c r="F280" s="200"/>
      <c r="G280" s="200"/>
      <c r="H280" s="200"/>
      <c r="I280" s="37"/>
      <c r="L280" s="123"/>
      <c r="M280" s="123"/>
    </row>
    <row r="281" spans="1:14" s="2" customFormat="1" x14ac:dyDescent="0.25">
      <c r="A281" s="200" t="s">
        <v>203</v>
      </c>
      <c r="B281" s="200"/>
      <c r="C281" s="200"/>
      <c r="D281" s="200"/>
      <c r="E281" s="200"/>
      <c r="F281" s="200"/>
      <c r="G281" s="200"/>
      <c r="H281" s="200"/>
      <c r="I281" s="37"/>
      <c r="L281" s="123"/>
      <c r="M281" s="123"/>
    </row>
    <row r="282" spans="1:14" s="2" customFormat="1" x14ac:dyDescent="0.25">
      <c r="A282" s="119" t="s">
        <v>258</v>
      </c>
      <c r="B282" s="120"/>
      <c r="C282" s="120"/>
      <c r="D282" s="120"/>
      <c r="E282" s="120"/>
      <c r="F282" s="120"/>
      <c r="G282" s="120"/>
      <c r="H282" s="121"/>
      <c r="I282" s="37"/>
      <c r="L282" s="123"/>
      <c r="M282" s="123"/>
    </row>
    <row r="283" spans="1:14" s="2" customFormat="1" ht="15.75" customHeight="1" x14ac:dyDescent="0.25">
      <c r="A283" s="117">
        <v>1</v>
      </c>
      <c r="B283" s="118"/>
      <c r="C283" s="36" t="s">
        <v>206</v>
      </c>
      <c r="D283" s="36">
        <f>(4.88*3.0481+2.16*2.1504+1*1.1+3.04*3.5056+1.3196*1.989+1.32*1.22+1.31*0.9+2.91*1.75+1.32*1.22)*10.764</f>
        <v>467.08871470560001</v>
      </c>
      <c r="E283" s="36">
        <v>0</v>
      </c>
      <c r="F283" s="36">
        <f>D283*(($F$169)+1)+E283</f>
        <v>700.63307205839999</v>
      </c>
      <c r="G283" s="202" t="str">
        <f>A282</f>
        <v>3rd &amp; 4th Floor</v>
      </c>
      <c r="H283" s="203"/>
      <c r="I283" s="37"/>
      <c r="N283" s="37"/>
    </row>
    <row r="284" spans="1:14" s="2" customFormat="1" ht="15.75" customHeight="1" x14ac:dyDescent="0.25">
      <c r="A284" s="117">
        <f>A283+1</f>
        <v>2</v>
      </c>
      <c r="B284" s="118"/>
      <c r="C284" s="36" t="s">
        <v>205</v>
      </c>
      <c r="D284" s="36">
        <f>(1.2*1+3.0479*4.88+3*1.2+2.7502*1.618+3.048*3.5064+3.048*3.8096+2.18*1.22+1.2193*1.681+2.18*1.5+2*0.9+1.21*0.4+1.75*2.87)*10.764</f>
        <v>664.23015299159999</v>
      </c>
      <c r="E284" s="36">
        <v>0</v>
      </c>
      <c r="F284" s="36">
        <f t="shared" ref="F284:F285" si="35">D284*(($F$169)+1)+E284</f>
        <v>996.34522948740005</v>
      </c>
      <c r="G284" s="204"/>
      <c r="H284" s="205"/>
      <c r="I284" s="37"/>
      <c r="N284" s="37"/>
    </row>
    <row r="285" spans="1:14" s="2" customFormat="1" ht="15.75" customHeight="1" x14ac:dyDescent="0.25">
      <c r="A285" s="117">
        <f t="shared" ref="A285:A289" si="36">A284+1</f>
        <v>3</v>
      </c>
      <c r="B285" s="118"/>
      <c r="C285" s="36" t="s">
        <v>205</v>
      </c>
      <c r="D285" s="36">
        <f>(1.2*1+3.0479*4.88+3*1.2+2.7502*1.618+3.048*3.5064+3.048*3.8096+2.18*1.22+1.2193*1.681+2.18*1.5+2*0.9+1.21*0.4+1.75*2.87)*10.764</f>
        <v>664.23015299159999</v>
      </c>
      <c r="E285" s="36">
        <v>0</v>
      </c>
      <c r="F285" s="36">
        <f t="shared" si="35"/>
        <v>996.34522948740005</v>
      </c>
      <c r="G285" s="204"/>
      <c r="H285" s="205"/>
      <c r="I285" s="37"/>
      <c r="N285" s="37"/>
    </row>
    <row r="286" spans="1:14" s="2" customFormat="1" ht="15.75" customHeight="1" x14ac:dyDescent="0.25">
      <c r="A286" s="117">
        <f t="shared" si="36"/>
        <v>4</v>
      </c>
      <c r="B286" s="118"/>
      <c r="C286" s="36" t="s">
        <v>206</v>
      </c>
      <c r="D286" s="36">
        <f>(4.88*3.0481+2.16*2.1504+1*1.1+3.04*3.5056+1.3196*1.989+1.32*1.22+1.31*0.9+2.91*1.75+1.32*1.22)*10.764</f>
        <v>467.08871470560001</v>
      </c>
      <c r="E286" s="36">
        <v>0</v>
      </c>
      <c r="F286" s="36">
        <f>D286*(($F$169)+1)+E286</f>
        <v>700.63307205839999</v>
      </c>
      <c r="G286" s="204"/>
      <c r="H286" s="205"/>
      <c r="I286" s="60"/>
      <c r="N286" s="37"/>
    </row>
    <row r="287" spans="1:14" s="2" customFormat="1" ht="15.75" customHeight="1" x14ac:dyDescent="0.25">
      <c r="A287" s="117">
        <f t="shared" si="36"/>
        <v>5</v>
      </c>
      <c r="B287" s="118"/>
      <c r="C287" s="36" t="s">
        <v>206</v>
      </c>
      <c r="D287" s="36">
        <f>(4.88*3.0481+2.16*2.1504+1*1.1+3.04*3.5056+1.3196*1.989+1.32*1.22+1.31*0.9+2.91*1.75+1.32*1.22)*10.764</f>
        <v>467.08871470560001</v>
      </c>
      <c r="E287" s="36">
        <v>0</v>
      </c>
      <c r="F287" s="36">
        <f>D287*(($F$169)+1)+E287</f>
        <v>700.63307205839999</v>
      </c>
      <c r="G287" s="204"/>
      <c r="H287" s="205"/>
      <c r="I287" s="60"/>
      <c r="N287" s="37"/>
    </row>
    <row r="288" spans="1:14" s="2" customFormat="1" ht="15.75" customHeight="1" x14ac:dyDescent="0.25">
      <c r="A288" s="117">
        <f t="shared" si="36"/>
        <v>6</v>
      </c>
      <c r="B288" s="118"/>
      <c r="C288" s="36" t="s">
        <v>205</v>
      </c>
      <c r="D288" s="36">
        <f>(1.2*1+3.0479*4.88+3*1.2+2.7502*1.618+3.048*3.5064+3.048*3.8096+2.18*1.22+1.2193*1.681+2.18*1.5+2*0.9+1.21*0.4+1.75*2.87)*10.764</f>
        <v>664.23015299159999</v>
      </c>
      <c r="E288" s="36">
        <v>0</v>
      </c>
      <c r="F288" s="36">
        <f>D288*(($F$169)+1)+E288</f>
        <v>996.34522948740005</v>
      </c>
      <c r="G288" s="204"/>
      <c r="H288" s="205"/>
      <c r="I288" s="60"/>
      <c r="N288" s="37"/>
    </row>
    <row r="289" spans="1:14" s="2" customFormat="1" ht="15.75" customHeight="1" x14ac:dyDescent="0.25">
      <c r="A289" s="117">
        <f t="shared" si="36"/>
        <v>7</v>
      </c>
      <c r="B289" s="118"/>
      <c r="C289" s="36" t="s">
        <v>205</v>
      </c>
      <c r="D289" s="36">
        <f>(1.2*1+3.0479*4.88+3*1.2+2.7502*1.618+3.048*3.5064+3.048*3.8096+2.18*1.22+1.2193*1.681+2.18*1.5+2*0.9+1.21*0.4+1.75*2.87)*10.764</f>
        <v>664.23015299159999</v>
      </c>
      <c r="E289" s="36">
        <v>0</v>
      </c>
      <c r="F289" s="36">
        <f>D289*(($F$169)+1)+E289</f>
        <v>996.34522948740005</v>
      </c>
      <c r="G289" s="204"/>
      <c r="H289" s="205"/>
      <c r="I289" s="60"/>
      <c r="N289" s="37"/>
    </row>
    <row r="290" spans="1:14" s="2" customFormat="1" ht="15.75" customHeight="1" x14ac:dyDescent="0.25">
      <c r="A290" s="117">
        <f t="shared" ref="A290" si="37">A289+1</f>
        <v>8</v>
      </c>
      <c r="B290" s="118"/>
      <c r="C290" s="36" t="s">
        <v>206</v>
      </c>
      <c r="D290" s="36">
        <f>(4.88*3.0481+2.16*2.1504+1*1.1+3.04*3.5056+1.3196*1.989+1.32*1.22+1.31*0.9+2.91*1.75+1.32*1.22)*10.764</f>
        <v>467.08871470560001</v>
      </c>
      <c r="E290" s="36">
        <v>0</v>
      </c>
      <c r="F290" s="36">
        <f>D290*(($F$169)+1)+E290</f>
        <v>700.63307205839999</v>
      </c>
      <c r="G290" s="206"/>
      <c r="H290" s="207"/>
      <c r="I290" s="60"/>
      <c r="N290" s="37"/>
    </row>
    <row r="291" spans="1:14" s="2" customFormat="1" x14ac:dyDescent="0.25">
      <c r="A291" s="119" t="s">
        <v>257</v>
      </c>
      <c r="B291" s="120"/>
      <c r="C291" s="120"/>
      <c r="D291" s="120"/>
      <c r="E291" s="120"/>
      <c r="F291" s="120"/>
      <c r="G291" s="120"/>
      <c r="H291" s="121"/>
      <c r="I291" s="37"/>
      <c r="L291" s="123"/>
      <c r="M291" s="123"/>
    </row>
    <row r="292" spans="1:14" s="2" customFormat="1" ht="15.75" customHeight="1" x14ac:dyDescent="0.25">
      <c r="A292" s="117">
        <v>1</v>
      </c>
      <c r="B292" s="118"/>
      <c r="C292" s="36" t="s">
        <v>206</v>
      </c>
      <c r="D292" s="36">
        <f>(4.88*3.0481+2.16*2.1504+1*1.1+3.04*3.5056+1.3196*1.989+1.32*1.22+1.31*0.9+2.91*1.75+1.32*1.22)*10.764</f>
        <v>467.08871470560001</v>
      </c>
      <c r="E292" s="36">
        <v>0</v>
      </c>
      <c r="F292" s="36">
        <f>D292*(($F$169)+1)+E292</f>
        <v>700.63307205839999</v>
      </c>
      <c r="G292" s="202" t="str">
        <f>A291</f>
        <v>5th to 17th &amp; 19th to 21st Floor</v>
      </c>
      <c r="H292" s="203"/>
      <c r="I292" s="37"/>
      <c r="N292" s="37"/>
    </row>
    <row r="293" spans="1:14" s="2" customFormat="1" ht="15.75" customHeight="1" x14ac:dyDescent="0.25">
      <c r="A293" s="117">
        <f>A292+1</f>
        <v>2</v>
      </c>
      <c r="B293" s="118"/>
      <c r="C293" s="36" t="s">
        <v>205</v>
      </c>
      <c r="D293" s="36">
        <f>(1.2*1+3.0479*4.88+3*1.2+2.7502*1.618+3.048*3.5064+3.048*3.8096+2.18*1.22+1.2193*1.681+2.18*1.5+2*0.9+1.21*0.4+1.75*2.87)*10.764</f>
        <v>664.23015299159999</v>
      </c>
      <c r="E293" s="36">
        <v>0</v>
      </c>
      <c r="F293" s="36">
        <f t="shared" ref="F293:F294" si="38">D293*(($F$169)+1)+E293</f>
        <v>996.34522948740005</v>
      </c>
      <c r="G293" s="204"/>
      <c r="H293" s="205"/>
      <c r="I293" s="37"/>
      <c r="N293" s="37"/>
    </row>
    <row r="294" spans="1:14" s="2" customFormat="1" ht="15.75" customHeight="1" x14ac:dyDescent="0.25">
      <c r="A294" s="117">
        <f t="shared" ref="A294:A299" si="39">A293+1</f>
        <v>3</v>
      </c>
      <c r="B294" s="118"/>
      <c r="C294" s="36" t="s">
        <v>205</v>
      </c>
      <c r="D294" s="36">
        <f>(1.2*1+3.0479*4.88+3*1.2+2.7502*1.618+3.048*3.5064+3.048*3.8096+2.18*1.22+1.2193*1.681+2.18*1.5+2*0.9+1.21*0.4+1.75*2.87)*10.764</f>
        <v>664.23015299159999</v>
      </c>
      <c r="E294" s="36">
        <v>0</v>
      </c>
      <c r="F294" s="36">
        <f t="shared" si="38"/>
        <v>996.34522948740005</v>
      </c>
      <c r="G294" s="204"/>
      <c r="H294" s="205"/>
      <c r="I294" s="37"/>
      <c r="N294" s="37"/>
    </row>
    <row r="295" spans="1:14" s="2" customFormat="1" ht="15.75" customHeight="1" x14ac:dyDescent="0.25">
      <c r="A295" s="117">
        <f t="shared" si="39"/>
        <v>4</v>
      </c>
      <c r="B295" s="118"/>
      <c r="C295" s="36" t="s">
        <v>206</v>
      </c>
      <c r="D295" s="36">
        <f>(4.88*3.0481+2.16*2.1504+1*1.1+3.04*3.5056+1.3196*1.989+1.32*1.22+1.31*0.9+2.91*1.75+1.32*1.22)*10.764</f>
        <v>467.08871470560001</v>
      </c>
      <c r="E295" s="36">
        <v>0</v>
      </c>
      <c r="F295" s="36">
        <f>D295*(($F$169)+1)+E295</f>
        <v>700.63307205839999</v>
      </c>
      <c r="G295" s="204"/>
      <c r="H295" s="205"/>
      <c r="I295" s="60"/>
      <c r="N295" s="37"/>
    </row>
    <row r="296" spans="1:14" s="2" customFormat="1" ht="15.75" customHeight="1" x14ac:dyDescent="0.25">
      <c r="A296" s="117">
        <f t="shared" si="39"/>
        <v>5</v>
      </c>
      <c r="B296" s="118"/>
      <c r="C296" s="36" t="s">
        <v>206</v>
      </c>
      <c r="D296" s="36">
        <f>(4.88*3.0481+2.16*2.1504+1*1.1+3.04*3.5056+1.3196*1.989+1.32*1.22+1.31*0.9+2.91*1.75+1.32*1.22)*10.764</f>
        <v>467.08871470560001</v>
      </c>
      <c r="E296" s="36">
        <v>0</v>
      </c>
      <c r="F296" s="36">
        <f>D296*(($F$169)+1)+E296</f>
        <v>700.63307205839999</v>
      </c>
      <c r="G296" s="204"/>
      <c r="H296" s="205"/>
      <c r="I296" s="60"/>
      <c r="N296" s="37"/>
    </row>
    <row r="297" spans="1:14" s="2" customFormat="1" ht="15.75" customHeight="1" x14ac:dyDescent="0.25">
      <c r="A297" s="117">
        <f t="shared" si="39"/>
        <v>6</v>
      </c>
      <c r="B297" s="118"/>
      <c r="C297" s="36" t="s">
        <v>205</v>
      </c>
      <c r="D297" s="36">
        <f>(1.2*1+3.0479*4.88+3*1.2+2.7502*1.618+3.048*3.5064+3.048*3.8096+2.18*1.22+1.2193*1.681+2.18*1.5+2*0.9+1.21*0.4+1.75*2.87)*10.764</f>
        <v>664.23015299159999</v>
      </c>
      <c r="E297" s="36">
        <v>0</v>
      </c>
      <c r="F297" s="36">
        <f>D297*(($F$169)+1)+E297</f>
        <v>996.34522948740005</v>
      </c>
      <c r="G297" s="204"/>
      <c r="H297" s="205"/>
      <c r="I297" s="60"/>
      <c r="N297" s="37"/>
    </row>
    <row r="298" spans="1:14" s="2" customFormat="1" ht="15.75" customHeight="1" x14ac:dyDescent="0.25">
      <c r="A298" s="117">
        <f t="shared" si="39"/>
        <v>7</v>
      </c>
      <c r="B298" s="118"/>
      <c r="C298" s="36" t="s">
        <v>205</v>
      </c>
      <c r="D298" s="36">
        <f>(1.2*1+3.0479*4.88+3*1.2+2.7502*1.618+3.048*3.5064+3.048*3.8096+2.18*1.22+1.2193*1.681+2.18*1.5+2*0.9+1.21*0.4+1.75*2.87)*10.764</f>
        <v>664.23015299159999</v>
      </c>
      <c r="E298" s="36">
        <v>0</v>
      </c>
      <c r="F298" s="36">
        <f>D298*(($F$169)+1)+E298</f>
        <v>996.34522948740005</v>
      </c>
      <c r="G298" s="204"/>
      <c r="H298" s="205"/>
      <c r="I298" s="60"/>
      <c r="N298" s="37"/>
    </row>
    <row r="299" spans="1:14" s="2" customFormat="1" ht="15.75" customHeight="1" x14ac:dyDescent="0.25">
      <c r="A299" s="117">
        <f t="shared" si="39"/>
        <v>8</v>
      </c>
      <c r="B299" s="118"/>
      <c r="C299" s="36" t="s">
        <v>206</v>
      </c>
      <c r="D299" s="36">
        <f>(4.88*3.0481+2.16*2.1504+1*1.1+3.04*3.5056+1.3196*1.989+1.32*1.22+1.31*0.9+2.91*1.75+1.32*1.22)*10.764</f>
        <v>467.08871470560001</v>
      </c>
      <c r="E299" s="36">
        <v>0</v>
      </c>
      <c r="F299" s="36">
        <f>D299*(($F$169)+1)+E299</f>
        <v>700.63307205839999</v>
      </c>
      <c r="G299" s="206"/>
      <c r="H299" s="207"/>
      <c r="I299" s="60"/>
      <c r="N299" s="37"/>
    </row>
    <row r="300" spans="1:14" s="2" customFormat="1" x14ac:dyDescent="0.25">
      <c r="A300" s="119" t="s">
        <v>210</v>
      </c>
      <c r="B300" s="120"/>
      <c r="C300" s="120"/>
      <c r="D300" s="120"/>
      <c r="E300" s="120"/>
      <c r="F300" s="120"/>
      <c r="G300" s="120"/>
      <c r="H300" s="121"/>
      <c r="I300" s="37"/>
      <c r="L300" s="123"/>
      <c r="M300" s="123"/>
    </row>
    <row r="301" spans="1:14" s="2" customFormat="1" ht="15.75" customHeight="1" x14ac:dyDescent="0.25">
      <c r="A301" s="117">
        <v>1</v>
      </c>
      <c r="B301" s="118"/>
      <c r="C301" s="117" t="s">
        <v>209</v>
      </c>
      <c r="D301" s="122"/>
      <c r="E301" s="122"/>
      <c r="F301" s="118"/>
      <c r="G301" s="202" t="str">
        <f>A300</f>
        <v>18th Floor (Part Refuge Area)</v>
      </c>
      <c r="H301" s="203"/>
      <c r="I301" s="37"/>
      <c r="N301" s="37"/>
    </row>
    <row r="302" spans="1:14" s="2" customFormat="1" ht="15.75" customHeight="1" x14ac:dyDescent="0.25">
      <c r="A302" s="117">
        <f>A301+1</f>
        <v>2</v>
      </c>
      <c r="B302" s="118"/>
      <c r="C302" s="36" t="s">
        <v>205</v>
      </c>
      <c r="D302" s="36">
        <f>(1.2*1+3.0479*4.88+3*1.2+2.7502*1.618+3.048*3.5064+3.048*3.8096+2.18*1.22+1.2193*1.681+2.18*1.5+2*0.9+1.21*0.4+1.75*2.87)*10.764</f>
        <v>664.23015299159999</v>
      </c>
      <c r="E302" s="36">
        <v>0</v>
      </c>
      <c r="F302" s="36">
        <f t="shared" ref="F302:F303" si="40">D302*(($F$169)+1)+E302</f>
        <v>996.34522948740005</v>
      </c>
      <c r="G302" s="204"/>
      <c r="H302" s="205"/>
      <c r="I302" s="37"/>
      <c r="N302" s="37"/>
    </row>
    <row r="303" spans="1:14" s="2" customFormat="1" ht="15.75" customHeight="1" x14ac:dyDescent="0.25">
      <c r="A303" s="117">
        <f t="shared" ref="A303:A308" si="41">A302+1</f>
        <v>3</v>
      </c>
      <c r="B303" s="118"/>
      <c r="C303" s="36" t="s">
        <v>205</v>
      </c>
      <c r="D303" s="36">
        <f>(1.2*1+3.0479*4.88+3*1.2+2.7502*1.618+3.048*3.5064+3.048*3.8096+2.18*1.22+1.2193*1.681+2.18*1.5+2*0.9+1.21*0.4+1.75*2.87)*10.764</f>
        <v>664.23015299159999</v>
      </c>
      <c r="E303" s="36">
        <v>0</v>
      </c>
      <c r="F303" s="36">
        <f t="shared" si="40"/>
        <v>996.34522948740005</v>
      </c>
      <c r="G303" s="204"/>
      <c r="H303" s="205"/>
      <c r="I303" s="37"/>
      <c r="N303" s="37"/>
    </row>
    <row r="304" spans="1:14" s="2" customFormat="1" ht="15.75" customHeight="1" x14ac:dyDescent="0.25">
      <c r="A304" s="117">
        <f t="shared" si="41"/>
        <v>4</v>
      </c>
      <c r="B304" s="118"/>
      <c r="C304" s="36" t="s">
        <v>206</v>
      </c>
      <c r="D304" s="36">
        <f>(4.88*3.0481+2.16*2.1504+1*1.1+3.04*3.5056+1.3196*1.989+1.32*1.22+1.31*0.9+2.91*1.75+1.32*1.22)*10.764</f>
        <v>467.08871470560001</v>
      </c>
      <c r="E304" s="36">
        <v>0</v>
      </c>
      <c r="F304" s="36">
        <f>D304*(($F$169)+1)+E304</f>
        <v>700.63307205839999</v>
      </c>
      <c r="G304" s="204"/>
      <c r="H304" s="205"/>
      <c r="I304" s="60"/>
      <c r="N304" s="37"/>
    </row>
    <row r="305" spans="1:14" s="2" customFormat="1" ht="15.75" customHeight="1" x14ac:dyDescent="0.25">
      <c r="A305" s="117">
        <f t="shared" si="41"/>
        <v>5</v>
      </c>
      <c r="B305" s="118"/>
      <c r="C305" s="36" t="s">
        <v>206</v>
      </c>
      <c r="D305" s="36">
        <f>(4.88*3.0481+2.16*2.1504+1*1.1+3.04*3.5056+1.3196*1.989+1.32*1.22+1.31*0.9+2.91*1.75+1.32*1.22)*10.764</f>
        <v>467.08871470560001</v>
      </c>
      <c r="E305" s="36">
        <v>0</v>
      </c>
      <c r="F305" s="36">
        <f>D305*(($F$169)+1)+E305</f>
        <v>700.63307205839999</v>
      </c>
      <c r="G305" s="204"/>
      <c r="H305" s="205"/>
      <c r="I305" s="60"/>
      <c r="N305" s="37"/>
    </row>
    <row r="306" spans="1:14" s="2" customFormat="1" ht="15.75" customHeight="1" x14ac:dyDescent="0.25">
      <c r="A306" s="117">
        <f t="shared" si="41"/>
        <v>6</v>
      </c>
      <c r="B306" s="118"/>
      <c r="C306" s="36" t="s">
        <v>205</v>
      </c>
      <c r="D306" s="36">
        <f>(1.2*1+3.0479*4.88+3*1.2+2.7502*1.618+3.048*3.5064+3.048*3.8096+2.18*1.22+1.2193*1.681+2.18*1.5+2*0.9+1.21*0.4+1.75*2.87)*10.764</f>
        <v>664.23015299159999</v>
      </c>
      <c r="E306" s="36">
        <v>0</v>
      </c>
      <c r="F306" s="36">
        <f>D306*(($F$169)+1)+E306</f>
        <v>996.34522948740005</v>
      </c>
      <c r="G306" s="204"/>
      <c r="H306" s="205"/>
      <c r="I306" s="60"/>
      <c r="N306" s="37"/>
    </row>
    <row r="307" spans="1:14" s="2" customFormat="1" ht="15.75" customHeight="1" x14ac:dyDescent="0.25">
      <c r="A307" s="117">
        <f t="shared" si="41"/>
        <v>7</v>
      </c>
      <c r="B307" s="118"/>
      <c r="C307" s="36" t="s">
        <v>205</v>
      </c>
      <c r="D307" s="36">
        <f>(1.2*1+3.0479*4.88+3*1.2+2.7502*1.618+3.048*3.5064+3.048*3.8096+2.18*1.22+1.2193*1.681+2.18*1.5+2*0.9+1.21*0.4+1.75*2.87)*10.764</f>
        <v>664.23015299159999</v>
      </c>
      <c r="E307" s="36">
        <v>0</v>
      </c>
      <c r="F307" s="36">
        <f>D307*(($F$169)+1)+E307</f>
        <v>996.34522948740005</v>
      </c>
      <c r="G307" s="204"/>
      <c r="H307" s="205"/>
      <c r="I307" s="60"/>
      <c r="N307" s="37"/>
    </row>
    <row r="308" spans="1:14" s="2" customFormat="1" ht="15.75" customHeight="1" x14ac:dyDescent="0.25">
      <c r="A308" s="117">
        <f t="shared" si="41"/>
        <v>8</v>
      </c>
      <c r="B308" s="118"/>
      <c r="C308" s="36" t="s">
        <v>206</v>
      </c>
      <c r="D308" s="36">
        <f>(4.88*3.0481+2.16*2.1504+1*1.1+3.04*3.5056+1.3196*1.989+1.32*1.22+1.31*0.9+2.91*1.75+1.32*1.22)*10.764</f>
        <v>467.08871470560001</v>
      </c>
      <c r="E308" s="36">
        <v>0</v>
      </c>
      <c r="F308" s="36">
        <f>D308*(($F$169)+1)+E308</f>
        <v>700.63307205839999</v>
      </c>
      <c r="G308" s="206"/>
      <c r="H308" s="207"/>
      <c r="I308" s="60"/>
      <c r="N308" s="37"/>
    </row>
    <row r="309" spans="1:14" s="2" customFormat="1" x14ac:dyDescent="0.25">
      <c r="A309" s="119" t="s">
        <v>251</v>
      </c>
      <c r="B309" s="120"/>
      <c r="C309" s="120"/>
      <c r="D309" s="120"/>
      <c r="E309" s="120"/>
      <c r="F309" s="120"/>
      <c r="G309" s="120"/>
      <c r="H309" s="121"/>
      <c r="I309" s="37"/>
      <c r="L309" s="123"/>
      <c r="M309" s="123"/>
    </row>
    <row r="310" spans="1:14" s="2" customFormat="1" ht="15.75" customHeight="1" x14ac:dyDescent="0.25">
      <c r="A310" s="117">
        <v>1</v>
      </c>
      <c r="B310" s="118"/>
      <c r="C310" s="36" t="s">
        <v>206</v>
      </c>
      <c r="D310" s="36">
        <f>(4.88*3.0481+2.16*2.1504+1*1.1+3.04*3.5056+1.3196*1.989+1.32*1.22+1.31*0.9+2.91*1.75+1.32*1.22)*10.764</f>
        <v>467.08871470560001</v>
      </c>
      <c r="E310" s="36">
        <v>0</v>
      </c>
      <c r="F310" s="36">
        <f>D310*(($F$169)+1)+E310</f>
        <v>700.63307205839999</v>
      </c>
      <c r="G310" s="202" t="str">
        <f>A309</f>
        <v>22nd to 27th &amp; 29th Floor</v>
      </c>
      <c r="H310" s="203"/>
      <c r="I310" s="37"/>
      <c r="N310" s="37"/>
    </row>
    <row r="311" spans="1:14" s="2" customFormat="1" ht="15.75" customHeight="1" x14ac:dyDescent="0.25">
      <c r="A311" s="117">
        <f>A310+1</f>
        <v>2</v>
      </c>
      <c r="B311" s="118"/>
      <c r="C311" s="36" t="s">
        <v>205</v>
      </c>
      <c r="D311" s="36">
        <f>(1.2*1+3.0479*4.88+3*1.2+2.7502*1.618+3.048*3.5064+3.048*3.8096+2.18*1.22+1.2193*1.681+2.18*1.5+2*0.9+1.21*0.4+1.75*2.87)*10.764</f>
        <v>664.23015299159999</v>
      </c>
      <c r="E311" s="36">
        <v>0</v>
      </c>
      <c r="F311" s="36">
        <f t="shared" ref="F311:F312" si="42">D311*(($F$169)+1)+E311</f>
        <v>996.34522948740005</v>
      </c>
      <c r="G311" s="204"/>
      <c r="H311" s="205"/>
      <c r="I311" s="37"/>
      <c r="N311" s="37"/>
    </row>
    <row r="312" spans="1:14" s="2" customFormat="1" ht="15.75" customHeight="1" x14ac:dyDescent="0.25">
      <c r="A312" s="117">
        <f t="shared" ref="A312:A317" si="43">A311+1</f>
        <v>3</v>
      </c>
      <c r="B312" s="118"/>
      <c r="C312" s="36" t="s">
        <v>205</v>
      </c>
      <c r="D312" s="36">
        <f>(1.2*1+3.0479*4.88+3*1.2+2.7502*1.618+3.048*3.5064+3.048*3.8096+2.18*1.22+1.2193*1.681+2.18*1.5+2*0.9+1.21*0.4+1.75*2.87)*10.764</f>
        <v>664.23015299159999</v>
      </c>
      <c r="E312" s="36">
        <v>0</v>
      </c>
      <c r="F312" s="36">
        <f t="shared" si="42"/>
        <v>996.34522948740005</v>
      </c>
      <c r="G312" s="204"/>
      <c r="H312" s="205"/>
      <c r="I312" s="37"/>
      <c r="N312" s="37"/>
    </row>
    <row r="313" spans="1:14" s="2" customFormat="1" ht="15.75" customHeight="1" x14ac:dyDescent="0.25">
      <c r="A313" s="117">
        <f t="shared" si="43"/>
        <v>4</v>
      </c>
      <c r="B313" s="118"/>
      <c r="C313" s="36" t="s">
        <v>206</v>
      </c>
      <c r="D313" s="36">
        <f>(4.88*3.0481+2.16*2.1504+1*1.1+3.04*3.5056+1.3196*1.989+1.32*1.22+1.31*0.9+2.91*1.75+1.32*1.22)*10.764</f>
        <v>467.08871470560001</v>
      </c>
      <c r="E313" s="36">
        <v>0</v>
      </c>
      <c r="F313" s="36">
        <f>D313*(($F$169)+1)+E313</f>
        <v>700.63307205839999</v>
      </c>
      <c r="G313" s="204"/>
      <c r="H313" s="205"/>
      <c r="I313" s="60"/>
      <c r="N313" s="37"/>
    </row>
    <row r="314" spans="1:14" s="2" customFormat="1" ht="15.75" customHeight="1" x14ac:dyDescent="0.25">
      <c r="A314" s="117">
        <f t="shared" si="43"/>
        <v>5</v>
      </c>
      <c r="B314" s="118"/>
      <c r="C314" s="36" t="s">
        <v>206</v>
      </c>
      <c r="D314" s="36">
        <f>(4.88*3.0481+2.16*2.1504+1*1.1+3.04*3.5056+1.3196*1.989+1.32*1.22+1.31*0.9+2.91*1.75+1.32*1.22)*10.764</f>
        <v>467.08871470560001</v>
      </c>
      <c r="E314" s="36">
        <v>0</v>
      </c>
      <c r="F314" s="36">
        <f>D314*(($F$169)+1)+E314</f>
        <v>700.63307205839999</v>
      </c>
      <c r="G314" s="204"/>
      <c r="H314" s="205"/>
      <c r="I314" s="60"/>
      <c r="N314" s="37"/>
    </row>
    <row r="315" spans="1:14" s="2" customFormat="1" ht="15.75" customHeight="1" x14ac:dyDescent="0.25">
      <c r="A315" s="117">
        <f t="shared" si="43"/>
        <v>6</v>
      </c>
      <c r="B315" s="118"/>
      <c r="C315" s="36" t="s">
        <v>205</v>
      </c>
      <c r="D315" s="36">
        <f>(1.2*1+3.0479*4.88+3*1.2+2.7502*1.618+3.048*3.5064+3.048*3.8096+2.18*1.22+1.2193*1.681+2.18*1.5+2*0.9+1.21*0.4+1.75*2.87)*10.764</f>
        <v>664.23015299159999</v>
      </c>
      <c r="E315" s="36">
        <v>0</v>
      </c>
      <c r="F315" s="36">
        <f>D315*(($F$169)+1)+E315</f>
        <v>996.34522948740005</v>
      </c>
      <c r="G315" s="204"/>
      <c r="H315" s="205"/>
      <c r="I315" s="60"/>
      <c r="N315" s="37"/>
    </row>
    <row r="316" spans="1:14" s="2" customFormat="1" ht="15.75" customHeight="1" x14ac:dyDescent="0.25">
      <c r="A316" s="117">
        <f t="shared" si="43"/>
        <v>7</v>
      </c>
      <c r="B316" s="118"/>
      <c r="C316" s="36" t="s">
        <v>205</v>
      </c>
      <c r="D316" s="36">
        <f>(1.2*1+3.0479*4.88+3*1.2+2.7502*1.618+3.048*3.5064+3.048*3.8096+2.18*1.22+1.2193*1.681+2.18*1.5+2*0.9+1.21*0.4+1.75*2.87)*10.764</f>
        <v>664.23015299159999</v>
      </c>
      <c r="E316" s="36">
        <v>0</v>
      </c>
      <c r="F316" s="36">
        <f>D316*(($F$169)+1)+E316</f>
        <v>996.34522948740005</v>
      </c>
      <c r="G316" s="204"/>
      <c r="H316" s="205"/>
      <c r="I316" s="60"/>
      <c r="N316" s="37"/>
    </row>
    <row r="317" spans="1:14" s="2" customFormat="1" ht="15.75" customHeight="1" x14ac:dyDescent="0.25">
      <c r="A317" s="117">
        <f t="shared" si="43"/>
        <v>8</v>
      </c>
      <c r="B317" s="118"/>
      <c r="C317" s="36" t="s">
        <v>206</v>
      </c>
      <c r="D317" s="36">
        <f>(4.88*3.0481+2.16*2.1504+1*1.1+3.04*3.5056+1.3196*1.989+1.32*1.22+1.31*0.9+2.91*1.75+1.32*1.22)*10.764</f>
        <v>467.08871470560001</v>
      </c>
      <c r="E317" s="36">
        <v>0</v>
      </c>
      <c r="F317" s="36">
        <f>D317*(($F$169)+1)+E317</f>
        <v>700.63307205839999</v>
      </c>
      <c r="G317" s="206"/>
      <c r="H317" s="207"/>
      <c r="I317" s="60"/>
      <c r="N317" s="37"/>
    </row>
    <row r="318" spans="1:14" s="2" customFormat="1" x14ac:dyDescent="0.25">
      <c r="A318" s="119" t="s">
        <v>213</v>
      </c>
      <c r="B318" s="120"/>
      <c r="C318" s="120"/>
      <c r="D318" s="120"/>
      <c r="E318" s="120"/>
      <c r="F318" s="120"/>
      <c r="G318" s="120"/>
      <c r="H318" s="121"/>
      <c r="I318" s="37"/>
      <c r="L318" s="123"/>
      <c r="M318" s="123"/>
    </row>
    <row r="319" spans="1:14" s="2" customFormat="1" ht="15.75" customHeight="1" x14ac:dyDescent="0.25">
      <c r="A319" s="117">
        <v>1</v>
      </c>
      <c r="B319" s="118"/>
      <c r="C319" s="117" t="s">
        <v>209</v>
      </c>
      <c r="D319" s="122"/>
      <c r="E319" s="122"/>
      <c r="F319" s="118"/>
      <c r="G319" s="202" t="str">
        <f>A318</f>
        <v>28th Floor (Part Refuge Area)</v>
      </c>
      <c r="H319" s="203"/>
      <c r="I319" s="37"/>
      <c r="N319" s="37"/>
    </row>
    <row r="320" spans="1:14" s="2" customFormat="1" ht="15.75" customHeight="1" x14ac:dyDescent="0.25">
      <c r="A320" s="117">
        <f>A319+1</f>
        <v>2</v>
      </c>
      <c r="B320" s="118"/>
      <c r="C320" s="36" t="s">
        <v>205</v>
      </c>
      <c r="D320" s="36">
        <f>(1.2*1+3.0479*4.88+3*1.2+2.7502*1.618+3.048*3.5064+3.048*3.8096+2.18*1.22+1.2193*1.681+2.18*1.5+2*0.9+1.21*0.4+1.75*2.87)*10.764</f>
        <v>664.23015299159999</v>
      </c>
      <c r="E320" s="36">
        <v>0</v>
      </c>
      <c r="F320" s="36">
        <f t="shared" ref="F320:F321" si="44">D320*(($F$169)+1)+E320</f>
        <v>996.34522948740005</v>
      </c>
      <c r="G320" s="204"/>
      <c r="H320" s="205"/>
      <c r="I320" s="37"/>
      <c r="N320" s="37"/>
    </row>
    <row r="321" spans="1:14" s="2" customFormat="1" ht="15.75" customHeight="1" x14ac:dyDescent="0.25">
      <c r="A321" s="117">
        <f t="shared" ref="A321:A326" si="45">A320+1</f>
        <v>3</v>
      </c>
      <c r="B321" s="118"/>
      <c r="C321" s="36" t="s">
        <v>205</v>
      </c>
      <c r="D321" s="36">
        <f>(1.2*1+3.0479*4.88+3*1.2+2.7502*1.618+3.048*3.5064+3.048*3.8096+2.18*1.22+1.2193*1.681+2.18*1.5+2*0.9+1.21*0.4+1.75*2.87)*10.764</f>
        <v>664.23015299159999</v>
      </c>
      <c r="E321" s="36">
        <v>0</v>
      </c>
      <c r="F321" s="36">
        <f t="shared" si="44"/>
        <v>996.34522948740005</v>
      </c>
      <c r="G321" s="204"/>
      <c r="H321" s="205"/>
      <c r="I321" s="37"/>
      <c r="N321" s="37"/>
    </row>
    <row r="322" spans="1:14" s="2" customFormat="1" ht="15.75" customHeight="1" x14ac:dyDescent="0.25">
      <c r="A322" s="117">
        <f t="shared" si="45"/>
        <v>4</v>
      </c>
      <c r="B322" s="118"/>
      <c r="C322" s="36" t="s">
        <v>206</v>
      </c>
      <c r="D322" s="36">
        <f>(4.88*3.0481+2.16*2.1504+1*1.1+3.04*3.5056+1.3196*1.989+1.32*1.22+1.31*0.9+2.91*1.75+1.32*1.22)*10.764</f>
        <v>467.08871470560001</v>
      </c>
      <c r="E322" s="36">
        <v>0</v>
      </c>
      <c r="F322" s="36">
        <f>D322*(($F$169)+1)+E322</f>
        <v>700.63307205839999</v>
      </c>
      <c r="G322" s="204"/>
      <c r="H322" s="205"/>
      <c r="I322" s="60"/>
      <c r="N322" s="37"/>
    </row>
    <row r="323" spans="1:14" s="2" customFormat="1" ht="15.75" customHeight="1" x14ac:dyDescent="0.25">
      <c r="A323" s="117">
        <f t="shared" si="45"/>
        <v>5</v>
      </c>
      <c r="B323" s="118"/>
      <c r="C323" s="36" t="s">
        <v>206</v>
      </c>
      <c r="D323" s="36">
        <f>(4.88*3.0481+2.16*2.1504+1*1.1+3.04*3.5056+1.3196*1.989+1.32*1.22+1.31*0.9+2.91*1.75+1.32*1.22)*10.764</f>
        <v>467.08871470560001</v>
      </c>
      <c r="E323" s="36">
        <v>0</v>
      </c>
      <c r="F323" s="36">
        <f>D323*(($F$169)+1)+E323</f>
        <v>700.63307205839999</v>
      </c>
      <c r="G323" s="204"/>
      <c r="H323" s="205"/>
      <c r="I323" s="60"/>
      <c r="N323" s="37"/>
    </row>
    <row r="324" spans="1:14" s="2" customFormat="1" ht="15.75" customHeight="1" x14ac:dyDescent="0.25">
      <c r="A324" s="117">
        <f t="shared" si="45"/>
        <v>6</v>
      </c>
      <c r="B324" s="118"/>
      <c r="C324" s="36" t="s">
        <v>205</v>
      </c>
      <c r="D324" s="36">
        <f>(1.2*1+3.0479*4.88+3*1.2+2.7502*1.618+3.048*3.5064+3.048*3.8096+2.18*1.22+1.2193*1.681+2.18*1.5+2*0.9+1.21*0.4+1.75*2.87)*10.764</f>
        <v>664.23015299159999</v>
      </c>
      <c r="E324" s="36">
        <v>0</v>
      </c>
      <c r="F324" s="36">
        <f>D324*(($F$169)+1)+E324</f>
        <v>996.34522948740005</v>
      </c>
      <c r="G324" s="204"/>
      <c r="H324" s="205"/>
      <c r="I324" s="60"/>
      <c r="N324" s="37"/>
    </row>
    <row r="325" spans="1:14" s="2" customFormat="1" ht="15.75" customHeight="1" x14ac:dyDescent="0.25">
      <c r="A325" s="117">
        <f t="shared" si="45"/>
        <v>7</v>
      </c>
      <c r="B325" s="118"/>
      <c r="C325" s="36" t="s">
        <v>205</v>
      </c>
      <c r="D325" s="36">
        <f>(1.2*1+3.0479*4.88+3*1.2+2.7502*1.618+3.048*3.5064+3.048*3.8096+2.18*1.22+1.2193*1.681+2.18*1.5+2*0.9+1.21*0.4+1.75*2.87)*10.764</f>
        <v>664.23015299159999</v>
      </c>
      <c r="E325" s="36">
        <v>0</v>
      </c>
      <c r="F325" s="36">
        <f>D325*(($F$169)+1)+E325</f>
        <v>996.34522948740005</v>
      </c>
      <c r="G325" s="204"/>
      <c r="H325" s="205"/>
      <c r="I325" s="60"/>
      <c r="N325" s="37"/>
    </row>
    <row r="326" spans="1:14" s="2" customFormat="1" ht="15.75" customHeight="1" x14ac:dyDescent="0.25">
      <c r="A326" s="117">
        <f t="shared" si="45"/>
        <v>8</v>
      </c>
      <c r="B326" s="118"/>
      <c r="C326" s="36" t="s">
        <v>206</v>
      </c>
      <c r="D326" s="36">
        <f>(4.88*3.0481+2.16*2.1504+1*1.1+3.04*3.5056+1.3196*1.989+1.32*1.22+1.31*0.9+2.91*1.75+1.32*1.22)*10.764</f>
        <v>467.08871470560001</v>
      </c>
      <c r="E326" s="36">
        <v>0</v>
      </c>
      <c r="F326" s="36">
        <f>D326*(($F$169)+1)+E326</f>
        <v>700.63307205839999</v>
      </c>
      <c r="G326" s="206"/>
      <c r="H326" s="207"/>
      <c r="I326" s="60"/>
      <c r="N326" s="37"/>
    </row>
    <row r="327" spans="1:14" s="2" customFormat="1" x14ac:dyDescent="0.25">
      <c r="A327" s="119" t="s">
        <v>252</v>
      </c>
      <c r="B327" s="120"/>
      <c r="C327" s="120"/>
      <c r="D327" s="120"/>
      <c r="E327" s="120"/>
      <c r="F327" s="120"/>
      <c r="G327" s="120"/>
      <c r="H327" s="121"/>
      <c r="I327" s="37"/>
      <c r="L327" s="123"/>
      <c r="M327" s="123"/>
    </row>
    <row r="328" spans="1:14" s="2" customFormat="1" ht="15.75" customHeight="1" x14ac:dyDescent="0.25">
      <c r="A328" s="117">
        <v>1</v>
      </c>
      <c r="B328" s="118"/>
      <c r="C328" s="36" t="s">
        <v>225</v>
      </c>
      <c r="D328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28" s="36">
        <v>0</v>
      </c>
      <c r="F328" s="36">
        <f>D328*(($F$169)+1)+E328</f>
        <v>1696.9783015457999</v>
      </c>
      <c r="G328" s="202" t="str">
        <f>A327</f>
        <v>30th to 37th &amp; 39th Floor</v>
      </c>
      <c r="H328" s="203"/>
      <c r="I328" s="37"/>
      <c r="N328" s="37"/>
    </row>
    <row r="329" spans="1:14" s="2" customFormat="1" ht="15.75" customHeight="1" x14ac:dyDescent="0.25">
      <c r="A329" s="117">
        <f>A328+1</f>
        <v>2</v>
      </c>
      <c r="B329" s="118"/>
      <c r="C329" s="117" t="s">
        <v>253</v>
      </c>
      <c r="D329" s="122"/>
      <c r="E329" s="122"/>
      <c r="F329" s="118"/>
      <c r="G329" s="204"/>
      <c r="H329" s="205"/>
      <c r="I329" s="37"/>
      <c r="N329" s="37"/>
    </row>
    <row r="330" spans="1:14" s="2" customFormat="1" ht="15.75" customHeight="1" x14ac:dyDescent="0.25">
      <c r="A330" s="117">
        <f t="shared" ref="A330:A335" si="46">A329+1</f>
        <v>3</v>
      </c>
      <c r="B330" s="118"/>
      <c r="C330" s="36" t="s">
        <v>225</v>
      </c>
      <c r="D330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30" s="36">
        <v>0</v>
      </c>
      <c r="F330" s="36">
        <f>D330*(($F$169)+1)+E330</f>
        <v>1696.9783015457999</v>
      </c>
      <c r="G330" s="204"/>
      <c r="H330" s="205"/>
      <c r="I330" s="37"/>
      <c r="N330" s="37"/>
    </row>
    <row r="331" spans="1:14" s="2" customFormat="1" ht="15.75" customHeight="1" x14ac:dyDescent="0.25">
      <c r="A331" s="117">
        <f t="shared" si="46"/>
        <v>4</v>
      </c>
      <c r="B331" s="118"/>
      <c r="C331" s="117" t="s">
        <v>254</v>
      </c>
      <c r="D331" s="122"/>
      <c r="E331" s="122"/>
      <c r="F331" s="118"/>
      <c r="G331" s="204"/>
      <c r="H331" s="205"/>
      <c r="I331" s="60"/>
      <c r="N331" s="37"/>
    </row>
    <row r="332" spans="1:14" s="2" customFormat="1" ht="15.75" customHeight="1" x14ac:dyDescent="0.25">
      <c r="A332" s="117">
        <f t="shared" si="46"/>
        <v>5</v>
      </c>
      <c r="B332" s="118"/>
      <c r="C332" s="36" t="s">
        <v>225</v>
      </c>
      <c r="D332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32" s="36">
        <v>0</v>
      </c>
      <c r="F332" s="36">
        <f>D332*(($F$169)+1)+E332</f>
        <v>1696.9783015457999</v>
      </c>
      <c r="G332" s="204"/>
      <c r="H332" s="205"/>
      <c r="I332" s="60"/>
      <c r="N332" s="37"/>
    </row>
    <row r="333" spans="1:14" s="2" customFormat="1" ht="15.75" customHeight="1" x14ac:dyDescent="0.25">
      <c r="A333" s="117">
        <f t="shared" si="46"/>
        <v>6</v>
      </c>
      <c r="B333" s="118"/>
      <c r="C333" s="117" t="s">
        <v>255</v>
      </c>
      <c r="D333" s="122"/>
      <c r="E333" s="122"/>
      <c r="F333" s="118"/>
      <c r="G333" s="204"/>
      <c r="H333" s="205"/>
      <c r="I333" s="60"/>
      <c r="N333" s="37"/>
    </row>
    <row r="334" spans="1:14" s="2" customFormat="1" ht="15.75" customHeight="1" x14ac:dyDescent="0.25">
      <c r="A334" s="117">
        <f t="shared" si="46"/>
        <v>7</v>
      </c>
      <c r="B334" s="118"/>
      <c r="C334" s="117" t="s">
        <v>256</v>
      </c>
      <c r="D334" s="122"/>
      <c r="E334" s="122"/>
      <c r="F334" s="118"/>
      <c r="G334" s="204"/>
      <c r="H334" s="205"/>
      <c r="I334" s="60"/>
      <c r="N334" s="37"/>
    </row>
    <row r="335" spans="1:14" s="2" customFormat="1" ht="15.75" customHeight="1" x14ac:dyDescent="0.25">
      <c r="A335" s="117">
        <f t="shared" si="46"/>
        <v>8</v>
      </c>
      <c r="B335" s="118"/>
      <c r="C335" s="36" t="s">
        <v>225</v>
      </c>
      <c r="D335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35" s="36">
        <v>0</v>
      </c>
      <c r="F335" s="36">
        <f>D335*(($F$169)+1)+E335</f>
        <v>1696.9783015457999</v>
      </c>
      <c r="G335" s="206"/>
      <c r="H335" s="207"/>
      <c r="I335" s="60"/>
      <c r="N335" s="37"/>
    </row>
    <row r="336" spans="1:14" s="2" customFormat="1" x14ac:dyDescent="0.25">
      <c r="A336" s="119" t="s">
        <v>218</v>
      </c>
      <c r="B336" s="120"/>
      <c r="C336" s="120"/>
      <c r="D336" s="120"/>
      <c r="E336" s="120"/>
      <c r="F336" s="120"/>
      <c r="G336" s="120"/>
      <c r="H336" s="121"/>
      <c r="I336" s="37"/>
      <c r="L336" s="123"/>
      <c r="M336" s="123"/>
    </row>
    <row r="337" spans="1:14" s="2" customFormat="1" ht="15.75" customHeight="1" x14ac:dyDescent="0.25">
      <c r="A337" s="117">
        <v>1</v>
      </c>
      <c r="B337" s="118"/>
      <c r="C337" s="117" t="s">
        <v>209</v>
      </c>
      <c r="D337" s="122"/>
      <c r="E337" s="122"/>
      <c r="F337" s="118"/>
      <c r="G337" s="202" t="str">
        <f>A336</f>
        <v>38th Floor (Part Refuge Area)</v>
      </c>
      <c r="H337" s="203"/>
      <c r="I337" s="37"/>
      <c r="N337" s="37"/>
    </row>
    <row r="338" spans="1:14" s="2" customFormat="1" ht="15.75" customHeight="1" x14ac:dyDescent="0.25">
      <c r="A338" s="117">
        <f>A337+1</f>
        <v>2</v>
      </c>
      <c r="B338" s="118"/>
      <c r="C338" s="36" t="s">
        <v>205</v>
      </c>
      <c r="D338" s="36">
        <f>(1.2*1+3.0479*4.88+3*1.2+2.7502*1.618+3.048*3.5064+3.048*3.8096+2.18*1.22+1.2193*1.681+2.18*1.5+2*0.9+1.21*0.4+1.75*2.87)*10.764</f>
        <v>664.23015299159999</v>
      </c>
      <c r="E338" s="36">
        <v>0</v>
      </c>
      <c r="F338" s="36">
        <f>D338*(($F$169)+1)+E338</f>
        <v>996.34522948740005</v>
      </c>
      <c r="G338" s="204"/>
      <c r="H338" s="205"/>
      <c r="I338" s="37"/>
      <c r="N338" s="37"/>
    </row>
    <row r="339" spans="1:14" s="2" customFormat="1" ht="15.75" customHeight="1" x14ac:dyDescent="0.25">
      <c r="A339" s="117">
        <f t="shared" ref="A339:A344" si="47">A338+1</f>
        <v>3</v>
      </c>
      <c r="B339" s="118"/>
      <c r="C339" s="36" t="s">
        <v>225</v>
      </c>
      <c r="D339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39" s="36">
        <v>0</v>
      </c>
      <c r="F339" s="36">
        <f>D339*(($F$169)+1)+E339</f>
        <v>1696.9783015457999</v>
      </c>
      <c r="G339" s="204"/>
      <c r="H339" s="205"/>
      <c r="I339" s="37"/>
      <c r="N339" s="37"/>
    </row>
    <row r="340" spans="1:14" s="2" customFormat="1" ht="15.75" customHeight="1" x14ac:dyDescent="0.25">
      <c r="A340" s="117">
        <f t="shared" si="47"/>
        <v>4</v>
      </c>
      <c r="B340" s="118"/>
      <c r="C340" s="117" t="s">
        <v>254</v>
      </c>
      <c r="D340" s="122"/>
      <c r="E340" s="122"/>
      <c r="F340" s="118"/>
      <c r="G340" s="204"/>
      <c r="H340" s="205"/>
      <c r="I340" s="60"/>
      <c r="N340" s="37"/>
    </row>
    <row r="341" spans="1:14" s="2" customFormat="1" ht="15.75" customHeight="1" x14ac:dyDescent="0.25">
      <c r="A341" s="117">
        <f t="shared" si="47"/>
        <v>5</v>
      </c>
      <c r="B341" s="118"/>
      <c r="C341" s="36" t="s">
        <v>225</v>
      </c>
      <c r="D341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41" s="36">
        <v>0</v>
      </c>
      <c r="F341" s="36">
        <f>D341*(($F$169)+1)+E341</f>
        <v>1696.9783015457999</v>
      </c>
      <c r="G341" s="204"/>
      <c r="H341" s="205"/>
      <c r="I341" s="60"/>
      <c r="N341" s="37"/>
    </row>
    <row r="342" spans="1:14" s="2" customFormat="1" ht="15.75" customHeight="1" x14ac:dyDescent="0.25">
      <c r="A342" s="117">
        <f t="shared" si="47"/>
        <v>6</v>
      </c>
      <c r="B342" s="118"/>
      <c r="C342" s="117" t="s">
        <v>255</v>
      </c>
      <c r="D342" s="122"/>
      <c r="E342" s="122"/>
      <c r="F342" s="118"/>
      <c r="G342" s="204"/>
      <c r="H342" s="205"/>
      <c r="I342" s="60"/>
      <c r="N342" s="37"/>
    </row>
    <row r="343" spans="1:14" s="2" customFormat="1" ht="15.75" customHeight="1" x14ac:dyDescent="0.25">
      <c r="A343" s="117">
        <f t="shared" si="47"/>
        <v>7</v>
      </c>
      <c r="B343" s="118"/>
      <c r="C343" s="117" t="s">
        <v>256</v>
      </c>
      <c r="D343" s="122"/>
      <c r="E343" s="122"/>
      <c r="F343" s="118"/>
      <c r="G343" s="204"/>
      <c r="H343" s="205"/>
      <c r="I343" s="60"/>
      <c r="N343" s="37"/>
    </row>
    <row r="344" spans="1:14" s="2" customFormat="1" ht="15.75" customHeight="1" x14ac:dyDescent="0.25">
      <c r="A344" s="117">
        <f t="shared" si="47"/>
        <v>8</v>
      </c>
      <c r="B344" s="118"/>
      <c r="C344" s="36" t="s">
        <v>225</v>
      </c>
      <c r="D344" s="36">
        <f>(4.88*3.0481+2.16*2.1504+1*1.1+3.04*3.5056+1.3196*1.989+1.32*1.22+1.31*0.9+2.91*1.75+1.32*1.22)*10.764+(1.2*1+3.0479*4.88+3*1.2+2.7502*1.618+3.048*3.5064+3.048*3.8096+2.18*1.22+1.2193*1.681+2.18*1.5+2*0.9+1.21*0.4+1.75*2.87)*10.764</f>
        <v>1131.3188676971999</v>
      </c>
      <c r="E344" s="36">
        <v>0</v>
      </c>
      <c r="F344" s="36">
        <f>D344*(($F$169)+1)+E344</f>
        <v>1696.9783015457999</v>
      </c>
      <c r="G344" s="206"/>
      <c r="H344" s="207"/>
      <c r="I344" s="60"/>
      <c r="N344" s="37"/>
    </row>
    <row r="345" spans="1:14" s="2" customFormat="1" hidden="1" x14ac:dyDescent="0.25">
      <c r="A345" s="119" t="s">
        <v>230</v>
      </c>
      <c r="B345" s="120"/>
      <c r="C345" s="120"/>
      <c r="D345" s="120"/>
      <c r="E345" s="120"/>
      <c r="F345" s="120"/>
      <c r="G345" s="120"/>
      <c r="H345" s="121"/>
      <c r="I345" s="37"/>
      <c r="L345" s="123"/>
      <c r="M345" s="123"/>
    </row>
    <row r="346" spans="1:14" s="2" customFormat="1" hidden="1" x14ac:dyDescent="0.25">
      <c r="A346" s="117">
        <v>1</v>
      </c>
      <c r="B346" s="118"/>
      <c r="C346" s="36" t="s">
        <v>205</v>
      </c>
      <c r="D346" s="36"/>
      <c r="E346" s="36">
        <v>0</v>
      </c>
      <c r="F346" s="36">
        <f>D346*(($F$169)+1)+E346</f>
        <v>0</v>
      </c>
      <c r="G346" s="117" t="str">
        <f>A345</f>
        <v>7th Floor</v>
      </c>
      <c r="H346" s="118"/>
      <c r="I346" s="37"/>
      <c r="N346" s="37"/>
    </row>
    <row r="347" spans="1:14" s="2" customFormat="1" hidden="1" x14ac:dyDescent="0.25">
      <c r="A347" s="117">
        <v>2</v>
      </c>
      <c r="B347" s="118"/>
      <c r="C347" s="36" t="s">
        <v>205</v>
      </c>
      <c r="D347" s="36"/>
      <c r="E347" s="36">
        <v>0</v>
      </c>
      <c r="F347" s="36">
        <f t="shared" ref="F347:F348" si="48">D347*(($F$169)+1)+E347</f>
        <v>0</v>
      </c>
      <c r="G347" s="117" t="str">
        <f t="shared" ref="G347:G350" si="49">G346</f>
        <v>7th Floor</v>
      </c>
      <c r="H347" s="118"/>
      <c r="I347" s="37"/>
      <c r="N347" s="37"/>
    </row>
    <row r="348" spans="1:14" s="2" customFormat="1" hidden="1" x14ac:dyDescent="0.25">
      <c r="A348" s="117">
        <v>3</v>
      </c>
      <c r="B348" s="118"/>
      <c r="C348" s="36" t="s">
        <v>205</v>
      </c>
      <c r="D348" s="36"/>
      <c r="E348" s="36">
        <v>0</v>
      </c>
      <c r="F348" s="36">
        <f t="shared" si="48"/>
        <v>0</v>
      </c>
      <c r="G348" s="117" t="str">
        <f t="shared" si="49"/>
        <v>7th Floor</v>
      </c>
      <c r="H348" s="118"/>
      <c r="I348" s="37"/>
      <c r="N348" s="37"/>
    </row>
    <row r="349" spans="1:14" s="2" customFormat="1" hidden="1" x14ac:dyDescent="0.25">
      <c r="A349" s="117">
        <v>5</v>
      </c>
      <c r="B349" s="118"/>
      <c r="C349" s="36" t="s">
        <v>206</v>
      </c>
      <c r="D349" s="36">
        <f>(40.43+1.53+4.93)*10.764</f>
        <v>504.72395999999998</v>
      </c>
      <c r="E349" s="36">
        <v>0</v>
      </c>
      <c r="F349" s="36">
        <f>D349*(($F$169)+1)+E349</f>
        <v>757.08593999999994</v>
      </c>
      <c r="G349" s="117" t="str">
        <f t="shared" si="49"/>
        <v>7th Floor</v>
      </c>
      <c r="H349" s="118"/>
      <c r="I349" s="60"/>
      <c r="N349" s="37"/>
    </row>
    <row r="350" spans="1:14" s="2" customFormat="1" hidden="1" x14ac:dyDescent="0.25">
      <c r="A350" s="117">
        <v>6</v>
      </c>
      <c r="B350" s="118"/>
      <c r="C350" s="36" t="s">
        <v>205</v>
      </c>
      <c r="D350" s="36">
        <f>(59.72+1.84+4.86)*10.764</f>
        <v>714.94488000000001</v>
      </c>
      <c r="E350" s="36">
        <v>0</v>
      </c>
      <c r="F350" s="36">
        <f>D350*(($F$169)+1)+E350</f>
        <v>1072.41732</v>
      </c>
      <c r="G350" s="117" t="str">
        <f t="shared" si="49"/>
        <v>7th Floor</v>
      </c>
      <c r="H350" s="118"/>
      <c r="I350" s="60"/>
      <c r="N350" s="37"/>
    </row>
    <row r="351" spans="1:14" s="1" customFormat="1" x14ac:dyDescent="0.25">
      <c r="A351" s="178" t="s">
        <v>74</v>
      </c>
      <c r="B351" s="178"/>
      <c r="C351" s="178"/>
      <c r="D351" s="178"/>
      <c r="E351" s="178"/>
      <c r="F351" s="178"/>
      <c r="G351" s="178"/>
      <c r="H351" s="178"/>
    </row>
    <row r="352" spans="1:14" s="1" customFormat="1" ht="66" customHeight="1" x14ac:dyDescent="0.25">
      <c r="A352" s="41">
        <v>1</v>
      </c>
      <c r="B352" s="179" t="s">
        <v>292</v>
      </c>
      <c r="C352" s="180"/>
      <c r="D352" s="180"/>
      <c r="E352" s="180"/>
      <c r="F352" s="180"/>
      <c r="G352" s="180"/>
      <c r="H352" s="181"/>
    </row>
    <row r="353" spans="1:8" s="1" customFormat="1" hidden="1" x14ac:dyDescent="0.25">
      <c r="A353" s="41">
        <f>A352+1</f>
        <v>2</v>
      </c>
      <c r="B353" s="179" t="s">
        <v>162</v>
      </c>
      <c r="C353" s="180"/>
      <c r="D353" s="180"/>
      <c r="E353" s="180"/>
      <c r="F353" s="180"/>
      <c r="G353" s="180"/>
      <c r="H353" s="181"/>
    </row>
    <row r="354" spans="1:8" s="1" customFormat="1" hidden="1" x14ac:dyDescent="0.25">
      <c r="A354" s="41">
        <f t="shared" ref="A354:A362" si="50">A353+1</f>
        <v>3</v>
      </c>
      <c r="B354" s="179" t="s">
        <v>163</v>
      </c>
      <c r="C354" s="180"/>
      <c r="D354" s="180"/>
      <c r="E354" s="180"/>
      <c r="F354" s="180"/>
      <c r="G354" s="180"/>
      <c r="H354" s="181"/>
    </row>
    <row r="355" spans="1:8" s="1" customFormat="1" hidden="1" x14ac:dyDescent="0.25">
      <c r="A355" s="41">
        <f t="shared" si="50"/>
        <v>4</v>
      </c>
      <c r="B355" s="179" t="s">
        <v>164</v>
      </c>
      <c r="C355" s="180"/>
      <c r="D355" s="180"/>
      <c r="E355" s="180"/>
      <c r="F355" s="180"/>
      <c r="G355" s="180"/>
      <c r="H355" s="181"/>
    </row>
    <row r="356" spans="1:8" s="1" customFormat="1" x14ac:dyDescent="0.25">
      <c r="A356" s="41">
        <v>2</v>
      </c>
      <c r="B356" s="179" t="s">
        <v>165</v>
      </c>
      <c r="C356" s="180"/>
      <c r="D356" s="180"/>
      <c r="E356" s="180"/>
      <c r="F356" s="180"/>
      <c r="G356" s="180"/>
      <c r="H356" s="181"/>
    </row>
    <row r="357" spans="1:8" s="1" customFormat="1" x14ac:dyDescent="0.25">
      <c r="A357" s="41">
        <f t="shared" si="50"/>
        <v>3</v>
      </c>
      <c r="B357" s="179" t="s">
        <v>166</v>
      </c>
      <c r="C357" s="180"/>
      <c r="D357" s="180"/>
      <c r="E357" s="180"/>
      <c r="F357" s="180"/>
      <c r="G357" s="180"/>
      <c r="H357" s="181"/>
    </row>
    <row r="358" spans="1:8" s="1" customFormat="1" x14ac:dyDescent="0.25">
      <c r="A358" s="41">
        <f t="shared" si="50"/>
        <v>4</v>
      </c>
      <c r="B358" s="179" t="s">
        <v>236</v>
      </c>
      <c r="C358" s="180"/>
      <c r="D358" s="180"/>
      <c r="E358" s="180"/>
      <c r="F358" s="180"/>
      <c r="G358" s="180"/>
      <c r="H358" s="181"/>
    </row>
    <row r="359" spans="1:8" s="1" customFormat="1" ht="49.5" customHeight="1" x14ac:dyDescent="0.25">
      <c r="A359" s="41">
        <f t="shared" si="50"/>
        <v>5</v>
      </c>
      <c r="B359" s="184" t="s">
        <v>270</v>
      </c>
      <c r="C359" s="185"/>
      <c r="D359" s="185"/>
      <c r="E359" s="185"/>
      <c r="F359" s="185"/>
      <c r="G359" s="185"/>
      <c r="H359" s="186"/>
    </row>
    <row r="360" spans="1:8" s="63" customFormat="1" ht="35.25" customHeight="1" x14ac:dyDescent="0.25">
      <c r="A360" s="41">
        <f t="shared" si="50"/>
        <v>6</v>
      </c>
      <c r="B360" s="179" t="s">
        <v>271</v>
      </c>
      <c r="C360" s="180"/>
      <c r="D360" s="180"/>
      <c r="E360" s="180"/>
      <c r="F360" s="180"/>
      <c r="G360" s="180"/>
      <c r="H360" s="181"/>
    </row>
    <row r="361" spans="1:8" s="63" customFormat="1" x14ac:dyDescent="0.25">
      <c r="A361" s="41">
        <f t="shared" si="50"/>
        <v>7</v>
      </c>
      <c r="B361" s="179" t="s">
        <v>272</v>
      </c>
      <c r="C361" s="180"/>
      <c r="D361" s="180"/>
      <c r="E361" s="180"/>
      <c r="F361" s="180"/>
      <c r="G361" s="180"/>
      <c r="H361" s="181"/>
    </row>
    <row r="362" spans="1:8" s="63" customFormat="1" hidden="1" x14ac:dyDescent="0.25">
      <c r="A362" s="62">
        <f t="shared" si="50"/>
        <v>8</v>
      </c>
      <c r="B362" s="179" t="s">
        <v>272</v>
      </c>
      <c r="C362" s="180"/>
      <c r="D362" s="180"/>
      <c r="E362" s="180"/>
      <c r="F362" s="180"/>
      <c r="G362" s="180"/>
      <c r="H362" s="181"/>
    </row>
    <row r="363" spans="1:8" s="63" customFormat="1" hidden="1" x14ac:dyDescent="0.25">
      <c r="A363" s="62">
        <v>8</v>
      </c>
      <c r="B363" s="179" t="s">
        <v>286</v>
      </c>
      <c r="C363" s="180"/>
      <c r="D363" s="180"/>
      <c r="E363" s="180"/>
      <c r="F363" s="180"/>
      <c r="G363" s="180"/>
      <c r="H363" s="181"/>
    </row>
    <row r="364" spans="1:8" x14ac:dyDescent="0.25">
      <c r="A364" s="182" t="s">
        <v>67</v>
      </c>
      <c r="B364" s="182"/>
      <c r="C364" s="182"/>
      <c r="D364" s="182"/>
      <c r="E364" s="182"/>
      <c r="F364" s="182"/>
      <c r="G364" s="182"/>
      <c r="H364" s="182"/>
    </row>
    <row r="365" spans="1:8" x14ac:dyDescent="0.25">
      <c r="A365" s="136" t="s">
        <v>68</v>
      </c>
      <c r="B365" s="136"/>
      <c r="C365" s="136"/>
      <c r="D365" s="136"/>
      <c r="E365" s="136"/>
      <c r="F365" s="136"/>
      <c r="G365" s="136"/>
      <c r="H365" s="136"/>
    </row>
    <row r="366" spans="1:8" ht="15.75" customHeight="1" x14ac:dyDescent="0.25">
      <c r="A366" s="183" t="s">
        <v>69</v>
      </c>
      <c r="B366" s="183"/>
      <c r="C366" s="183"/>
      <c r="D366" s="183"/>
      <c r="E366" s="183"/>
      <c r="F366" s="183"/>
      <c r="G366" s="183"/>
      <c r="H366" s="183"/>
    </row>
    <row r="367" spans="1:8" x14ac:dyDescent="0.25">
      <c r="A367" s="136" t="s">
        <v>70</v>
      </c>
      <c r="B367" s="136"/>
      <c r="C367" s="136"/>
      <c r="D367" s="136"/>
      <c r="E367" s="136"/>
      <c r="F367" s="136"/>
      <c r="G367" s="136"/>
      <c r="H367" s="136"/>
    </row>
    <row r="368" spans="1:8" x14ac:dyDescent="0.25">
      <c r="A368" s="136" t="s">
        <v>71</v>
      </c>
      <c r="B368" s="136"/>
      <c r="C368" s="136"/>
      <c r="D368" s="136"/>
      <c r="E368" s="136"/>
      <c r="F368" s="136"/>
      <c r="G368" s="136"/>
      <c r="H368" s="136"/>
    </row>
    <row r="369" spans="1:8" hidden="1" x14ac:dyDescent="0.25">
      <c r="A369" s="136" t="s">
        <v>167</v>
      </c>
      <c r="B369" s="136"/>
      <c r="C369" s="136"/>
      <c r="D369" s="136"/>
      <c r="E369" s="136"/>
      <c r="F369" s="136"/>
      <c r="G369" s="136"/>
      <c r="H369" s="136"/>
    </row>
    <row r="370" spans="1:8" ht="35.25" hidden="1" customHeight="1" x14ac:dyDescent="0.25">
      <c r="A370" s="135" t="s">
        <v>168</v>
      </c>
      <c r="B370" s="135"/>
      <c r="C370" s="135"/>
      <c r="D370" s="135"/>
      <c r="E370" s="135"/>
      <c r="F370" s="135"/>
      <c r="G370" s="135"/>
      <c r="H370" s="135"/>
    </row>
    <row r="371" spans="1:8" x14ac:dyDescent="0.25">
      <c r="A371" s="177" t="s">
        <v>105</v>
      </c>
      <c r="B371" s="177"/>
      <c r="C371" s="177" t="s">
        <v>290</v>
      </c>
      <c r="D371" s="177"/>
      <c r="E371" s="177" t="s">
        <v>140</v>
      </c>
      <c r="F371" s="177"/>
      <c r="G371" s="177" t="s">
        <v>289</v>
      </c>
      <c r="H371" s="177"/>
    </row>
    <row r="372" spans="1:8" x14ac:dyDescent="0.25">
      <c r="A372" s="176" t="s">
        <v>107</v>
      </c>
      <c r="B372" s="176"/>
      <c r="C372" s="176"/>
      <c r="D372" s="176"/>
      <c r="E372" s="176"/>
      <c r="F372" s="176"/>
      <c r="G372" s="176"/>
      <c r="H372" s="176"/>
    </row>
    <row r="373" spans="1:8" x14ac:dyDescent="0.25">
      <c r="A373" s="176"/>
      <c r="B373" s="176"/>
      <c r="C373" s="176"/>
      <c r="D373" s="176"/>
      <c r="E373" s="176"/>
      <c r="F373" s="176"/>
      <c r="G373" s="176"/>
      <c r="H373" s="176"/>
    </row>
    <row r="374" spans="1:8" x14ac:dyDescent="0.25">
      <c r="A374" s="176"/>
      <c r="B374" s="176"/>
      <c r="C374" s="176"/>
      <c r="D374" s="176"/>
      <c r="E374" s="176"/>
      <c r="F374" s="176"/>
      <c r="G374" s="176"/>
      <c r="H374" s="176"/>
    </row>
    <row r="375" spans="1:8" x14ac:dyDescent="0.25">
      <c r="A375" s="176"/>
      <c r="B375" s="176"/>
      <c r="C375" s="176"/>
      <c r="D375" s="176"/>
      <c r="E375" s="176"/>
      <c r="F375" s="176"/>
      <c r="G375" s="176"/>
      <c r="H375" s="176"/>
    </row>
    <row r="376" spans="1:8" x14ac:dyDescent="0.25">
      <c r="A376" s="14" t="s">
        <v>72</v>
      </c>
      <c r="B376" s="15"/>
      <c r="C376" s="15"/>
      <c r="D376" s="14" t="str">
        <f>E8</f>
        <v>Q Islands R4 to R7</v>
      </c>
      <c r="F376" s="15"/>
      <c r="G376" s="15"/>
      <c r="H376" s="15"/>
    </row>
    <row r="377" spans="1:8" x14ac:dyDescent="0.25">
      <c r="A377" s="15"/>
      <c r="B377" s="15"/>
      <c r="C377" s="15"/>
      <c r="D377" s="15"/>
      <c r="E377" s="15"/>
      <c r="F377" s="15"/>
      <c r="G377" s="15"/>
      <c r="H377" s="15"/>
    </row>
    <row r="378" spans="1:8" x14ac:dyDescent="0.25">
      <c r="A378" s="15"/>
      <c r="B378" s="15"/>
      <c r="C378" s="15"/>
      <c r="D378" s="15"/>
      <c r="E378" s="15"/>
      <c r="F378" s="15"/>
      <c r="G378" s="15"/>
      <c r="H378" s="15"/>
    </row>
    <row r="379" spans="1:8" ht="15" customHeight="1" x14ac:dyDescent="0.25"/>
    <row r="419" spans="1:1" x14ac:dyDescent="0.25">
      <c r="A419" s="17" t="s">
        <v>73</v>
      </c>
    </row>
  </sheetData>
  <mergeCells count="673">
    <mergeCell ref="I10:L10"/>
    <mergeCell ref="B362:H362"/>
    <mergeCell ref="A291:H291"/>
    <mergeCell ref="L291:M291"/>
    <mergeCell ref="A292:B292"/>
    <mergeCell ref="G292:H299"/>
    <mergeCell ref="A293:B293"/>
    <mergeCell ref="A294:B294"/>
    <mergeCell ref="A295:B295"/>
    <mergeCell ref="A296:B296"/>
    <mergeCell ref="A297:B297"/>
    <mergeCell ref="A298:B298"/>
    <mergeCell ref="A299:B299"/>
    <mergeCell ref="A336:H336"/>
    <mergeCell ref="L336:M336"/>
    <mergeCell ref="A337:B337"/>
    <mergeCell ref="C337:F337"/>
    <mergeCell ref="G337:H344"/>
    <mergeCell ref="A338:B338"/>
    <mergeCell ref="A339:B339"/>
    <mergeCell ref="A340:B340"/>
    <mergeCell ref="A341:B341"/>
    <mergeCell ref="A342:B342"/>
    <mergeCell ref="A343:B343"/>
    <mergeCell ref="A344:B344"/>
    <mergeCell ref="C340:F340"/>
    <mergeCell ref="C342:F342"/>
    <mergeCell ref="C343:F343"/>
    <mergeCell ref="A327:H327"/>
    <mergeCell ref="L327:M327"/>
    <mergeCell ref="A328:B328"/>
    <mergeCell ref="G328:H335"/>
    <mergeCell ref="A329:B329"/>
    <mergeCell ref="A330:B330"/>
    <mergeCell ref="A331:B331"/>
    <mergeCell ref="A332:B332"/>
    <mergeCell ref="A333:B333"/>
    <mergeCell ref="A334:B334"/>
    <mergeCell ref="A335:B335"/>
    <mergeCell ref="C329:F329"/>
    <mergeCell ref="C331:F331"/>
    <mergeCell ref="C333:F333"/>
    <mergeCell ref="C334:F334"/>
    <mergeCell ref="A318:H318"/>
    <mergeCell ref="L318:M318"/>
    <mergeCell ref="A319:B319"/>
    <mergeCell ref="C319:F319"/>
    <mergeCell ref="G319:H326"/>
    <mergeCell ref="A320:B320"/>
    <mergeCell ref="A321:B321"/>
    <mergeCell ref="A322:B322"/>
    <mergeCell ref="A323:B323"/>
    <mergeCell ref="A324:B324"/>
    <mergeCell ref="A325:B325"/>
    <mergeCell ref="A326:B326"/>
    <mergeCell ref="L282:M282"/>
    <mergeCell ref="A53:B53"/>
    <mergeCell ref="C53:E53"/>
    <mergeCell ref="G53:H53"/>
    <mergeCell ref="L279:M279"/>
    <mergeCell ref="L280:M280"/>
    <mergeCell ref="L281:M281"/>
    <mergeCell ref="A223:H223"/>
    <mergeCell ref="A202:B202"/>
    <mergeCell ref="G202:H202"/>
    <mergeCell ref="A205:H205"/>
    <mergeCell ref="L234:M234"/>
    <mergeCell ref="L236:M236"/>
    <mergeCell ref="A237:B237"/>
    <mergeCell ref="G237:H237"/>
    <mergeCell ref="A238:B238"/>
    <mergeCell ref="L245:M245"/>
    <mergeCell ref="A246:B246"/>
    <mergeCell ref="A197:B197"/>
    <mergeCell ref="G197:H197"/>
    <mergeCell ref="A198:B198"/>
    <mergeCell ref="G198:H198"/>
    <mergeCell ref="A199:B199"/>
    <mergeCell ref="G199:H199"/>
    <mergeCell ref="A350:B350"/>
    <mergeCell ref="G350:H350"/>
    <mergeCell ref="A347:B347"/>
    <mergeCell ref="G347:H347"/>
    <mergeCell ref="A348:B348"/>
    <mergeCell ref="G348:H348"/>
    <mergeCell ref="A349:B349"/>
    <mergeCell ref="G349:H349"/>
    <mergeCell ref="A279:H279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80:H280"/>
    <mergeCell ref="A281:H281"/>
    <mergeCell ref="A345:H345"/>
    <mergeCell ref="A282:H282"/>
    <mergeCell ref="A310:B310"/>
    <mergeCell ref="G310:H317"/>
    <mergeCell ref="A311:B311"/>
    <mergeCell ref="L345:M345"/>
    <mergeCell ref="A346:B346"/>
    <mergeCell ref="G346:H346"/>
    <mergeCell ref="G283:H290"/>
    <mergeCell ref="A300:H300"/>
    <mergeCell ref="L300:M300"/>
    <mergeCell ref="A301:B301"/>
    <mergeCell ref="G301:H308"/>
    <mergeCell ref="A302:B302"/>
    <mergeCell ref="A303:B303"/>
    <mergeCell ref="A304:B304"/>
    <mergeCell ref="A305:B305"/>
    <mergeCell ref="A306:B306"/>
    <mergeCell ref="A307:B307"/>
    <mergeCell ref="A308:B308"/>
    <mergeCell ref="C301:F301"/>
    <mergeCell ref="A309:H309"/>
    <mergeCell ref="L309:M309"/>
    <mergeCell ref="A312:B312"/>
    <mergeCell ref="A313:B313"/>
    <mergeCell ref="A314:B314"/>
    <mergeCell ref="A315:B315"/>
    <mergeCell ref="A316:B316"/>
    <mergeCell ref="A317:B317"/>
    <mergeCell ref="E40:H40"/>
    <mergeCell ref="A40:D40"/>
    <mergeCell ref="A99:B99"/>
    <mergeCell ref="F136:H136"/>
    <mergeCell ref="A170:H170"/>
    <mergeCell ref="G191:H191"/>
    <mergeCell ref="A192:B192"/>
    <mergeCell ref="G192:H192"/>
    <mergeCell ref="A193:B193"/>
    <mergeCell ref="A147:E147"/>
    <mergeCell ref="G160:H160"/>
    <mergeCell ref="A98:B98"/>
    <mergeCell ref="A73:C73"/>
    <mergeCell ref="A52:B52"/>
    <mergeCell ref="C52:E52"/>
    <mergeCell ref="G52:H52"/>
    <mergeCell ref="A54:B55"/>
    <mergeCell ref="C54:E54"/>
    <mergeCell ref="G54:H54"/>
    <mergeCell ref="C55:H55"/>
    <mergeCell ref="A187:H187"/>
    <mergeCell ref="A188:B188"/>
    <mergeCell ref="A133:H133"/>
    <mergeCell ref="A134:B134"/>
    <mergeCell ref="L232:M232"/>
    <mergeCell ref="A233:B233"/>
    <mergeCell ref="G233:H233"/>
    <mergeCell ref="L223:M223"/>
    <mergeCell ref="A206:B206"/>
    <mergeCell ref="G206:H206"/>
    <mergeCell ref="A207:B207"/>
    <mergeCell ref="G207:H207"/>
    <mergeCell ref="A208:B208"/>
    <mergeCell ref="A232:H232"/>
    <mergeCell ref="A215:B215"/>
    <mergeCell ref="G215:H215"/>
    <mergeCell ref="A216:B216"/>
    <mergeCell ref="G216:H216"/>
    <mergeCell ref="A217:B217"/>
    <mergeCell ref="G217:H217"/>
    <mergeCell ref="A218:B218"/>
    <mergeCell ref="G218:H218"/>
    <mergeCell ref="A227:B227"/>
    <mergeCell ref="G227:H227"/>
    <mergeCell ref="A228:B228"/>
    <mergeCell ref="G228:H228"/>
    <mergeCell ref="A224:B224"/>
    <mergeCell ref="G224:H224"/>
    <mergeCell ref="L166:M166"/>
    <mergeCell ref="G226:H226"/>
    <mergeCell ref="A211:B211"/>
    <mergeCell ref="G211:H211"/>
    <mergeCell ref="A221:B221"/>
    <mergeCell ref="G203:H203"/>
    <mergeCell ref="A204:B204"/>
    <mergeCell ref="A212:B212"/>
    <mergeCell ref="G212:H212"/>
    <mergeCell ref="A213:B213"/>
    <mergeCell ref="G213:H213"/>
    <mergeCell ref="C213:F213"/>
    <mergeCell ref="A214:H214"/>
    <mergeCell ref="A219:B219"/>
    <mergeCell ref="G219:H219"/>
    <mergeCell ref="A220:B220"/>
    <mergeCell ref="A178:H178"/>
    <mergeCell ref="G185:H185"/>
    <mergeCell ref="A186:B186"/>
    <mergeCell ref="G186:H186"/>
    <mergeCell ref="G195:H195"/>
    <mergeCell ref="G220:H220"/>
    <mergeCell ref="G221:H221"/>
    <mergeCell ref="L214:M214"/>
    <mergeCell ref="L160:M160"/>
    <mergeCell ref="A172:H172"/>
    <mergeCell ref="A203:B203"/>
    <mergeCell ref="G204:H204"/>
    <mergeCell ref="A171:H171"/>
    <mergeCell ref="L171:M171"/>
    <mergeCell ref="L196:M196"/>
    <mergeCell ref="L165:M165"/>
    <mergeCell ref="L164:M164"/>
    <mergeCell ref="L163:M163"/>
    <mergeCell ref="L162:M162"/>
    <mergeCell ref="L161:M161"/>
    <mergeCell ref="L170:M170"/>
    <mergeCell ref="L187:M187"/>
    <mergeCell ref="G188:H188"/>
    <mergeCell ref="A189:B189"/>
    <mergeCell ref="G189:H189"/>
    <mergeCell ref="L178:M178"/>
    <mergeCell ref="A179:B179"/>
    <mergeCell ref="G179:H179"/>
    <mergeCell ref="A180:B180"/>
    <mergeCell ref="G180:H180"/>
    <mergeCell ref="A181:B181"/>
    <mergeCell ref="G181:H181"/>
    <mergeCell ref="A135:H135"/>
    <mergeCell ref="G151:H151"/>
    <mergeCell ref="G164:H164"/>
    <mergeCell ref="G163:H163"/>
    <mergeCell ref="A190:B190"/>
    <mergeCell ref="G190:H190"/>
    <mergeCell ref="A191:B191"/>
    <mergeCell ref="F138:H138"/>
    <mergeCell ref="A143:E143"/>
    <mergeCell ref="A149:H149"/>
    <mergeCell ref="D157:D158"/>
    <mergeCell ref="C168:C169"/>
    <mergeCell ref="A165:B165"/>
    <mergeCell ref="A182:B182"/>
    <mergeCell ref="G182:H182"/>
    <mergeCell ref="G166:H166"/>
    <mergeCell ref="G165:H165"/>
    <mergeCell ref="G161:H161"/>
    <mergeCell ref="A153:B153"/>
    <mergeCell ref="D168:D169"/>
    <mergeCell ref="E168:E169"/>
    <mergeCell ref="G168:H169"/>
    <mergeCell ref="A166:B166"/>
    <mergeCell ref="A160:B160"/>
    <mergeCell ref="A161:B161"/>
    <mergeCell ref="G193:H193"/>
    <mergeCell ref="A194:B194"/>
    <mergeCell ref="G194:H194"/>
    <mergeCell ref="A159:H159"/>
    <mergeCell ref="E157:E158"/>
    <mergeCell ref="G157:H158"/>
    <mergeCell ref="A155:H155"/>
    <mergeCell ref="A154:B154"/>
    <mergeCell ref="B168:B169"/>
    <mergeCell ref="A168:A169"/>
    <mergeCell ref="G162:H162"/>
    <mergeCell ref="A162:B162"/>
    <mergeCell ref="A163:B163"/>
    <mergeCell ref="A164:B164"/>
    <mergeCell ref="A167:H167"/>
    <mergeCell ref="A46:B46"/>
    <mergeCell ref="A183:B183"/>
    <mergeCell ref="G183:H183"/>
    <mergeCell ref="A184:B184"/>
    <mergeCell ref="G184:H184"/>
    <mergeCell ref="A185:B185"/>
    <mergeCell ref="C46:E46"/>
    <mergeCell ref="G46:H46"/>
    <mergeCell ref="G49:H49"/>
    <mergeCell ref="D64:H64"/>
    <mergeCell ref="C49:E49"/>
    <mergeCell ref="D67:H67"/>
    <mergeCell ref="D68:H68"/>
    <mergeCell ref="C48:E48"/>
    <mergeCell ref="A62:B62"/>
    <mergeCell ref="C62:E62"/>
    <mergeCell ref="A48:B48"/>
    <mergeCell ref="A94:B94"/>
    <mergeCell ref="G93:H93"/>
    <mergeCell ref="A92:B92"/>
    <mergeCell ref="A90:B90"/>
    <mergeCell ref="C90:H90"/>
    <mergeCell ref="A63:H63"/>
    <mergeCell ref="A64:C64"/>
    <mergeCell ref="A372:H375"/>
    <mergeCell ref="A371:B371"/>
    <mergeCell ref="E371:F371"/>
    <mergeCell ref="C371:D371"/>
    <mergeCell ref="G371:H371"/>
    <mergeCell ref="A367:H367"/>
    <mergeCell ref="A370:H370"/>
    <mergeCell ref="A368:H368"/>
    <mergeCell ref="A351:H351"/>
    <mergeCell ref="B357:H357"/>
    <mergeCell ref="B358:H358"/>
    <mergeCell ref="B352:H352"/>
    <mergeCell ref="B353:H353"/>
    <mergeCell ref="A369:H369"/>
    <mergeCell ref="B363:H363"/>
    <mergeCell ref="A364:H364"/>
    <mergeCell ref="A365:H365"/>
    <mergeCell ref="A366:H366"/>
    <mergeCell ref="B354:H354"/>
    <mergeCell ref="B355:H355"/>
    <mergeCell ref="B356:H356"/>
    <mergeCell ref="B359:H359"/>
    <mergeCell ref="B360:H360"/>
    <mergeCell ref="B361:H361"/>
    <mergeCell ref="E94:F103"/>
    <mergeCell ref="G94:H103"/>
    <mergeCell ref="A102:B102"/>
    <mergeCell ref="A103:B103"/>
    <mergeCell ref="D72:H72"/>
    <mergeCell ref="A86:B86"/>
    <mergeCell ref="A87:B87"/>
    <mergeCell ref="A88:B88"/>
    <mergeCell ref="A89:B89"/>
    <mergeCell ref="D73:H73"/>
    <mergeCell ref="A78:B78"/>
    <mergeCell ref="C78:D78"/>
    <mergeCell ref="E78:F78"/>
    <mergeCell ref="G78:H7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11:D11"/>
    <mergeCell ref="E11:H1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A37:B37"/>
    <mergeCell ref="C37:H37"/>
    <mergeCell ref="C134:H134"/>
    <mergeCell ref="F137:H137"/>
    <mergeCell ref="A137:E137"/>
    <mergeCell ref="A146:E146"/>
    <mergeCell ref="A138:E138"/>
    <mergeCell ref="C153:D153"/>
    <mergeCell ref="G153:H153"/>
    <mergeCell ref="A140:E140"/>
    <mergeCell ref="F140:H140"/>
    <mergeCell ref="F145:H145"/>
    <mergeCell ref="A139:E139"/>
    <mergeCell ref="A141:E141"/>
    <mergeCell ref="F141:H141"/>
    <mergeCell ref="A142:E142"/>
    <mergeCell ref="A144:E144"/>
    <mergeCell ref="E153:F153"/>
    <mergeCell ref="E150:F150"/>
    <mergeCell ref="A150:B150"/>
    <mergeCell ref="F143:H143"/>
    <mergeCell ref="C150:D150"/>
    <mergeCell ref="F147:H147"/>
    <mergeCell ref="A148:E148"/>
    <mergeCell ref="F148:H148"/>
    <mergeCell ref="A151:B151"/>
    <mergeCell ref="A152:H152"/>
    <mergeCell ref="C157:C158"/>
    <mergeCell ref="A101:B101"/>
    <mergeCell ref="C154:D154"/>
    <mergeCell ref="E154:F154"/>
    <mergeCell ref="G154:H154"/>
    <mergeCell ref="F142:H142"/>
    <mergeCell ref="A136:E136"/>
    <mergeCell ref="A132:E132"/>
    <mergeCell ref="F132:H132"/>
    <mergeCell ref="F139:H139"/>
    <mergeCell ref="F146:H146"/>
    <mergeCell ref="F144:H144"/>
    <mergeCell ref="A156:H156"/>
    <mergeCell ref="G150:H150"/>
    <mergeCell ref="A145:E145"/>
    <mergeCell ref="C151:D151"/>
    <mergeCell ref="B157:B158"/>
    <mergeCell ref="A157:A158"/>
    <mergeCell ref="A108:B108"/>
    <mergeCell ref="E151:F151"/>
    <mergeCell ref="A104:B104"/>
    <mergeCell ref="C104:H104"/>
    <mergeCell ref="A106:B106"/>
    <mergeCell ref="L172:M172"/>
    <mergeCell ref="G208:H208"/>
    <mergeCell ref="A209:B209"/>
    <mergeCell ref="G209:H209"/>
    <mergeCell ref="A210:B210"/>
    <mergeCell ref="G210:H210"/>
    <mergeCell ref="A196:H196"/>
    <mergeCell ref="A195:B195"/>
    <mergeCell ref="A222:B222"/>
    <mergeCell ref="G222:H222"/>
    <mergeCell ref="A200:B200"/>
    <mergeCell ref="G200:H200"/>
    <mergeCell ref="A201:B201"/>
    <mergeCell ref="G201:H201"/>
    <mergeCell ref="L205:M205"/>
    <mergeCell ref="A225:B225"/>
    <mergeCell ref="G225:H225"/>
    <mergeCell ref="A226:B226"/>
    <mergeCell ref="A254:H254"/>
    <mergeCell ref="A244:B244"/>
    <mergeCell ref="G244:H244"/>
    <mergeCell ref="A245:H245"/>
    <mergeCell ref="A250:B250"/>
    <mergeCell ref="G250:H250"/>
    <mergeCell ref="A251:B251"/>
    <mergeCell ref="G251:H251"/>
    <mergeCell ref="A229:B229"/>
    <mergeCell ref="G229:H229"/>
    <mergeCell ref="A230:B230"/>
    <mergeCell ref="G230:H230"/>
    <mergeCell ref="A231:B231"/>
    <mergeCell ref="G231:H231"/>
    <mergeCell ref="G267:H267"/>
    <mergeCell ref="A259:B259"/>
    <mergeCell ref="A235:B235"/>
    <mergeCell ref="G235:H235"/>
    <mergeCell ref="A243:B243"/>
    <mergeCell ref="G243:H243"/>
    <mergeCell ref="A263:H263"/>
    <mergeCell ref="A265:B265"/>
    <mergeCell ref="G265:H265"/>
    <mergeCell ref="A266:B266"/>
    <mergeCell ref="G266:H266"/>
    <mergeCell ref="A267:B267"/>
    <mergeCell ref="G260:H260"/>
    <mergeCell ref="G238:H238"/>
    <mergeCell ref="A239:B239"/>
    <mergeCell ref="G239:H239"/>
    <mergeCell ref="A240:B240"/>
    <mergeCell ref="G240:H240"/>
    <mergeCell ref="L254:M254"/>
    <mergeCell ref="A236:H236"/>
    <mergeCell ref="A241:B241"/>
    <mergeCell ref="G241:H241"/>
    <mergeCell ref="A242:B242"/>
    <mergeCell ref="G242:H242"/>
    <mergeCell ref="A255:B255"/>
    <mergeCell ref="G255:H255"/>
    <mergeCell ref="C50:H50"/>
    <mergeCell ref="A176:B176"/>
    <mergeCell ref="G176:H176"/>
    <mergeCell ref="G246:H246"/>
    <mergeCell ref="A247:B247"/>
    <mergeCell ref="G247:H247"/>
    <mergeCell ref="A248:B248"/>
    <mergeCell ref="G248:H248"/>
    <mergeCell ref="A249:B249"/>
    <mergeCell ref="G249:H249"/>
    <mergeCell ref="A234:H234"/>
    <mergeCell ref="A252:B252"/>
    <mergeCell ref="G252:H252"/>
    <mergeCell ref="A253:B253"/>
    <mergeCell ref="C253:F253"/>
    <mergeCell ref="G253:H253"/>
    <mergeCell ref="L274:M274"/>
    <mergeCell ref="A275:B275"/>
    <mergeCell ref="G275:H275"/>
    <mergeCell ref="A276:B276"/>
    <mergeCell ref="G276:H276"/>
    <mergeCell ref="L268:M268"/>
    <mergeCell ref="A269:B269"/>
    <mergeCell ref="G269:H269"/>
    <mergeCell ref="A270:B270"/>
    <mergeCell ref="G270:H270"/>
    <mergeCell ref="A271:B271"/>
    <mergeCell ref="G271:H271"/>
    <mergeCell ref="A272:B272"/>
    <mergeCell ref="G272:H272"/>
    <mergeCell ref="L263:M263"/>
    <mergeCell ref="A261:B261"/>
    <mergeCell ref="G261:H261"/>
    <mergeCell ref="A262:B262"/>
    <mergeCell ref="C262:F262"/>
    <mergeCell ref="G262:H262"/>
    <mergeCell ref="A264:B264"/>
    <mergeCell ref="G264:H264"/>
    <mergeCell ref="A173:H173"/>
    <mergeCell ref="L173:M173"/>
    <mergeCell ref="A256:B256"/>
    <mergeCell ref="G256:H256"/>
    <mergeCell ref="A257:B257"/>
    <mergeCell ref="G257:H257"/>
    <mergeCell ref="A258:B258"/>
    <mergeCell ref="G258:H258"/>
    <mergeCell ref="G259:H259"/>
    <mergeCell ref="A260:B260"/>
    <mergeCell ref="A177:B177"/>
    <mergeCell ref="G177:H177"/>
    <mergeCell ref="A174:B174"/>
    <mergeCell ref="G174:H174"/>
    <mergeCell ref="A175:B175"/>
    <mergeCell ref="G175:H175"/>
    <mergeCell ref="A278:B278"/>
    <mergeCell ref="G278:H278"/>
    <mergeCell ref="A268:H268"/>
    <mergeCell ref="A273:B273"/>
    <mergeCell ref="G273:H273"/>
    <mergeCell ref="C273:F273"/>
    <mergeCell ref="A274:H274"/>
    <mergeCell ref="A277:B277"/>
    <mergeCell ref="G277:H277"/>
    <mergeCell ref="C106:H106"/>
    <mergeCell ref="A107:B107"/>
    <mergeCell ref="E107:F107"/>
    <mergeCell ref="G107:H107"/>
    <mergeCell ref="A77:B77"/>
    <mergeCell ref="C77:H77"/>
    <mergeCell ref="A79:B79"/>
    <mergeCell ref="E79:F79"/>
    <mergeCell ref="G79:H79"/>
    <mergeCell ref="A80:B80"/>
    <mergeCell ref="E80:F89"/>
    <mergeCell ref="G80:H89"/>
    <mergeCell ref="A81:B81"/>
    <mergeCell ref="A82:B82"/>
    <mergeCell ref="A83:B83"/>
    <mergeCell ref="A84:B84"/>
    <mergeCell ref="A85:B85"/>
    <mergeCell ref="A97:B97"/>
    <mergeCell ref="A100:B100"/>
    <mergeCell ref="A93:B93"/>
    <mergeCell ref="A96:B96"/>
    <mergeCell ref="C92:H92"/>
    <mergeCell ref="A95:B95"/>
    <mergeCell ref="E93:F93"/>
    <mergeCell ref="E108:F117"/>
    <mergeCell ref="G108:H117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C118:H118"/>
    <mergeCell ref="A120:B120"/>
    <mergeCell ref="C120:H120"/>
    <mergeCell ref="A121:B121"/>
    <mergeCell ref="E121:F121"/>
    <mergeCell ref="G121:H121"/>
    <mergeCell ref="A122:B122"/>
    <mergeCell ref="E122:F131"/>
    <mergeCell ref="G122:H131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60:B61"/>
    <mergeCell ref="C60:E60"/>
    <mergeCell ref="G60:H60"/>
    <mergeCell ref="C61:H61"/>
    <mergeCell ref="A75:B75"/>
    <mergeCell ref="C75:H75"/>
    <mergeCell ref="D69:H69"/>
    <mergeCell ref="D70:H70"/>
    <mergeCell ref="A67:C70"/>
    <mergeCell ref="D66:H66"/>
    <mergeCell ref="A66:C66"/>
    <mergeCell ref="A65:C65"/>
    <mergeCell ref="D65:H65"/>
    <mergeCell ref="G62:H62"/>
    <mergeCell ref="A74:C74"/>
    <mergeCell ref="D74:H74"/>
    <mergeCell ref="A71:C71"/>
    <mergeCell ref="A72:C72"/>
    <mergeCell ref="D71:H71"/>
    <mergeCell ref="A58:H58"/>
    <mergeCell ref="A47:H47"/>
    <mergeCell ref="A51:H51"/>
    <mergeCell ref="A56:B57"/>
    <mergeCell ref="C56:E56"/>
    <mergeCell ref="G56:H56"/>
    <mergeCell ref="C57:H57"/>
    <mergeCell ref="A59:B59"/>
    <mergeCell ref="C59:E59"/>
    <mergeCell ref="G59:H59"/>
    <mergeCell ref="G48:H48"/>
    <mergeCell ref="A49:B50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17" max="16383" man="1"/>
    <brk id="375" max="16383" man="1"/>
    <brk id="41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75</v>
      </c>
      <c r="C2" s="210"/>
      <c r="D2" s="210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76</v>
      </c>
      <c r="B4" s="5" t="s">
        <v>77</v>
      </c>
      <c r="C4" s="211" t="s">
        <v>78</v>
      </c>
      <c r="D4" s="211"/>
      <c r="E4" s="211"/>
      <c r="F4" s="6"/>
      <c r="G4" s="211" t="s">
        <v>79</v>
      </c>
      <c r="H4" s="211"/>
      <c r="I4" s="211"/>
      <c r="J4" s="211" t="s">
        <v>80</v>
      </c>
      <c r="K4" s="211"/>
      <c r="L4" s="211"/>
    </row>
    <row r="5" spans="1:12" x14ac:dyDescent="0.25">
      <c r="A5" s="3">
        <v>202</v>
      </c>
      <c r="B5" s="5"/>
      <c r="C5" s="5" t="s">
        <v>81</v>
      </c>
      <c r="D5" s="5" t="s">
        <v>82</v>
      </c>
      <c r="E5" s="5" t="s">
        <v>59</v>
      </c>
      <c r="F5" s="5"/>
      <c r="G5" s="5" t="s">
        <v>81</v>
      </c>
      <c r="H5" s="5" t="s">
        <v>82</v>
      </c>
      <c r="I5" s="5" t="s">
        <v>59</v>
      </c>
      <c r="J5" s="5" t="s">
        <v>81</v>
      </c>
      <c r="K5" s="5" t="s">
        <v>82</v>
      </c>
      <c r="L5" s="5" t="s">
        <v>59</v>
      </c>
    </row>
    <row r="6" spans="1:12" x14ac:dyDescent="0.25">
      <c r="B6" s="7" t="s">
        <v>83</v>
      </c>
      <c r="C6" s="7"/>
      <c r="D6" s="7"/>
      <c r="E6" s="7">
        <f>C6*D6</f>
        <v>0</v>
      </c>
      <c r="F6" s="7" t="s">
        <v>84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85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86</v>
      </c>
      <c r="C9" s="7"/>
      <c r="D9" s="7"/>
      <c r="E9" s="7">
        <f t="shared" si="0"/>
        <v>0</v>
      </c>
      <c r="F9" s="7" t="s">
        <v>84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85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87</v>
      </c>
      <c r="C13" s="7"/>
      <c r="D13" s="7"/>
      <c r="E13" s="7">
        <f t="shared" si="0"/>
        <v>0</v>
      </c>
      <c r="F13" s="7" t="s">
        <v>84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85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88</v>
      </c>
      <c r="C17" s="7"/>
      <c r="D17" s="7"/>
      <c r="E17" s="7">
        <f t="shared" si="0"/>
        <v>0</v>
      </c>
      <c r="F17" s="7" t="s">
        <v>84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85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88</v>
      </c>
      <c r="C20" s="7"/>
      <c r="D20" s="7"/>
      <c r="E20" s="7">
        <f t="shared" si="0"/>
        <v>0</v>
      </c>
      <c r="F20" s="7" t="s">
        <v>84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85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89</v>
      </c>
      <c r="C23" s="7"/>
      <c r="D23" s="7"/>
      <c r="E23" s="7">
        <f t="shared" si="0"/>
        <v>0</v>
      </c>
      <c r="F23" s="7" t="s">
        <v>90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91</v>
      </c>
      <c r="C24" s="7"/>
      <c r="D24" s="7"/>
      <c r="E24" s="7">
        <f t="shared" si="0"/>
        <v>0</v>
      </c>
      <c r="F24" s="7" t="s">
        <v>90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92</v>
      </c>
      <c r="C25" s="7"/>
      <c r="D25" s="7"/>
      <c r="E25" s="7">
        <f t="shared" si="0"/>
        <v>0</v>
      </c>
      <c r="F25" s="7" t="s">
        <v>90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93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94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95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96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60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2"/>
    <col min="2" max="2" width="22.140625" style="22" customWidth="1"/>
    <col min="3" max="3" width="37" style="22" customWidth="1"/>
    <col min="4" max="5" width="11.42578125" style="22" customWidth="1"/>
    <col min="6" max="6" width="14" style="22" customWidth="1"/>
    <col min="7" max="7" width="20" style="22" customWidth="1"/>
    <col min="8" max="8" width="16.42578125" style="22" customWidth="1"/>
    <col min="9" max="16384" width="8.7109375" style="22"/>
  </cols>
  <sheetData>
    <row r="1" spans="1:9" ht="15" customHeight="1" x14ac:dyDescent="0.25"/>
    <row r="2" spans="1:9" ht="15" customHeight="1" x14ac:dyDescent="0.2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25">
      <c r="A3" s="23"/>
      <c r="B3" s="212" t="s">
        <v>141</v>
      </c>
      <c r="C3" s="212"/>
      <c r="D3" s="212"/>
      <c r="E3" s="212"/>
      <c r="F3" s="212"/>
      <c r="G3" s="212"/>
      <c r="H3" s="212"/>
    </row>
    <row r="4" spans="1:9" x14ac:dyDescent="0.25">
      <c r="A4" s="23"/>
      <c r="B4" s="24" t="s">
        <v>142</v>
      </c>
      <c r="C4" s="24" t="s">
        <v>143</v>
      </c>
      <c r="D4" s="24" t="s">
        <v>76</v>
      </c>
      <c r="E4" s="24" t="s">
        <v>144</v>
      </c>
      <c r="F4" s="24" t="s">
        <v>151</v>
      </c>
      <c r="G4" s="24" t="s">
        <v>152</v>
      </c>
      <c r="H4" s="24" t="s">
        <v>145</v>
      </c>
    </row>
    <row r="5" spans="1:9" ht="15" customHeight="1" x14ac:dyDescent="0.25">
      <c r="A5" s="23"/>
      <c r="B5" s="26" t="s">
        <v>146</v>
      </c>
      <c r="C5" s="27"/>
      <c r="D5" s="26" t="s">
        <v>147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25">
      <c r="A6" s="23"/>
      <c r="B6" s="26" t="s">
        <v>146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25">
      <c r="A7" s="23"/>
      <c r="B7" s="26" t="s">
        <v>146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25">
      <c r="A8" s="23"/>
      <c r="B8" s="26" t="s">
        <v>146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25">
      <c r="A9" s="23"/>
      <c r="B9" s="26" t="s">
        <v>146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25">
      <c r="A10" s="23"/>
      <c r="B10" s="26" t="s">
        <v>148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25">
      <c r="A11" s="23"/>
      <c r="B11" s="26" t="s">
        <v>148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25">
      <c r="A12" s="23"/>
      <c r="B12" s="31" t="s">
        <v>149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25">
      <c r="B13" s="31" t="s">
        <v>150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2025-08-21T07:19:55Z</cp:lastPrinted>
  <dcterms:created xsi:type="dcterms:W3CDTF">2019-07-16T09:29:46Z</dcterms:created>
  <dcterms:modified xsi:type="dcterms:W3CDTF">2025-08-21T07:20:33Z</dcterms:modified>
</cp:coreProperties>
</file>