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63C379EA-6644-410D-93F1-1BB3AA19852B}" xr6:coauthVersionLast="36" xr6:coauthVersionMax="36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J151" i="1" l="1"/>
  <c r="K146" i="1"/>
  <c r="D188" i="1"/>
  <c r="D191" i="1"/>
  <c r="D190" i="1"/>
  <c r="D187" i="1"/>
  <c r="D186" i="1"/>
  <c r="D185" i="1"/>
  <c r="D184" i="1"/>
  <c r="D183" i="1"/>
  <c r="D182" i="1"/>
  <c r="D181" i="1"/>
  <c r="D179" i="1"/>
  <c r="D178" i="1"/>
  <c r="D176" i="1"/>
  <c r="D175" i="1"/>
  <c r="D174" i="1"/>
  <c r="D173" i="1"/>
  <c r="D172" i="1"/>
  <c r="D171" i="1"/>
  <c r="D170" i="1"/>
  <c r="D169" i="1"/>
  <c r="D167" i="1"/>
  <c r="D166" i="1"/>
  <c r="D165" i="1"/>
  <c r="D164" i="1"/>
  <c r="D163" i="1"/>
  <c r="D162" i="1"/>
  <c r="D161" i="1"/>
  <c r="D160" i="1"/>
  <c r="D159" i="1"/>
  <c r="D158" i="1"/>
  <c r="D157" i="1"/>
  <c r="D152" i="1"/>
  <c r="D151" i="1"/>
  <c r="J147" i="1" s="1"/>
  <c r="D150" i="1"/>
  <c r="L147" i="1" s="1"/>
  <c r="D149" i="1"/>
  <c r="D148" i="1"/>
  <c r="D147" i="1"/>
  <c r="D146" i="1"/>
  <c r="J146" i="1" s="1"/>
  <c r="D145" i="1"/>
  <c r="D143" i="1"/>
  <c r="D141" i="1"/>
  <c r="D140" i="1"/>
  <c r="D139" i="1"/>
  <c r="D138" i="1"/>
  <c r="D137" i="1"/>
  <c r="D136" i="1"/>
  <c r="D135" i="1"/>
  <c r="D134" i="1"/>
  <c r="D132" i="1"/>
  <c r="D130" i="1"/>
  <c r="D129" i="1"/>
  <c r="J129" i="1" s="1"/>
  <c r="D128" i="1"/>
  <c r="D127" i="1"/>
  <c r="D126" i="1"/>
  <c r="D125" i="1"/>
  <c r="D124" i="1"/>
  <c r="D123" i="1"/>
  <c r="D122" i="1"/>
  <c r="D121" i="1"/>
  <c r="K188" i="1"/>
  <c r="J191" i="1"/>
  <c r="K191" i="1" s="1"/>
  <c r="J188" i="1"/>
  <c r="G181" i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G169" i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G157" i="1"/>
  <c r="K147" i="1" l="1"/>
  <c r="L146" i="1"/>
  <c r="C111" i="1"/>
  <c r="E112" i="1"/>
  <c r="C112" i="1"/>
  <c r="G112" i="1"/>
  <c r="E111" i="1"/>
  <c r="C14" i="1"/>
  <c r="C113" i="1" l="1"/>
  <c r="E113" i="1"/>
  <c r="E29" i="1"/>
  <c r="J130" i="1" l="1"/>
  <c r="A122" i="1"/>
  <c r="A123" i="1" s="1"/>
  <c r="A124" i="1" s="1"/>
  <c r="A125" i="1" s="1"/>
  <c r="A126" i="1" s="1"/>
  <c r="A127" i="1" s="1"/>
  <c r="A128" i="1" s="1"/>
  <c r="A129" i="1" s="1"/>
  <c r="A130" i="1" s="1"/>
  <c r="G121" i="1"/>
  <c r="F108" i="1" l="1"/>
  <c r="B194" i="1" l="1"/>
  <c r="G111" i="1" l="1"/>
  <c r="G11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G143" i="1"/>
  <c r="G132" i="1"/>
  <c r="A133" i="1"/>
  <c r="A134" i="1" s="1"/>
  <c r="A135" i="1" s="1"/>
  <c r="A136" i="1" s="1"/>
  <c r="A137" i="1" s="1"/>
  <c r="A138" i="1" s="1"/>
  <c r="A139" i="1" s="1"/>
  <c r="A140" i="1" s="1"/>
  <c r="A141" i="1" s="1"/>
  <c r="J92" i="1"/>
  <c r="J91" i="1"/>
  <c r="J90" i="1"/>
  <c r="J89" i="1"/>
  <c r="C81" i="1"/>
  <c r="J78" i="1"/>
  <c r="J77" i="1"/>
  <c r="J76" i="1"/>
  <c r="J75" i="1"/>
  <c r="D55" i="1"/>
  <c r="G49" i="1"/>
  <c r="G50" i="1" s="1"/>
  <c r="C49" i="1"/>
  <c r="C50" i="1" s="1"/>
  <c r="E42" i="1"/>
  <c r="E43" i="1" s="1"/>
  <c r="E26" i="1"/>
  <c r="E24" i="1"/>
  <c r="E7" i="1"/>
  <c r="H82" i="1"/>
  <c r="H68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87" i="1"/>
  <c r="J88" i="1" s="1"/>
  <c r="J93" i="1" s="1"/>
  <c r="J94" i="1" s="1"/>
  <c r="C86" i="1" s="1"/>
  <c r="J85" i="1"/>
  <c r="J86" i="1"/>
  <c r="C85" i="1" s="1"/>
  <c r="J84" i="1"/>
  <c r="D87" i="1" l="1"/>
  <c r="J83" i="1"/>
  <c r="D73" i="1"/>
  <c r="J69" i="1"/>
  <c r="E71" i="1"/>
  <c r="D72" i="1"/>
  <c r="G71" i="1"/>
  <c r="D65" i="1" s="1"/>
  <c r="D71" i="1"/>
  <c r="J68" i="1" s="1"/>
  <c r="E85" i="1"/>
  <c r="D86" i="1"/>
  <c r="G85" i="1"/>
  <c r="D85" i="1"/>
  <c r="I82" i="1" l="1"/>
  <c r="I83" i="1" s="1"/>
  <c r="J82" i="1"/>
  <c r="I68" i="1"/>
  <c r="F66" i="1"/>
  <c r="D66" i="1"/>
  <c r="I81" i="1" l="1"/>
  <c r="C83" i="1" s="1"/>
  <c r="I69" i="1"/>
  <c r="I67" i="1" s="1"/>
  <c r="C69" i="1" s="1"/>
</calcChain>
</file>

<file path=xl/sharedStrings.xml><?xml version="1.0" encoding="utf-8"?>
<sst xmlns="http://schemas.openxmlformats.org/spreadsheetml/2006/main" count="304" uniqueCount="223">
  <si>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</si>
  <si>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</si>
  <si>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</si>
  <si>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</si>
  <si>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</si>
  <si>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</si>
  <si>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</si>
  <si>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</si>
  <si>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</si>
  <si>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</si>
  <si>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</si>
  <si>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</si>
  <si>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</si>
  <si>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</si>
  <si>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</si>
  <si>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</si>
  <si>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</si>
  <si>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</si>
  <si>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</si>
  <si>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</si>
  <si>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</si>
  <si>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</si>
  <si>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</si>
  <si>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</si>
  <si>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</si>
  <si>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</si>
  <si>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</si>
  <si>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</si>
  <si>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</si>
  <si>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</si>
  <si>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</si>
  <si>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</si>
  <si>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</si>
  <si>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</si>
  <si>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</si>
  <si>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</si>
  <si>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</si>
  <si>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</si>
  <si>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</si>
  <si>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</si>
  <si>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</si>
  <si>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</si>
  <si>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</si>
  <si>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</si>
  <si>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</si>
  <si>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</si>
  <si>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</si>
  <si>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</si>
  <si>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</si>
  <si>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</si>
  <si>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</si>
  <si>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</si>
  <si>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</si>
  <si>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</si>
  <si>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</si>
  <si>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</si>
  <si>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</si>
  <si>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</si>
  <si>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</si>
  <si>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</si>
  <si>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</si>
  <si>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</si>
  <si>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</si>
  <si>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</si>
  <si>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</si>
  <si>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</si>
  <si>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</si>
  <si>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</si>
  <si>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</si>
  <si>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</si>
  <si>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</si>
  <si>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</si>
  <si>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</si>
  <si>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</si>
  <si>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</si>
  <si>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</si>
  <si>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</si>
  <si>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</si>
  <si>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</si>
  <si>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</si>
  <si>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</si>
  <si>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</si>
  <si>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</si>
  <si>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</si>
  <si>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</si>
  <si>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</si>
  <si>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</si>
  <si>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</si>
  <si>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</si>
  <si>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</si>
  <si>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</si>
  <si>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</si>
  <si>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</si>
  <si>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</si>
  <si>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</si>
  <si>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</si>
  <si>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</si>
  <si>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</si>
  <si>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</si>
  <si>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</si>
  <si>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</si>
  <si>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</si>
  <si>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</si>
  <si>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</si>
  <si>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</si>
  <si>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</si>
  <si>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</si>
  <si>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</si>
  <si>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</si>
  <si>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</si>
  <si>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</si>
  <si>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</si>
  <si>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</si>
  <si>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</si>
  <si>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</si>
  <si>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</si>
  <si>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</si>
  <si>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</si>
  <si>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</si>
  <si>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</si>
  <si>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</si>
  <si>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</si>
  <si>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</si>
  <si>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</si>
  <si>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</si>
  <si>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</si>
  <si>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</si>
  <si>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</si>
  <si>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</si>
  <si>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</si>
  <si>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</si>
  <si>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</si>
  <si>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</si>
  <si>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</si>
  <si>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</si>
  <si>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</si>
  <si>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</si>
  <si>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</si>
  <si>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</si>
  <si>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</si>
  <si>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</si>
  <si>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</si>
  <si>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</si>
  <si>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</si>
  <si>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</si>
  <si>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</si>
  <si>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</si>
  <si>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</si>
  <si>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</si>
  <si>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</si>
  <si>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</si>
  <si>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</si>
  <si>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</si>
  <si>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</si>
  <si>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</si>
  <si>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</si>
  <si>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</si>
  <si>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</si>
  <si>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</si>
  <si>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</si>
  <si>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</si>
  <si>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</si>
  <si>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</si>
  <si>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</si>
  <si>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</si>
  <si>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</si>
  <si>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</si>
  <si>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</si>
  <si>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</si>
  <si>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M/s. Arihant Enterprises</t>
  </si>
  <si>
    <t>Arihant 6 Anaika</t>
  </si>
  <si>
    <t>Chaitali Sapkal - 9619007738</t>
  </si>
  <si>
    <t>Wing U &amp; V</t>
  </si>
  <si>
    <t>Approved Plans, CC, Sale Plans</t>
  </si>
  <si>
    <t>P52000031132</t>
  </si>
  <si>
    <t>Gut No</t>
  </si>
  <si>
    <t>33/1A</t>
  </si>
  <si>
    <t>Koynavele</t>
  </si>
  <si>
    <t>Panvel</t>
  </si>
  <si>
    <t>Raigarh</t>
  </si>
  <si>
    <t>https://goo.gl/maps/7nFBjVqjCjc8xBJf8</t>
  </si>
  <si>
    <t>Arihant 5 Anaika</t>
  </si>
  <si>
    <t>Open Plot</t>
  </si>
  <si>
    <t>Arihant 3 Anaika</t>
  </si>
  <si>
    <t>Internal Road</t>
  </si>
  <si>
    <t>Taloja</t>
  </si>
  <si>
    <t>4.7 KM from Taloja Railway Station</t>
  </si>
  <si>
    <t>Panvel Municipal Corporation</t>
  </si>
  <si>
    <t>PNP/NRV/1615/J.K 2676/2021</t>
  </si>
  <si>
    <t xml:space="preserve">   </t>
  </si>
  <si>
    <t>02 Wings</t>
  </si>
  <si>
    <t>As per RERA -  31/12/2027</t>
  </si>
  <si>
    <t>Wing U = Gr/St + P1 + 2nd to 14th Floor 
Wing V = Gr/St + P1 + 2nd to 14th Floor</t>
  </si>
  <si>
    <t xml:space="preserve">Wing U = Gr/St + P1 + 2nd to 14th Floor </t>
  </si>
  <si>
    <t>Wing V = Gr/St + P1 + 2nd to 14th Floor</t>
  </si>
  <si>
    <t>PMC/TP/Koyanavele/33/1A/21-21/16159/2676/2021
Wing U &amp; V = Gr + 1st to 14th Floor</t>
  </si>
  <si>
    <t>Ground Floor for Parking</t>
  </si>
  <si>
    <t>1st Podium Floor for Parking</t>
  </si>
  <si>
    <t>2nd to 7th &amp; 9th to 12th Floor</t>
  </si>
  <si>
    <t>8th &amp; 13th (Part Refuge Floor)</t>
  </si>
  <si>
    <t>14th Floor (Part Terrace Area)</t>
  </si>
  <si>
    <t>Wing U</t>
  </si>
  <si>
    <t>Wing V</t>
  </si>
  <si>
    <t>2.25*1.05</t>
  </si>
  <si>
    <t>Refuge Area</t>
  </si>
  <si>
    <t>Flats - 267</t>
  </si>
  <si>
    <t xml:space="preserve">We considered Gross carpet area = Net carpet + Balcony </t>
  </si>
  <si>
    <t>Sunil Peravi</t>
  </si>
  <si>
    <t>Hosing</t>
  </si>
  <si>
    <t>Magic brick</t>
  </si>
  <si>
    <t>Builder Saleable area</t>
  </si>
  <si>
    <t>Terrace Area</t>
  </si>
  <si>
    <t>5000 to 5500</t>
  </si>
  <si>
    <t>Sanket</t>
  </si>
  <si>
    <t xml:space="preserve">1.Vitrified tiles flooring 2. Granite Kitchen Platform  3. Decorative Enternace  etc. 
</t>
  </si>
  <si>
    <t>Office No. 1031, Wing J, Akshar Business Park, Plot No. 03 Sector 25, Near APMC Market, 
Vashi, Navi Mumbai, Maharashtra 400703 TEL: 022-46090378/79/8
E mail : vsjcapf@gmail.com. Web site : www.vsjadon.com</t>
  </si>
  <si>
    <t>1.5 to 2.5 Park by smith on 29/11/2023</t>
  </si>
  <si>
    <t>Recommended Rates / Other charges of the Property have been revised on 29/11/2023.</t>
  </si>
  <si>
    <t>On Site, we meet Mr. Abhijeet 9619007738.</t>
  </si>
  <si>
    <t>Site Person - Contact Details ( Name &amp; Contact No.)</t>
  </si>
  <si>
    <t>Mr. Abhijeet - 9619007738</t>
  </si>
  <si>
    <t>Finishing work is in process at the time of Visit.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</si>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</sst>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0" fontId="12" fillId="0" borderId="1" xfId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24" fillId="0" borderId="30" xfId="0" applyFont="1" applyBorder="1"/>
    <xf numFmtId="1" fontId="12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0" xfId="1" applyFont="1" applyFill="1"/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275</xdr:row>
      <xdr:rowOff>151767</xdr:rowOff>
    </xdr:from>
    <xdr:to>
      <xdr:col>7</xdr:col>
      <xdr:colOff>351586</xdr:colOff>
      <xdr:row>291</xdr:row>
      <xdr:rowOff>11367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1" y="57616092"/>
          <a:ext cx="5971335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495300</xdr:colOff>
      <xdr:row>259</xdr:row>
      <xdr:rowOff>104775</xdr:rowOff>
    </xdr:from>
    <xdr:to>
      <xdr:col>7</xdr:col>
      <xdr:colOff>351585</xdr:colOff>
      <xdr:row>274</xdr:row>
      <xdr:rowOff>164400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54368700"/>
          <a:ext cx="5971335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1069975</xdr:colOff>
      <xdr:row>216</xdr:row>
      <xdr:rowOff>149225</xdr:rowOff>
    </xdr:from>
    <xdr:ext cx="605487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880350" y="44030900"/>
          <a:ext cx="60548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 Wing</a:t>
          </a:r>
        </a:p>
      </xdr:txBody>
    </xdr:sp>
    <xdr:clientData/>
  </xdr:oneCellAnchor>
  <xdr:oneCellAnchor>
    <xdr:from>
      <xdr:col>10</xdr:col>
      <xdr:colOff>554592</xdr:colOff>
      <xdr:row>214</xdr:row>
      <xdr:rowOff>73025</xdr:rowOff>
    </xdr:from>
    <xdr:ext cx="605487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289017" y="43554650"/>
          <a:ext cx="60548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U Wing</a:t>
          </a:r>
        </a:p>
      </xdr:txBody>
    </xdr:sp>
    <xdr:clientData/>
  </xdr:oneCellAnchor>
  <xdr:oneCellAnchor>
    <xdr:from>
      <xdr:col>8</xdr:col>
      <xdr:colOff>403225</xdr:colOff>
      <xdr:row>228</xdr:row>
      <xdr:rowOff>109053</xdr:rowOff>
    </xdr:from>
    <xdr:ext cx="605487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213600" y="46381503"/>
          <a:ext cx="60548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 Wing</a:t>
          </a:r>
        </a:p>
      </xdr:txBody>
    </xdr:sp>
    <xdr:clientData/>
  </xdr:oneCellAnchor>
  <xdr:oneCellAnchor>
    <xdr:from>
      <xdr:col>10</xdr:col>
      <xdr:colOff>554592</xdr:colOff>
      <xdr:row>228</xdr:row>
      <xdr:rowOff>109053</xdr:rowOff>
    </xdr:from>
    <xdr:ext cx="605487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289017" y="46381503"/>
          <a:ext cx="60548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 Wing</a:t>
          </a:r>
        </a:p>
      </xdr:txBody>
    </xdr:sp>
    <xdr:clientData/>
  </xdr:oneCellAnchor>
  <xdr:oneCellAnchor>
    <xdr:from>
      <xdr:col>9</xdr:col>
      <xdr:colOff>260350</xdr:colOff>
      <xdr:row>219</xdr:row>
      <xdr:rowOff>130175</xdr:rowOff>
    </xdr:from>
    <xdr:ext cx="605487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232775" y="44630975"/>
          <a:ext cx="60548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U Wing</a:t>
          </a:r>
        </a:p>
      </xdr:txBody>
    </xdr:sp>
    <xdr:clientData/>
  </xdr:oneCellAnchor>
  <xdr:oneCellAnchor>
    <xdr:from>
      <xdr:col>8</xdr:col>
      <xdr:colOff>984250</xdr:colOff>
      <xdr:row>212</xdr:row>
      <xdr:rowOff>149225</xdr:rowOff>
    </xdr:from>
    <xdr:ext cx="605487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794625" y="43259375"/>
          <a:ext cx="60548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 Wing</a:t>
          </a:r>
        </a:p>
      </xdr:txBody>
    </xdr:sp>
    <xdr:clientData/>
  </xdr:oneCellAnchor>
  <xdr:twoCellAnchor editAs="oneCell">
    <xdr:from>
      <xdr:col>15</xdr:col>
      <xdr:colOff>219075</xdr:colOff>
      <xdr:row>212</xdr:row>
      <xdr:rowOff>38100</xdr:rowOff>
    </xdr:from>
    <xdr:to>
      <xdr:col>16</xdr:col>
      <xdr:colOff>41581</xdr:colOff>
      <xdr:row>213</xdr:row>
      <xdr:rowOff>167288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4925" y="43148250"/>
          <a:ext cx="603556" cy="329213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225</xdr:row>
      <xdr:rowOff>123825</xdr:rowOff>
    </xdr:from>
    <xdr:to>
      <xdr:col>10</xdr:col>
      <xdr:colOff>369913</xdr:colOff>
      <xdr:row>227</xdr:row>
      <xdr:rowOff>52988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96300" y="45824775"/>
          <a:ext cx="608038" cy="329213"/>
        </a:xfrm>
        <a:prstGeom prst="rect">
          <a:avLst/>
        </a:prstGeom>
      </xdr:spPr>
    </xdr:pic>
    <xdr:clientData/>
  </xdr:twoCellAnchor>
  <xdr:twoCellAnchor editAs="oneCell">
    <xdr:from>
      <xdr:col>8</xdr:col>
      <xdr:colOff>923925</xdr:colOff>
      <xdr:row>211</xdr:row>
      <xdr:rowOff>123825</xdr:rowOff>
    </xdr:from>
    <xdr:to>
      <xdr:col>9</xdr:col>
      <xdr:colOff>377624</xdr:colOff>
      <xdr:row>213</xdr:row>
      <xdr:rowOff>51307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4300" y="43033950"/>
          <a:ext cx="615749" cy="327532"/>
        </a:xfrm>
        <a:prstGeom prst="rect">
          <a:avLst/>
        </a:prstGeom>
      </xdr:spPr>
    </xdr:pic>
    <xdr:clientData/>
  </xdr:twoCellAnchor>
  <xdr:twoCellAnchor editAs="oneCell">
    <xdr:from>
      <xdr:col>12</xdr:col>
      <xdr:colOff>167528</xdr:colOff>
      <xdr:row>212</xdr:row>
      <xdr:rowOff>130549</xdr:rowOff>
    </xdr:from>
    <xdr:to>
      <xdr:col>12</xdr:col>
      <xdr:colOff>784958</xdr:colOff>
      <xdr:row>214</xdr:row>
      <xdr:rowOff>58031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7378" y="43240699"/>
          <a:ext cx="617430" cy="327532"/>
        </a:xfrm>
        <a:prstGeom prst="rect">
          <a:avLst/>
        </a:prstGeom>
      </xdr:spPr>
    </xdr:pic>
    <xdr:clientData/>
  </xdr:twoCellAnchor>
  <xdr:twoCellAnchor>
    <xdr:from>
      <xdr:col>8</xdr:col>
      <xdr:colOff>257175</xdr:colOff>
      <xdr:row>215</xdr:row>
      <xdr:rowOff>114300</xdr:rowOff>
    </xdr:from>
    <xdr:to>
      <xdr:col>16</xdr:col>
      <xdr:colOff>14712</xdr:colOff>
      <xdr:row>253</xdr:row>
      <xdr:rowOff>149059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067550" y="41224200"/>
          <a:ext cx="6244062" cy="7626184"/>
          <a:chOff x="238125" y="43729275"/>
          <a:chExt cx="6244062" cy="7626184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0806" y="4745236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3648" y="43729275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2211" y="43729275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125" y="4745236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9770" y="4745236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8734" y="4745236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1949" y="49555459"/>
            <a:ext cx="134859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9770" y="4955545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TextBox 22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1354972" y="43846692"/>
            <a:ext cx="93166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U Wing </a:t>
            </a:r>
            <a:endParaRPr lang="en-IN" b="1"/>
          </a:p>
        </xdr:txBody>
      </xdr:sp>
      <xdr:sp macro="" textlink="">
        <xdr:nvSpPr>
          <xdr:cNvPr id="47" name="TextBox 10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4292531" y="43846692"/>
            <a:ext cx="92525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V Wing </a:t>
            </a:r>
            <a:endParaRPr lang="en-IN" b="1"/>
          </a:p>
        </xdr:txBody>
      </xdr:sp>
      <xdr:sp macro="" textlink="">
        <xdr:nvSpPr>
          <xdr:cNvPr id="48" name="TextBox 103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238125" y="47452367"/>
            <a:ext cx="93166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U Wing </a:t>
            </a:r>
            <a:endParaRPr lang="en-IN" b="1"/>
          </a:p>
        </xdr:txBody>
      </xdr:sp>
      <xdr:sp macro="" textlink="">
        <xdr:nvSpPr>
          <xdr:cNvPr id="49" name="TextBox 10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2170412" y="47428359"/>
            <a:ext cx="92525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V Wing </a:t>
            </a:r>
            <a:endParaRPr lang="en-IN" b="1"/>
          </a:p>
        </xdr:txBody>
      </xdr:sp>
    </xdr:grpSp>
    <xdr:clientData/>
  </xdr:twoCellAnchor>
  <xdr:twoCellAnchor>
    <xdr:from>
      <xdr:col>8</xdr:col>
      <xdr:colOff>523875</xdr:colOff>
      <xdr:row>215</xdr:row>
      <xdr:rowOff>47625</xdr:rowOff>
    </xdr:from>
    <xdr:to>
      <xdr:col>15</xdr:col>
      <xdr:colOff>645522</xdr:colOff>
      <xdr:row>257</xdr:row>
      <xdr:rowOff>158076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334250" y="41157525"/>
          <a:ext cx="5827122" cy="8501976"/>
          <a:chOff x="495300" y="43938825"/>
          <a:chExt cx="5827122" cy="8501976"/>
        </a:xfrm>
      </xdr:grpSpPr>
      <xdr:pic>
        <xdr:nvPicPr>
          <xdr:cNvPr id="30" name="Picture 29" descr="insp-233788-1525.jpg (959×1280)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8409" y="5028080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insp-233788-843.jpg (959×1280)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83968" y="4393882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33788-845.jpg (959×1280)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34391" y="47649813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33788-844.jpg (959×1280)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37139" y="47649813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3788-847.jpg (959×1280)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8409" y="4393882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3788-861.jpg (959×128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5300" y="47649813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3788-931.jpg (959×128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62842" y="5028080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85726</xdr:colOff>
      <xdr:row>215</xdr:row>
      <xdr:rowOff>95250</xdr:rowOff>
    </xdr:from>
    <xdr:to>
      <xdr:col>7</xdr:col>
      <xdr:colOff>1019176</xdr:colOff>
      <xdr:row>252</xdr:row>
      <xdr:rowOff>88694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3CD22AEE-3FBB-4368-9A21-7C7E66F7C083}"/>
            </a:ext>
          </a:extLst>
        </xdr:cNvPr>
        <xdr:cNvGrpSpPr/>
      </xdr:nvGrpSpPr>
      <xdr:grpSpPr>
        <a:xfrm>
          <a:off x="85726" y="41205150"/>
          <a:ext cx="6629400" cy="7384844"/>
          <a:chOff x="-120217" y="376518"/>
          <a:chExt cx="6940117" cy="7708694"/>
        </a:xfrm>
      </xdr:grpSpPr>
      <xdr:grpSp>
        <xdr:nvGrpSpPr>
          <xdr:cNvPr id="50" name="Group 49">
            <a:extLst>
              <a:ext uri="{FF2B5EF4-FFF2-40B4-BE49-F238E27FC236}">
                <a16:creationId xmlns:a16="http://schemas.microsoft.com/office/drawing/2014/main" id="{CB0A784F-CB52-4F2E-B15D-0A7122E3D539}"/>
              </a:ext>
            </a:extLst>
          </xdr:cNvPr>
          <xdr:cNvGrpSpPr/>
        </xdr:nvGrpSpPr>
        <xdr:grpSpPr>
          <a:xfrm>
            <a:off x="-120217" y="376518"/>
            <a:ext cx="6940117" cy="7708694"/>
            <a:chOff x="-120217" y="376518"/>
            <a:chExt cx="6940117" cy="7708694"/>
          </a:xfrm>
        </xdr:grpSpPr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44FF4F61-9D38-471C-B4AD-949C28C9AF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56424" y="3780865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0F3B70A5-AF02-4FC3-B615-73D0C3D212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376518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AC8A9ED2-44F1-4093-8FF6-9CE1ED1331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21437" y="376518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683BB993-0CF9-4490-9B2F-42F8903D57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20217" y="37808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B9AC4786-EA6F-4F71-8777-1E3F3F5D63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33066" y="37808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500305A9-0B32-4DE3-A5CD-89FC62E2D6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01588" y="37808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2784F50A-36A8-4A83-9EB0-E7C2D2D4A8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72588" y="610521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E255D77F-BEAF-4A8C-99F3-BEE8B3F2E0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7126" y="610521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A28932C3-683F-41B1-9CFC-D732617C2F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610521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6EB8BD70-13C5-4CEA-8B47-BD849F083A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04462" y="610521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1" name="TextBox 181">
            <a:extLst>
              <a:ext uri="{FF2B5EF4-FFF2-40B4-BE49-F238E27FC236}">
                <a16:creationId xmlns:a16="http://schemas.microsoft.com/office/drawing/2014/main" id="{6678A270-1F87-4656-BA65-E9649E65057A}"/>
              </a:ext>
            </a:extLst>
          </xdr:cNvPr>
          <xdr:cNvSpPr txBox="1"/>
        </xdr:nvSpPr>
        <xdr:spPr>
          <a:xfrm>
            <a:off x="1440446" y="429936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U</a:t>
            </a:r>
            <a:endParaRPr lang="en-IN" b="1"/>
          </a:p>
        </xdr:txBody>
      </xdr:sp>
      <xdr:sp macro="" textlink="">
        <xdr:nvSpPr>
          <xdr:cNvPr id="52" name="TextBox 182">
            <a:extLst>
              <a:ext uri="{FF2B5EF4-FFF2-40B4-BE49-F238E27FC236}">
                <a16:creationId xmlns:a16="http://schemas.microsoft.com/office/drawing/2014/main" id="{A63500C7-7857-41F0-9384-F6049A07A924}"/>
              </a:ext>
            </a:extLst>
          </xdr:cNvPr>
          <xdr:cNvSpPr txBox="1"/>
        </xdr:nvSpPr>
        <xdr:spPr>
          <a:xfrm>
            <a:off x="3488852" y="406667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V</a:t>
            </a:r>
            <a:endParaRPr lang="en-IN" b="1"/>
          </a:p>
        </xdr:txBody>
      </xdr:sp>
      <xdr:sp macro="" textlink="">
        <xdr:nvSpPr>
          <xdr:cNvPr id="53" name="TextBox 183">
            <a:extLst>
              <a:ext uri="{FF2B5EF4-FFF2-40B4-BE49-F238E27FC236}">
                <a16:creationId xmlns:a16="http://schemas.microsoft.com/office/drawing/2014/main" id="{A9D9B7EA-3E23-4AFF-9CBA-90B5A8C9435E}"/>
              </a:ext>
            </a:extLst>
          </xdr:cNvPr>
          <xdr:cNvSpPr txBox="1"/>
        </xdr:nvSpPr>
        <xdr:spPr>
          <a:xfrm>
            <a:off x="-120217" y="3780865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U</a:t>
            </a:r>
            <a:endParaRPr lang="en-IN" b="1"/>
          </a:p>
        </xdr:txBody>
      </xdr:sp>
      <xdr:sp macro="" textlink="">
        <xdr:nvSpPr>
          <xdr:cNvPr id="54" name="TextBox 184">
            <a:extLst>
              <a:ext uri="{FF2B5EF4-FFF2-40B4-BE49-F238E27FC236}">
                <a16:creationId xmlns:a16="http://schemas.microsoft.com/office/drawing/2014/main" id="{4FF848B1-6C07-4439-B2E3-8D78E95E1B2E}"/>
              </a:ext>
            </a:extLst>
          </xdr:cNvPr>
          <xdr:cNvSpPr txBox="1"/>
        </xdr:nvSpPr>
        <xdr:spPr>
          <a:xfrm>
            <a:off x="3488852" y="3780865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U</a:t>
            </a:r>
            <a:endParaRPr lang="en-IN" b="1"/>
          </a:p>
        </xdr:txBody>
      </xdr:sp>
      <xdr:sp macro="" textlink="">
        <xdr:nvSpPr>
          <xdr:cNvPr id="55" name="TextBox 185">
            <a:extLst>
              <a:ext uri="{FF2B5EF4-FFF2-40B4-BE49-F238E27FC236}">
                <a16:creationId xmlns:a16="http://schemas.microsoft.com/office/drawing/2014/main" id="{F5F37668-09D9-430A-A098-8DC5B596ECB3}"/>
              </a:ext>
            </a:extLst>
          </xdr:cNvPr>
          <xdr:cNvSpPr txBox="1"/>
        </xdr:nvSpPr>
        <xdr:spPr>
          <a:xfrm>
            <a:off x="2697746" y="3780865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V</a:t>
            </a:r>
            <a:endParaRPr lang="en-IN" b="1"/>
          </a:p>
        </xdr:txBody>
      </xdr:sp>
      <xdr:sp macro="" textlink="">
        <xdr:nvSpPr>
          <xdr:cNvPr id="56" name="TextBox 186">
            <a:extLst>
              <a:ext uri="{FF2B5EF4-FFF2-40B4-BE49-F238E27FC236}">
                <a16:creationId xmlns:a16="http://schemas.microsoft.com/office/drawing/2014/main" id="{37C2CB86-C269-4D6A-A3CD-FEB8552D1862}"/>
              </a:ext>
            </a:extLst>
          </xdr:cNvPr>
          <xdr:cNvSpPr txBox="1"/>
        </xdr:nvSpPr>
        <xdr:spPr>
          <a:xfrm>
            <a:off x="1209233" y="7715880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U</a:t>
            </a:r>
            <a:endParaRPr lang="en-IN" b="1"/>
          </a:p>
        </xdr:txBody>
      </xdr:sp>
      <xdr:sp macro="" textlink="">
        <xdr:nvSpPr>
          <xdr:cNvPr id="57" name="TextBox 187">
            <a:extLst>
              <a:ext uri="{FF2B5EF4-FFF2-40B4-BE49-F238E27FC236}">
                <a16:creationId xmlns:a16="http://schemas.microsoft.com/office/drawing/2014/main" id="{1069DC72-339B-4083-B06D-C797C4C4057E}"/>
              </a:ext>
            </a:extLst>
          </xdr:cNvPr>
          <xdr:cNvSpPr txBox="1"/>
        </xdr:nvSpPr>
        <xdr:spPr>
          <a:xfrm>
            <a:off x="2893929" y="7715880"/>
            <a:ext cx="332142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V</a:t>
            </a:r>
            <a:endParaRPr lang="en-IN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13607</xdr:rowOff>
    </xdr:from>
    <xdr:to>
      <xdr:col>12</xdr:col>
      <xdr:colOff>442619</xdr:colOff>
      <xdr:row>12</xdr:row>
      <xdr:rowOff>127631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107"/>
          <a:ext cx="7790476" cy="2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nFBjVqjCjc8xBJf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9"/>
  <sheetViews>
    <sheetView tabSelected="1" view="pageBreakPreview" zoomScaleNormal="100" zoomScaleSheetLayoutView="100" workbookViewId="0">
      <selection activeCell="J10" sqref="J10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6.7109375" style="36" customWidth="1"/>
    <col min="9" max="9" width="17.42578125" style="17" customWidth="1"/>
    <col min="10" max="10" width="11.42578125" style="17" customWidth="1"/>
    <col min="11" max="11" width="11.8554687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8" ht="46.5" customHeight="1" x14ac:dyDescent="0.25">
      <c r="A1" s="161" t="s">
        <v>215</v>
      </c>
      <c r="B1" s="161"/>
      <c r="C1" s="161"/>
      <c r="D1" s="161"/>
      <c r="E1" s="161"/>
      <c r="F1" s="161"/>
      <c r="G1" s="161"/>
      <c r="H1" s="161"/>
    </row>
    <row r="2" spans="1:8" ht="16.5" customHeight="1" x14ac:dyDescent="0.25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x14ac:dyDescent="0.25">
      <c r="A3" s="79" t="s">
        <v>1</v>
      </c>
      <c r="B3" s="79"/>
      <c r="C3" s="79"/>
      <c r="D3" s="79"/>
      <c r="E3" s="162" t="str">
        <f ca="1">TEXT(TODAY(),"DD/MM/YYYY")</f>
        <v>11/08/2025</v>
      </c>
      <c r="F3" s="79"/>
      <c r="G3" s="79"/>
      <c r="H3" s="79"/>
    </row>
    <row r="4" spans="1:8" ht="15" customHeight="1" x14ac:dyDescent="0.25">
      <c r="A4" s="79" t="s">
        <v>2</v>
      </c>
      <c r="B4" s="79"/>
      <c r="C4" s="79"/>
      <c r="D4" s="79"/>
      <c r="E4" s="79" t="s">
        <v>168</v>
      </c>
      <c r="F4" s="79"/>
      <c r="G4" s="79"/>
      <c r="H4" s="79"/>
    </row>
    <row r="5" spans="1:8" x14ac:dyDescent="0.25">
      <c r="A5" s="79" t="s">
        <v>3</v>
      </c>
      <c r="B5" s="79"/>
      <c r="C5" s="79"/>
      <c r="D5" s="79"/>
      <c r="E5" s="162">
        <v>45880</v>
      </c>
      <c r="F5" s="79"/>
      <c r="G5" s="79"/>
      <c r="H5" s="79"/>
    </row>
    <row r="6" spans="1:8" ht="16.5" customHeight="1" x14ac:dyDescent="0.25">
      <c r="A6" s="79" t="s">
        <v>4</v>
      </c>
      <c r="B6" s="79"/>
      <c r="C6" s="79"/>
      <c r="D6" s="79"/>
      <c r="E6" s="79" t="s">
        <v>169</v>
      </c>
      <c r="F6" s="79"/>
      <c r="G6" s="79"/>
      <c r="H6" s="79"/>
    </row>
    <row r="7" spans="1:8" ht="15" customHeight="1" x14ac:dyDescent="0.25">
      <c r="A7" s="79" t="s">
        <v>5</v>
      </c>
      <c r="B7" s="79"/>
      <c r="C7" s="79"/>
      <c r="D7" s="79"/>
      <c r="E7" s="79" t="str">
        <f>E6</f>
        <v>M/s. Arihant Enterprises</v>
      </c>
      <c r="F7" s="79"/>
      <c r="G7" s="79"/>
      <c r="H7" s="79"/>
    </row>
    <row r="8" spans="1:8" x14ac:dyDescent="0.25">
      <c r="A8" s="79" t="s">
        <v>6</v>
      </c>
      <c r="B8" s="79"/>
      <c r="C8" s="79"/>
      <c r="D8" s="79"/>
      <c r="E8" s="157" t="s">
        <v>170</v>
      </c>
      <c r="F8" s="157"/>
      <c r="G8" s="157"/>
      <c r="H8" s="157"/>
    </row>
    <row r="9" spans="1:8" x14ac:dyDescent="0.25">
      <c r="A9" s="79" t="s">
        <v>123</v>
      </c>
      <c r="B9" s="79"/>
      <c r="C9" s="79"/>
      <c r="D9" s="79"/>
      <c r="E9" s="79" t="s">
        <v>171</v>
      </c>
      <c r="F9" s="79"/>
      <c r="G9" s="79"/>
      <c r="H9" s="79"/>
    </row>
    <row r="10" spans="1:8" x14ac:dyDescent="0.25">
      <c r="A10" s="79" t="s">
        <v>219</v>
      </c>
      <c r="B10" s="79"/>
      <c r="C10" s="79"/>
      <c r="D10" s="79"/>
      <c r="E10" s="79" t="s">
        <v>220</v>
      </c>
      <c r="F10" s="79"/>
      <c r="G10" s="79"/>
      <c r="H10" s="79"/>
    </row>
    <row r="11" spans="1:8" x14ac:dyDescent="0.25">
      <c r="A11" s="79" t="s">
        <v>7</v>
      </c>
      <c r="B11" s="79"/>
      <c r="C11" s="79"/>
      <c r="D11" s="79"/>
      <c r="E11" s="79" t="s">
        <v>172</v>
      </c>
      <c r="F11" s="79"/>
      <c r="G11" s="79"/>
      <c r="H11" s="79"/>
    </row>
    <row r="12" spans="1:8" x14ac:dyDescent="0.25">
      <c r="A12" s="88" t="s">
        <v>8</v>
      </c>
      <c r="B12" s="88"/>
      <c r="C12" s="88"/>
      <c r="D12" s="88"/>
      <c r="E12" s="104" t="s">
        <v>173</v>
      </c>
      <c r="F12" s="104"/>
      <c r="G12" s="104"/>
      <c r="H12" s="104"/>
    </row>
    <row r="13" spans="1:8" x14ac:dyDescent="0.25">
      <c r="A13" s="88" t="s">
        <v>9</v>
      </c>
      <c r="B13" s="88"/>
      <c r="C13" s="88"/>
      <c r="D13" s="88"/>
      <c r="E13" s="104" t="s">
        <v>174</v>
      </c>
      <c r="F13" s="79"/>
      <c r="G13" s="79"/>
      <c r="H13" s="79"/>
    </row>
    <row r="14" spans="1:8" ht="34.5" customHeight="1" x14ac:dyDescent="0.25">
      <c r="A14" s="104" t="s">
        <v>10</v>
      </c>
      <c r="B14" s="104"/>
      <c r="C14" s="10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Arihant 6 Anaika, Gut No.33/1A, near Arihant 5 Anaika, Internal Road, , Koynavele, Taloja, Panvel, Raigarh - 410208.</v>
      </c>
      <c r="D14" s="104"/>
      <c r="E14" s="104"/>
      <c r="F14" s="104"/>
      <c r="G14" s="104"/>
      <c r="H14" s="104"/>
    </row>
    <row r="15" spans="1:8" x14ac:dyDescent="0.25">
      <c r="A15" s="104" t="s">
        <v>175</v>
      </c>
      <c r="B15" s="104"/>
      <c r="C15" s="104" t="s">
        <v>176</v>
      </c>
      <c r="D15" s="104"/>
      <c r="E15" s="104"/>
      <c r="F15" s="104"/>
      <c r="G15" s="104"/>
      <c r="H15" s="104"/>
    </row>
    <row r="16" spans="1:8" ht="15.75" hidden="1" customHeight="1" x14ac:dyDescent="0.25">
      <c r="A16" s="84" t="s">
        <v>165</v>
      </c>
      <c r="B16" s="86"/>
      <c r="C16" s="84" t="s">
        <v>30</v>
      </c>
      <c r="D16" s="85"/>
      <c r="E16" s="85"/>
      <c r="F16" s="85"/>
      <c r="G16" s="85"/>
      <c r="H16" s="86"/>
    </row>
    <row r="17" spans="1:8" ht="15.75" customHeight="1" x14ac:dyDescent="0.25">
      <c r="A17" s="104" t="s">
        <v>11</v>
      </c>
      <c r="B17" s="104"/>
      <c r="C17" s="79" t="s">
        <v>184</v>
      </c>
      <c r="D17" s="79"/>
      <c r="E17" s="104" t="s">
        <v>166</v>
      </c>
      <c r="F17" s="104"/>
      <c r="G17" s="104" t="s">
        <v>177</v>
      </c>
      <c r="H17" s="104"/>
    </row>
    <row r="18" spans="1:8" x14ac:dyDescent="0.25">
      <c r="A18" s="79" t="s">
        <v>13</v>
      </c>
      <c r="B18" s="79"/>
      <c r="C18" s="104" t="s">
        <v>185</v>
      </c>
      <c r="D18" s="104"/>
      <c r="E18" s="104" t="s">
        <v>12</v>
      </c>
      <c r="F18" s="104"/>
      <c r="G18" s="163" t="s">
        <v>179</v>
      </c>
      <c r="H18" s="163"/>
    </row>
    <row r="19" spans="1:8" x14ac:dyDescent="0.25">
      <c r="A19" s="79" t="s">
        <v>76</v>
      </c>
      <c r="B19" s="79"/>
      <c r="C19" s="104" t="s">
        <v>178</v>
      </c>
      <c r="D19" s="104"/>
      <c r="E19" s="104" t="s">
        <v>14</v>
      </c>
      <c r="F19" s="104"/>
      <c r="G19" s="104">
        <v>410208</v>
      </c>
      <c r="H19" s="104"/>
    </row>
    <row r="20" spans="1:8" ht="32.25" customHeight="1" x14ac:dyDescent="0.25">
      <c r="A20" s="79" t="s">
        <v>124</v>
      </c>
      <c r="B20" s="79"/>
      <c r="C20" s="104" t="s">
        <v>181</v>
      </c>
      <c r="D20" s="104"/>
      <c r="E20" s="104" t="s">
        <v>15</v>
      </c>
      <c r="F20" s="104"/>
      <c r="G20" s="104" t="s">
        <v>186</v>
      </c>
      <c r="H20" s="104"/>
    </row>
    <row r="21" spans="1:8" ht="15" customHeight="1" x14ac:dyDescent="0.25">
      <c r="A21" s="103" t="s">
        <v>78</v>
      </c>
      <c r="B21" s="103"/>
      <c r="C21" s="103"/>
      <c r="D21" s="103"/>
      <c r="E21" s="79" t="s">
        <v>16</v>
      </c>
      <c r="F21" s="79"/>
      <c r="G21" s="79"/>
      <c r="H21" s="79"/>
    </row>
    <row r="22" spans="1:8" ht="18.75" customHeight="1" x14ac:dyDescent="0.25">
      <c r="A22" s="103"/>
      <c r="B22" s="103"/>
      <c r="C22" s="103"/>
      <c r="D22" s="103"/>
      <c r="E22" s="79"/>
      <c r="F22" s="79"/>
      <c r="G22" s="79"/>
      <c r="H22" s="79"/>
    </row>
    <row r="23" spans="1:8" ht="15" customHeight="1" x14ac:dyDescent="0.25">
      <c r="A23" s="103" t="s">
        <v>17</v>
      </c>
      <c r="B23" s="103"/>
      <c r="C23" s="103"/>
      <c r="D23" s="103"/>
      <c r="E23" s="104" t="s">
        <v>18</v>
      </c>
      <c r="F23" s="104"/>
      <c r="G23" s="104"/>
      <c r="H23" s="104"/>
    </row>
    <row r="24" spans="1:8" ht="15" customHeight="1" x14ac:dyDescent="0.25">
      <c r="A24" s="88" t="s">
        <v>19</v>
      </c>
      <c r="B24" s="88"/>
      <c r="C24" s="88"/>
      <c r="D24" s="88"/>
      <c r="E24" s="104" t="str">
        <f>IF(AND(G18="Mumbai"),"Upper Class","Middle Class")</f>
        <v>Middle Class</v>
      </c>
      <c r="F24" s="104"/>
      <c r="G24" s="104"/>
      <c r="H24" s="104"/>
    </row>
    <row r="25" spans="1:8" x14ac:dyDescent="0.25">
      <c r="A25" s="88" t="s">
        <v>20</v>
      </c>
      <c r="B25" s="88"/>
      <c r="C25" s="88"/>
      <c r="D25" s="88"/>
      <c r="E25" s="104" t="s">
        <v>21</v>
      </c>
      <c r="F25" s="104"/>
      <c r="G25" s="104"/>
      <c r="H25" s="104"/>
    </row>
    <row r="26" spans="1:8" ht="15.75" customHeight="1" x14ac:dyDescent="0.25">
      <c r="A26" s="88" t="s">
        <v>22</v>
      </c>
      <c r="B26" s="88"/>
      <c r="C26" s="88"/>
      <c r="D26" s="88"/>
      <c r="E26" s="104" t="str">
        <f>IF(AND(G18="Mumbai"),"Developed","Developing")</f>
        <v>Developing</v>
      </c>
      <c r="F26" s="104"/>
      <c r="G26" s="104"/>
      <c r="H26" s="104"/>
    </row>
    <row r="27" spans="1:8" x14ac:dyDescent="0.25">
      <c r="A27" s="88" t="s">
        <v>23</v>
      </c>
      <c r="B27" s="88"/>
      <c r="C27" s="88"/>
      <c r="D27" s="88"/>
      <c r="E27" s="104" t="s">
        <v>24</v>
      </c>
      <c r="F27" s="104"/>
      <c r="G27" s="104"/>
      <c r="H27" s="104"/>
    </row>
    <row r="28" spans="1:8" ht="15.75" customHeight="1" x14ac:dyDescent="0.25">
      <c r="A28" s="88" t="s">
        <v>83</v>
      </c>
      <c r="B28" s="88"/>
      <c r="C28" s="88"/>
      <c r="D28" s="88"/>
      <c r="E28" s="104" t="s">
        <v>84</v>
      </c>
      <c r="F28" s="104"/>
      <c r="G28" s="104"/>
      <c r="H28" s="104"/>
    </row>
    <row r="29" spans="1:8" ht="15" customHeight="1" x14ac:dyDescent="0.25">
      <c r="A29" s="88" t="s">
        <v>35</v>
      </c>
      <c r="B29" s="88"/>
      <c r="C29" s="88"/>
      <c r="D29" s="88"/>
      <c r="E29" s="10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104"/>
      <c r="G29" s="104"/>
      <c r="H29" s="104"/>
    </row>
    <row r="30" spans="1:8" ht="15.75" customHeight="1" x14ac:dyDescent="0.25">
      <c r="A30" s="88" t="s">
        <v>95</v>
      </c>
      <c r="B30" s="88"/>
      <c r="C30" s="88"/>
      <c r="D30" s="88"/>
      <c r="E30" s="104" t="s">
        <v>36</v>
      </c>
      <c r="F30" s="104"/>
      <c r="G30" s="104"/>
      <c r="H30" s="104"/>
    </row>
    <row r="31" spans="1:8" s="18" customFormat="1" x14ac:dyDescent="0.25">
      <c r="A31" s="168" t="s">
        <v>96</v>
      </c>
      <c r="B31" s="168"/>
      <c r="C31" s="166" t="s">
        <v>29</v>
      </c>
      <c r="D31" s="166"/>
      <c r="E31" s="166"/>
      <c r="F31" s="166" t="s">
        <v>31</v>
      </c>
      <c r="G31" s="166"/>
      <c r="H31" s="166"/>
    </row>
    <row r="32" spans="1:8" s="18" customFormat="1" x14ac:dyDescent="0.25">
      <c r="A32" s="164" t="s">
        <v>25</v>
      </c>
      <c r="B32" s="164" t="s">
        <v>30</v>
      </c>
      <c r="C32" s="165" t="s">
        <v>30</v>
      </c>
      <c r="D32" s="165"/>
      <c r="E32" s="165"/>
      <c r="F32" s="165" t="s">
        <v>182</v>
      </c>
      <c r="G32" s="165"/>
      <c r="H32" s="165"/>
    </row>
    <row r="33" spans="1:8" x14ac:dyDescent="0.25">
      <c r="A33" s="164" t="s">
        <v>26</v>
      </c>
      <c r="B33" s="164" t="s">
        <v>30</v>
      </c>
      <c r="C33" s="165" t="s">
        <v>30</v>
      </c>
      <c r="D33" s="165"/>
      <c r="E33" s="165"/>
      <c r="F33" s="165" t="s">
        <v>183</v>
      </c>
      <c r="G33" s="165"/>
      <c r="H33" s="165"/>
    </row>
    <row r="34" spans="1:8" s="18" customFormat="1" x14ac:dyDescent="0.25">
      <c r="A34" s="164" t="s">
        <v>28</v>
      </c>
      <c r="B34" s="164" t="s">
        <v>30</v>
      </c>
      <c r="C34" s="165" t="s">
        <v>30</v>
      </c>
      <c r="D34" s="165"/>
      <c r="E34" s="165"/>
      <c r="F34" s="165" t="s">
        <v>181</v>
      </c>
      <c r="G34" s="165"/>
      <c r="H34" s="165"/>
    </row>
    <row r="35" spans="1:8" x14ac:dyDescent="0.25">
      <c r="A35" s="164" t="s">
        <v>27</v>
      </c>
      <c r="B35" s="164" t="s">
        <v>30</v>
      </c>
      <c r="C35" s="165" t="s">
        <v>30</v>
      </c>
      <c r="D35" s="165"/>
      <c r="E35" s="165"/>
      <c r="F35" s="165" t="s">
        <v>182</v>
      </c>
      <c r="G35" s="165"/>
      <c r="H35" s="165"/>
    </row>
    <row r="36" spans="1:8" x14ac:dyDescent="0.25">
      <c r="A36" s="88" t="s">
        <v>32</v>
      </c>
      <c r="B36" s="88"/>
      <c r="C36" s="88"/>
      <c r="D36" s="88"/>
      <c r="E36" s="88"/>
      <c r="F36" s="88"/>
      <c r="G36" s="88"/>
      <c r="H36" s="88"/>
    </row>
    <row r="37" spans="1:8" ht="15.75" customHeight="1" x14ac:dyDescent="0.25">
      <c r="A37" s="134" t="s">
        <v>33</v>
      </c>
      <c r="B37" s="134"/>
      <c r="C37" s="176">
        <v>19.081325</v>
      </c>
      <c r="D37" s="176"/>
      <c r="E37" s="134" t="s">
        <v>34</v>
      </c>
      <c r="F37" s="134"/>
      <c r="G37" s="167">
        <v>73.113551000000001</v>
      </c>
      <c r="H37" s="167"/>
    </row>
    <row r="38" spans="1:8" x14ac:dyDescent="0.25">
      <c r="A38" s="134" t="s">
        <v>164</v>
      </c>
      <c r="B38" s="134"/>
      <c r="C38" s="180" t="s">
        <v>180</v>
      </c>
      <c r="D38" s="104"/>
      <c r="E38" s="104"/>
      <c r="F38" s="104"/>
      <c r="G38" s="104"/>
      <c r="H38" s="104"/>
    </row>
    <row r="39" spans="1:8" x14ac:dyDescent="0.25">
      <c r="A39" s="143" t="s">
        <v>37</v>
      </c>
      <c r="B39" s="143"/>
      <c r="C39" s="143"/>
      <c r="D39" s="143"/>
      <c r="E39" s="143"/>
      <c r="F39" s="143"/>
      <c r="G39" s="143"/>
      <c r="H39" s="143"/>
    </row>
    <row r="40" spans="1:8" x14ac:dyDescent="0.25">
      <c r="A40" s="79" t="s">
        <v>38</v>
      </c>
      <c r="B40" s="79"/>
      <c r="C40" s="79"/>
      <c r="D40" s="79"/>
      <c r="E40" s="169">
        <v>6210</v>
      </c>
      <c r="F40" s="169"/>
      <c r="G40" s="169"/>
      <c r="H40" s="169"/>
    </row>
    <row r="41" spans="1:8" x14ac:dyDescent="0.25">
      <c r="A41" s="79" t="s">
        <v>39</v>
      </c>
      <c r="B41" s="79"/>
      <c r="C41" s="79"/>
      <c r="D41" s="79"/>
      <c r="E41" s="78">
        <v>1</v>
      </c>
      <c r="F41" s="78"/>
      <c r="G41" s="78"/>
      <c r="H41" s="78"/>
    </row>
    <row r="42" spans="1:8" x14ac:dyDescent="0.25">
      <c r="A42" s="79" t="s">
        <v>40</v>
      </c>
      <c r="B42" s="79"/>
      <c r="C42" s="79"/>
      <c r="D42" s="79"/>
      <c r="E42" s="78">
        <f>E44/E40-E41</f>
        <v>1.5599033816425121</v>
      </c>
      <c r="F42" s="78"/>
      <c r="G42" s="78"/>
      <c r="H42" s="78"/>
    </row>
    <row r="43" spans="1:8" x14ac:dyDescent="0.25">
      <c r="A43" s="79" t="s">
        <v>41</v>
      </c>
      <c r="B43" s="79"/>
      <c r="C43" s="79"/>
      <c r="D43" s="79"/>
      <c r="E43" s="78">
        <f>E41+E42</f>
        <v>2.5599033816425121</v>
      </c>
      <c r="F43" s="78"/>
      <c r="G43" s="78"/>
      <c r="H43" s="78"/>
    </row>
    <row r="44" spans="1:8" x14ac:dyDescent="0.25">
      <c r="A44" s="79" t="s">
        <v>94</v>
      </c>
      <c r="B44" s="79"/>
      <c r="C44" s="79"/>
      <c r="D44" s="79"/>
      <c r="E44" s="175">
        <v>15897</v>
      </c>
      <c r="F44" s="175"/>
      <c r="G44" s="175"/>
      <c r="H44" s="175"/>
    </row>
    <row r="45" spans="1:8" x14ac:dyDescent="0.25">
      <c r="A45" s="79" t="s">
        <v>42</v>
      </c>
      <c r="B45" s="79"/>
      <c r="C45" s="79"/>
      <c r="D45" s="79"/>
      <c r="E45" s="79" t="s">
        <v>190</v>
      </c>
      <c r="F45" s="79"/>
      <c r="G45" s="79"/>
      <c r="H45" s="79"/>
    </row>
    <row r="46" spans="1:8" x14ac:dyDescent="0.25">
      <c r="A46" s="143" t="s">
        <v>43</v>
      </c>
      <c r="B46" s="143"/>
      <c r="C46" s="143"/>
      <c r="D46" s="143"/>
      <c r="E46" s="143"/>
      <c r="F46" s="143"/>
      <c r="G46" s="143"/>
      <c r="H46" s="143"/>
    </row>
    <row r="47" spans="1:8" ht="33.75" customHeight="1" x14ac:dyDescent="0.25">
      <c r="A47" s="82" t="s">
        <v>152</v>
      </c>
      <c r="B47" s="83"/>
      <c r="C47" s="181" t="s">
        <v>187</v>
      </c>
      <c r="D47" s="182"/>
      <c r="E47" s="182"/>
      <c r="F47" s="182"/>
      <c r="G47" s="182"/>
      <c r="H47" s="183"/>
    </row>
    <row r="48" spans="1:8" ht="15.75" customHeight="1" x14ac:dyDescent="0.25">
      <c r="A48" s="82" t="s">
        <v>44</v>
      </c>
      <c r="B48" s="83"/>
      <c r="C48" s="84" t="s">
        <v>188</v>
      </c>
      <c r="D48" s="85"/>
      <c r="E48" s="86"/>
      <c r="F48" s="43" t="s">
        <v>45</v>
      </c>
      <c r="G48" s="87">
        <v>44560</v>
      </c>
      <c r="H48" s="86"/>
    </row>
    <row r="49" spans="1:14" x14ac:dyDescent="0.25">
      <c r="A49" s="82" t="s">
        <v>46</v>
      </c>
      <c r="B49" s="83"/>
      <c r="C49" s="84" t="str">
        <f>C48</f>
        <v>PNP/NRV/1615/J.K 2676/2021</v>
      </c>
      <c r="D49" s="85"/>
      <c r="E49" s="86"/>
      <c r="F49" s="43" t="s">
        <v>45</v>
      </c>
      <c r="G49" s="87">
        <f>G48</f>
        <v>44560</v>
      </c>
      <c r="H49" s="86"/>
    </row>
    <row r="50" spans="1:14" s="19" customFormat="1" ht="15.75" customHeight="1" x14ac:dyDescent="0.25">
      <c r="A50" s="152" t="s">
        <v>156</v>
      </c>
      <c r="B50" s="153"/>
      <c r="C50" s="84" t="str">
        <f>C49</f>
        <v>PNP/NRV/1615/J.K 2676/2021</v>
      </c>
      <c r="D50" s="85"/>
      <c r="E50" s="86"/>
      <c r="F50" s="43" t="s">
        <v>45</v>
      </c>
      <c r="G50" s="87">
        <f>G49</f>
        <v>44560</v>
      </c>
      <c r="H50" s="86"/>
    </row>
    <row r="51" spans="1:14" s="19" customFormat="1" ht="33.75" customHeight="1" x14ac:dyDescent="0.25">
      <c r="A51" s="154"/>
      <c r="B51" s="155"/>
      <c r="C51" s="84" t="s">
        <v>195</v>
      </c>
      <c r="D51" s="85"/>
      <c r="E51" s="85"/>
      <c r="F51" s="85"/>
      <c r="G51" s="85"/>
      <c r="H51" s="86"/>
    </row>
    <row r="52" spans="1:14" x14ac:dyDescent="0.25">
      <c r="A52" s="107" t="s">
        <v>167</v>
      </c>
      <c r="B52" s="108"/>
      <c r="C52" s="99" t="s">
        <v>30</v>
      </c>
      <c r="D52" s="100"/>
      <c r="E52" s="101"/>
      <c r="F52" s="46" t="s">
        <v>45</v>
      </c>
      <c r="G52" s="105" t="s">
        <v>30</v>
      </c>
      <c r="H52" s="106"/>
    </row>
    <row r="53" spans="1:14" hidden="1" x14ac:dyDescent="0.25">
      <c r="A53" s="109"/>
      <c r="B53" s="110"/>
      <c r="C53" s="99" t="s">
        <v>189</v>
      </c>
      <c r="D53" s="100"/>
      <c r="E53" s="100"/>
      <c r="F53" s="100"/>
      <c r="G53" s="100"/>
      <c r="H53" s="101"/>
    </row>
    <row r="54" spans="1:14" x14ac:dyDescent="0.25">
      <c r="A54" s="102" t="s">
        <v>48</v>
      </c>
      <c r="B54" s="102"/>
      <c r="C54" s="102"/>
      <c r="D54" s="102"/>
      <c r="E54" s="102"/>
      <c r="F54" s="102"/>
      <c r="G54" s="102"/>
      <c r="H54" s="102"/>
    </row>
    <row r="55" spans="1:14" x14ac:dyDescent="0.25">
      <c r="A55" s="103" t="s">
        <v>93</v>
      </c>
      <c r="B55" s="103"/>
      <c r="C55" s="103"/>
      <c r="D55" s="88">
        <f>E44</f>
        <v>15897</v>
      </c>
      <c r="E55" s="88"/>
      <c r="F55" s="88"/>
      <c r="G55" s="88"/>
      <c r="H55" s="88"/>
    </row>
    <row r="56" spans="1:14" x14ac:dyDescent="0.25">
      <c r="A56" s="104" t="s">
        <v>49</v>
      </c>
      <c r="B56" s="79"/>
      <c r="C56" s="79"/>
      <c r="D56" s="79" t="s">
        <v>205</v>
      </c>
      <c r="E56" s="79"/>
      <c r="F56" s="79"/>
      <c r="G56" s="79"/>
      <c r="H56" s="79"/>
      <c r="I56" s="20"/>
    </row>
    <row r="57" spans="1:14" ht="33" customHeight="1" x14ac:dyDescent="0.25">
      <c r="A57" s="89" t="s">
        <v>50</v>
      </c>
      <c r="B57" s="90"/>
      <c r="C57" s="151"/>
      <c r="D57" s="138" t="s">
        <v>192</v>
      </c>
      <c r="E57" s="150"/>
      <c r="F57" s="150"/>
      <c r="G57" s="150"/>
      <c r="H57" s="150"/>
    </row>
    <row r="58" spans="1:14" ht="15.75" customHeight="1" x14ac:dyDescent="0.25">
      <c r="A58" s="89" t="s">
        <v>91</v>
      </c>
      <c r="B58" s="90"/>
      <c r="C58" s="90"/>
      <c r="D58" s="93" t="s">
        <v>193</v>
      </c>
      <c r="E58" s="94"/>
      <c r="F58" s="94"/>
      <c r="G58" s="94"/>
      <c r="H58" s="95"/>
    </row>
    <row r="59" spans="1:14" ht="15.75" customHeight="1" x14ac:dyDescent="0.25">
      <c r="A59" s="91"/>
      <c r="B59" s="92"/>
      <c r="C59" s="92"/>
      <c r="D59" s="96" t="s">
        <v>194</v>
      </c>
      <c r="E59" s="97"/>
      <c r="F59" s="97"/>
      <c r="G59" s="97"/>
      <c r="H59" s="98"/>
    </row>
    <row r="60" spans="1:14" ht="15.75" customHeight="1" x14ac:dyDescent="0.25">
      <c r="A60" s="88" t="s">
        <v>47</v>
      </c>
      <c r="B60" s="88"/>
      <c r="C60" s="88"/>
      <c r="D60" s="170" t="s">
        <v>191</v>
      </c>
      <c r="E60" s="170"/>
      <c r="F60" s="170"/>
      <c r="G60" s="170"/>
      <c r="H60" s="170"/>
      <c r="J60" s="21"/>
      <c r="K60" s="20"/>
      <c r="N60" s="20"/>
    </row>
    <row r="61" spans="1:14" ht="15.75" customHeight="1" x14ac:dyDescent="0.25">
      <c r="A61" s="88" t="s">
        <v>89</v>
      </c>
      <c r="B61" s="88"/>
      <c r="C61" s="88"/>
      <c r="D61" s="174" t="str">
        <f>(IF(G52="NA","60 Years After Completion",IF(G52&lt;&gt;"NA",""&amp;60-ROUNDDOWN((E3-G52)/360,0)&amp;" Years"," ")))</f>
        <v>60 Years After Completion</v>
      </c>
      <c r="E61" s="174"/>
      <c r="F61" s="174"/>
      <c r="G61" s="174"/>
      <c r="H61" s="174"/>
      <c r="N61" s="20"/>
    </row>
    <row r="62" spans="1:14" ht="15.75" customHeight="1" x14ac:dyDescent="0.25">
      <c r="A62" s="88" t="s">
        <v>90</v>
      </c>
      <c r="B62" s="88"/>
      <c r="C62" s="88"/>
      <c r="D62" s="103" t="s">
        <v>24</v>
      </c>
      <c r="E62" s="103"/>
      <c r="F62" s="103"/>
      <c r="G62" s="103"/>
      <c r="H62" s="103"/>
      <c r="J62" s="22"/>
      <c r="K62" s="22"/>
    </row>
    <row r="63" spans="1:14" ht="30.75" customHeight="1" x14ac:dyDescent="0.25">
      <c r="A63" s="88" t="s">
        <v>77</v>
      </c>
      <c r="B63" s="88"/>
      <c r="C63" s="88"/>
      <c r="D63" s="104" t="s">
        <v>214</v>
      </c>
      <c r="E63" s="103"/>
      <c r="F63" s="103"/>
      <c r="G63" s="103"/>
      <c r="H63" s="103"/>
    </row>
    <row r="64" spans="1:14" x14ac:dyDescent="0.25">
      <c r="A64" s="103" t="s">
        <v>150</v>
      </c>
      <c r="B64" s="103"/>
      <c r="C64" s="103"/>
      <c r="D64" s="103" t="s">
        <v>30</v>
      </c>
      <c r="E64" s="103"/>
      <c r="F64" s="103"/>
      <c r="G64" s="103"/>
      <c r="H64" s="103"/>
      <c r="I64" s="23"/>
      <c r="J64" s="23"/>
      <c r="K64" s="23"/>
      <c r="L64" s="23"/>
      <c r="M64" s="23"/>
      <c r="N64" s="23"/>
    </row>
    <row r="65" spans="1:10" ht="15.75" customHeight="1" x14ac:dyDescent="0.25">
      <c r="A65" s="137" t="s">
        <v>88</v>
      </c>
      <c r="B65" s="137"/>
      <c r="C65" s="137"/>
      <c r="D65" s="138" t="str">
        <f ca="1">(IF(G71&gt;95%,"Nothing",IF(G71&gt;0%,"Cement, Aggregate, Steel, etc",IF(G71=0%,"Work not yet Started"))))</f>
        <v>Cement, Aggregate, Steel, etc</v>
      </c>
      <c r="E65" s="138"/>
      <c r="F65" s="138"/>
      <c r="G65" s="138"/>
      <c r="H65" s="138"/>
      <c r="J65" s="22"/>
    </row>
    <row r="66" spans="1:10" ht="33.75" customHeight="1" thickBot="1" x14ac:dyDescent="0.3">
      <c r="A66" s="160" t="s">
        <v>120</v>
      </c>
      <c r="B66" s="160"/>
      <c r="C66" s="160"/>
      <c r="D66" s="138" t="str">
        <f ca="1">(IF(D65="Nothing","Yes",IF(D65="Cement, Aggregate, Steel, etc","Under Construction",IF(D65="Work not yet Started","Work not yet Started"))))</f>
        <v>Under Construction</v>
      </c>
      <c r="E66" s="138"/>
      <c r="F66" s="138" t="str">
        <f ca="1">(IF(D65="Nothing","Yes",IF(D65="Cement, Aggregate, Steel, etc","Under Construction",IF(D65="Work not yet Started","Work not yet Started"))))</f>
        <v>Under Construction</v>
      </c>
      <c r="G66" s="138"/>
      <c r="H66" s="138"/>
    </row>
    <row r="67" spans="1:10" ht="33.75" customHeight="1" x14ac:dyDescent="0.25">
      <c r="A67" s="111" t="s">
        <v>142</v>
      </c>
      <c r="B67" s="112"/>
      <c r="C67" s="113" t="s">
        <v>192</v>
      </c>
      <c r="D67" s="114"/>
      <c r="E67" s="114"/>
      <c r="F67" s="114"/>
      <c r="G67" s="114"/>
      <c r="H67" s="115"/>
      <c r="I67" s="56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Flooring, Painting Completed, Finishing upto 8 Floor Completed</v>
      </c>
      <c r="J67" s="38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Finishing upto 8 Floor</v>
      </c>
    </row>
    <row r="68" spans="1:10" x14ac:dyDescent="0.25">
      <c r="A68" s="15" t="s">
        <v>144</v>
      </c>
      <c r="B68" s="50">
        <v>0</v>
      </c>
      <c r="C68" s="50" t="s">
        <v>75</v>
      </c>
      <c r="D68" s="50">
        <v>1</v>
      </c>
      <c r="E68" s="50" t="s">
        <v>74</v>
      </c>
      <c r="F68" s="50">
        <v>0</v>
      </c>
      <c r="G68" s="50" t="s">
        <v>82</v>
      </c>
      <c r="H68" s="16">
        <f ca="1">--TRIM(RIGHT(SUBSTITUTE(LEFT(C67,_xlfn.AGGREGATE(16,6,FIND({0,1,2,3,4,5,6,7,8,9},C67,ROW(INDIRECT("1:"&amp;LEN(C67)))),1))," ",REPT(" ",LEN(C67))),LEN(C67)))</f>
        <v>14</v>
      </c>
      <c r="I68" s="39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</v>
      </c>
      <c r="J68" s="40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6" customHeight="1" x14ac:dyDescent="0.25">
      <c r="A69" s="156" t="s">
        <v>92</v>
      </c>
      <c r="B69" s="157"/>
      <c r="C69" s="158" t="str">
        <f ca="1">(IF($C$53=C67,"All work Completed. OC Received.",I67))</f>
        <v>Excavation, Plinth, RCC Slab, Brickwork, Internal Plaster, External Plaster, Flooring, Painting Completed, Finishing upto 8 Floor Completed</v>
      </c>
      <c r="D69" s="158"/>
      <c r="E69" s="158"/>
      <c r="F69" s="158"/>
      <c r="G69" s="158"/>
      <c r="H69" s="159"/>
      <c r="I69" s="39" t="str">
        <f ca="1">IF(I68&lt;&gt;""," Completed","")</f>
        <v xml:space="preserve"> Completed</v>
      </c>
      <c r="J69" s="40" t="str">
        <f ca="1">IF(J67&lt;&gt;"","Completed","")</f>
        <v>Completed</v>
      </c>
    </row>
    <row r="70" spans="1:10" ht="15.75" customHeight="1" x14ac:dyDescent="0.25">
      <c r="A70" s="80" t="s">
        <v>51</v>
      </c>
      <c r="B70" s="81"/>
      <c r="C70" s="52" t="s">
        <v>141</v>
      </c>
      <c r="D70" s="52" t="s">
        <v>85</v>
      </c>
      <c r="E70" s="81" t="s">
        <v>87</v>
      </c>
      <c r="F70" s="81"/>
      <c r="G70" s="81" t="s">
        <v>86</v>
      </c>
      <c r="H70" s="139"/>
      <c r="I70" s="13" t="s">
        <v>143</v>
      </c>
      <c r="J70" s="24">
        <f ca="1">H68*25%</f>
        <v>3.5</v>
      </c>
    </row>
    <row r="71" spans="1:10" x14ac:dyDescent="0.25">
      <c r="A71" s="80" t="s">
        <v>130</v>
      </c>
      <c r="B71" s="81"/>
      <c r="C71" s="52">
        <f ca="1">J72</f>
        <v>14</v>
      </c>
      <c r="D71" s="53">
        <f ca="1">((100/H68)*C71)/100</f>
        <v>1</v>
      </c>
      <c r="E71" s="121">
        <f ca="1">(((C72/H68*10)+(40/(D68+F68+H68)*C73)+(7.5/(H68)*C74)+(7.5/(H68)*C75)+(10/H68*C76)+(10/H68*C77)+(5/H68*C78)+(5/H68*C79)+(5/H68*C80))/100)</f>
        <v>0.9285714285714286</v>
      </c>
      <c r="F71" s="122"/>
      <c r="G71" s="121">
        <f ca="1">((((C71/H68)*20)+((C72/H68)*25)+(30/(H68+F68+D68)*C73)+(5/H68*C74)+(5/H68*C75)+(5/H68*C76)+(5/H68*C77)+(0/H68*C78)+(0/H68*C79)+(5/H68*C80))/100)</f>
        <v>0.95</v>
      </c>
      <c r="H71" s="171"/>
      <c r="I71" s="13" t="s">
        <v>103</v>
      </c>
      <c r="J71" s="25">
        <f ca="1">H68*50%</f>
        <v>7</v>
      </c>
    </row>
    <row r="72" spans="1:10" x14ac:dyDescent="0.25">
      <c r="A72" s="80" t="s">
        <v>52</v>
      </c>
      <c r="B72" s="81"/>
      <c r="C72" s="52">
        <f ca="1">J80</f>
        <v>14</v>
      </c>
      <c r="D72" s="53">
        <f ca="1">((100/H68)*C72)/100</f>
        <v>1</v>
      </c>
      <c r="E72" s="123"/>
      <c r="F72" s="124"/>
      <c r="G72" s="123"/>
      <c r="H72" s="172"/>
      <c r="I72" s="13" t="s">
        <v>104</v>
      </c>
      <c r="J72" s="25">
        <f ca="1">H68</f>
        <v>14</v>
      </c>
    </row>
    <row r="73" spans="1:10" ht="15.75" customHeight="1" x14ac:dyDescent="0.25">
      <c r="A73" s="80" t="s">
        <v>131</v>
      </c>
      <c r="B73" s="81"/>
      <c r="C73" s="52">
        <v>15</v>
      </c>
      <c r="D73" s="53">
        <f ca="1">((100/(D68+F68+H68))*C73)/100</f>
        <v>1</v>
      </c>
      <c r="E73" s="123"/>
      <c r="F73" s="124"/>
      <c r="G73" s="123"/>
      <c r="H73" s="172"/>
      <c r="I73" s="13" t="s">
        <v>105</v>
      </c>
      <c r="J73" s="26">
        <f ca="1">(IF(B68&gt;1,(H68/(B68+2)),H68/4))</f>
        <v>3.5</v>
      </c>
    </row>
    <row r="74" spans="1:10" ht="15.75" customHeight="1" x14ac:dyDescent="0.25">
      <c r="A74" s="80" t="s">
        <v>138</v>
      </c>
      <c r="B74" s="81" t="s">
        <v>132</v>
      </c>
      <c r="C74" s="52">
        <v>14</v>
      </c>
      <c r="D74" s="53">
        <f ca="1">((100/H68)*C74)/100</f>
        <v>1</v>
      </c>
      <c r="E74" s="123"/>
      <c r="F74" s="124"/>
      <c r="G74" s="123"/>
      <c r="H74" s="172"/>
      <c r="I74" s="13" t="s">
        <v>106</v>
      </c>
      <c r="J74" s="26">
        <f ca="1">(IF(B68&gt;1,(H68/(B68+2)+J73),H68/4+J73))</f>
        <v>7</v>
      </c>
    </row>
    <row r="75" spans="1:10" ht="15.75" customHeight="1" x14ac:dyDescent="0.25">
      <c r="A75" s="80" t="s">
        <v>139</v>
      </c>
      <c r="B75" s="81" t="s">
        <v>132</v>
      </c>
      <c r="C75" s="52">
        <v>14</v>
      </c>
      <c r="D75" s="53">
        <f ca="1">((100/H68)*C75)/100</f>
        <v>1</v>
      </c>
      <c r="E75" s="123"/>
      <c r="F75" s="124"/>
      <c r="G75" s="123"/>
      <c r="H75" s="172"/>
      <c r="I75" s="13" t="s">
        <v>148</v>
      </c>
      <c r="J75" s="26">
        <f>(IF(B68&gt;1,(H68/(B68+2)+J74),0))</f>
        <v>0</v>
      </c>
    </row>
    <row r="76" spans="1:10" ht="15" customHeight="1" x14ac:dyDescent="0.25">
      <c r="A76" s="80" t="s">
        <v>137</v>
      </c>
      <c r="B76" s="81" t="s">
        <v>134</v>
      </c>
      <c r="C76" s="52">
        <v>14</v>
      </c>
      <c r="D76" s="53">
        <f ca="1">((100/(H68))*C76)/100</f>
        <v>1</v>
      </c>
      <c r="E76" s="123"/>
      <c r="F76" s="124"/>
      <c r="G76" s="123"/>
      <c r="H76" s="172"/>
      <c r="I76" s="13" t="s">
        <v>145</v>
      </c>
      <c r="J76" s="26">
        <f>(IF(B68&gt;2,(H68/(B68+2)+J75),0))</f>
        <v>0</v>
      </c>
    </row>
    <row r="77" spans="1:10" ht="15.75" customHeight="1" x14ac:dyDescent="0.25">
      <c r="A77" s="80" t="s">
        <v>133</v>
      </c>
      <c r="B77" s="81" t="s">
        <v>133</v>
      </c>
      <c r="C77" s="52">
        <v>14</v>
      </c>
      <c r="D77" s="53">
        <f ca="1">((100/H68)*C77)/100</f>
        <v>1</v>
      </c>
      <c r="E77" s="123"/>
      <c r="F77" s="124"/>
      <c r="G77" s="123"/>
      <c r="H77" s="172"/>
      <c r="I77" s="13" t="s">
        <v>146</v>
      </c>
      <c r="J77" s="27">
        <f>(IF(B68&gt;3,(H68/(B68+2)+J76),0))</f>
        <v>0</v>
      </c>
    </row>
    <row r="78" spans="1:10" ht="15.75" customHeight="1" x14ac:dyDescent="0.25">
      <c r="A78" s="80" t="s">
        <v>140</v>
      </c>
      <c r="B78" s="81"/>
      <c r="C78" s="52">
        <v>14</v>
      </c>
      <c r="D78" s="53">
        <f ca="1">((100/H68)*C78)/100</f>
        <v>1</v>
      </c>
      <c r="E78" s="123"/>
      <c r="F78" s="124"/>
      <c r="G78" s="123"/>
      <c r="H78" s="172"/>
      <c r="I78" s="13" t="s">
        <v>147</v>
      </c>
      <c r="J78" s="26">
        <f>(IF(B68&gt;4,(H68/(B68+2)+J77),0))</f>
        <v>0</v>
      </c>
    </row>
    <row r="79" spans="1:10" ht="15.75" customHeight="1" x14ac:dyDescent="0.25">
      <c r="A79" s="80" t="s">
        <v>135</v>
      </c>
      <c r="B79" s="81" t="s">
        <v>135</v>
      </c>
      <c r="C79" s="52">
        <v>8</v>
      </c>
      <c r="D79" s="53">
        <f ca="1">((100/(H68))*C79)/100</f>
        <v>0.57142857142857151</v>
      </c>
      <c r="E79" s="123"/>
      <c r="F79" s="124"/>
      <c r="G79" s="123"/>
      <c r="H79" s="172"/>
      <c r="I79" s="13" t="s">
        <v>149</v>
      </c>
      <c r="J79" s="26">
        <f ca="1">(IF(B68=1,(H68/(B68+3)+J74),IF(B68=0,(H68/4+J74),IF(B68&gt;1,0))))</f>
        <v>10.5</v>
      </c>
    </row>
    <row r="80" spans="1:10" ht="16.5" thickBot="1" x14ac:dyDescent="0.3">
      <c r="A80" s="117" t="s">
        <v>136</v>
      </c>
      <c r="B80" s="118"/>
      <c r="C80" s="54">
        <v>0</v>
      </c>
      <c r="D80" s="55">
        <f ca="1">((100/(H68))*C80)/100</f>
        <v>0</v>
      </c>
      <c r="E80" s="125"/>
      <c r="F80" s="126"/>
      <c r="G80" s="125"/>
      <c r="H80" s="173"/>
      <c r="I80" s="14" t="s">
        <v>107</v>
      </c>
      <c r="J80" s="28">
        <f ca="1">(IF(B68&gt;1.5,(H68/(B68+2)+J74+MAX(0,J75-J74)+MAX(0,J76-J75)+MAX(0,J77-J76)+MAX(0,J78-J77)+MAX(0,J79-J78)),IF(B68=1,(H68/(B68+3)+J79),IF(B68=0,H68/4+J79))))</f>
        <v>14</v>
      </c>
    </row>
    <row r="81" spans="1:11" ht="15.75" hidden="1" customHeight="1" x14ac:dyDescent="0.25">
      <c r="A81" s="111" t="s">
        <v>142</v>
      </c>
      <c r="B81" s="112"/>
      <c r="C81" s="113" t="str">
        <f>D59</f>
        <v>Wing V = Gr/St + P1 + 2nd to 14th Floor</v>
      </c>
      <c r="D81" s="114"/>
      <c r="E81" s="114"/>
      <c r="F81" s="114"/>
      <c r="G81" s="114"/>
      <c r="H81" s="115"/>
      <c r="I81" s="56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Plaster, Flooring, Painting Completed, Finishing upto 8 Floor Completed</v>
      </c>
      <c r="J81" s="38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Finishing upto 8 Floor</v>
      </c>
    </row>
    <row r="82" spans="1:11" hidden="1" x14ac:dyDescent="0.25">
      <c r="A82" s="15" t="s">
        <v>144</v>
      </c>
      <c r="B82" s="50">
        <v>0</v>
      </c>
      <c r="C82" s="50" t="s">
        <v>75</v>
      </c>
      <c r="D82" s="50">
        <v>1</v>
      </c>
      <c r="E82" s="50" t="s">
        <v>74</v>
      </c>
      <c r="F82" s="50">
        <v>0</v>
      </c>
      <c r="G82" s="50" t="s">
        <v>82</v>
      </c>
      <c r="H82" s="16">
        <f ca="1">--TRIM(RIGHT(SUBSTITUTE(LEFT(C81,_xlfn.AGGREGATE(16,6,FIND({0,1,2,3,4,5,6,7,8,9},C81,ROW(INDIRECT("1:"&amp;LEN(C81)))),1))," ",REPT(" ",LEN(C81))),LEN(C81)))</f>
        <v>14</v>
      </c>
      <c r="I82" s="3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</v>
      </c>
      <c r="J82" s="40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1" ht="33.75" hidden="1" customHeight="1" x14ac:dyDescent="0.25">
      <c r="A83" s="156" t="s">
        <v>92</v>
      </c>
      <c r="B83" s="157"/>
      <c r="C83" s="158" t="str">
        <f ca="1">(IF($C$53=C81,"All work Completed. OC Received.",I81))</f>
        <v>Excavation, Plinth, RCC Slab, Brickwork, Internal Plaster, External Plaster, Flooring, Painting Completed, Finishing upto 8 Floor Completed</v>
      </c>
      <c r="D83" s="158"/>
      <c r="E83" s="158"/>
      <c r="F83" s="158"/>
      <c r="G83" s="158"/>
      <c r="H83" s="159"/>
      <c r="I83" s="39" t="str">
        <f ca="1">IF(I82&lt;&gt;""," Completed","")</f>
        <v xml:space="preserve"> Completed</v>
      </c>
      <c r="J83" s="40" t="str">
        <f ca="1">IF(J81&lt;&gt;"","Completed","")</f>
        <v>Completed</v>
      </c>
    </row>
    <row r="84" spans="1:11" ht="15.75" hidden="1" customHeight="1" x14ac:dyDescent="0.25">
      <c r="A84" s="80" t="s">
        <v>51</v>
      </c>
      <c r="B84" s="81"/>
      <c r="C84" s="52" t="s">
        <v>141</v>
      </c>
      <c r="D84" s="52" t="s">
        <v>85</v>
      </c>
      <c r="E84" s="81" t="s">
        <v>87</v>
      </c>
      <c r="F84" s="81"/>
      <c r="G84" s="81" t="s">
        <v>86</v>
      </c>
      <c r="H84" s="139"/>
      <c r="I84" s="13" t="s">
        <v>143</v>
      </c>
      <c r="J84" s="24">
        <f ca="1">H82*25%</f>
        <v>3.5</v>
      </c>
    </row>
    <row r="85" spans="1:11" hidden="1" x14ac:dyDescent="0.25">
      <c r="A85" s="80" t="s">
        <v>130</v>
      </c>
      <c r="B85" s="81"/>
      <c r="C85" s="52">
        <f ca="1">J86</f>
        <v>14</v>
      </c>
      <c r="D85" s="53">
        <f ca="1">((100/H82)*C85)/100</f>
        <v>1</v>
      </c>
      <c r="E85" s="121">
        <f ca="1">(((C86/H82*10)+(40/(D82+F82+H82)*C87)+(7.5/(H82)*C88)+(7.5/(H82)*C89)+(10/H82*C90)+(10/H82*C91)+(5/H82*C92)+(5/H82*C93)+(5/H82*C94))/100)</f>
        <v>0.9285714285714286</v>
      </c>
      <c r="F85" s="122"/>
      <c r="G85" s="121">
        <f ca="1">((((C85/H82)*20)+((C86/H82)*25)+(30/(H82+F82+D82)*C87)+(5/H82*C88)+(5/H82*C89)+(5/H82*C90)+(5/H82*C91)+(0/H82*C92)+(0/H82*C93)+(5/H82*C94))/100)</f>
        <v>0.95</v>
      </c>
      <c r="H85" s="171"/>
      <c r="I85" s="13" t="s">
        <v>103</v>
      </c>
      <c r="J85" s="25">
        <f ca="1">H82*50%</f>
        <v>7</v>
      </c>
    </row>
    <row r="86" spans="1:11" hidden="1" x14ac:dyDescent="0.25">
      <c r="A86" s="80" t="s">
        <v>52</v>
      </c>
      <c r="B86" s="81"/>
      <c r="C86" s="52">
        <f ca="1">J94</f>
        <v>14</v>
      </c>
      <c r="D86" s="53">
        <f ca="1">((100/H82)*C86)/100</f>
        <v>1</v>
      </c>
      <c r="E86" s="123"/>
      <c r="F86" s="124"/>
      <c r="G86" s="123"/>
      <c r="H86" s="172"/>
      <c r="I86" s="13" t="s">
        <v>104</v>
      </c>
      <c r="J86" s="25">
        <f ca="1">H82</f>
        <v>14</v>
      </c>
    </row>
    <row r="87" spans="1:11" ht="15.75" hidden="1" customHeight="1" x14ac:dyDescent="0.25">
      <c r="A87" s="80" t="s">
        <v>131</v>
      </c>
      <c r="B87" s="81"/>
      <c r="C87" s="52">
        <v>15</v>
      </c>
      <c r="D87" s="53">
        <f ca="1">((100/(D82+F82+H82))*C87)/100</f>
        <v>1</v>
      </c>
      <c r="E87" s="123"/>
      <c r="F87" s="124"/>
      <c r="G87" s="123"/>
      <c r="H87" s="172"/>
      <c r="I87" s="13" t="s">
        <v>105</v>
      </c>
      <c r="J87" s="26">
        <f ca="1">(IF(B82&gt;1,(H82/(B82+2)),H82/4))</f>
        <v>3.5</v>
      </c>
    </row>
    <row r="88" spans="1:11" ht="15.75" hidden="1" customHeight="1" x14ac:dyDescent="0.25">
      <c r="A88" s="80" t="s">
        <v>138</v>
      </c>
      <c r="B88" s="81" t="s">
        <v>132</v>
      </c>
      <c r="C88" s="52">
        <v>14</v>
      </c>
      <c r="D88" s="53">
        <f ca="1">((100/H82)*C88)/100</f>
        <v>1</v>
      </c>
      <c r="E88" s="123"/>
      <c r="F88" s="124"/>
      <c r="G88" s="123"/>
      <c r="H88" s="172"/>
      <c r="I88" s="13" t="s">
        <v>106</v>
      </c>
      <c r="J88" s="26">
        <f ca="1">(IF(B82&gt;1,(H82/(B82+2)+J87),H82/4+J87))</f>
        <v>7</v>
      </c>
    </row>
    <row r="89" spans="1:11" ht="15.75" hidden="1" customHeight="1" x14ac:dyDescent="0.25">
      <c r="A89" s="80" t="s">
        <v>139</v>
      </c>
      <c r="B89" s="81" t="s">
        <v>132</v>
      </c>
      <c r="C89" s="52">
        <v>14</v>
      </c>
      <c r="D89" s="53">
        <f ca="1">((100/H82)*C89)/100</f>
        <v>1</v>
      </c>
      <c r="E89" s="123"/>
      <c r="F89" s="124"/>
      <c r="G89" s="123"/>
      <c r="H89" s="172"/>
      <c r="I89" s="13" t="s">
        <v>148</v>
      </c>
      <c r="J89" s="26">
        <f>(IF(B82&gt;1,(H82/(B82+2)+J88),0))</f>
        <v>0</v>
      </c>
    </row>
    <row r="90" spans="1:11" ht="15" hidden="1" customHeight="1" x14ac:dyDescent="0.25">
      <c r="A90" s="80" t="s">
        <v>137</v>
      </c>
      <c r="B90" s="81" t="s">
        <v>134</v>
      </c>
      <c r="C90" s="52">
        <v>14</v>
      </c>
      <c r="D90" s="53">
        <f ca="1">((100/(H82))*C90)/100</f>
        <v>1</v>
      </c>
      <c r="E90" s="123"/>
      <c r="F90" s="124"/>
      <c r="G90" s="123"/>
      <c r="H90" s="172"/>
      <c r="I90" s="13" t="s">
        <v>145</v>
      </c>
      <c r="J90" s="26">
        <f>(IF(B82&gt;2,(H82/(B82+2)+J89),0))</f>
        <v>0</v>
      </c>
    </row>
    <row r="91" spans="1:11" ht="15.75" hidden="1" customHeight="1" x14ac:dyDescent="0.25">
      <c r="A91" s="80" t="s">
        <v>133</v>
      </c>
      <c r="B91" s="81" t="s">
        <v>133</v>
      </c>
      <c r="C91" s="52">
        <v>14</v>
      </c>
      <c r="D91" s="53">
        <f ca="1">((100/H82)*C91)/100</f>
        <v>1</v>
      </c>
      <c r="E91" s="123"/>
      <c r="F91" s="124"/>
      <c r="G91" s="123"/>
      <c r="H91" s="172"/>
      <c r="I91" s="13" t="s">
        <v>146</v>
      </c>
      <c r="J91" s="27">
        <f>(IF(B82&gt;3,(H82/(B82+2)+J90),0))</f>
        <v>0</v>
      </c>
    </row>
    <row r="92" spans="1:11" ht="15.75" hidden="1" customHeight="1" x14ac:dyDescent="0.25">
      <c r="A92" s="80" t="s">
        <v>140</v>
      </c>
      <c r="B92" s="81"/>
      <c r="C92" s="52">
        <v>14</v>
      </c>
      <c r="D92" s="53">
        <f ca="1">((100/H82)*C92)/100</f>
        <v>1</v>
      </c>
      <c r="E92" s="123"/>
      <c r="F92" s="124"/>
      <c r="G92" s="123"/>
      <c r="H92" s="172"/>
      <c r="I92" s="13" t="s">
        <v>147</v>
      </c>
      <c r="J92" s="26">
        <f>(IF(B82&gt;4,(H82/(B82+2)+J91),0))</f>
        <v>0</v>
      </c>
    </row>
    <row r="93" spans="1:11" ht="15.75" hidden="1" customHeight="1" x14ac:dyDescent="0.25">
      <c r="A93" s="80" t="s">
        <v>135</v>
      </c>
      <c r="B93" s="81" t="s">
        <v>135</v>
      </c>
      <c r="C93" s="52">
        <v>8</v>
      </c>
      <c r="D93" s="53">
        <f ca="1">((100/(H82))*C93)/100</f>
        <v>0.57142857142857151</v>
      </c>
      <c r="E93" s="123"/>
      <c r="F93" s="124"/>
      <c r="G93" s="123"/>
      <c r="H93" s="172"/>
      <c r="I93" s="13" t="s">
        <v>149</v>
      </c>
      <c r="J93" s="26">
        <f ca="1">(IF(B82=1,(H82/(B82+3)+J88),IF(B82=0,(H82/4+J88),IF(B82&gt;1,0))))</f>
        <v>10.5</v>
      </c>
    </row>
    <row r="94" spans="1:11" ht="16.5" hidden="1" thickBot="1" x14ac:dyDescent="0.3">
      <c r="A94" s="117" t="s">
        <v>136</v>
      </c>
      <c r="B94" s="118"/>
      <c r="C94" s="54">
        <v>0</v>
      </c>
      <c r="D94" s="55">
        <f ca="1">((100/(H82))*C94)/100</f>
        <v>0</v>
      </c>
      <c r="E94" s="125"/>
      <c r="F94" s="126"/>
      <c r="G94" s="125"/>
      <c r="H94" s="173"/>
      <c r="I94" s="14" t="s">
        <v>107</v>
      </c>
      <c r="J94" s="28">
        <f ca="1">(IF(B82&gt;1.5,(H82/(B82+2)+J88+MAX(0,J89-J88)+MAX(0,J90-J89)+MAX(0,J91-J90)+MAX(0,J92-J91)+MAX(0,J93-J92)),IF(B82=1,(H82/(B82+3)+J93),IF(B82=0,H82/4+J93))))</f>
        <v>14</v>
      </c>
    </row>
    <row r="95" spans="1:11" x14ac:dyDescent="0.25">
      <c r="A95" s="184" t="s">
        <v>157</v>
      </c>
      <c r="B95" s="184"/>
      <c r="C95" s="184"/>
      <c r="D95" s="184"/>
      <c r="E95" s="184"/>
      <c r="F95" s="119" t="s">
        <v>162</v>
      </c>
      <c r="G95" s="119"/>
      <c r="H95" s="119"/>
    </row>
    <row r="96" spans="1:11" x14ac:dyDescent="0.25">
      <c r="A96" s="88" t="s">
        <v>160</v>
      </c>
      <c r="B96" s="88"/>
      <c r="C96" s="88"/>
      <c r="D96" s="88"/>
      <c r="E96" s="88"/>
      <c r="F96" s="116">
        <v>5500</v>
      </c>
      <c r="G96" s="116"/>
      <c r="H96" s="116"/>
      <c r="I96" s="59" t="s">
        <v>212</v>
      </c>
      <c r="J96" s="59" t="s">
        <v>213</v>
      </c>
      <c r="K96" s="60">
        <v>44923</v>
      </c>
    </row>
    <row r="97" spans="1:11" hidden="1" x14ac:dyDescent="0.25">
      <c r="A97" s="88" t="s">
        <v>159</v>
      </c>
      <c r="B97" s="88"/>
      <c r="C97" s="88"/>
      <c r="D97" s="88"/>
      <c r="E97" s="88"/>
      <c r="F97" s="120"/>
      <c r="G97" s="120"/>
      <c r="H97" s="120"/>
    </row>
    <row r="98" spans="1:11" hidden="1" x14ac:dyDescent="0.25">
      <c r="A98" s="88" t="s">
        <v>161</v>
      </c>
      <c r="B98" s="88"/>
      <c r="C98" s="88"/>
      <c r="D98" s="88"/>
      <c r="E98" s="88"/>
      <c r="F98" s="120"/>
      <c r="G98" s="120"/>
      <c r="H98" s="120"/>
    </row>
    <row r="99" spans="1:11" s="29" customFormat="1" hidden="1" x14ac:dyDescent="0.25">
      <c r="A99" s="88" t="s">
        <v>158</v>
      </c>
      <c r="B99" s="88"/>
      <c r="C99" s="88"/>
      <c r="D99" s="88"/>
      <c r="E99" s="88"/>
      <c r="F99" s="120"/>
      <c r="G99" s="120"/>
      <c r="H99" s="120"/>
    </row>
    <row r="100" spans="1:11" s="29" customFormat="1" hidden="1" x14ac:dyDescent="0.25">
      <c r="A100" s="88" t="s">
        <v>97</v>
      </c>
      <c r="B100" s="88"/>
      <c r="C100" s="88"/>
      <c r="D100" s="88"/>
      <c r="E100" s="88"/>
      <c r="F100" s="120"/>
      <c r="G100" s="120"/>
      <c r="H100" s="120"/>
    </row>
    <row r="101" spans="1:11" s="29" customFormat="1" hidden="1" x14ac:dyDescent="0.25">
      <c r="A101" s="88" t="s">
        <v>98</v>
      </c>
      <c r="B101" s="88"/>
      <c r="C101" s="88"/>
      <c r="D101" s="88"/>
      <c r="E101" s="88"/>
      <c r="F101" s="120"/>
      <c r="G101" s="120"/>
      <c r="H101" s="120"/>
    </row>
    <row r="102" spans="1:11" s="29" customFormat="1" hidden="1" x14ac:dyDescent="0.25">
      <c r="A102" s="88" t="s">
        <v>163</v>
      </c>
      <c r="B102" s="88"/>
      <c r="C102" s="88"/>
      <c r="D102" s="88"/>
      <c r="E102" s="88"/>
      <c r="F102" s="120"/>
      <c r="G102" s="120"/>
      <c r="H102" s="120"/>
    </row>
    <row r="103" spans="1:11" s="29" customFormat="1" hidden="1" x14ac:dyDescent="0.25">
      <c r="A103" s="88" t="s">
        <v>99</v>
      </c>
      <c r="B103" s="88"/>
      <c r="C103" s="88"/>
      <c r="D103" s="88"/>
      <c r="E103" s="88"/>
      <c r="F103" s="120"/>
      <c r="G103" s="120"/>
      <c r="H103" s="120"/>
    </row>
    <row r="104" spans="1:11" s="29" customFormat="1" hidden="1" x14ac:dyDescent="0.25">
      <c r="A104" s="88" t="s">
        <v>100</v>
      </c>
      <c r="B104" s="88"/>
      <c r="C104" s="88"/>
      <c r="D104" s="88"/>
      <c r="E104" s="88"/>
      <c r="F104" s="120"/>
      <c r="G104" s="120"/>
      <c r="H104" s="120"/>
    </row>
    <row r="105" spans="1:11" s="29" customFormat="1" hidden="1" x14ac:dyDescent="0.25">
      <c r="A105" s="88" t="s">
        <v>101</v>
      </c>
      <c r="B105" s="88"/>
      <c r="C105" s="88"/>
      <c r="D105" s="88"/>
      <c r="E105" s="88"/>
      <c r="F105" s="120"/>
      <c r="G105" s="120"/>
      <c r="H105" s="120"/>
    </row>
    <row r="106" spans="1:11" s="29" customFormat="1" hidden="1" x14ac:dyDescent="0.25">
      <c r="A106" s="88" t="s">
        <v>102</v>
      </c>
      <c r="B106" s="88"/>
      <c r="C106" s="88"/>
      <c r="D106" s="88"/>
      <c r="E106" s="88"/>
      <c r="F106" s="120"/>
      <c r="G106" s="120"/>
      <c r="H106" s="120"/>
    </row>
    <row r="107" spans="1:11" x14ac:dyDescent="0.25">
      <c r="A107" s="88" t="s">
        <v>53</v>
      </c>
      <c r="B107" s="88"/>
      <c r="C107" s="88"/>
      <c r="D107" s="88"/>
      <c r="E107" s="88"/>
      <c r="F107" s="142">
        <v>250000</v>
      </c>
      <c r="G107" s="142"/>
      <c r="H107" s="142"/>
      <c r="I107" s="62" t="s">
        <v>216</v>
      </c>
      <c r="J107" s="62"/>
      <c r="K107" s="62"/>
    </row>
    <row r="108" spans="1:11" s="30" customFormat="1" x14ac:dyDescent="0.25">
      <c r="A108" s="143" t="s">
        <v>54</v>
      </c>
      <c r="B108" s="143"/>
      <c r="C108" s="143"/>
      <c r="D108" s="143"/>
      <c r="E108" s="143"/>
      <c r="F108" s="120">
        <f>F96*0.8</f>
        <v>4400</v>
      </c>
      <c r="G108" s="120"/>
      <c r="H108" s="120"/>
    </row>
    <row r="109" spans="1:11" s="31" customFormat="1" x14ac:dyDescent="0.25">
      <c r="A109" s="135" t="s">
        <v>73</v>
      </c>
      <c r="B109" s="135"/>
      <c r="C109" s="135"/>
      <c r="D109" s="135"/>
      <c r="E109" s="135"/>
      <c r="F109" s="135"/>
      <c r="G109" s="135"/>
      <c r="H109" s="135"/>
    </row>
    <row r="110" spans="1:11" s="31" customFormat="1" ht="15.75" customHeight="1" x14ac:dyDescent="0.25">
      <c r="A110" s="147" t="s">
        <v>55</v>
      </c>
      <c r="B110" s="147"/>
      <c r="C110" s="178" t="s">
        <v>80</v>
      </c>
      <c r="D110" s="178"/>
      <c r="E110" s="127" t="s">
        <v>56</v>
      </c>
      <c r="F110" s="127"/>
      <c r="G110" s="147" t="s">
        <v>57</v>
      </c>
      <c r="H110" s="147"/>
    </row>
    <row r="111" spans="1:11" s="31" customFormat="1" x14ac:dyDescent="0.25">
      <c r="A111" s="144" t="s">
        <v>201</v>
      </c>
      <c r="B111" s="144"/>
      <c r="C111" s="145">
        <f>COUNT(D121:D130)*10+COUNT(D132,D134:D141)*2+COUNT(D143,D145:D152)</f>
        <v>127</v>
      </c>
      <c r="D111" s="145"/>
      <c r="E111" s="136">
        <f>SUM(D121:D130)*10+SUM(D132,D134:D141)*2+SUM(D143,D145:D152)</f>
        <v>60235.855290000007</v>
      </c>
      <c r="F111" s="136"/>
      <c r="G111" s="136">
        <f>SUM(F121:F130)*10+SUM(F132,F134:F141)*2+SUM(F143,F145:F152)</f>
        <v>103285</v>
      </c>
      <c r="H111" s="136"/>
    </row>
    <row r="112" spans="1:11" s="31" customFormat="1" x14ac:dyDescent="0.25">
      <c r="A112" s="144" t="s">
        <v>202</v>
      </c>
      <c r="B112" s="144"/>
      <c r="C112" s="145">
        <f>COUNT(D157:D167)*10+COUNT(D169:D176,D178:D179)*2+COUNT(D181:D188,D190:D191)</f>
        <v>140</v>
      </c>
      <c r="D112" s="145"/>
      <c r="E112" s="136">
        <f>SUM(D157:D167)*10+SUM(D169:D176,D178:D179)*2+SUM(D181:D188,D190:D191)</f>
        <v>65066.098032000009</v>
      </c>
      <c r="F112" s="136"/>
      <c r="G112" s="136">
        <f>SUM(F157:F167)*10+SUM(F169:F176,F178:F179)*2+SUM(F181:F188,F190:F191)</f>
        <v>111566</v>
      </c>
      <c r="H112" s="136"/>
    </row>
    <row r="113" spans="1:14" s="31" customFormat="1" x14ac:dyDescent="0.25">
      <c r="A113" s="135" t="s">
        <v>151</v>
      </c>
      <c r="B113" s="135"/>
      <c r="C113" s="178">
        <f>SUM(C111:D112)</f>
        <v>267</v>
      </c>
      <c r="D113" s="178"/>
      <c r="E113" s="179">
        <f>SUM(E111:F112)</f>
        <v>125301.95332200002</v>
      </c>
      <c r="F113" s="127"/>
      <c r="G113" s="147">
        <f>SUM(G111:H112)</f>
        <v>214851</v>
      </c>
      <c r="H113" s="147"/>
    </row>
    <row r="114" spans="1:14" s="30" customFormat="1" x14ac:dyDescent="0.25">
      <c r="A114" s="134" t="s">
        <v>58</v>
      </c>
      <c r="B114" s="134"/>
      <c r="C114" s="134"/>
      <c r="D114" s="134"/>
      <c r="E114" s="134"/>
      <c r="F114" s="134"/>
      <c r="G114" s="134"/>
      <c r="H114" s="134"/>
    </row>
    <row r="115" spans="1:14" x14ac:dyDescent="0.25">
      <c r="A115" s="134" t="s">
        <v>59</v>
      </c>
      <c r="B115" s="134"/>
      <c r="C115" s="134"/>
      <c r="D115" s="134"/>
      <c r="E115" s="134"/>
      <c r="F115" s="134"/>
      <c r="G115" s="134"/>
      <c r="H115" s="134"/>
    </row>
    <row r="116" spans="1:14" ht="47.25" customHeight="1" x14ac:dyDescent="0.25">
      <c r="A116" s="49" t="s">
        <v>121</v>
      </c>
      <c r="B116" s="49" t="s">
        <v>122</v>
      </c>
      <c r="C116" s="45" t="s">
        <v>60</v>
      </c>
      <c r="D116" s="45" t="s">
        <v>61</v>
      </c>
      <c r="E116" s="51" t="s">
        <v>62</v>
      </c>
      <c r="F116" s="45" t="s">
        <v>210</v>
      </c>
      <c r="G116" s="148" t="s">
        <v>63</v>
      </c>
      <c r="H116" s="149"/>
      <c r="I116" s="32"/>
    </row>
    <row r="117" spans="1:14" s="30" customFormat="1" x14ac:dyDescent="0.25">
      <c r="A117" s="134" t="s">
        <v>201</v>
      </c>
      <c r="B117" s="134"/>
      <c r="C117" s="134"/>
      <c r="D117" s="134"/>
      <c r="E117" s="134"/>
      <c r="F117" s="134"/>
      <c r="G117" s="134"/>
      <c r="H117" s="134"/>
    </row>
    <row r="118" spans="1:14" s="30" customFormat="1" x14ac:dyDescent="0.25">
      <c r="A118" s="134" t="s">
        <v>196</v>
      </c>
      <c r="B118" s="134"/>
      <c r="C118" s="134"/>
      <c r="D118" s="134"/>
      <c r="E118" s="134"/>
      <c r="F118" s="134"/>
      <c r="G118" s="134"/>
      <c r="H118" s="134"/>
    </row>
    <row r="119" spans="1:14" s="30" customFormat="1" x14ac:dyDescent="0.25">
      <c r="A119" s="134" t="s">
        <v>197</v>
      </c>
      <c r="B119" s="134"/>
      <c r="C119" s="134"/>
      <c r="D119" s="134"/>
      <c r="E119" s="134"/>
      <c r="F119" s="134"/>
      <c r="G119" s="134"/>
      <c r="H119" s="134"/>
    </row>
    <row r="120" spans="1:14" s="33" customFormat="1" x14ac:dyDescent="0.25">
      <c r="A120" s="73" t="s">
        <v>198</v>
      </c>
      <c r="B120" s="74"/>
      <c r="C120" s="74"/>
      <c r="D120" s="74"/>
      <c r="E120" s="74"/>
      <c r="F120" s="74"/>
      <c r="G120" s="74"/>
      <c r="H120" s="75"/>
      <c r="J120" s="32"/>
    </row>
    <row r="121" spans="1:14" s="33" customFormat="1" ht="15.75" customHeight="1" x14ac:dyDescent="0.25">
      <c r="A121" s="69">
        <v>1</v>
      </c>
      <c r="B121" s="71"/>
      <c r="C121" s="41">
        <v>1</v>
      </c>
      <c r="D121" s="48">
        <f>(32.156+2.25*1.05)*10.764</f>
        <v>371.55713399999996</v>
      </c>
      <c r="E121" s="44">
        <v>0</v>
      </c>
      <c r="F121" s="44">
        <v>637</v>
      </c>
      <c r="G121" s="63" t="str">
        <f>A120</f>
        <v>2nd to 7th &amp; 9th to 12th Floor</v>
      </c>
      <c r="H121" s="64"/>
      <c r="I121" s="32"/>
      <c r="L121" s="76"/>
      <c r="M121" s="76"/>
      <c r="N121" s="32"/>
    </row>
    <row r="122" spans="1:14" s="33" customFormat="1" ht="15.75" customHeight="1" x14ac:dyDescent="0.25">
      <c r="A122" s="69">
        <f t="shared" ref="A122:A130" si="0">A121+1</f>
        <v>2</v>
      </c>
      <c r="B122" s="71"/>
      <c r="C122" s="41">
        <v>1</v>
      </c>
      <c r="D122" s="48">
        <f>(32.156+2.25*1.05)*10.764</f>
        <v>371.55713399999996</v>
      </c>
      <c r="E122" s="44">
        <v>0</v>
      </c>
      <c r="F122" s="44">
        <v>637</v>
      </c>
      <c r="G122" s="65"/>
      <c r="H122" s="66"/>
      <c r="I122" s="32"/>
      <c r="L122" s="76"/>
      <c r="M122" s="76"/>
      <c r="N122" s="32"/>
    </row>
    <row r="123" spans="1:14" s="33" customFormat="1" ht="15.75" customHeight="1" x14ac:dyDescent="0.25">
      <c r="A123" s="69">
        <f t="shared" si="0"/>
        <v>3</v>
      </c>
      <c r="B123" s="71"/>
      <c r="C123" s="41">
        <v>2</v>
      </c>
      <c r="D123" s="48">
        <f t="shared" ref="D123:D128" si="1">(47.697+2.25*1.05)*10.764</f>
        <v>538.84045800000001</v>
      </c>
      <c r="E123" s="44">
        <v>0</v>
      </c>
      <c r="F123" s="44">
        <v>924</v>
      </c>
      <c r="G123" s="65"/>
      <c r="H123" s="66"/>
      <c r="I123" s="32"/>
      <c r="L123" s="76"/>
      <c r="M123" s="76"/>
      <c r="N123" s="32"/>
    </row>
    <row r="124" spans="1:14" s="33" customFormat="1" ht="15.75" customHeight="1" x14ac:dyDescent="0.25">
      <c r="A124" s="69">
        <f t="shared" si="0"/>
        <v>4</v>
      </c>
      <c r="B124" s="71"/>
      <c r="C124" s="41">
        <v>2</v>
      </c>
      <c r="D124" s="48">
        <f t="shared" si="1"/>
        <v>538.84045800000001</v>
      </c>
      <c r="E124" s="44">
        <v>0</v>
      </c>
      <c r="F124" s="44">
        <v>924</v>
      </c>
      <c r="G124" s="65"/>
      <c r="H124" s="66"/>
      <c r="I124" s="32"/>
      <c r="L124" s="76"/>
      <c r="M124" s="76"/>
      <c r="N124" s="32"/>
    </row>
    <row r="125" spans="1:14" s="33" customFormat="1" ht="15.75" customHeight="1" x14ac:dyDescent="0.25">
      <c r="A125" s="69">
        <f t="shared" si="0"/>
        <v>5</v>
      </c>
      <c r="B125" s="71"/>
      <c r="C125" s="41">
        <v>2</v>
      </c>
      <c r="D125" s="48">
        <f t="shared" si="1"/>
        <v>538.84045800000001</v>
      </c>
      <c r="E125" s="44">
        <v>0</v>
      </c>
      <c r="F125" s="44">
        <v>924</v>
      </c>
      <c r="G125" s="65"/>
      <c r="H125" s="66"/>
      <c r="I125" s="32"/>
      <c r="J125" s="48">
        <v>10.763999999999999</v>
      </c>
      <c r="L125" s="76"/>
      <c r="M125" s="76"/>
      <c r="N125" s="32"/>
    </row>
    <row r="126" spans="1:14" s="33" customFormat="1" ht="15.75" customHeight="1" x14ac:dyDescent="0.25">
      <c r="A126" s="69">
        <f t="shared" si="0"/>
        <v>6</v>
      </c>
      <c r="B126" s="71"/>
      <c r="C126" s="41">
        <v>2</v>
      </c>
      <c r="D126" s="48">
        <f t="shared" si="1"/>
        <v>538.84045800000001</v>
      </c>
      <c r="E126" s="44">
        <v>0</v>
      </c>
      <c r="F126" s="44">
        <v>924</v>
      </c>
      <c r="G126" s="65"/>
      <c r="H126" s="66"/>
      <c r="I126" s="32"/>
      <c r="L126" s="76"/>
      <c r="M126" s="76"/>
      <c r="N126" s="32"/>
    </row>
    <row r="127" spans="1:14" s="33" customFormat="1" ht="15.75" customHeight="1" x14ac:dyDescent="0.25">
      <c r="A127" s="69">
        <f t="shared" si="0"/>
        <v>7</v>
      </c>
      <c r="B127" s="71"/>
      <c r="C127" s="41">
        <v>2</v>
      </c>
      <c r="D127" s="57">
        <f t="shared" si="1"/>
        <v>538.84045800000001</v>
      </c>
      <c r="E127" s="44">
        <v>0</v>
      </c>
      <c r="F127" s="44">
        <v>924</v>
      </c>
      <c r="G127" s="65"/>
      <c r="H127" s="66"/>
      <c r="I127" s="32"/>
      <c r="L127" s="76"/>
      <c r="M127" s="76"/>
      <c r="N127" s="32"/>
    </row>
    <row r="128" spans="1:14" s="33" customFormat="1" ht="15.75" customHeight="1" x14ac:dyDescent="0.25">
      <c r="A128" s="69">
        <f t="shared" si="0"/>
        <v>8</v>
      </c>
      <c r="B128" s="71"/>
      <c r="C128" s="41">
        <v>2</v>
      </c>
      <c r="D128" s="48">
        <f t="shared" si="1"/>
        <v>538.84045800000001</v>
      </c>
      <c r="E128" s="44">
        <v>0</v>
      </c>
      <c r="F128" s="44">
        <v>924</v>
      </c>
      <c r="G128" s="65"/>
      <c r="H128" s="66"/>
      <c r="I128" s="32"/>
      <c r="L128" s="76"/>
      <c r="M128" s="76"/>
      <c r="N128" s="32"/>
    </row>
    <row r="129" spans="1:14" s="33" customFormat="1" ht="15.75" customHeight="1" x14ac:dyDescent="0.25">
      <c r="A129" s="69">
        <f t="shared" si="0"/>
        <v>9</v>
      </c>
      <c r="B129" s="71"/>
      <c r="C129" s="41">
        <v>1</v>
      </c>
      <c r="D129" s="48">
        <f>(32.156+2.25*1.05)*10.764</f>
        <v>371.55713399999996</v>
      </c>
      <c r="E129" s="44">
        <v>0</v>
      </c>
      <c r="F129" s="44">
        <v>637</v>
      </c>
      <c r="G129" s="65"/>
      <c r="H129" s="66"/>
      <c r="I129" s="32"/>
      <c r="J129" s="32">
        <f>2900000/F129</f>
        <v>4552.5902668759809</v>
      </c>
      <c r="L129" s="76"/>
      <c r="M129" s="76"/>
      <c r="N129" s="32"/>
    </row>
    <row r="130" spans="1:14" s="33" customFormat="1" ht="15.75" customHeight="1" x14ac:dyDescent="0.25">
      <c r="A130" s="69">
        <f t="shared" si="0"/>
        <v>10</v>
      </c>
      <c r="B130" s="71"/>
      <c r="C130" s="41">
        <v>1</v>
      </c>
      <c r="D130" s="48">
        <f>(32.156+2.25*1.05)*10.764</f>
        <v>371.55713399999996</v>
      </c>
      <c r="E130" s="44">
        <v>0</v>
      </c>
      <c r="F130" s="44">
        <v>637</v>
      </c>
      <c r="G130" s="67"/>
      <c r="H130" s="68"/>
      <c r="I130" s="32"/>
      <c r="J130" s="32">
        <f>4200000/F124</f>
        <v>4545.454545454545</v>
      </c>
      <c r="L130" s="76"/>
      <c r="M130" s="76"/>
      <c r="N130" s="32"/>
    </row>
    <row r="131" spans="1:14" s="33" customFormat="1" x14ac:dyDescent="0.25">
      <c r="A131" s="77" t="s">
        <v>199</v>
      </c>
      <c r="B131" s="77"/>
      <c r="C131" s="77"/>
      <c r="D131" s="77"/>
      <c r="E131" s="77"/>
      <c r="F131" s="77"/>
      <c r="G131" s="77"/>
      <c r="H131" s="77"/>
      <c r="I131" s="32"/>
      <c r="L131" s="76"/>
      <c r="M131" s="76"/>
    </row>
    <row r="132" spans="1:14" s="33" customFormat="1" ht="15.75" customHeight="1" x14ac:dyDescent="0.25">
      <c r="A132" s="72">
        <v>1</v>
      </c>
      <c r="B132" s="72"/>
      <c r="C132" s="41">
        <v>1</v>
      </c>
      <c r="D132" s="48">
        <f>(32.156+2.25*1.05)*10.764</f>
        <v>371.55713399999996</v>
      </c>
      <c r="E132" s="44">
        <v>0</v>
      </c>
      <c r="F132" s="44">
        <v>637</v>
      </c>
      <c r="G132" s="63" t="str">
        <f>A131</f>
        <v>8th &amp; 13th (Part Refuge Floor)</v>
      </c>
      <c r="H132" s="64"/>
      <c r="I132" s="32"/>
      <c r="N132" s="32"/>
    </row>
    <row r="133" spans="1:14" s="33" customFormat="1" ht="15.75" customHeight="1" x14ac:dyDescent="0.25">
      <c r="A133" s="72">
        <f t="shared" ref="A133:A141" si="2">A132+1</f>
        <v>2</v>
      </c>
      <c r="B133" s="72"/>
      <c r="C133" s="69" t="s">
        <v>204</v>
      </c>
      <c r="D133" s="70"/>
      <c r="E133" s="70"/>
      <c r="F133" s="71"/>
      <c r="G133" s="65"/>
      <c r="H133" s="66"/>
      <c r="I133" s="32"/>
      <c r="L133" s="42"/>
      <c r="N133" s="32"/>
    </row>
    <row r="134" spans="1:14" s="33" customFormat="1" ht="15.75" customHeight="1" x14ac:dyDescent="0.25">
      <c r="A134" s="72">
        <f t="shared" si="2"/>
        <v>3</v>
      </c>
      <c r="B134" s="72"/>
      <c r="C134" s="41">
        <v>2</v>
      </c>
      <c r="D134" s="48">
        <f t="shared" ref="D134:D139" si="3">(47.697+2.25*1.05)*10.764</f>
        <v>538.84045800000001</v>
      </c>
      <c r="E134" s="44">
        <v>0</v>
      </c>
      <c r="F134" s="44">
        <v>924</v>
      </c>
      <c r="G134" s="65"/>
      <c r="H134" s="66"/>
      <c r="I134" s="32"/>
      <c r="N134" s="32"/>
    </row>
    <row r="135" spans="1:14" s="33" customFormat="1" ht="15.75" customHeight="1" x14ac:dyDescent="0.25">
      <c r="A135" s="72">
        <f t="shared" si="2"/>
        <v>4</v>
      </c>
      <c r="B135" s="72"/>
      <c r="C135" s="41">
        <v>2</v>
      </c>
      <c r="D135" s="48">
        <f t="shared" si="3"/>
        <v>538.84045800000001</v>
      </c>
      <c r="E135" s="44">
        <v>0</v>
      </c>
      <c r="F135" s="44">
        <v>924</v>
      </c>
      <c r="G135" s="65"/>
      <c r="H135" s="66"/>
      <c r="I135" s="32"/>
      <c r="N135" s="32"/>
    </row>
    <row r="136" spans="1:14" s="33" customFormat="1" ht="15.75" customHeight="1" x14ac:dyDescent="0.25">
      <c r="A136" s="72">
        <f t="shared" si="2"/>
        <v>5</v>
      </c>
      <c r="B136" s="72"/>
      <c r="C136" s="41">
        <v>2</v>
      </c>
      <c r="D136" s="48">
        <f t="shared" si="3"/>
        <v>538.84045800000001</v>
      </c>
      <c r="E136" s="44">
        <v>0</v>
      </c>
      <c r="F136" s="44">
        <v>924</v>
      </c>
      <c r="G136" s="65"/>
      <c r="H136" s="66"/>
      <c r="I136" s="32"/>
      <c r="N136" s="32"/>
    </row>
    <row r="137" spans="1:14" s="33" customFormat="1" ht="15.75" customHeight="1" x14ac:dyDescent="0.25">
      <c r="A137" s="72">
        <f t="shared" si="2"/>
        <v>6</v>
      </c>
      <c r="B137" s="72"/>
      <c r="C137" s="41">
        <v>2</v>
      </c>
      <c r="D137" s="48">
        <f t="shared" si="3"/>
        <v>538.84045800000001</v>
      </c>
      <c r="E137" s="44">
        <v>0</v>
      </c>
      <c r="F137" s="44">
        <v>924</v>
      </c>
      <c r="G137" s="65"/>
      <c r="H137" s="66"/>
      <c r="I137" s="32"/>
      <c r="L137" s="42"/>
      <c r="N137" s="32"/>
    </row>
    <row r="138" spans="1:14" s="33" customFormat="1" ht="15.75" customHeight="1" x14ac:dyDescent="0.25">
      <c r="A138" s="72">
        <f t="shared" si="2"/>
        <v>7</v>
      </c>
      <c r="B138" s="72"/>
      <c r="C138" s="41">
        <v>2</v>
      </c>
      <c r="D138" s="48">
        <f t="shared" si="3"/>
        <v>538.84045800000001</v>
      </c>
      <c r="E138" s="44">
        <v>0</v>
      </c>
      <c r="F138" s="44">
        <v>924</v>
      </c>
      <c r="G138" s="65"/>
      <c r="H138" s="66"/>
      <c r="I138" s="32"/>
      <c r="N138" s="32"/>
    </row>
    <row r="139" spans="1:14" s="33" customFormat="1" ht="15.75" customHeight="1" x14ac:dyDescent="0.25">
      <c r="A139" s="72">
        <f t="shared" si="2"/>
        <v>8</v>
      </c>
      <c r="B139" s="72"/>
      <c r="C139" s="41">
        <v>2</v>
      </c>
      <c r="D139" s="48">
        <f t="shared" si="3"/>
        <v>538.84045800000001</v>
      </c>
      <c r="E139" s="44">
        <v>0</v>
      </c>
      <c r="F139" s="44">
        <v>924</v>
      </c>
      <c r="G139" s="65"/>
      <c r="H139" s="66"/>
      <c r="I139" s="32"/>
      <c r="N139" s="32"/>
    </row>
    <row r="140" spans="1:14" s="33" customFormat="1" ht="15.75" customHeight="1" x14ac:dyDescent="0.25">
      <c r="A140" s="72">
        <f t="shared" si="2"/>
        <v>9</v>
      </c>
      <c r="B140" s="72"/>
      <c r="C140" s="41">
        <v>1</v>
      </c>
      <c r="D140" s="48">
        <f>(32.156+2.25*1.05)*10.764</f>
        <v>371.55713399999996</v>
      </c>
      <c r="E140" s="44">
        <v>0</v>
      </c>
      <c r="F140" s="44">
        <v>637</v>
      </c>
      <c r="G140" s="65"/>
      <c r="H140" s="66"/>
      <c r="I140" s="32"/>
      <c r="N140" s="32"/>
    </row>
    <row r="141" spans="1:14" s="33" customFormat="1" ht="15.75" customHeight="1" x14ac:dyDescent="0.25">
      <c r="A141" s="72">
        <f t="shared" si="2"/>
        <v>10</v>
      </c>
      <c r="B141" s="72"/>
      <c r="C141" s="41">
        <v>1</v>
      </c>
      <c r="D141" s="48">
        <f>(32.156+2.25*1.05)*10.764</f>
        <v>371.55713399999996</v>
      </c>
      <c r="E141" s="44">
        <v>0</v>
      </c>
      <c r="F141" s="44">
        <v>637</v>
      </c>
      <c r="G141" s="67"/>
      <c r="H141" s="68"/>
      <c r="I141" s="32"/>
      <c r="N141" s="32"/>
    </row>
    <row r="142" spans="1:14" s="33" customFormat="1" ht="15.75" customHeight="1" x14ac:dyDescent="0.25">
      <c r="A142" s="73" t="s">
        <v>200</v>
      </c>
      <c r="B142" s="74"/>
      <c r="C142" s="74"/>
      <c r="D142" s="74"/>
      <c r="E142" s="74"/>
      <c r="F142" s="74"/>
      <c r="G142" s="74"/>
      <c r="H142" s="75"/>
      <c r="I142" s="32"/>
    </row>
    <row r="143" spans="1:14" s="33" customFormat="1" ht="15.75" customHeight="1" x14ac:dyDescent="0.25">
      <c r="A143" s="69">
        <v>1</v>
      </c>
      <c r="B143" s="71"/>
      <c r="C143" s="41">
        <v>1</v>
      </c>
      <c r="D143" s="48">
        <f>(32.156+2.25*1.05)*10.764</f>
        <v>371.55713399999996</v>
      </c>
      <c r="E143" s="44">
        <v>0</v>
      </c>
      <c r="F143" s="44">
        <v>637</v>
      </c>
      <c r="G143" s="63" t="str">
        <f>A142</f>
        <v>14th Floor (Part Terrace Area)</v>
      </c>
      <c r="H143" s="64"/>
      <c r="I143" s="32"/>
    </row>
    <row r="144" spans="1:14" s="33" customFormat="1" ht="15.75" customHeight="1" x14ac:dyDescent="0.25">
      <c r="A144" s="69">
        <v>2</v>
      </c>
      <c r="B144" s="71"/>
      <c r="C144" s="69" t="s">
        <v>211</v>
      </c>
      <c r="D144" s="70"/>
      <c r="E144" s="70"/>
      <c r="F144" s="71"/>
      <c r="G144" s="65"/>
      <c r="H144" s="66"/>
      <c r="I144" s="32"/>
    </row>
    <row r="145" spans="1:14" s="33" customFormat="1" ht="15.75" customHeight="1" x14ac:dyDescent="0.25">
      <c r="A145" s="69">
        <v>3</v>
      </c>
      <c r="B145" s="71"/>
      <c r="C145" s="41">
        <v>2</v>
      </c>
      <c r="D145" s="48">
        <f t="shared" ref="D145:D150" si="4">(47.697+2.25*1.05)*10.764</f>
        <v>538.84045800000001</v>
      </c>
      <c r="E145" s="44">
        <v>0</v>
      </c>
      <c r="F145" s="44">
        <v>924</v>
      </c>
      <c r="G145" s="65"/>
      <c r="H145" s="66"/>
      <c r="I145" s="32"/>
      <c r="K145" s="33" t="s">
        <v>208</v>
      </c>
      <c r="L145" s="33" t="s">
        <v>209</v>
      </c>
    </row>
    <row r="146" spans="1:14" s="33" customFormat="1" ht="15.75" customHeight="1" x14ac:dyDescent="0.25">
      <c r="A146" s="69">
        <v>4</v>
      </c>
      <c r="B146" s="71"/>
      <c r="C146" s="41">
        <v>2</v>
      </c>
      <c r="D146" s="48">
        <f t="shared" si="4"/>
        <v>538.84045800000001</v>
      </c>
      <c r="E146" s="44">
        <v>0</v>
      </c>
      <c r="F146" s="44">
        <v>924</v>
      </c>
      <c r="G146" s="65"/>
      <c r="H146" s="66"/>
      <c r="I146" s="32"/>
      <c r="J146" s="58">
        <f>924/D146</f>
        <v>1.7147932867357187</v>
      </c>
      <c r="K146" s="32">
        <f>2900000/F151</f>
        <v>4552.5902668759809</v>
      </c>
      <c r="L146" s="32">
        <f>2800000/F151</f>
        <v>4395.6043956043959</v>
      </c>
    </row>
    <row r="147" spans="1:14" s="33" customFormat="1" ht="15.75" customHeight="1" x14ac:dyDescent="0.25">
      <c r="A147" s="69">
        <v>5</v>
      </c>
      <c r="B147" s="71"/>
      <c r="C147" s="41">
        <v>2</v>
      </c>
      <c r="D147" s="48">
        <f t="shared" si="4"/>
        <v>538.84045800000001</v>
      </c>
      <c r="E147" s="44">
        <v>0</v>
      </c>
      <c r="F147" s="44">
        <v>924</v>
      </c>
      <c r="G147" s="65"/>
      <c r="H147" s="66"/>
      <c r="I147" s="32"/>
      <c r="J147" s="58">
        <f>637/D151</f>
        <v>1.7144065924461569</v>
      </c>
      <c r="K147" s="32">
        <f>4200000/F150</f>
        <v>4545.454545454545</v>
      </c>
      <c r="L147" s="32">
        <f>4500000/Report!F150</f>
        <v>4870.1298701298701</v>
      </c>
    </row>
    <row r="148" spans="1:14" s="33" customFormat="1" ht="15.75" customHeight="1" x14ac:dyDescent="0.25">
      <c r="A148" s="69">
        <v>6</v>
      </c>
      <c r="B148" s="71"/>
      <c r="C148" s="41">
        <v>2</v>
      </c>
      <c r="D148" s="48">
        <f t="shared" si="4"/>
        <v>538.84045800000001</v>
      </c>
      <c r="E148" s="44">
        <v>0</v>
      </c>
      <c r="F148" s="44">
        <v>924</v>
      </c>
      <c r="G148" s="65"/>
      <c r="H148" s="66"/>
      <c r="I148" s="32"/>
      <c r="J148" s="58"/>
    </row>
    <row r="149" spans="1:14" s="33" customFormat="1" ht="15.75" customHeight="1" x14ac:dyDescent="0.25">
      <c r="A149" s="69">
        <v>7</v>
      </c>
      <c r="B149" s="71"/>
      <c r="C149" s="41">
        <v>2</v>
      </c>
      <c r="D149" s="48">
        <f t="shared" si="4"/>
        <v>538.84045800000001</v>
      </c>
      <c r="E149" s="44">
        <v>0</v>
      </c>
      <c r="F149" s="44">
        <v>924</v>
      </c>
      <c r="G149" s="65"/>
      <c r="H149" s="66"/>
      <c r="I149" s="32"/>
    </row>
    <row r="150" spans="1:14" s="33" customFormat="1" ht="15.75" customHeight="1" x14ac:dyDescent="0.25">
      <c r="A150" s="69">
        <v>8</v>
      </c>
      <c r="B150" s="71"/>
      <c r="C150" s="41">
        <v>2</v>
      </c>
      <c r="D150" s="48">
        <f t="shared" si="4"/>
        <v>538.84045800000001</v>
      </c>
      <c r="E150" s="44">
        <v>0</v>
      </c>
      <c r="F150" s="44">
        <v>924</v>
      </c>
      <c r="G150" s="65"/>
      <c r="H150" s="66"/>
      <c r="I150" s="32"/>
    </row>
    <row r="151" spans="1:14" s="33" customFormat="1" ht="15.75" customHeight="1" x14ac:dyDescent="0.25">
      <c r="A151" s="69">
        <v>9</v>
      </c>
      <c r="B151" s="71"/>
      <c r="C151" s="41">
        <v>1</v>
      </c>
      <c r="D151" s="48">
        <f>(32.156+2.25*1.05)*10.764</f>
        <v>371.55713399999996</v>
      </c>
      <c r="E151" s="44">
        <v>0</v>
      </c>
      <c r="F151" s="44">
        <v>637</v>
      </c>
      <c r="G151" s="65"/>
      <c r="H151" s="66"/>
      <c r="I151" s="32"/>
      <c r="J151" s="33">
        <f>5000*637</f>
        <v>3185000</v>
      </c>
    </row>
    <row r="152" spans="1:14" s="33" customFormat="1" ht="15.75" customHeight="1" x14ac:dyDescent="0.25">
      <c r="A152" s="69">
        <v>10</v>
      </c>
      <c r="B152" s="71"/>
      <c r="C152" s="41">
        <v>1</v>
      </c>
      <c r="D152" s="48">
        <f>(32.156+2.25*1.05)*10.764</f>
        <v>371.55713399999996</v>
      </c>
      <c r="E152" s="44">
        <v>0</v>
      </c>
      <c r="F152" s="44">
        <v>637</v>
      </c>
      <c r="G152" s="67"/>
      <c r="H152" s="68"/>
      <c r="I152" s="32"/>
    </row>
    <row r="153" spans="1:14" s="30" customFormat="1" x14ac:dyDescent="0.25">
      <c r="A153" s="134" t="s">
        <v>202</v>
      </c>
      <c r="B153" s="134"/>
      <c r="C153" s="134"/>
      <c r="D153" s="134"/>
      <c r="E153" s="134"/>
      <c r="F153" s="134"/>
      <c r="G153" s="134"/>
      <c r="H153" s="134"/>
    </row>
    <row r="154" spans="1:14" s="30" customFormat="1" x14ac:dyDescent="0.25">
      <c r="A154" s="134" t="s">
        <v>196</v>
      </c>
      <c r="B154" s="134"/>
      <c r="C154" s="134"/>
      <c r="D154" s="134"/>
      <c r="E154" s="134"/>
      <c r="F154" s="134"/>
      <c r="G154" s="134"/>
      <c r="H154" s="134"/>
    </row>
    <row r="155" spans="1:14" s="30" customFormat="1" x14ac:dyDescent="0.25">
      <c r="A155" s="134" t="s">
        <v>197</v>
      </c>
      <c r="B155" s="134"/>
      <c r="C155" s="134"/>
      <c r="D155" s="134"/>
      <c r="E155" s="134"/>
      <c r="F155" s="134"/>
      <c r="G155" s="134"/>
      <c r="H155" s="134"/>
    </row>
    <row r="156" spans="1:14" s="33" customFormat="1" x14ac:dyDescent="0.25">
      <c r="A156" s="73" t="s">
        <v>198</v>
      </c>
      <c r="B156" s="74"/>
      <c r="C156" s="74"/>
      <c r="D156" s="74"/>
      <c r="E156" s="74"/>
      <c r="F156" s="74"/>
      <c r="G156" s="74"/>
      <c r="H156" s="75"/>
      <c r="J156" s="32"/>
    </row>
    <row r="157" spans="1:14" s="33" customFormat="1" ht="15.75" customHeight="1" x14ac:dyDescent="0.25">
      <c r="A157" s="69">
        <v>1</v>
      </c>
      <c r="B157" s="71"/>
      <c r="C157" s="41">
        <v>1</v>
      </c>
      <c r="D157" s="48">
        <f>(32.156+2.25*1.05)*10.764</f>
        <v>371.55713399999996</v>
      </c>
      <c r="E157" s="44">
        <v>0</v>
      </c>
      <c r="F157" s="44">
        <v>637</v>
      </c>
      <c r="G157" s="63" t="str">
        <f>A156</f>
        <v>2nd to 7th &amp; 9th to 12th Floor</v>
      </c>
      <c r="H157" s="64"/>
      <c r="I157" s="32"/>
      <c r="L157" s="76"/>
      <c r="M157" s="76"/>
      <c r="N157" s="32"/>
    </row>
    <row r="158" spans="1:14" s="33" customFormat="1" ht="15.75" customHeight="1" x14ac:dyDescent="0.25">
      <c r="A158" s="69">
        <f t="shared" ref="A158:A167" si="5">A157+1</f>
        <v>2</v>
      </c>
      <c r="B158" s="71"/>
      <c r="C158" s="41">
        <v>1</v>
      </c>
      <c r="D158" s="48">
        <f>(32.156+2.25*1.05)*10.764</f>
        <v>371.55713399999996</v>
      </c>
      <c r="E158" s="44">
        <v>0</v>
      </c>
      <c r="F158" s="44">
        <v>637</v>
      </c>
      <c r="G158" s="65"/>
      <c r="H158" s="66"/>
      <c r="I158" s="32"/>
      <c r="L158" s="76"/>
      <c r="M158" s="76"/>
      <c r="N158" s="32"/>
    </row>
    <row r="159" spans="1:14" s="33" customFormat="1" ht="15.75" customHeight="1" x14ac:dyDescent="0.25">
      <c r="A159" s="69">
        <f t="shared" si="5"/>
        <v>3</v>
      </c>
      <c r="B159" s="71"/>
      <c r="C159" s="41">
        <v>2</v>
      </c>
      <c r="D159" s="48">
        <f t="shared" ref="D159:D164" si="6">(47.697+2.25*1.05)*10.764</f>
        <v>538.84045800000001</v>
      </c>
      <c r="E159" s="44">
        <v>0</v>
      </c>
      <c r="F159" s="44">
        <v>924</v>
      </c>
      <c r="G159" s="65"/>
      <c r="H159" s="66"/>
      <c r="I159" s="32"/>
      <c r="L159" s="76"/>
      <c r="M159" s="76"/>
      <c r="N159" s="32"/>
    </row>
    <row r="160" spans="1:14" s="33" customFormat="1" ht="15.75" customHeight="1" x14ac:dyDescent="0.25">
      <c r="A160" s="69">
        <f t="shared" si="5"/>
        <v>4</v>
      </c>
      <c r="B160" s="71"/>
      <c r="C160" s="41">
        <v>2</v>
      </c>
      <c r="D160" s="48">
        <f t="shared" si="6"/>
        <v>538.84045800000001</v>
      </c>
      <c r="E160" s="44">
        <v>0</v>
      </c>
      <c r="F160" s="44">
        <v>924</v>
      </c>
      <c r="G160" s="65"/>
      <c r="H160" s="66"/>
      <c r="I160" s="32"/>
      <c r="L160" s="76"/>
      <c r="M160" s="76"/>
      <c r="N160" s="32"/>
    </row>
    <row r="161" spans="1:14" s="33" customFormat="1" ht="15.75" customHeight="1" x14ac:dyDescent="0.25">
      <c r="A161" s="69">
        <f t="shared" si="5"/>
        <v>5</v>
      </c>
      <c r="B161" s="71"/>
      <c r="C161" s="41">
        <v>2</v>
      </c>
      <c r="D161" s="48">
        <f t="shared" si="6"/>
        <v>538.84045800000001</v>
      </c>
      <c r="E161" s="44">
        <v>0</v>
      </c>
      <c r="F161" s="44">
        <v>924</v>
      </c>
      <c r="G161" s="65"/>
      <c r="H161" s="66"/>
      <c r="I161" s="32"/>
      <c r="L161" s="76"/>
      <c r="M161" s="76"/>
      <c r="N161" s="32"/>
    </row>
    <row r="162" spans="1:14" s="33" customFormat="1" ht="15.75" customHeight="1" x14ac:dyDescent="0.25">
      <c r="A162" s="69">
        <f t="shared" si="5"/>
        <v>6</v>
      </c>
      <c r="B162" s="71"/>
      <c r="C162" s="41">
        <v>2</v>
      </c>
      <c r="D162" s="48">
        <f t="shared" si="6"/>
        <v>538.84045800000001</v>
      </c>
      <c r="E162" s="44">
        <v>0</v>
      </c>
      <c r="F162" s="44">
        <v>924</v>
      </c>
      <c r="G162" s="65"/>
      <c r="H162" s="66"/>
      <c r="I162" s="32"/>
      <c r="L162" s="76"/>
      <c r="M162" s="76"/>
      <c r="N162" s="32"/>
    </row>
    <row r="163" spans="1:14" s="33" customFormat="1" ht="15.75" customHeight="1" x14ac:dyDescent="0.25">
      <c r="A163" s="69">
        <f t="shared" si="5"/>
        <v>7</v>
      </c>
      <c r="B163" s="71"/>
      <c r="C163" s="41">
        <v>2</v>
      </c>
      <c r="D163" s="48">
        <f t="shared" si="6"/>
        <v>538.84045800000001</v>
      </c>
      <c r="E163" s="44">
        <v>0</v>
      </c>
      <c r="F163" s="44">
        <v>924</v>
      </c>
      <c r="G163" s="65"/>
      <c r="H163" s="66"/>
      <c r="I163" s="32"/>
      <c r="L163" s="76"/>
      <c r="M163" s="76"/>
      <c r="N163" s="32"/>
    </row>
    <row r="164" spans="1:14" s="33" customFormat="1" ht="15.75" customHeight="1" x14ac:dyDescent="0.25">
      <c r="A164" s="69">
        <f t="shared" si="5"/>
        <v>8</v>
      </c>
      <c r="B164" s="71"/>
      <c r="C164" s="41">
        <v>2</v>
      </c>
      <c r="D164" s="48">
        <f t="shared" si="6"/>
        <v>538.84045800000001</v>
      </c>
      <c r="E164" s="44">
        <v>0</v>
      </c>
      <c r="F164" s="44">
        <v>924</v>
      </c>
      <c r="G164" s="65"/>
      <c r="H164" s="66"/>
      <c r="I164" s="32"/>
      <c r="L164" s="76"/>
      <c r="M164" s="76"/>
      <c r="N164" s="32"/>
    </row>
    <row r="165" spans="1:14" s="33" customFormat="1" ht="15.75" customHeight="1" x14ac:dyDescent="0.25">
      <c r="A165" s="69">
        <f t="shared" si="5"/>
        <v>9</v>
      </c>
      <c r="B165" s="71"/>
      <c r="C165" s="41">
        <v>1</v>
      </c>
      <c r="D165" s="48">
        <f>(32.156+2.25*1.05)*10.764</f>
        <v>371.55713399999996</v>
      </c>
      <c r="E165" s="44">
        <v>0</v>
      </c>
      <c r="F165" s="44">
        <v>637</v>
      </c>
      <c r="G165" s="65"/>
      <c r="H165" s="66"/>
      <c r="I165" s="32"/>
      <c r="L165" s="76"/>
      <c r="M165" s="76"/>
      <c r="N165" s="32"/>
    </row>
    <row r="166" spans="1:14" s="33" customFormat="1" ht="15.75" customHeight="1" x14ac:dyDescent="0.25">
      <c r="A166" s="69">
        <f t="shared" si="5"/>
        <v>10</v>
      </c>
      <c r="B166" s="71"/>
      <c r="C166" s="41">
        <v>1</v>
      </c>
      <c r="D166" s="48">
        <f>(32.156+2.25*1.05)*10.764</f>
        <v>371.55713399999996</v>
      </c>
      <c r="E166" s="44">
        <v>0</v>
      </c>
      <c r="F166" s="44">
        <v>637</v>
      </c>
      <c r="G166" s="65"/>
      <c r="H166" s="66"/>
      <c r="I166" s="32"/>
      <c r="L166" s="76"/>
      <c r="M166" s="76"/>
      <c r="N166" s="32"/>
    </row>
    <row r="167" spans="1:14" s="33" customFormat="1" ht="15.75" customHeight="1" x14ac:dyDescent="0.25">
      <c r="A167" s="69">
        <f t="shared" si="5"/>
        <v>11</v>
      </c>
      <c r="B167" s="71"/>
      <c r="C167" s="41">
        <v>1</v>
      </c>
      <c r="D167" s="48">
        <f>(32.156+2.25*1.05)*10.764</f>
        <v>371.55713399999996</v>
      </c>
      <c r="E167" s="44">
        <v>0</v>
      </c>
      <c r="F167" s="44">
        <v>637</v>
      </c>
      <c r="G167" s="67"/>
      <c r="H167" s="68"/>
      <c r="I167" s="32"/>
      <c r="L167" s="76"/>
      <c r="M167" s="76"/>
      <c r="N167" s="32"/>
    </row>
    <row r="168" spans="1:14" s="33" customFormat="1" x14ac:dyDescent="0.25">
      <c r="A168" s="77" t="s">
        <v>199</v>
      </c>
      <c r="B168" s="77"/>
      <c r="C168" s="77"/>
      <c r="D168" s="77"/>
      <c r="E168" s="77"/>
      <c r="F168" s="77"/>
      <c r="G168" s="77"/>
      <c r="H168" s="77"/>
      <c r="I168" s="32"/>
      <c r="L168" s="76"/>
      <c r="M168" s="76"/>
    </row>
    <row r="169" spans="1:14" s="33" customFormat="1" ht="15.75" customHeight="1" x14ac:dyDescent="0.25">
      <c r="A169" s="72">
        <v>1</v>
      </c>
      <c r="B169" s="72"/>
      <c r="C169" s="41">
        <v>1</v>
      </c>
      <c r="D169" s="48">
        <f>(32.156+2.25*1.05)*10.764</f>
        <v>371.55713399999996</v>
      </c>
      <c r="E169" s="44">
        <v>0</v>
      </c>
      <c r="F169" s="44">
        <v>637</v>
      </c>
      <c r="G169" s="63" t="str">
        <f>A168</f>
        <v>8th &amp; 13th (Part Refuge Floor)</v>
      </c>
      <c r="H169" s="64"/>
      <c r="I169" s="32"/>
      <c r="N169" s="32"/>
    </row>
    <row r="170" spans="1:14" s="33" customFormat="1" ht="15.75" customHeight="1" x14ac:dyDescent="0.25">
      <c r="A170" s="72">
        <f t="shared" ref="A170:A179" si="7">A169+1</f>
        <v>2</v>
      </c>
      <c r="B170" s="72"/>
      <c r="C170" s="41">
        <v>1</v>
      </c>
      <c r="D170" s="48">
        <f>(32.156+2.25*1.05)*10.764</f>
        <v>371.55713399999996</v>
      </c>
      <c r="E170" s="44">
        <v>0</v>
      </c>
      <c r="F170" s="44">
        <v>637</v>
      </c>
      <c r="G170" s="65"/>
      <c r="H170" s="66"/>
      <c r="I170" s="32"/>
      <c r="L170" s="42"/>
      <c r="N170" s="32"/>
    </row>
    <row r="171" spans="1:14" s="33" customFormat="1" ht="15.75" customHeight="1" x14ac:dyDescent="0.25">
      <c r="A171" s="72">
        <f t="shared" si="7"/>
        <v>3</v>
      </c>
      <c r="B171" s="72"/>
      <c r="C171" s="41">
        <v>2</v>
      </c>
      <c r="D171" s="48">
        <f t="shared" ref="D171:D176" si="8">(47.697+2.25*1.05)*10.764</f>
        <v>538.84045800000001</v>
      </c>
      <c r="E171" s="44">
        <v>0</v>
      </c>
      <c r="F171" s="44">
        <v>924</v>
      </c>
      <c r="G171" s="65"/>
      <c r="H171" s="66"/>
      <c r="I171" s="32"/>
      <c r="N171" s="32"/>
    </row>
    <row r="172" spans="1:14" s="33" customFormat="1" ht="15.75" customHeight="1" x14ac:dyDescent="0.25">
      <c r="A172" s="72">
        <f t="shared" si="7"/>
        <v>4</v>
      </c>
      <c r="B172" s="72"/>
      <c r="C172" s="41">
        <v>2</v>
      </c>
      <c r="D172" s="48">
        <f t="shared" si="8"/>
        <v>538.84045800000001</v>
      </c>
      <c r="E172" s="44">
        <v>0</v>
      </c>
      <c r="F172" s="44">
        <v>924</v>
      </c>
      <c r="G172" s="65"/>
      <c r="H172" s="66"/>
      <c r="I172" s="32"/>
      <c r="N172" s="32"/>
    </row>
    <row r="173" spans="1:14" s="33" customFormat="1" ht="15.75" customHeight="1" x14ac:dyDescent="0.25">
      <c r="A173" s="72">
        <f t="shared" si="7"/>
        <v>5</v>
      </c>
      <c r="B173" s="72"/>
      <c r="C173" s="41">
        <v>2</v>
      </c>
      <c r="D173" s="48">
        <f t="shared" si="8"/>
        <v>538.84045800000001</v>
      </c>
      <c r="E173" s="44">
        <v>0</v>
      </c>
      <c r="F173" s="44">
        <v>924</v>
      </c>
      <c r="G173" s="65"/>
      <c r="H173" s="66"/>
      <c r="I173" s="32"/>
      <c r="N173" s="32"/>
    </row>
    <row r="174" spans="1:14" s="33" customFormat="1" ht="15.75" customHeight="1" x14ac:dyDescent="0.25">
      <c r="A174" s="72">
        <f t="shared" si="7"/>
        <v>6</v>
      </c>
      <c r="B174" s="72"/>
      <c r="C174" s="41">
        <v>2</v>
      </c>
      <c r="D174" s="48">
        <f t="shared" si="8"/>
        <v>538.84045800000001</v>
      </c>
      <c r="E174" s="44">
        <v>0</v>
      </c>
      <c r="F174" s="44">
        <v>924</v>
      </c>
      <c r="G174" s="65"/>
      <c r="H174" s="66"/>
      <c r="I174" s="32"/>
      <c r="L174" s="42"/>
      <c r="N174" s="32"/>
    </row>
    <row r="175" spans="1:14" s="33" customFormat="1" ht="15.75" customHeight="1" x14ac:dyDescent="0.25">
      <c r="A175" s="72">
        <f t="shared" si="7"/>
        <v>7</v>
      </c>
      <c r="B175" s="72"/>
      <c r="C175" s="41">
        <v>2</v>
      </c>
      <c r="D175" s="48">
        <f t="shared" si="8"/>
        <v>538.84045800000001</v>
      </c>
      <c r="E175" s="44">
        <v>0</v>
      </c>
      <c r="F175" s="44">
        <v>924</v>
      </c>
      <c r="G175" s="65"/>
      <c r="H175" s="66"/>
      <c r="I175" s="32"/>
      <c r="N175" s="32"/>
    </row>
    <row r="176" spans="1:14" s="33" customFormat="1" ht="15.75" customHeight="1" x14ac:dyDescent="0.25">
      <c r="A176" s="72">
        <f t="shared" si="7"/>
        <v>8</v>
      </c>
      <c r="B176" s="72"/>
      <c r="C176" s="41">
        <v>2</v>
      </c>
      <c r="D176" s="48">
        <f t="shared" si="8"/>
        <v>538.84045800000001</v>
      </c>
      <c r="E176" s="44">
        <v>0</v>
      </c>
      <c r="F176" s="44">
        <v>924</v>
      </c>
      <c r="G176" s="65"/>
      <c r="H176" s="66"/>
      <c r="I176" s="32"/>
      <c r="N176" s="32"/>
    </row>
    <row r="177" spans="1:14" s="33" customFormat="1" ht="15.75" customHeight="1" x14ac:dyDescent="0.25">
      <c r="A177" s="72">
        <f t="shared" si="7"/>
        <v>9</v>
      </c>
      <c r="B177" s="72"/>
      <c r="C177" s="69" t="s">
        <v>204</v>
      </c>
      <c r="D177" s="70"/>
      <c r="E177" s="70"/>
      <c r="F177" s="71"/>
      <c r="G177" s="65"/>
      <c r="H177" s="66"/>
      <c r="I177" s="32"/>
      <c r="N177" s="32"/>
    </row>
    <row r="178" spans="1:14" s="33" customFormat="1" ht="15.75" customHeight="1" x14ac:dyDescent="0.25">
      <c r="A178" s="72">
        <f t="shared" si="7"/>
        <v>10</v>
      </c>
      <c r="B178" s="72"/>
      <c r="C178" s="41">
        <v>1</v>
      </c>
      <c r="D178" s="48">
        <f>(32.156+2.25*1.05)*10.764</f>
        <v>371.55713399999996</v>
      </c>
      <c r="E178" s="44">
        <v>0</v>
      </c>
      <c r="F178" s="44">
        <v>637</v>
      </c>
      <c r="G178" s="65"/>
      <c r="H178" s="66"/>
      <c r="I178" s="32"/>
      <c r="N178" s="32"/>
    </row>
    <row r="179" spans="1:14" s="33" customFormat="1" ht="15.75" customHeight="1" x14ac:dyDescent="0.25">
      <c r="A179" s="72">
        <f t="shared" si="7"/>
        <v>11</v>
      </c>
      <c r="B179" s="72"/>
      <c r="C179" s="41">
        <v>1</v>
      </c>
      <c r="D179" s="48">
        <f>(32.156+2.25*1.05)*10.764</f>
        <v>371.55713399999996</v>
      </c>
      <c r="E179" s="44">
        <v>0</v>
      </c>
      <c r="F179" s="44">
        <v>637</v>
      </c>
      <c r="G179" s="67"/>
      <c r="H179" s="68"/>
      <c r="I179" s="32"/>
      <c r="N179" s="32"/>
    </row>
    <row r="180" spans="1:14" s="33" customFormat="1" ht="15.75" customHeight="1" x14ac:dyDescent="0.25">
      <c r="A180" s="73" t="s">
        <v>200</v>
      </c>
      <c r="B180" s="74"/>
      <c r="C180" s="74"/>
      <c r="D180" s="74"/>
      <c r="E180" s="74"/>
      <c r="F180" s="74"/>
      <c r="G180" s="74"/>
      <c r="H180" s="75"/>
      <c r="I180" s="32"/>
    </row>
    <row r="181" spans="1:14" s="33" customFormat="1" ht="15.75" customHeight="1" x14ac:dyDescent="0.25">
      <c r="A181" s="69">
        <v>1</v>
      </c>
      <c r="B181" s="71"/>
      <c r="C181" s="41">
        <v>1</v>
      </c>
      <c r="D181" s="48">
        <f>(32.156+2.25*1.05)*10.764</f>
        <v>371.55713399999996</v>
      </c>
      <c r="E181" s="44">
        <v>0</v>
      </c>
      <c r="F181" s="44">
        <v>637</v>
      </c>
      <c r="G181" s="63" t="str">
        <f>A180</f>
        <v>14th Floor (Part Terrace Area)</v>
      </c>
      <c r="H181" s="64"/>
      <c r="I181" s="32"/>
    </row>
    <row r="182" spans="1:14" s="33" customFormat="1" ht="15.75" customHeight="1" x14ac:dyDescent="0.25">
      <c r="A182" s="69">
        <v>2</v>
      </c>
      <c r="B182" s="71"/>
      <c r="C182" s="41">
        <v>1</v>
      </c>
      <c r="D182" s="48">
        <f>(32.156+2.25*1.05)*10.764</f>
        <v>371.55713399999996</v>
      </c>
      <c r="E182" s="44">
        <v>0</v>
      </c>
      <c r="F182" s="44">
        <v>637</v>
      </c>
      <c r="G182" s="65"/>
      <c r="H182" s="66"/>
      <c r="I182" s="32"/>
    </row>
    <row r="183" spans="1:14" s="33" customFormat="1" ht="15.75" customHeight="1" x14ac:dyDescent="0.25">
      <c r="A183" s="69">
        <v>3</v>
      </c>
      <c r="B183" s="71"/>
      <c r="C183" s="41">
        <v>2</v>
      </c>
      <c r="D183" s="48">
        <f t="shared" ref="D183:D188" si="9">(47.697+2.25*1.05)*10.764</f>
        <v>538.84045800000001</v>
      </c>
      <c r="E183" s="44">
        <v>0</v>
      </c>
      <c r="F183" s="44">
        <v>924</v>
      </c>
      <c r="G183" s="65"/>
      <c r="H183" s="66"/>
      <c r="I183" s="32"/>
    </row>
    <row r="184" spans="1:14" s="33" customFormat="1" ht="15.75" customHeight="1" x14ac:dyDescent="0.25">
      <c r="A184" s="69">
        <v>4</v>
      </c>
      <c r="B184" s="71"/>
      <c r="C184" s="41">
        <v>2</v>
      </c>
      <c r="D184" s="48">
        <f t="shared" si="9"/>
        <v>538.84045800000001</v>
      </c>
      <c r="E184" s="44">
        <v>0</v>
      </c>
      <c r="F184" s="44">
        <v>924</v>
      </c>
      <c r="G184" s="65"/>
      <c r="H184" s="66"/>
      <c r="I184" s="32"/>
    </row>
    <row r="185" spans="1:14" s="33" customFormat="1" ht="15.75" customHeight="1" x14ac:dyDescent="0.25">
      <c r="A185" s="69">
        <v>5</v>
      </c>
      <c r="B185" s="71"/>
      <c r="C185" s="41">
        <v>2</v>
      </c>
      <c r="D185" s="48">
        <f t="shared" si="9"/>
        <v>538.84045800000001</v>
      </c>
      <c r="E185" s="44">
        <v>0</v>
      </c>
      <c r="F185" s="44">
        <v>924</v>
      </c>
      <c r="G185" s="65"/>
      <c r="H185" s="66"/>
      <c r="I185" s="32"/>
      <c r="J185" s="33" t="s">
        <v>203</v>
      </c>
    </row>
    <row r="186" spans="1:14" s="33" customFormat="1" ht="15.75" customHeight="1" x14ac:dyDescent="0.25">
      <c r="A186" s="69">
        <v>6</v>
      </c>
      <c r="B186" s="71"/>
      <c r="C186" s="41">
        <v>2</v>
      </c>
      <c r="D186" s="48">
        <f t="shared" si="9"/>
        <v>538.84045800000001</v>
      </c>
      <c r="E186" s="44">
        <v>0</v>
      </c>
      <c r="F186" s="44">
        <v>924</v>
      </c>
      <c r="G186" s="65"/>
      <c r="H186" s="66"/>
      <c r="I186" s="32"/>
    </row>
    <row r="187" spans="1:14" s="33" customFormat="1" ht="15.75" customHeight="1" x14ac:dyDescent="0.25">
      <c r="A187" s="69">
        <v>7</v>
      </c>
      <c r="B187" s="71"/>
      <c r="C187" s="41">
        <v>2</v>
      </c>
      <c r="D187" s="48">
        <f t="shared" si="9"/>
        <v>538.84045800000001</v>
      </c>
      <c r="E187" s="44">
        <v>0</v>
      </c>
      <c r="F187" s="44">
        <v>924</v>
      </c>
      <c r="G187" s="65"/>
      <c r="H187" s="66"/>
      <c r="I187" s="32"/>
    </row>
    <row r="188" spans="1:14" s="33" customFormat="1" ht="15.75" customHeight="1" x14ac:dyDescent="0.25">
      <c r="A188" s="69">
        <v>8</v>
      </c>
      <c r="B188" s="71"/>
      <c r="C188" s="41">
        <v>2</v>
      </c>
      <c r="D188" s="48">
        <f t="shared" si="9"/>
        <v>538.84045800000001</v>
      </c>
      <c r="E188" s="44">
        <v>0</v>
      </c>
      <c r="F188" s="44">
        <v>924</v>
      </c>
      <c r="G188" s="65"/>
      <c r="H188" s="66"/>
      <c r="I188" s="32"/>
      <c r="J188" s="33">
        <f>(3.1*4.1+2.1*2.75+3.35*2.75+3.65*3.05+2.1*1.2+1.2*2.1+0.9*2.1+0.9*1.2)</f>
        <v>46.84</v>
      </c>
      <c r="K188" s="33">
        <f>(46.84+2.25*1.05)</f>
        <v>49.202500000000001</v>
      </c>
    </row>
    <row r="189" spans="1:14" s="33" customFormat="1" ht="15.75" customHeight="1" x14ac:dyDescent="0.25">
      <c r="A189" s="69">
        <v>9</v>
      </c>
      <c r="B189" s="71"/>
      <c r="C189" s="69" t="s">
        <v>211</v>
      </c>
      <c r="D189" s="70"/>
      <c r="E189" s="70"/>
      <c r="F189" s="71"/>
      <c r="G189" s="65"/>
      <c r="H189" s="66"/>
      <c r="I189" s="32"/>
    </row>
    <row r="190" spans="1:14" s="33" customFormat="1" ht="15.75" customHeight="1" x14ac:dyDescent="0.25">
      <c r="A190" s="69">
        <v>10</v>
      </c>
      <c r="B190" s="71"/>
      <c r="C190" s="41">
        <v>1</v>
      </c>
      <c r="D190" s="48">
        <f>(32.156+2.25*1.05)*10.764</f>
        <v>371.55713399999996</v>
      </c>
      <c r="E190" s="44">
        <v>0</v>
      </c>
      <c r="F190" s="44">
        <v>637</v>
      </c>
      <c r="G190" s="65"/>
      <c r="H190" s="66"/>
      <c r="I190" s="32"/>
    </row>
    <row r="191" spans="1:14" s="33" customFormat="1" ht="15.75" customHeight="1" x14ac:dyDescent="0.25">
      <c r="A191" s="69">
        <v>11</v>
      </c>
      <c r="B191" s="71"/>
      <c r="C191" s="41">
        <v>1</v>
      </c>
      <c r="D191" s="48">
        <f>(32.156+2.25*1.05)*10.764</f>
        <v>371.55713399999996</v>
      </c>
      <c r="E191" s="44">
        <v>0</v>
      </c>
      <c r="F191" s="44">
        <v>637</v>
      </c>
      <c r="G191" s="67"/>
      <c r="H191" s="68"/>
      <c r="I191" s="32"/>
      <c r="J191" s="33">
        <f>(3.1*3.95+2.1*2.75+3.35*2.75+0.9*1.55+1.2*1.2+0.9*1.5)</f>
        <v>31.417500000000004</v>
      </c>
      <c r="K191" s="33">
        <f>(J191+2.25*1.05)</f>
        <v>33.78</v>
      </c>
    </row>
    <row r="192" spans="1:14" s="31" customFormat="1" x14ac:dyDescent="0.25">
      <c r="A192" s="177" t="s">
        <v>71</v>
      </c>
      <c r="B192" s="177"/>
      <c r="C192" s="177"/>
      <c r="D192" s="177"/>
      <c r="E192" s="177"/>
      <c r="F192" s="177"/>
      <c r="G192" s="177"/>
      <c r="H192" s="177"/>
    </row>
    <row r="193" spans="1:8" s="31" customFormat="1" x14ac:dyDescent="0.25">
      <c r="A193" s="47" t="s">
        <v>154</v>
      </c>
      <c r="B193" s="131" t="s">
        <v>221</v>
      </c>
      <c r="C193" s="132"/>
      <c r="D193" s="132"/>
      <c r="E193" s="132"/>
      <c r="F193" s="132"/>
      <c r="G193" s="132"/>
      <c r="H193" s="133"/>
    </row>
    <row r="194" spans="1:8" s="31" customFormat="1" x14ac:dyDescent="0.25">
      <c r="A194" s="47" t="s">
        <v>154</v>
      </c>
      <c r="B194" s="131" t="str">
        <f>(IF(F116="Saleable area Loading :","We have considered Saleable area of Flats as per our Calculation.","We considered Saleable area of Flat as per Builder area Sheet."))</f>
        <v>We considered Saleable area of Flat as per Builder area Sheet.</v>
      </c>
      <c r="C194" s="132"/>
      <c r="D194" s="132"/>
      <c r="E194" s="132"/>
      <c r="F194" s="132"/>
      <c r="G194" s="132"/>
      <c r="H194" s="133"/>
    </row>
    <row r="195" spans="1:8" s="31" customFormat="1" x14ac:dyDescent="0.25">
      <c r="A195" s="47" t="s">
        <v>154</v>
      </c>
      <c r="B195" s="131" t="s">
        <v>125</v>
      </c>
      <c r="C195" s="132"/>
      <c r="D195" s="132"/>
      <c r="E195" s="132"/>
      <c r="F195" s="132"/>
      <c r="G195" s="132"/>
      <c r="H195" s="133"/>
    </row>
    <row r="196" spans="1:8" s="31" customFormat="1" x14ac:dyDescent="0.25">
      <c r="A196" s="47" t="s">
        <v>154</v>
      </c>
      <c r="B196" s="131" t="s">
        <v>206</v>
      </c>
      <c r="C196" s="132"/>
      <c r="D196" s="132"/>
      <c r="E196" s="132"/>
      <c r="F196" s="132"/>
      <c r="G196" s="132"/>
      <c r="H196" s="133"/>
    </row>
    <row r="197" spans="1:8" s="31" customFormat="1" x14ac:dyDescent="0.25">
      <c r="A197" s="47" t="s">
        <v>154</v>
      </c>
      <c r="B197" s="131" t="s">
        <v>153</v>
      </c>
      <c r="C197" s="132"/>
      <c r="D197" s="132"/>
      <c r="E197" s="132"/>
      <c r="F197" s="132"/>
      <c r="G197" s="132"/>
      <c r="H197" s="133"/>
    </row>
    <row r="198" spans="1:8" s="31" customFormat="1" x14ac:dyDescent="0.25">
      <c r="A198" s="47" t="s">
        <v>154</v>
      </c>
      <c r="B198" s="131" t="s">
        <v>126</v>
      </c>
      <c r="C198" s="132"/>
      <c r="D198" s="132"/>
      <c r="E198" s="132"/>
      <c r="F198" s="132"/>
      <c r="G198" s="132"/>
      <c r="H198" s="133"/>
    </row>
    <row r="199" spans="1:8" s="31" customFormat="1" ht="34.5" customHeight="1" x14ac:dyDescent="0.25">
      <c r="A199" s="47" t="s">
        <v>154</v>
      </c>
      <c r="B199" s="131" t="s">
        <v>155</v>
      </c>
      <c r="C199" s="132"/>
      <c r="D199" s="132"/>
      <c r="E199" s="132"/>
      <c r="F199" s="132"/>
      <c r="G199" s="132"/>
      <c r="H199" s="133"/>
    </row>
    <row r="200" spans="1:8" s="31" customFormat="1" x14ac:dyDescent="0.25">
      <c r="A200" s="47" t="s">
        <v>154</v>
      </c>
      <c r="B200" s="128" t="s">
        <v>127</v>
      </c>
      <c r="C200" s="129"/>
      <c r="D200" s="129"/>
      <c r="E200" s="129"/>
      <c r="F200" s="129"/>
      <c r="G200" s="129"/>
      <c r="H200" s="130"/>
    </row>
    <row r="201" spans="1:8" s="31" customFormat="1" x14ac:dyDescent="0.25">
      <c r="A201" s="47" t="s">
        <v>154</v>
      </c>
      <c r="B201" s="131" t="s">
        <v>218</v>
      </c>
      <c r="C201" s="132"/>
      <c r="D201" s="132"/>
      <c r="E201" s="132"/>
      <c r="F201" s="132"/>
      <c r="G201" s="132"/>
      <c r="H201" s="133"/>
    </row>
    <row r="202" spans="1:8" s="31" customFormat="1" x14ac:dyDescent="0.25">
      <c r="A202" s="61" t="s">
        <v>154</v>
      </c>
      <c r="B202" s="131" t="s">
        <v>217</v>
      </c>
      <c r="C202" s="132"/>
      <c r="D202" s="132"/>
      <c r="E202" s="132"/>
      <c r="F202" s="132"/>
      <c r="G202" s="132"/>
      <c r="H202" s="133"/>
    </row>
    <row r="203" spans="1:8" x14ac:dyDescent="0.25">
      <c r="A203" s="102" t="s">
        <v>64</v>
      </c>
      <c r="B203" s="102"/>
      <c r="C203" s="102"/>
      <c r="D203" s="102"/>
      <c r="E203" s="102"/>
      <c r="F203" s="102"/>
      <c r="G203" s="102"/>
      <c r="H203" s="102"/>
    </row>
    <row r="204" spans="1:8" x14ac:dyDescent="0.25">
      <c r="A204" s="88" t="s">
        <v>65</v>
      </c>
      <c r="B204" s="88"/>
      <c r="C204" s="88"/>
      <c r="D204" s="88"/>
      <c r="E204" s="88"/>
      <c r="F204" s="88"/>
      <c r="G204" s="88"/>
      <c r="H204" s="88"/>
    </row>
    <row r="205" spans="1:8" ht="15.75" customHeight="1" x14ac:dyDescent="0.25">
      <c r="A205" s="146" t="s">
        <v>66</v>
      </c>
      <c r="B205" s="146"/>
      <c r="C205" s="146"/>
      <c r="D205" s="146"/>
      <c r="E205" s="146"/>
      <c r="F205" s="146"/>
      <c r="G205" s="146"/>
      <c r="H205" s="146"/>
    </row>
    <row r="206" spans="1:8" x14ac:dyDescent="0.25">
      <c r="A206" s="88" t="s">
        <v>67</v>
      </c>
      <c r="B206" s="88"/>
      <c r="C206" s="88"/>
      <c r="D206" s="88"/>
      <c r="E206" s="88"/>
      <c r="F206" s="88"/>
      <c r="G206" s="88"/>
      <c r="H206" s="88"/>
    </row>
    <row r="207" spans="1:8" x14ac:dyDescent="0.25">
      <c r="A207" s="88" t="s">
        <v>68</v>
      </c>
      <c r="B207" s="88"/>
      <c r="C207" s="88"/>
      <c r="D207" s="88"/>
      <c r="E207" s="88"/>
      <c r="F207" s="88"/>
      <c r="G207" s="88"/>
      <c r="H207" s="88"/>
    </row>
    <row r="208" spans="1:8" x14ac:dyDescent="0.25">
      <c r="A208" s="88" t="s">
        <v>128</v>
      </c>
      <c r="B208" s="88"/>
      <c r="C208" s="88"/>
      <c r="D208" s="88"/>
      <c r="E208" s="88"/>
      <c r="F208" s="88"/>
      <c r="G208" s="88"/>
      <c r="H208" s="88"/>
    </row>
    <row r="209" spans="1:8" ht="35.25" customHeight="1" x14ac:dyDescent="0.25">
      <c r="A209" s="103" t="s">
        <v>129</v>
      </c>
      <c r="B209" s="103"/>
      <c r="C209" s="103"/>
      <c r="D209" s="103"/>
      <c r="E209" s="103"/>
      <c r="F209" s="103"/>
      <c r="G209" s="103"/>
      <c r="H209" s="103"/>
    </row>
    <row r="210" spans="1:8" x14ac:dyDescent="0.25">
      <c r="A210" s="141" t="s">
        <v>79</v>
      </c>
      <c r="B210" s="141"/>
      <c r="C210" s="141" t="s">
        <v>207</v>
      </c>
      <c r="D210" s="141"/>
      <c r="E210" s="141" t="s">
        <v>108</v>
      </c>
      <c r="F210" s="141"/>
      <c r="G210" s="141" t="s">
        <v>222</v>
      </c>
      <c r="H210" s="141"/>
    </row>
    <row r="211" spans="1:8" x14ac:dyDescent="0.25">
      <c r="A211" s="140" t="s">
        <v>81</v>
      </c>
      <c r="B211" s="140"/>
      <c r="C211" s="140"/>
      <c r="D211" s="140"/>
      <c r="E211" s="140"/>
      <c r="F211" s="140"/>
      <c r="G211" s="140"/>
      <c r="H211" s="140"/>
    </row>
    <row r="212" spans="1:8" x14ac:dyDescent="0.25">
      <c r="A212" s="140"/>
      <c r="B212" s="140"/>
      <c r="C212" s="140"/>
      <c r="D212" s="140"/>
      <c r="E212" s="140"/>
      <c r="F212" s="140"/>
      <c r="G212" s="140"/>
      <c r="H212" s="140"/>
    </row>
    <row r="213" spans="1:8" x14ac:dyDescent="0.25">
      <c r="A213" s="140"/>
      <c r="B213" s="140"/>
      <c r="C213" s="140"/>
      <c r="D213" s="140"/>
      <c r="E213" s="140"/>
      <c r="F213" s="140"/>
      <c r="G213" s="140"/>
      <c r="H213" s="140"/>
    </row>
    <row r="214" spans="1:8" x14ac:dyDescent="0.25">
      <c r="A214" s="140"/>
      <c r="B214" s="140"/>
      <c r="C214" s="140"/>
      <c r="D214" s="140"/>
      <c r="E214" s="140"/>
      <c r="F214" s="140"/>
      <c r="G214" s="140"/>
      <c r="H214" s="140"/>
    </row>
    <row r="215" spans="1:8" x14ac:dyDescent="0.25">
      <c r="A215" s="34" t="s">
        <v>69</v>
      </c>
      <c r="B215" s="35"/>
      <c r="C215" s="35"/>
      <c r="D215" s="34" t="str">
        <f>E8</f>
        <v>Arihant 6 Anaika</v>
      </c>
      <c r="F215" s="35"/>
      <c r="G215" s="35"/>
      <c r="H215" s="35"/>
    </row>
    <row r="216" spans="1:8" x14ac:dyDescent="0.25">
      <c r="A216" s="35"/>
      <c r="B216" s="35"/>
      <c r="C216" s="35"/>
      <c r="D216" s="35"/>
      <c r="E216" s="35"/>
      <c r="F216" s="35"/>
      <c r="G216" s="35"/>
      <c r="H216" s="35"/>
    </row>
    <row r="217" spans="1:8" x14ac:dyDescent="0.25">
      <c r="A217" s="35"/>
      <c r="B217" s="35"/>
      <c r="C217" s="35"/>
      <c r="D217" s="35"/>
      <c r="E217" s="35"/>
      <c r="F217" s="35"/>
      <c r="G217" s="35"/>
      <c r="H217" s="35"/>
    </row>
    <row r="218" spans="1:8" ht="15" customHeight="1" x14ac:dyDescent="0.25"/>
    <row r="259" spans="1:1" x14ac:dyDescent="0.25">
      <c r="A259" s="37" t="s">
        <v>70</v>
      </c>
    </row>
  </sheetData>
  <mergeCells count="357">
    <mergeCell ref="B202:H202"/>
    <mergeCell ref="L125:M125"/>
    <mergeCell ref="A137:B137"/>
    <mergeCell ref="C133:F133"/>
    <mergeCell ref="C177:F177"/>
    <mergeCell ref="L127:M127"/>
    <mergeCell ref="A126:B126"/>
    <mergeCell ref="L126:M126"/>
    <mergeCell ref="A128:B128"/>
    <mergeCell ref="L128:M128"/>
    <mergeCell ref="A129:B129"/>
    <mergeCell ref="L129:M129"/>
    <mergeCell ref="A148:B148"/>
    <mergeCell ref="L131:M131"/>
    <mergeCell ref="A136:B136"/>
    <mergeCell ref="A133:B133"/>
    <mergeCell ref="A134:B134"/>
    <mergeCell ref="A135:B135"/>
    <mergeCell ref="L158:M158"/>
    <mergeCell ref="L159:M159"/>
    <mergeCell ref="A160:B160"/>
    <mergeCell ref="L160:M160"/>
    <mergeCell ref="A161:B161"/>
    <mergeCell ref="L161:M161"/>
    <mergeCell ref="L130:M130"/>
    <mergeCell ref="A16:B16"/>
    <mergeCell ref="C16:H16"/>
    <mergeCell ref="A38:B38"/>
    <mergeCell ref="C38:H38"/>
    <mergeCell ref="B199:H199"/>
    <mergeCell ref="A47:B47"/>
    <mergeCell ref="C47:H47"/>
    <mergeCell ref="B197:H197"/>
    <mergeCell ref="G85:H94"/>
    <mergeCell ref="A86:B86"/>
    <mergeCell ref="A87:B87"/>
    <mergeCell ref="A88:B88"/>
    <mergeCell ref="F97:H97"/>
    <mergeCell ref="A97:E97"/>
    <mergeCell ref="A99:E99"/>
    <mergeCell ref="A127:B127"/>
    <mergeCell ref="A125:B125"/>
    <mergeCell ref="A112:B112"/>
    <mergeCell ref="A95:E95"/>
    <mergeCell ref="A83:B83"/>
    <mergeCell ref="C83:H83"/>
    <mergeCell ref="A84:B84"/>
    <mergeCell ref="E84:F84"/>
    <mergeCell ref="A119:H119"/>
    <mergeCell ref="A117:H117"/>
    <mergeCell ref="G84:H84"/>
    <mergeCell ref="A101:E101"/>
    <mergeCell ref="F101:H101"/>
    <mergeCell ref="A102:E102"/>
    <mergeCell ref="A104:E104"/>
    <mergeCell ref="F98:H98"/>
    <mergeCell ref="A103:E103"/>
    <mergeCell ref="A100:E100"/>
    <mergeCell ref="F99:H99"/>
    <mergeCell ref="F102:H102"/>
    <mergeCell ref="A89:B89"/>
    <mergeCell ref="A90:B90"/>
    <mergeCell ref="A91:B91"/>
    <mergeCell ref="G113:H113"/>
    <mergeCell ref="A118:H118"/>
    <mergeCell ref="C113:D113"/>
    <mergeCell ref="E113:F113"/>
    <mergeCell ref="C112:D112"/>
    <mergeCell ref="E112:F112"/>
    <mergeCell ref="G112:H112"/>
    <mergeCell ref="C110:D110"/>
    <mergeCell ref="G110:H110"/>
    <mergeCell ref="L124:M124"/>
    <mergeCell ref="L121:M121"/>
    <mergeCell ref="A122:B122"/>
    <mergeCell ref="L122:M122"/>
    <mergeCell ref="A123:B123"/>
    <mergeCell ref="L123:M123"/>
    <mergeCell ref="A121:B121"/>
    <mergeCell ref="G121:H130"/>
    <mergeCell ref="B196:H196"/>
    <mergeCell ref="A192:H192"/>
    <mergeCell ref="A138:B138"/>
    <mergeCell ref="A150:B150"/>
    <mergeCell ref="A151:B151"/>
    <mergeCell ref="A152:B152"/>
    <mergeCell ref="A143:B143"/>
    <mergeCell ref="A139:B139"/>
    <mergeCell ref="A140:B140"/>
    <mergeCell ref="A141:B141"/>
    <mergeCell ref="A153:H153"/>
    <mergeCell ref="A154:H154"/>
    <mergeCell ref="A155:H155"/>
    <mergeCell ref="A162:B162"/>
    <mergeCell ref="A166:B166"/>
    <mergeCell ref="B194:H194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78:B78"/>
    <mergeCell ref="F35:H35"/>
    <mergeCell ref="A37:B37"/>
    <mergeCell ref="E37:F37"/>
    <mergeCell ref="C37:D37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44:D44"/>
    <mergeCell ref="A45:D45"/>
    <mergeCell ref="A46:H46"/>
    <mergeCell ref="D57:H57"/>
    <mergeCell ref="A57:C57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211:H214"/>
    <mergeCell ref="A210:B210"/>
    <mergeCell ref="E210:F210"/>
    <mergeCell ref="C210:D210"/>
    <mergeCell ref="G210:H210"/>
    <mergeCell ref="A107:E107"/>
    <mergeCell ref="F107:H107"/>
    <mergeCell ref="A108:E108"/>
    <mergeCell ref="F108:H108"/>
    <mergeCell ref="A131:H131"/>
    <mergeCell ref="A111:B111"/>
    <mergeCell ref="A206:H206"/>
    <mergeCell ref="A109:H109"/>
    <mergeCell ref="A209:H209"/>
    <mergeCell ref="A207:H207"/>
    <mergeCell ref="C111:D111"/>
    <mergeCell ref="A208:H208"/>
    <mergeCell ref="A205:H205"/>
    <mergeCell ref="A132:B132"/>
    <mergeCell ref="A110:B110"/>
    <mergeCell ref="G116:H116"/>
    <mergeCell ref="A204:H204"/>
    <mergeCell ref="B193:H193"/>
    <mergeCell ref="B195:H195"/>
    <mergeCell ref="C53:H53"/>
    <mergeCell ref="C51:H51"/>
    <mergeCell ref="A203:H203"/>
    <mergeCell ref="E110:F110"/>
    <mergeCell ref="B200:H200"/>
    <mergeCell ref="B201:H201"/>
    <mergeCell ref="B198:H198"/>
    <mergeCell ref="A147:B147"/>
    <mergeCell ref="A145:B145"/>
    <mergeCell ref="A146:B146"/>
    <mergeCell ref="A149:B149"/>
    <mergeCell ref="A114:H114"/>
    <mergeCell ref="A144:B144"/>
    <mergeCell ref="A115:H115"/>
    <mergeCell ref="A113:B113"/>
    <mergeCell ref="E111:F111"/>
    <mergeCell ref="G111:H111"/>
    <mergeCell ref="A142:H142"/>
    <mergeCell ref="A64:C64"/>
    <mergeCell ref="D64:H64"/>
    <mergeCell ref="A65:C65"/>
    <mergeCell ref="D65:H65"/>
    <mergeCell ref="A71:B71"/>
    <mergeCell ref="G70:H70"/>
    <mergeCell ref="A81:B81"/>
    <mergeCell ref="C81:H81"/>
    <mergeCell ref="F96:H96"/>
    <mergeCell ref="A156:H156"/>
    <mergeCell ref="A157:B157"/>
    <mergeCell ref="A158:B158"/>
    <mergeCell ref="A120:H120"/>
    <mergeCell ref="A94:B94"/>
    <mergeCell ref="F95:H95"/>
    <mergeCell ref="F100:H100"/>
    <mergeCell ref="F103:H103"/>
    <mergeCell ref="A98:E98"/>
    <mergeCell ref="A105:E105"/>
    <mergeCell ref="F106:H106"/>
    <mergeCell ref="F104:H104"/>
    <mergeCell ref="A96:E96"/>
    <mergeCell ref="A85:B85"/>
    <mergeCell ref="E85:F94"/>
    <mergeCell ref="A92:B92"/>
    <mergeCell ref="A93:B93"/>
    <mergeCell ref="A130:B130"/>
    <mergeCell ref="F105:H105"/>
    <mergeCell ref="A124:B124"/>
    <mergeCell ref="A106:E106"/>
    <mergeCell ref="E41:H41"/>
    <mergeCell ref="A41:D41"/>
    <mergeCell ref="A76:B76"/>
    <mergeCell ref="A48:B48"/>
    <mergeCell ref="C48:E48"/>
    <mergeCell ref="G48:H48"/>
    <mergeCell ref="L157:M157"/>
    <mergeCell ref="G50:H50"/>
    <mergeCell ref="D55:H55"/>
    <mergeCell ref="C50:E50"/>
    <mergeCell ref="A58:C59"/>
    <mergeCell ref="D58:H58"/>
    <mergeCell ref="D59:H59"/>
    <mergeCell ref="C49:E49"/>
    <mergeCell ref="C52:E52"/>
    <mergeCell ref="A49:B49"/>
    <mergeCell ref="G132:H141"/>
    <mergeCell ref="G143:H152"/>
    <mergeCell ref="A54:H54"/>
    <mergeCell ref="A55:C55"/>
    <mergeCell ref="A56:C56"/>
    <mergeCell ref="D56:H56"/>
    <mergeCell ref="G52:H52"/>
    <mergeCell ref="A52:B53"/>
    <mergeCell ref="L166:M166"/>
    <mergeCell ref="A168:H168"/>
    <mergeCell ref="L168:M168"/>
    <mergeCell ref="A169:B169"/>
    <mergeCell ref="A167:B167"/>
    <mergeCell ref="L167:M167"/>
    <mergeCell ref="A170:B170"/>
    <mergeCell ref="L162:M162"/>
    <mergeCell ref="A163:B163"/>
    <mergeCell ref="L163:M163"/>
    <mergeCell ref="A164:B164"/>
    <mergeCell ref="L164:M164"/>
    <mergeCell ref="A165:B165"/>
    <mergeCell ref="L165:M165"/>
    <mergeCell ref="G157:H167"/>
    <mergeCell ref="G169:H179"/>
    <mergeCell ref="A171:B171"/>
    <mergeCell ref="A179:B179"/>
    <mergeCell ref="A159:B159"/>
    <mergeCell ref="G181:H191"/>
    <mergeCell ref="C144:F144"/>
    <mergeCell ref="C189:F189"/>
    <mergeCell ref="A186:B186"/>
    <mergeCell ref="A187:B187"/>
    <mergeCell ref="A188:B188"/>
    <mergeCell ref="A189:B189"/>
    <mergeCell ref="A181:B181"/>
    <mergeCell ref="A182:B182"/>
    <mergeCell ref="A183:B183"/>
    <mergeCell ref="A184:B184"/>
    <mergeCell ref="A185:B185"/>
    <mergeCell ref="A177:B177"/>
    <mergeCell ref="A178:B178"/>
    <mergeCell ref="A191:B191"/>
    <mergeCell ref="A190:B190"/>
    <mergeCell ref="A172:B172"/>
    <mergeCell ref="A173:B173"/>
    <mergeCell ref="A174:B174"/>
    <mergeCell ref="A175:B175"/>
    <mergeCell ref="A176:B176"/>
    <mergeCell ref="A180:H180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4" max="16383" man="1"/>
    <brk id="191" max="16383" man="1"/>
    <brk id="214" max="16383" man="1"/>
    <brk id="2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5" t="s">
        <v>109</v>
      </c>
      <c r="C3" s="185"/>
      <c r="D3" s="185"/>
      <c r="E3" s="185"/>
      <c r="F3" s="185"/>
      <c r="G3" s="185"/>
      <c r="H3" s="185"/>
    </row>
    <row r="4" spans="1:9" x14ac:dyDescent="0.25">
      <c r="A4" s="2"/>
      <c r="B4" s="3" t="s">
        <v>110</v>
      </c>
      <c r="C4" s="3" t="s">
        <v>111</v>
      </c>
      <c r="D4" s="3" t="s">
        <v>72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J21" sqref="J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2025-08-11T12:21:03Z</cp:lastPrinted>
  <dcterms:created xsi:type="dcterms:W3CDTF">2019-07-16T09:29:46Z</dcterms:created>
  <dcterms:modified xsi:type="dcterms:W3CDTF">2025-08-11T12:21:52Z</dcterms:modified>
</cp:coreProperties>
</file>