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mc:AlternateContent xmlns:mc="http://schemas.openxmlformats.org/markup-compatibility/2006">
    <mc:Choice Requires="x15">
      <x15ac:absPath xmlns:x15ac="http://schemas.microsoft.com/office/spreadsheetml/2010/11/ac" url="D:\Gaurav\Aug 25\AXIS\DUMP\"/>
    </mc:Choice>
  </mc:AlternateContent>
  <xr:revisionPtr revIDLastSave="0" documentId="13_ncr:1_{7F4C3CF1-7E4F-4AAE-892C-3880D7C05E48}" xr6:coauthVersionLast="36" xr6:coauthVersionMax="36" xr10:uidLastSave="{00000000-0000-0000-0000-000000000000}"/>
  <bookViews>
    <workbookView xWindow="0" yWindow="0" windowWidth="20490" windowHeight="6825" xr2:uid="{00000000-000D-0000-FFFF-FFFF00000000}"/>
  </bookViews>
  <sheets>
    <sheet name="Report" sheetId="1" r:id="rId1"/>
    <sheet name="Flat detail" sheetId="3" r:id="rId2"/>
    <sheet name="Note" sheetId="4" r:id="rId3"/>
    <sheet name="valuation" sheetId="5" r:id="rId4"/>
  </sheets>
  <definedNames>
    <definedName name="_xlnm.Print_Area" localSheetId="0">Report!$A$1:$H$252</definedName>
  </definedNames>
  <calcPr calcId="191029"/>
</workbook>
</file>

<file path=xl/calcChain.xml><?xml version="1.0" encoding="utf-8"?>
<calcChain xmlns="http://schemas.openxmlformats.org/spreadsheetml/2006/main">
  <c r="E3" i="1" l="1"/>
  <c r="D105" i="1" l="1"/>
  <c r="D106" i="1"/>
  <c r="D104" i="1"/>
  <c r="D93" i="1" l="1"/>
  <c r="C93" i="1"/>
  <c r="G47" i="1"/>
  <c r="G104" i="1"/>
  <c r="F105" i="1"/>
  <c r="D160" i="1"/>
  <c r="F160" i="1" s="1"/>
  <c r="D159" i="1"/>
  <c r="F159" i="1" s="1"/>
  <c r="G155" i="1"/>
  <c r="D155" i="1"/>
  <c r="F155" i="1" s="1"/>
  <c r="D153" i="1"/>
  <c r="F153" i="1" s="1"/>
  <c r="D152" i="1"/>
  <c r="F152" i="1" s="1"/>
  <c r="D151" i="1"/>
  <c r="F151" i="1" s="1"/>
  <c r="D150" i="1"/>
  <c r="F150" i="1" s="1"/>
  <c r="D149" i="1"/>
  <c r="F149" i="1" s="1"/>
  <c r="G148" i="1"/>
  <c r="D148" i="1"/>
  <c r="F148" i="1" s="1"/>
  <c r="D146" i="1"/>
  <c r="F146" i="1" s="1"/>
  <c r="D145" i="1"/>
  <c r="F145" i="1" s="1"/>
  <c r="D143" i="1"/>
  <c r="F143" i="1" s="1"/>
  <c r="D144" i="1"/>
  <c r="F144" i="1" s="1"/>
  <c r="D142" i="1"/>
  <c r="F142" i="1" s="1"/>
  <c r="D141" i="1"/>
  <c r="G141" i="1"/>
  <c r="F141" i="1"/>
  <c r="D139" i="1"/>
  <c r="D138" i="1"/>
  <c r="F138" i="1" s="1"/>
  <c r="D137" i="1"/>
  <c r="F137" i="1" s="1"/>
  <c r="D136" i="1"/>
  <c r="F136" i="1" s="1"/>
  <c r="F139" i="1"/>
  <c r="G135" i="1"/>
  <c r="D135" i="1"/>
  <c r="F135" i="1" s="1"/>
  <c r="D133" i="1"/>
  <c r="F133" i="1" s="1"/>
  <c r="D132" i="1"/>
  <c r="F132" i="1" s="1"/>
  <c r="D131" i="1"/>
  <c r="F131" i="1" s="1"/>
  <c r="G130" i="1"/>
  <c r="D130" i="1"/>
  <c r="F130" i="1" s="1"/>
  <c r="D120" i="1"/>
  <c r="F120" i="1" s="1"/>
  <c r="D119" i="1"/>
  <c r="F119" i="1" s="1"/>
  <c r="D118" i="1"/>
  <c r="F118" i="1" s="1"/>
  <c r="I118" i="1" s="1"/>
  <c r="D117" i="1"/>
  <c r="F117" i="1" s="1"/>
  <c r="D116" i="1"/>
  <c r="F116" i="1" s="1"/>
  <c r="I116" i="1" s="1"/>
  <c r="G115" i="1"/>
  <c r="D115" i="1"/>
  <c r="F115" i="1" s="1"/>
  <c r="G122" i="1"/>
  <c r="D127" i="1"/>
  <c r="D126" i="1"/>
  <c r="D125" i="1"/>
  <c r="D124" i="1"/>
  <c r="D123" i="1"/>
  <c r="D122" i="1"/>
  <c r="G111" i="1"/>
  <c r="D111" i="1"/>
  <c r="F111" i="1" s="1"/>
  <c r="D96" i="1" l="1"/>
  <c r="D97" i="1" s="1"/>
  <c r="C96" i="1"/>
  <c r="C97" i="1" s="1"/>
  <c r="C60" i="1"/>
  <c r="J71" i="1"/>
  <c r="J70" i="1"/>
  <c r="J69" i="1"/>
  <c r="J68" i="1"/>
  <c r="H61" i="1"/>
  <c r="J66" i="1" l="1"/>
  <c r="J67" i="1" s="1"/>
  <c r="J72" i="1" s="1"/>
  <c r="J73" i="1" s="1"/>
  <c r="D66" i="1"/>
  <c r="J64" i="1"/>
  <c r="D73" i="1"/>
  <c r="D72" i="1"/>
  <c r="D71" i="1"/>
  <c r="D70" i="1"/>
  <c r="D69" i="1"/>
  <c r="D68" i="1"/>
  <c r="D67" i="1"/>
  <c r="J65" i="1"/>
  <c r="J63" i="1"/>
  <c r="E64" i="1" l="1"/>
  <c r="D65" i="1"/>
  <c r="G64" i="1"/>
  <c r="D64" i="1"/>
  <c r="F123" i="1"/>
  <c r="F124" i="1"/>
  <c r="F125" i="1"/>
  <c r="F126" i="1"/>
  <c r="F127" i="1"/>
  <c r="F122" i="1"/>
  <c r="C13" i="1"/>
  <c r="G108" i="1"/>
  <c r="F96" i="1" l="1"/>
  <c r="I60" i="1"/>
  <c r="C62" i="1" s="1"/>
  <c r="F106" i="1" l="1"/>
  <c r="F104" i="1" l="1"/>
  <c r="F93" i="1" s="1"/>
  <c r="F97" i="1" s="1"/>
  <c r="G12" i="5" l="1"/>
  <c r="E7" i="1" l="1"/>
  <c r="D175" i="1" l="1"/>
  <c r="F90" i="1"/>
  <c r="C47" i="1"/>
  <c r="D52"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<sst xmlns="http://schemas.openxmlformats.org/spreadsheetml/2006/main" count="333" uniqueCount="246">
  <si>
    <t xml:space="preserve">Valuation Report </t>
  </si>
  <si>
    <t>Date:</t>
  </si>
  <si>
    <t>CPC Name:</t>
  </si>
  <si>
    <t>Date Of Property Visit</t>
  </si>
  <si>
    <t>Name of the builder group</t>
  </si>
  <si>
    <t>Name of the builder company</t>
  </si>
  <si>
    <t>Name of the Project</t>
  </si>
  <si>
    <t>Contect Details ( Name &amp; Contect No.)</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</si>
  <si>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</si>
  <si>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</si>
  <si>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</si>
  <si>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</si>
  <si>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</si>
  <si>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</si>
  <si>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</si>
  <si>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</si>
  <si>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</si>
  <si>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</si>
  <si>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</si>
  <si>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</si>
  <si>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</si>
  <si>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</si>
  <si>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</si>
  <si>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</si>
  <si>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</si>
  <si>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</si>
  <si>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</si>
  <si>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</si>
  <si>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</si>
  <si>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</si>
  <si>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</si>
  <si>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</si>
  <si>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</si>
  <si>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</si>
  <si>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</si>
  <si>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</si>
  <si>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</si>
  <si>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</si>
  <si>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</si>
  <si>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</si>
  <si>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</si>
  <si>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</si>
  <si>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</si>
  <si>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</si>
  <si>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</si>
  <si>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</si>
  <si>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</si>
  <si>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</si>
  <si>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</si>
  <si>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</si>
  <si>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</si>
  <si>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</si>
  <si>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</si>
  <si>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</si>
  <si>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</si>
  <si>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</si>
  <si>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</si>
  <si>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</si>
  <si>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</si>
  <si>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</si>
  <si>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</si>
  <si>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</si>
  <si>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</si>
  <si>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</si>
  <si>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</si>
  <si>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</si>
  <si>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</si>
  <si>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</si>
  <si>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</si>
  <si>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</si>
  <si>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</si>
  <si>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</si>
  <si>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</si>
  <si>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</si>
  <si>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</si>
  <si>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</si>
  <si>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</si>
  <si>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</si>
  <si>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</si>
  <si>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</si>
  <si>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</si>
  <si>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</si>
  <si>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</si>
  <si>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</si>
  <si>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</si>
  <si>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</si>
  <si>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</si>
  <si>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</si>
  <si>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</si>
  <si>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</si>
  <si>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</si>
  <si>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</si>
  <si>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</si>
  <si>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</si>
  <si>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</si>
  <si>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</si>
  <si>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</si>
  <si>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</si>
  <si>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</si>
  <si>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</si>
  <si>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</si>
  <si>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</si>
  <si>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</si>
  <si>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</si>
  <si>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</si>
  <si>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</si>
  <si>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</si>
  <si>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</si>
  <si>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</si>
  <si>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</si>
  <si>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</si>
  <si>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</si>
  <si>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</si>
  <si>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</si>
  <si>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</si>
  <si>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</si>
  <si>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</si>
  <si>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</si>
  <si>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</si>
  <si>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</si>
  <si>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</si>
  <si>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</si>
  <si>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</si>
  <si>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</si>
  <si>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</si>
  <si>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</si>
  <si>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</si>
  <si>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</si>
  <si>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</si>
  <si>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</si>
  <si>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</si>
  <si>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</si>
  <si>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</si>
  <si>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</si>
  <si>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</si>
  <si>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</si>
  <si>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</si>
  <si>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</si>
  <si>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</si>
  <si>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</si>
  <si>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</si>
  <si>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</si>
  <si>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</si>
  <si>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</si>
  <si>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</si>
  <si>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</si>
  <si>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</si>
  <si>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</si>
  <si>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</si>
  <si>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</si>
  <si>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</si>
  <si>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</si>
  <si>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</si>
  <si>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</si>
  <si>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Average</t>
  </si>
  <si>
    <t xml:space="preserve">Valuation Adopted </t>
  </si>
  <si>
    <t>Saleable Area</t>
  </si>
  <si>
    <t>Rate on Saleable</t>
  </si>
  <si>
    <t>022-268566161</t>
  </si>
  <si>
    <t>Dindoshi</t>
  </si>
  <si>
    <t>Mumbai Suburban</t>
  </si>
  <si>
    <t>Goragaon</t>
  </si>
  <si>
    <t>Goregaon-Mulund Link Road</t>
  </si>
  <si>
    <t>2Km from Goregaon  Railway Station</t>
  </si>
  <si>
    <t>Upper Class</t>
  </si>
  <si>
    <t>Developed</t>
  </si>
  <si>
    <t>Ayushakti Ayurved Pvt Ltd</t>
  </si>
  <si>
    <t>Open Plot</t>
  </si>
  <si>
    <t>PS/STGOVT/0011/20120327/AP/S</t>
  </si>
  <si>
    <t xml:space="preserve">Cement, Aggregate, Steel, etc </t>
  </si>
  <si>
    <t>Wheather the construction is as per approved Building plan : Under Construction</t>
  </si>
  <si>
    <t>Shop</t>
  </si>
  <si>
    <t>2BHK</t>
  </si>
  <si>
    <t>1BHK</t>
  </si>
  <si>
    <t>P51800015665</t>
  </si>
  <si>
    <t>M/s. I M Buildcon</t>
  </si>
  <si>
    <t>Slum FSI</t>
  </si>
  <si>
    <t>Zonal FSI</t>
  </si>
  <si>
    <t>Addi. FSI</t>
  </si>
  <si>
    <t>TDR</t>
  </si>
  <si>
    <t>18(pt), 36A/1(pt), 36A/2, 38A &amp; 62A/7</t>
  </si>
  <si>
    <t>CTS No</t>
  </si>
  <si>
    <t>Freestone Infotech Pvt Ltd</t>
  </si>
  <si>
    <t>Basement Floor for Parking</t>
  </si>
  <si>
    <t>Duplex with Ground Floor</t>
  </si>
  <si>
    <t>Approved Plans, CC</t>
  </si>
  <si>
    <t xml:space="preserve">Sale Building (B Wing)
</t>
  </si>
  <si>
    <t>01 Wing</t>
  </si>
  <si>
    <t>2nd (Podium) Floor for Amenities &amp; Parking</t>
  </si>
  <si>
    <t>3rd (Podium) Floor for Amenities &amp; Parking</t>
  </si>
  <si>
    <t>Sale Building - B Wing</t>
  </si>
  <si>
    <t>Service Floor between 20th &amp; 21st Floor</t>
  </si>
  <si>
    <t>Borivali</t>
  </si>
  <si>
    <t>Applaud 38</t>
  </si>
  <si>
    <t>Axis Goregaon</t>
  </si>
  <si>
    <t>Construction details:</t>
  </si>
  <si>
    <t>Slab/Floor</t>
  </si>
  <si>
    <t>Piling Work in process</t>
  </si>
  <si>
    <t>Excavation</t>
  </si>
  <si>
    <t>Plinth</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</si>
  <si>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</si>
  <si>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</si>
  <si>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</si>
  <si>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</si>
  <si>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</si>
  <si>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</si>
  <si>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</si>
  <si>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</si>
  <si>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</si>
  <si>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</si>
  <si>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</si>
  <si>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</si>
  <si>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</si>
  <si>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</si>
  <si>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Wing B = B + Gr/St + 3Podium + 4th to 38th Floor</t>
  </si>
  <si>
    <t>Upper Ground Floor for Commercial &amp; Parking (Duplex with Ground Floor)</t>
  </si>
  <si>
    <t>1st (Podium) Floor for  Residential &amp; Parking</t>
  </si>
  <si>
    <t xml:space="preserve">5th, 8th to 12th, 15th to 19th, 22nd to 26th, 29th to 33rd Floor for Residential </t>
  </si>
  <si>
    <t xml:space="preserve">4th, 7th, 14th, 21st &amp; 28th Floor for Residential </t>
  </si>
  <si>
    <t xml:space="preserve">Remarks: </t>
  </si>
  <si>
    <t>6th, 13th, 20th &amp; 27th Floor (Part Refuge Area)</t>
  </si>
  <si>
    <t>34th Floor (Part Refuge Area)</t>
  </si>
  <si>
    <t xml:space="preserve">35th Floor for Residential </t>
  </si>
  <si>
    <t xml:space="preserve">36th Floor for Residential </t>
  </si>
  <si>
    <t>37th Floor (Part Terrace Area)</t>
  </si>
  <si>
    <t>Terrace Area</t>
  </si>
  <si>
    <t xml:space="preserve">Shop </t>
  </si>
  <si>
    <t>Ground Floor for Commercial &amp; Parking (Duplex with 1st Podium Floor)</t>
  </si>
  <si>
    <t>Sale Building (B Wing) = 1st Level Basement + Part Gr &amp; Part St + 1st to 3rd Podium Floor + 4th to 37th Floor</t>
  </si>
  <si>
    <r>
      <t xml:space="preserve">Shop 
</t>
    </r>
    <r>
      <rPr>
        <sz val="11"/>
        <color indexed="8"/>
        <rFont val="Times New Roman"/>
        <family val="1"/>
      </rPr>
      <t>(Duplex with Upper Ground Floor)</t>
    </r>
  </si>
  <si>
    <t>Flats - 193, Shops - 3</t>
  </si>
  <si>
    <t>7,00,000/-</t>
  </si>
  <si>
    <t>Building Name &amp; No.</t>
  </si>
  <si>
    <t>Latitude, Longitude</t>
  </si>
  <si>
    <t>19.17312582, 72.8569066</t>
  </si>
  <si>
    <t>Location Link</t>
  </si>
  <si>
    <t>https://goo.gl/maps/DZF8ApCfvrRsv82E8?coh=178572&amp;entry=tt</t>
  </si>
  <si>
    <t>Grand Total</t>
  </si>
  <si>
    <t>Office No. 1031, Wing J, Akshar Business Park, Plot No. 03 Sector 25, Near APMC Market, Vashi, 
Navi Mumbai, Maharashtra 400703 TEL: 022-46090378/79/80                                                                       
E mail : vsjcapf@gmail.com. Web site : www.vsjadon.com</t>
  </si>
  <si>
    <t>PS/STGOVT/0011/20120327/AP/PS</t>
  </si>
  <si>
    <t>Valid Up to: 
Sale Building = This C.C is further extended for RCC framework structure only from 31st upper floor to 34th upper floor &amp; for full work from 12th upper floor to 24th upper floor as per approved ameded plans dtd 27/07/2023.</t>
  </si>
  <si>
    <t xml:space="preserve"> </t>
  </si>
  <si>
    <t>1. Construction work is in process at the time of Visit. Internal photographs not allowed.
2. We considered  Saleable area  as per our calculation.
3. We considered Carpet area as per Approved Plan.
4. We considered Gross carpet area = Net carpet.
5. We have considered rate by verifying it from market inquire.
6. Recommended rate should be considered as all inclusive rate if other charges are not mentioned. (Excluding GST &amp; other government Taxes).
7. Car parking is subjected to authentic documentation.
8. In RERA, Wing A &amp; B Wings are registered but we received only B Wing Plans.
9. Please provide A Wings plans &amp; CC.
10. We have updated revised approved floor plan of Wing B &amp; CC. (on 17/02/2022).
11. We have updated revised CC from Rera (On 07/11/2023).
12. Please provide revised Approved plans &amp; CC for Wing B.
8. On Site, we meet Mr. Hitesh - 9628177782.</t>
  </si>
  <si>
    <t>Sanket Salvi</t>
  </si>
  <si>
    <t>As per RERA - 29/12/2025</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</si>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</sst>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_);_(* \(#,##0.00\);_(* &quot;-&quot;??_);_(@_)"/>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indexed="8"/>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0" fontId="22" fillId="0" borderId="0" applyNumberFormat="0" applyFill="0" applyBorder="0" applyAlignment="0" applyProtection="0"/>
  </cellStyleXfs>
  <cellXfs count="165">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4" fillId="0" borderId="1" xfId="1" applyNumberFormat="1" applyFont="1" applyBorder="1" applyAlignment="1" applyProtection="1">
      <alignment horizontal="center" vertical="top" wrapText="1"/>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12" fillId="0" borderId="5" xfId="1" applyFont="1" applyBorder="1" applyAlignment="1" applyProtection="1">
      <alignment horizontal="center" vertical="top"/>
      <protection locked="0"/>
    </xf>
    <xf numFmtId="0" fontId="7" fillId="0" borderId="13" xfId="1" applyFont="1" applyBorder="1" applyProtection="1">
      <protection hidden="1"/>
    </xf>
    <xf numFmtId="0" fontId="7" fillId="0" borderId="14" xfId="1" applyFont="1" applyBorder="1" applyProtection="1">
      <protection hidden="1"/>
    </xf>
    <xf numFmtId="0" fontId="7" fillId="0" borderId="14" xfId="1" applyFont="1" applyBorder="1"/>
    <xf numFmtId="9" fontId="17" fillId="0" borderId="14" xfId="0" applyNumberFormat="1" applyFont="1" applyBorder="1" applyProtection="1">
      <protection hidden="1"/>
    </xf>
    <xf numFmtId="9" fontId="17" fillId="0" borderId="16" xfId="0" applyNumberFormat="1" applyFont="1" applyBorder="1" applyProtection="1">
      <protection hidden="1"/>
    </xf>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2" fillId="2" borderId="1" xfId="1" applyFont="1" applyFill="1" applyBorder="1" applyAlignment="1" applyProtection="1">
      <alignment horizontal="left" vertical="top"/>
      <protection locked="0"/>
    </xf>
    <xf numFmtId="0" fontId="13" fillId="2" borderId="1" xfId="1" applyFont="1" applyFill="1" applyBorder="1" applyAlignment="1" applyProtection="1">
      <alignment horizontal="left" vertical="top"/>
      <protection locked="0"/>
    </xf>
    <xf numFmtId="0" fontId="12" fillId="0" borderId="6" xfId="1" applyFont="1" applyBorder="1" applyAlignment="1" applyProtection="1">
      <alignment horizontal="center" vertical="top"/>
      <protection locked="0"/>
    </xf>
    <xf numFmtId="0" fontId="12" fillId="0" borderId="14" xfId="1" applyFont="1" applyBorder="1" applyProtection="1">
      <protection hidden="1"/>
    </xf>
    <xf numFmtId="1" fontId="12" fillId="0" borderId="1" xfId="1" applyNumberFormat="1" applyFont="1" applyBorder="1" applyAlignment="1" applyProtection="1">
      <alignment horizontal="center" wrapText="1"/>
      <protection locked="0"/>
    </xf>
    <xf numFmtId="0" fontId="12" fillId="0" borderId="1" xfId="1" applyFont="1" applyBorder="1" applyAlignment="1" applyProtection="1">
      <alignment horizontal="center" wrapText="1"/>
      <protection locked="0"/>
    </xf>
    <xf numFmtId="0" fontId="12" fillId="0" borderId="8" xfId="1" applyFont="1" applyBorder="1" applyAlignment="1" applyProtection="1">
      <alignment horizontal="center" wrapText="1"/>
      <protection locked="0"/>
    </xf>
    <xf numFmtId="1" fontId="7" fillId="0" borderId="0" xfId="1" applyNumberFormat="1" applyFont="1" applyAlignment="1">
      <alignment horizontal="center" vertical="center"/>
    </xf>
    <xf numFmtId="0" fontId="12" fillId="0" borderId="1" xfId="1" applyFont="1" applyBorder="1" applyAlignment="1" applyProtection="1">
      <alignment horizontal="center" vertical="top"/>
      <protection locked="0"/>
    </xf>
    <xf numFmtId="0" fontId="17" fillId="0" borderId="0" xfId="0" applyFont="1" applyProtection="1">
      <protection hidden="1"/>
    </xf>
    <xf numFmtId="0" fontId="7" fillId="0" borderId="12" xfId="1" applyFont="1" applyBorder="1" applyProtection="1">
      <protection hidden="1"/>
    </xf>
    <xf numFmtId="0" fontId="17" fillId="0" borderId="14" xfId="0" applyFont="1" applyBorder="1" applyProtection="1">
      <protection hidden="1"/>
    </xf>
    <xf numFmtId="1" fontId="0" fillId="0" borderId="14" xfId="0" applyNumberFormat="1" applyBorder="1"/>
    <xf numFmtId="1" fontId="0" fillId="0" borderId="14" xfId="0" applyNumberFormat="1" applyBorder="1" applyAlignment="1">
      <alignment horizontal="right"/>
    </xf>
    <xf numFmtId="0" fontId="17" fillId="0" borderId="15" xfId="0" applyFont="1" applyBorder="1" applyProtection="1">
      <protection hidden="1"/>
    </xf>
    <xf numFmtId="1" fontId="0" fillId="0" borderId="16" xfId="0" applyNumberFormat="1" applyBorder="1"/>
    <xf numFmtId="0" fontId="12" fillId="0" borderId="1" xfId="1" applyFont="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1" fontId="7" fillId="0" borderId="3" xfId="0" applyNumberFormat="1" applyFont="1" applyBorder="1" applyAlignment="1" applyProtection="1">
      <alignment horizontal="center" vertical="center"/>
      <protection locked="0"/>
    </xf>
    <xf numFmtId="1" fontId="10" fillId="0" borderId="31" xfId="0" applyNumberFormat="1"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8" xfId="1" applyFont="1" applyBorder="1" applyAlignment="1" applyProtection="1">
      <alignment horizontal="center" vertical="top" wrapText="1"/>
      <protection locked="0"/>
    </xf>
    <xf numFmtId="0" fontId="13" fillId="0" borderId="24"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3" fillId="0" borderId="27" xfId="1" applyFont="1" applyBorder="1" applyAlignment="1" applyProtection="1">
      <alignment horizontal="left" vertical="top" wrapText="1"/>
      <protection locked="0"/>
    </xf>
    <xf numFmtId="0" fontId="13" fillId="0" borderId="28" xfId="1" applyFont="1" applyBorder="1" applyAlignment="1" applyProtection="1">
      <alignment horizontal="left"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9" fontId="12" fillId="2" borderId="6" xfId="1" applyNumberFormat="1" applyFont="1" applyFill="1" applyBorder="1" applyAlignment="1" applyProtection="1">
      <alignment horizontal="center" vertical="center" wrapText="1"/>
      <protection hidden="1"/>
    </xf>
    <xf numFmtId="9" fontId="12" fillId="2" borderId="9" xfId="1" applyNumberFormat="1" applyFont="1" applyFill="1" applyBorder="1" applyAlignment="1" applyProtection="1">
      <alignment horizontal="center" vertical="center" wrapText="1"/>
      <protection hidden="1"/>
    </xf>
    <xf numFmtId="0" fontId="12" fillId="2" borderId="1" xfId="1" applyFont="1" applyFill="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1" xfId="1" applyNumberFormat="1" applyFont="1" applyBorder="1" applyAlignment="1" applyProtection="1">
      <alignment horizontal="center" vertical="center" wrapText="1"/>
      <protection locked="0"/>
    </xf>
    <xf numFmtId="0" fontId="12" fillId="2" borderId="1" xfId="1" applyFont="1"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4" fontId="12" fillId="2" borderId="1" xfId="1"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6"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top" wrapText="1"/>
      <protection locked="0"/>
    </xf>
    <xf numFmtId="1" fontId="7" fillId="0" borderId="17" xfId="0" applyNumberFormat="1" applyFont="1" applyBorder="1" applyAlignment="1" applyProtection="1">
      <alignment horizontal="center" vertical="top" wrapText="1"/>
      <protection locked="0"/>
    </xf>
    <xf numFmtId="1" fontId="7" fillId="0" borderId="29" xfId="0" applyNumberFormat="1" applyFont="1" applyBorder="1" applyAlignment="1" applyProtection="1">
      <alignment horizontal="center" vertical="top" wrapText="1"/>
      <protection locked="0"/>
    </xf>
    <xf numFmtId="1" fontId="7" fillId="0" borderId="18"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6" fillId="2" borderId="1" xfId="1" applyFont="1" applyFill="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8"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14" fontId="12" fillId="0" borderId="1" xfId="1" applyNumberFormat="1" applyFont="1" applyBorder="1" applyAlignment="1" applyProtection="1">
      <alignment horizontal="left" vertical="top"/>
      <protection locked="0"/>
    </xf>
    <xf numFmtId="0" fontId="12" fillId="2" borderId="10" xfId="1" applyFont="1" applyFill="1" applyBorder="1" applyAlignment="1" applyProtection="1">
      <alignment horizontal="left" vertical="top" wrapText="1"/>
      <protection locked="0"/>
    </xf>
    <xf numFmtId="0" fontId="12" fillId="2" borderId="23" xfId="1" applyFont="1" applyFill="1" applyBorder="1" applyAlignment="1" applyProtection="1">
      <alignment horizontal="left" vertical="top" wrapText="1"/>
      <protection locked="0"/>
    </xf>
    <xf numFmtId="0" fontId="12" fillId="2" borderId="11" xfId="1" applyFont="1" applyFill="1" applyBorder="1" applyAlignment="1" applyProtection="1">
      <alignment horizontal="left" vertical="top" wrapText="1"/>
      <protection locked="0"/>
    </xf>
    <xf numFmtId="0" fontId="13" fillId="0" borderId="5"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0" xfId="1" applyFont="1" applyBorder="1" applyAlignment="1" applyProtection="1">
      <alignment horizontal="left" vertical="top" wrapText="1"/>
      <protection locked="0"/>
    </xf>
    <xf numFmtId="0" fontId="13" fillId="0" borderId="1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164" fontId="6" fillId="0" borderId="1" xfId="1" applyNumberFormat="1" applyFont="1" applyBorder="1" applyAlignment="1" applyProtection="1">
      <alignment horizontal="left" vertical="top"/>
      <protection locked="0"/>
    </xf>
    <xf numFmtId="14" fontId="12"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7" fillId="0" borderId="10" xfId="1" applyFont="1" applyBorder="1" applyAlignment="1" applyProtection="1">
      <alignment horizontal="left"/>
      <protection locked="0"/>
    </xf>
    <xf numFmtId="0" fontId="7" fillId="0" borderId="23" xfId="1" applyFont="1" applyBorder="1" applyAlignment="1" applyProtection="1">
      <alignment horizontal="left"/>
      <protection locked="0"/>
    </xf>
    <xf numFmtId="0" fontId="7" fillId="0" borderId="11" xfId="1" applyFont="1" applyBorder="1" applyAlignment="1" applyProtection="1">
      <alignment horizontal="left"/>
      <protection locked="0"/>
    </xf>
    <xf numFmtId="0" fontId="22" fillId="0" borderId="10" xfId="8" applyBorder="1" applyAlignment="1" applyProtection="1">
      <alignment horizontal="left"/>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7" fillId="0" borderId="10" xfId="0" applyNumberFormat="1" applyFont="1" applyBorder="1" applyAlignment="1" applyProtection="1">
      <alignment horizontal="center" vertical="top" wrapText="1"/>
      <protection locked="0"/>
    </xf>
    <xf numFmtId="1" fontId="7" fillId="0" borderId="23" xfId="0" applyNumberFormat="1" applyFont="1" applyBorder="1" applyAlignment="1" applyProtection="1">
      <alignment horizontal="center" vertical="top" wrapText="1"/>
      <protection locked="0"/>
    </xf>
    <xf numFmtId="1" fontId="7" fillId="0" borderId="11" xfId="0" applyNumberFormat="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3" fillId="0" borderId="10" xfId="2" applyFont="1" applyBorder="1" applyAlignment="1" applyProtection="1">
      <alignment horizontal="left" vertical="top" wrapText="1"/>
      <protection locked="0"/>
    </xf>
    <xf numFmtId="0" fontId="13" fillId="0" borderId="23" xfId="2" applyFont="1" applyBorder="1" applyAlignment="1" applyProtection="1">
      <alignment horizontal="left" vertical="top" wrapText="1"/>
      <protection locked="0"/>
    </xf>
    <xf numFmtId="0" fontId="13" fillId="0" borderId="11" xfId="2" applyFont="1" applyBorder="1" applyAlignment="1" applyProtection="1">
      <alignment horizontal="left" vertical="top" wrapText="1"/>
      <protection locked="0"/>
    </xf>
    <xf numFmtId="0" fontId="8"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1" fontId="8" fillId="0" borderId="30" xfId="0" applyNumberFormat="1" applyFont="1" applyBorder="1" applyAlignment="1" applyProtection="1">
      <alignment horizontal="center" vertical="center" wrapText="1"/>
      <protection locked="0"/>
    </xf>
    <xf numFmtId="1" fontId="8" fillId="0" borderId="31" xfId="0" applyNumberFormat="1" applyFont="1" applyBorder="1" applyAlignment="1" applyProtection="1">
      <alignment horizontal="center" vertical="center" wrapText="1"/>
      <protection locked="0"/>
    </xf>
    <xf numFmtId="1" fontId="10" fillId="0" borderId="31" xfId="0" applyNumberFormat="1" applyFont="1" applyBorder="1" applyAlignment="1" applyProtection="1">
      <alignment horizontal="center" vertical="top" wrapText="1"/>
      <protection locked="0"/>
    </xf>
    <xf numFmtId="1" fontId="10" fillId="0" borderId="32" xfId="0"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top" wrapText="1"/>
      <protection locked="0"/>
    </xf>
    <xf numFmtId="1" fontId="10" fillId="0" borderId="34" xfId="0" applyNumberFormat="1" applyFont="1" applyBorder="1" applyAlignment="1" applyProtection="1">
      <alignment horizontal="center" vertical="top" wrapText="1"/>
      <protection locked="0"/>
    </xf>
    <xf numFmtId="1" fontId="8" fillId="0" borderId="10" xfId="1" applyNumberFormat="1" applyFont="1" applyBorder="1" applyAlignment="1" applyProtection="1">
      <alignment horizontal="center" vertical="center" wrapText="1"/>
      <protection locked="0"/>
    </xf>
    <xf numFmtId="1" fontId="8" fillId="0" borderId="11" xfId="1" applyNumberFormat="1" applyFont="1" applyBorder="1" applyAlignment="1" applyProtection="1">
      <alignment horizontal="center" vertical="center" wrapText="1"/>
      <protection locked="0"/>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9">
    <cellStyle name="Comma 2" xfId="6" xr:uid="{00000000-0005-0000-0000-000000000000}"/>
    <cellStyle name="Excel Built-in Normal" xfId="2" xr:uid="{00000000-0005-0000-0000-000001000000}"/>
    <cellStyle name="Excel Built-in Normal 2" xfId="4" xr:uid="{00000000-0005-0000-0000-000002000000}"/>
    <cellStyle name="Hyperlink" xfId="8"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582703</xdr:colOff>
      <xdr:row>215</xdr:row>
      <xdr:rowOff>145676</xdr:rowOff>
    </xdr:from>
    <xdr:to>
      <xdr:col>7</xdr:col>
      <xdr:colOff>481850</xdr:colOff>
      <xdr:row>231</xdr:row>
      <xdr:rowOff>194981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82703" y="39556764"/>
          <a:ext cx="5916706" cy="3276600"/>
        </a:xfrm>
        <a:prstGeom prst="rect">
          <a:avLst/>
        </a:prstGeom>
        <a:ln>
          <a:solidFill>
            <a:schemeClr val="tx1"/>
          </a:solidFill>
        </a:ln>
      </xdr:spPr>
    </xdr:pic>
    <xdr:clientData/>
  </xdr:twoCellAnchor>
  <xdr:twoCellAnchor editAs="oneCell">
    <xdr:from>
      <xdr:col>0</xdr:col>
      <xdr:colOff>582703</xdr:colOff>
      <xdr:row>233</xdr:row>
      <xdr:rowOff>56030</xdr:rowOff>
    </xdr:from>
    <xdr:to>
      <xdr:col>7</xdr:col>
      <xdr:colOff>481850</xdr:colOff>
      <xdr:row>249</xdr:row>
      <xdr:rowOff>29135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82703" y="43097824"/>
          <a:ext cx="5916706" cy="3200400"/>
        </a:xfrm>
        <a:prstGeom prst="rect">
          <a:avLst/>
        </a:prstGeom>
        <a:ln>
          <a:solidFill>
            <a:schemeClr val="tx1"/>
          </a:solidFill>
        </a:ln>
      </xdr:spPr>
    </xdr:pic>
    <xdr:clientData/>
  </xdr:twoCellAnchor>
  <xdr:twoCellAnchor editAs="oneCell">
    <xdr:from>
      <xdr:col>8</xdr:col>
      <xdr:colOff>266700</xdr:colOff>
      <xdr:row>48</xdr:row>
      <xdr:rowOff>263846</xdr:rowOff>
    </xdr:from>
    <xdr:to>
      <xdr:col>13</xdr:col>
      <xdr:colOff>332620</xdr:colOff>
      <xdr:row>56</xdr:row>
      <xdr:rowOff>180563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6696075" y="10893746"/>
          <a:ext cx="3914020" cy="2136042"/>
        </a:xfrm>
        <a:prstGeom prst="rect">
          <a:avLst/>
        </a:prstGeom>
      </xdr:spPr>
    </xdr:pic>
    <xdr:clientData/>
  </xdr:twoCellAnchor>
  <xdr:twoCellAnchor>
    <xdr:from>
      <xdr:col>8</xdr:col>
      <xdr:colOff>1047750</xdr:colOff>
      <xdr:row>175</xdr:row>
      <xdr:rowOff>133349</xdr:rowOff>
    </xdr:from>
    <xdr:to>
      <xdr:col>18</xdr:col>
      <xdr:colOff>219410</xdr:colOff>
      <xdr:row>208</xdr:row>
      <xdr:rowOff>57149</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7477125" y="39138224"/>
          <a:ext cx="6067760" cy="6515100"/>
          <a:chOff x="123825" y="39262049"/>
          <a:chExt cx="6067760" cy="6515100"/>
        </a:xfrm>
      </xdr:grpSpPr>
      <xdr:pic>
        <xdr:nvPicPr>
          <xdr:cNvPr id="21" name="Picture 20" descr="https://vsjcllp.vsjadon.com/upload/insp-233946-1525.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4229100" y="43157774"/>
            <a:ext cx="1962485" cy="2619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33946-845.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2181225" y="43157774"/>
            <a:ext cx="1962485" cy="2619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33946-847.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186306" y="39271574"/>
            <a:ext cx="2861662" cy="38195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33946-851.jpg">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23825" y="43157774"/>
            <a:ext cx="1962485" cy="2619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33946-861.jp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43081" y="39262049"/>
            <a:ext cx="2861662" cy="38195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257175</xdr:colOff>
      <xdr:row>175</xdr:row>
      <xdr:rowOff>161924</xdr:rowOff>
    </xdr:from>
    <xdr:to>
      <xdr:col>7</xdr:col>
      <xdr:colOff>666750</xdr:colOff>
      <xdr:row>208</xdr:row>
      <xdr:rowOff>161925</xdr:rowOff>
    </xdr:to>
    <xdr:grpSp>
      <xdr:nvGrpSpPr>
        <xdr:cNvPr id="11" name="Group 10">
          <a:extLst>
            <a:ext uri="{FF2B5EF4-FFF2-40B4-BE49-F238E27FC236}">
              <a16:creationId xmlns:a16="http://schemas.microsoft.com/office/drawing/2014/main" id="{A390A79F-30ED-4FFF-82CA-9FC724E59BAF}"/>
            </a:ext>
          </a:extLst>
        </xdr:cNvPr>
        <xdr:cNvGrpSpPr/>
      </xdr:nvGrpSpPr>
      <xdr:grpSpPr>
        <a:xfrm>
          <a:off x="257175" y="39166799"/>
          <a:ext cx="6010275" cy="6591301"/>
          <a:chOff x="406071" y="531900"/>
          <a:chExt cx="5633906" cy="5783716"/>
        </a:xfrm>
      </xdr:grpSpPr>
      <xdr:pic>
        <xdr:nvPicPr>
          <xdr:cNvPr id="12" name="Picture 11">
            <a:extLst>
              <a:ext uri="{FF2B5EF4-FFF2-40B4-BE49-F238E27FC236}">
                <a16:creationId xmlns:a16="http://schemas.microsoft.com/office/drawing/2014/main" id="{888E8C4D-D2D0-49FC-994E-CF93BFA22578}"/>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13173" y="531900"/>
            <a:ext cx="2427469" cy="3240000"/>
          </a:xfrm>
          <a:prstGeom prst="rect">
            <a:avLst/>
          </a:prstGeom>
          <a:ln>
            <a:solidFill>
              <a:schemeClr val="tx1"/>
            </a:solidFill>
          </a:ln>
        </xdr:spPr>
      </xdr:pic>
      <xdr:pic>
        <xdr:nvPicPr>
          <xdr:cNvPr id="13" name="Picture 12">
            <a:extLst>
              <a:ext uri="{FF2B5EF4-FFF2-40B4-BE49-F238E27FC236}">
                <a16:creationId xmlns:a16="http://schemas.microsoft.com/office/drawing/2014/main" id="{B88387EB-3622-4C79-A81E-E44544AE6273}"/>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280173" y="531900"/>
            <a:ext cx="2427469" cy="3240000"/>
          </a:xfrm>
          <a:prstGeom prst="rect">
            <a:avLst/>
          </a:prstGeom>
          <a:ln>
            <a:solidFill>
              <a:schemeClr val="tx1"/>
            </a:solidFill>
          </a:ln>
        </xdr:spPr>
      </xdr:pic>
      <xdr:pic>
        <xdr:nvPicPr>
          <xdr:cNvPr id="14" name="Picture 13">
            <a:extLst>
              <a:ext uri="{FF2B5EF4-FFF2-40B4-BE49-F238E27FC236}">
                <a16:creationId xmlns:a16="http://schemas.microsoft.com/office/drawing/2014/main" id="{AABC9459-A651-42D8-B066-875A18FB83C1}"/>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06071" y="3975616"/>
            <a:ext cx="1753171" cy="2340000"/>
          </a:xfrm>
          <a:prstGeom prst="rect">
            <a:avLst/>
          </a:prstGeom>
          <a:ln>
            <a:solidFill>
              <a:schemeClr val="tx1"/>
            </a:solidFill>
          </a:ln>
        </xdr:spPr>
      </xdr:pic>
      <xdr:pic>
        <xdr:nvPicPr>
          <xdr:cNvPr id="15" name="Picture 14">
            <a:extLst>
              <a:ext uri="{FF2B5EF4-FFF2-40B4-BE49-F238E27FC236}">
                <a16:creationId xmlns:a16="http://schemas.microsoft.com/office/drawing/2014/main" id="{3DD8860E-0F4F-4B20-BFF0-472F5530D4B1}"/>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346437" y="3975616"/>
            <a:ext cx="1753172" cy="2340000"/>
          </a:xfrm>
          <a:prstGeom prst="rect">
            <a:avLst/>
          </a:prstGeom>
          <a:ln>
            <a:solidFill>
              <a:schemeClr val="tx1"/>
            </a:solidFill>
          </a:ln>
        </xdr:spPr>
      </xdr:pic>
      <xdr:pic>
        <xdr:nvPicPr>
          <xdr:cNvPr id="16" name="Picture 15">
            <a:extLst>
              <a:ext uri="{FF2B5EF4-FFF2-40B4-BE49-F238E27FC236}">
                <a16:creationId xmlns:a16="http://schemas.microsoft.com/office/drawing/2014/main" id="{C7F76025-51BC-4B0F-B739-C3E1BA5496E3}"/>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4286805" y="3975616"/>
            <a:ext cx="1753172" cy="234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14</xdr:row>
      <xdr:rowOff>0</xdr:rowOff>
    </xdr:from>
    <xdr:to>
      <xdr:col>6</xdr:col>
      <xdr:colOff>4567</xdr:colOff>
      <xdr:row>32</xdr:row>
      <xdr:rowOff>171000</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582707" y="2678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ZF8ApCfvrRsv82E8?coh=178572&amp;entry=tt"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5"/>
  <sheetViews>
    <sheetView tabSelected="1" view="pageBreakPreview" topLeftCell="A98" zoomScaleNormal="100" zoomScaleSheetLayoutView="100" zoomScalePageLayoutView="85" workbookViewId="0">
      <selection activeCell="I76" sqref="I76"/>
    </sheetView>
  </sheetViews>
  <sheetFormatPr defaultColWidth="9.140625" defaultRowHeight="15.75" x14ac:dyDescent="0.25"/>
  <cols>
    <col min="1" max="1" width="11.42578125" style="20" customWidth="1"/>
    <col min="2" max="2" width="11.140625" style="20" customWidth="1"/>
    <col min="3" max="3" width="13.42578125" style="20" customWidth="1"/>
    <col min="4" max="4" width="12.85546875" style="20" customWidth="1"/>
    <col min="5" max="7" width="11.7109375" style="20" customWidth="1"/>
    <col min="8" max="8" width="12.42578125" style="20" customWidth="1"/>
    <col min="9" max="9" width="20.42578125" style="8" customWidth="1"/>
    <col min="10" max="10" width="9.85546875" style="8" bestFit="1" customWidth="1"/>
    <col min="11"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11" ht="46.5" customHeight="1" x14ac:dyDescent="0.25">
      <c r="A1" s="123" t="s">
        <v>238</v>
      </c>
      <c r="B1" s="123"/>
      <c r="C1" s="123"/>
      <c r="D1" s="123"/>
      <c r="E1" s="123"/>
      <c r="F1" s="123"/>
      <c r="G1" s="123"/>
      <c r="H1" s="123"/>
    </row>
    <row r="2" spans="1:11" ht="16.5" customHeight="1" x14ac:dyDescent="0.25">
      <c r="A2" s="122" t="s">
        <v>0</v>
      </c>
      <c r="B2" s="122"/>
      <c r="C2" s="122"/>
      <c r="D2" s="122"/>
      <c r="E2" s="122"/>
      <c r="F2" s="122"/>
      <c r="G2" s="122"/>
      <c r="H2" s="122"/>
    </row>
    <row r="3" spans="1:11" x14ac:dyDescent="0.25">
      <c r="A3" s="98" t="s">
        <v>1</v>
      </c>
      <c r="B3" s="98"/>
      <c r="C3" s="98"/>
      <c r="D3" s="98"/>
      <c r="E3" s="124" t="str">
        <f ca="1">TEXT(TODAY(),"DD/MM/YYYY")</f>
        <v>13/08/2025</v>
      </c>
      <c r="F3" s="124"/>
      <c r="G3" s="124"/>
      <c r="H3" s="124"/>
    </row>
    <row r="4" spans="1:11" ht="15" customHeight="1" x14ac:dyDescent="0.25">
      <c r="A4" s="98" t="s">
        <v>2</v>
      </c>
      <c r="B4" s="98"/>
      <c r="C4" s="98"/>
      <c r="D4" s="98"/>
      <c r="E4" s="125" t="s">
        <v>194</v>
      </c>
      <c r="F4" s="125"/>
      <c r="G4" s="125"/>
      <c r="H4" s="125"/>
    </row>
    <row r="5" spans="1:11" x14ac:dyDescent="0.25">
      <c r="A5" s="98" t="s">
        <v>3</v>
      </c>
      <c r="B5" s="98"/>
      <c r="C5" s="98"/>
      <c r="D5" s="98"/>
      <c r="E5" s="126">
        <v>45880</v>
      </c>
      <c r="F5" s="126"/>
      <c r="G5" s="126"/>
      <c r="H5" s="126"/>
    </row>
    <row r="6" spans="1:11" ht="16.5" customHeight="1" x14ac:dyDescent="0.25">
      <c r="A6" s="98" t="s">
        <v>4</v>
      </c>
      <c r="B6" s="98"/>
      <c r="C6" s="98"/>
      <c r="D6" s="98"/>
      <c r="E6" s="80" t="s">
        <v>175</v>
      </c>
      <c r="F6" s="80"/>
      <c r="G6" s="80"/>
      <c r="H6" s="80"/>
    </row>
    <row r="7" spans="1:11" ht="15" customHeight="1" x14ac:dyDescent="0.25">
      <c r="A7" s="98" t="s">
        <v>5</v>
      </c>
      <c r="B7" s="98"/>
      <c r="C7" s="98"/>
      <c r="D7" s="98"/>
      <c r="E7" s="80" t="str">
        <f>E6</f>
        <v>M/s. I M Buildcon</v>
      </c>
      <c r="F7" s="80"/>
      <c r="G7" s="80"/>
      <c r="H7" s="80"/>
    </row>
    <row r="8" spans="1:11" x14ac:dyDescent="0.25">
      <c r="A8" s="98" t="s">
        <v>6</v>
      </c>
      <c r="B8" s="98"/>
      <c r="C8" s="98"/>
      <c r="D8" s="98"/>
      <c r="E8" s="106" t="s">
        <v>193</v>
      </c>
      <c r="F8" s="106"/>
      <c r="G8" s="106"/>
      <c r="H8" s="106"/>
    </row>
    <row r="9" spans="1:11" x14ac:dyDescent="0.25">
      <c r="A9" s="98" t="s">
        <v>7</v>
      </c>
      <c r="B9" s="98"/>
      <c r="C9" s="98"/>
      <c r="D9" s="98"/>
      <c r="E9" s="98" t="s">
        <v>158</v>
      </c>
      <c r="F9" s="98"/>
      <c r="G9" s="98"/>
      <c r="H9" s="98"/>
    </row>
    <row r="10" spans="1:11" x14ac:dyDescent="0.25">
      <c r="A10" s="64" t="s">
        <v>232</v>
      </c>
      <c r="B10" s="64"/>
      <c r="C10" s="64"/>
      <c r="D10" s="64"/>
      <c r="E10" s="93" t="s">
        <v>186</v>
      </c>
      <c r="F10" s="64"/>
      <c r="G10" s="64"/>
      <c r="H10" s="64"/>
    </row>
    <row r="11" spans="1:11" x14ac:dyDescent="0.25">
      <c r="A11" s="98" t="s">
        <v>8</v>
      </c>
      <c r="B11" s="98"/>
      <c r="C11" s="98"/>
      <c r="D11" s="98"/>
      <c r="E11" s="93" t="s">
        <v>185</v>
      </c>
      <c r="F11" s="93"/>
      <c r="G11" s="93"/>
      <c r="H11" s="93"/>
    </row>
    <row r="12" spans="1:11" x14ac:dyDescent="0.25">
      <c r="A12" s="98" t="s">
        <v>9</v>
      </c>
      <c r="B12" s="98"/>
      <c r="C12" s="98"/>
      <c r="D12" s="98"/>
      <c r="E12" s="64" t="s">
        <v>174</v>
      </c>
      <c r="F12" s="64"/>
      <c r="G12" s="64"/>
      <c r="H12" s="64"/>
      <c r="K12" s="8" t="s">
        <v>241</v>
      </c>
    </row>
    <row r="13" spans="1:11" ht="34.5" customHeight="1" x14ac:dyDescent="0.25">
      <c r="A13" s="80" t="s">
        <v>10</v>
      </c>
      <c r="B13" s="80"/>
      <c r="C13" s="80" t="str">
        <f>CONCATENATE((IF(OR(E8="",E8="NA"),"",E8)),", ",(IF(OR(A14="",A14="NA"),"",A14)),".",(IF(OR(C14="",C14="NA"),"",C14)),", ",(IF(OR(C15="",C15="NA"),"",C15)),", ",(IF(OR(G15="",G15="NA"),"",G15)),", ",(IF(OR(C16="",C16="NA"),"",C16)),", ",(IF(OR(C17="",C17="NA"),"",C17)),", ",(IF(OR(G16="",G16="NA"),"",G16)),".")</f>
        <v>Applaud 38, CTS No.18(pt), 36A/1(pt), 36A/2, 38A &amp; 62A/7, Goregaon-Mulund Link Road, Dindoshi, Goragaon, Borivali, Mumbai Suburban.</v>
      </c>
      <c r="D13" s="80"/>
      <c r="E13" s="80"/>
      <c r="F13" s="80"/>
      <c r="G13" s="80"/>
      <c r="H13" s="80"/>
    </row>
    <row r="14" spans="1:11" ht="15.75" customHeight="1" x14ac:dyDescent="0.25">
      <c r="A14" s="93" t="s">
        <v>181</v>
      </c>
      <c r="B14" s="93"/>
      <c r="C14" s="93" t="s">
        <v>180</v>
      </c>
      <c r="D14" s="93"/>
      <c r="E14" s="93"/>
      <c r="F14" s="93"/>
      <c r="G14" s="93"/>
      <c r="H14" s="93"/>
    </row>
    <row r="15" spans="1:11" ht="30.75" customHeight="1" x14ac:dyDescent="0.25">
      <c r="A15" s="80" t="s">
        <v>11</v>
      </c>
      <c r="B15" s="80"/>
      <c r="C15" s="93" t="s">
        <v>162</v>
      </c>
      <c r="D15" s="64"/>
      <c r="E15" s="80" t="s">
        <v>102</v>
      </c>
      <c r="F15" s="80"/>
      <c r="G15" s="93" t="s">
        <v>159</v>
      </c>
      <c r="H15" s="93"/>
    </row>
    <row r="16" spans="1:11" x14ac:dyDescent="0.25">
      <c r="A16" s="98" t="s">
        <v>13</v>
      </c>
      <c r="B16" s="98"/>
      <c r="C16" s="93" t="s">
        <v>161</v>
      </c>
      <c r="D16" s="93"/>
      <c r="E16" s="80" t="s">
        <v>12</v>
      </c>
      <c r="F16" s="80"/>
      <c r="G16" s="134" t="s">
        <v>160</v>
      </c>
      <c r="H16" s="134"/>
    </row>
    <row r="17" spans="1:8" x14ac:dyDescent="0.25">
      <c r="A17" s="98" t="s">
        <v>103</v>
      </c>
      <c r="B17" s="98"/>
      <c r="C17" s="93" t="s">
        <v>192</v>
      </c>
      <c r="D17" s="93"/>
      <c r="E17" s="80" t="s">
        <v>14</v>
      </c>
      <c r="F17" s="80"/>
      <c r="G17" s="93">
        <v>400063</v>
      </c>
      <c r="H17" s="93"/>
    </row>
    <row r="18" spans="1:8" ht="32.25" customHeight="1" x14ac:dyDescent="0.25">
      <c r="A18" s="98" t="s">
        <v>15</v>
      </c>
      <c r="B18" s="98"/>
      <c r="C18" s="116" t="s">
        <v>182</v>
      </c>
      <c r="D18" s="116"/>
      <c r="E18" s="80" t="s">
        <v>16</v>
      </c>
      <c r="F18" s="80"/>
      <c r="G18" s="93" t="s">
        <v>163</v>
      </c>
      <c r="H18" s="93"/>
    </row>
    <row r="19" spans="1:8" ht="15" customHeight="1" x14ac:dyDescent="0.25">
      <c r="A19" s="80" t="s">
        <v>109</v>
      </c>
      <c r="B19" s="80"/>
      <c r="C19" s="80"/>
      <c r="D19" s="80"/>
      <c r="E19" s="64" t="s">
        <v>17</v>
      </c>
      <c r="F19" s="64"/>
      <c r="G19" s="64"/>
      <c r="H19" s="64"/>
    </row>
    <row r="20" spans="1:8" ht="18.75" customHeight="1" x14ac:dyDescent="0.25">
      <c r="A20" s="80"/>
      <c r="B20" s="80"/>
      <c r="C20" s="80"/>
      <c r="D20" s="80"/>
      <c r="E20" s="64"/>
      <c r="F20" s="64"/>
      <c r="G20" s="64"/>
      <c r="H20" s="64"/>
    </row>
    <row r="21" spans="1:8" ht="15" customHeight="1" x14ac:dyDescent="0.25">
      <c r="A21" s="80" t="s">
        <v>18</v>
      </c>
      <c r="B21" s="80"/>
      <c r="C21" s="80"/>
      <c r="D21" s="80"/>
      <c r="E21" s="93" t="s">
        <v>19</v>
      </c>
      <c r="F21" s="93"/>
      <c r="G21" s="93"/>
      <c r="H21" s="93"/>
    </row>
    <row r="22" spans="1:8" ht="15" customHeight="1" x14ac:dyDescent="0.25">
      <c r="A22" s="98" t="s">
        <v>20</v>
      </c>
      <c r="B22" s="98"/>
      <c r="C22" s="98"/>
      <c r="D22" s="98"/>
      <c r="E22" s="93" t="s">
        <v>164</v>
      </c>
      <c r="F22" s="93"/>
      <c r="G22" s="93"/>
      <c r="H22" s="93"/>
    </row>
    <row r="23" spans="1:8" x14ac:dyDescent="0.25">
      <c r="A23" s="98" t="s">
        <v>21</v>
      </c>
      <c r="B23" s="98"/>
      <c r="C23" s="98"/>
      <c r="D23" s="98"/>
      <c r="E23" s="93" t="s">
        <v>22</v>
      </c>
      <c r="F23" s="93"/>
      <c r="G23" s="93"/>
      <c r="H23" s="93"/>
    </row>
    <row r="24" spans="1:8" x14ac:dyDescent="0.25">
      <c r="A24" s="98" t="s">
        <v>23</v>
      </c>
      <c r="B24" s="98"/>
      <c r="C24" s="98"/>
      <c r="D24" s="98"/>
      <c r="E24" s="93" t="s">
        <v>165</v>
      </c>
      <c r="F24" s="93"/>
      <c r="G24" s="93"/>
      <c r="H24" s="93"/>
    </row>
    <row r="25" spans="1:8" x14ac:dyDescent="0.25">
      <c r="A25" s="98" t="s">
        <v>24</v>
      </c>
      <c r="B25" s="98"/>
      <c r="C25" s="98"/>
      <c r="D25" s="98"/>
      <c r="E25" s="93" t="s">
        <v>25</v>
      </c>
      <c r="F25" s="93"/>
      <c r="G25" s="93"/>
      <c r="H25" s="93"/>
    </row>
    <row r="26" spans="1:8" x14ac:dyDescent="0.25">
      <c r="A26" s="98" t="s">
        <v>117</v>
      </c>
      <c r="B26" s="98"/>
      <c r="C26" s="98"/>
      <c r="D26" s="98"/>
      <c r="E26" s="93" t="s">
        <v>118</v>
      </c>
      <c r="F26" s="93"/>
      <c r="G26" s="93"/>
      <c r="H26" s="93"/>
    </row>
    <row r="27" spans="1:8" ht="15" customHeight="1" x14ac:dyDescent="0.25">
      <c r="A27" s="80" t="s">
        <v>34</v>
      </c>
      <c r="B27" s="80"/>
      <c r="C27" s="80"/>
      <c r="D27" s="80"/>
      <c r="E27" s="125" t="s">
        <v>113</v>
      </c>
      <c r="F27" s="125"/>
      <c r="G27" s="125"/>
      <c r="H27" s="125"/>
    </row>
    <row r="28" spans="1:8" x14ac:dyDescent="0.25">
      <c r="A28" s="80" t="s">
        <v>130</v>
      </c>
      <c r="B28" s="80"/>
      <c r="C28" s="80"/>
      <c r="D28" s="80"/>
      <c r="E28" s="80" t="s">
        <v>35</v>
      </c>
      <c r="F28" s="80"/>
      <c r="G28" s="80"/>
      <c r="H28" s="80"/>
    </row>
    <row r="29" spans="1:8" s="12" customFormat="1" x14ac:dyDescent="0.25">
      <c r="A29" s="121" t="s">
        <v>131</v>
      </c>
      <c r="B29" s="121"/>
      <c r="C29" s="118" t="s">
        <v>30</v>
      </c>
      <c r="D29" s="118"/>
      <c r="E29" s="118"/>
      <c r="F29" s="118" t="s">
        <v>32</v>
      </c>
      <c r="G29" s="118"/>
      <c r="H29" s="118"/>
    </row>
    <row r="30" spans="1:8" s="12" customFormat="1" x14ac:dyDescent="0.25">
      <c r="A30" s="119" t="s">
        <v>26</v>
      </c>
      <c r="B30" s="119" t="s">
        <v>31</v>
      </c>
      <c r="C30" s="120" t="s">
        <v>31</v>
      </c>
      <c r="D30" s="120"/>
      <c r="E30" s="120"/>
      <c r="F30" s="120" t="s">
        <v>166</v>
      </c>
      <c r="G30" s="120"/>
      <c r="H30" s="120"/>
    </row>
    <row r="31" spans="1:8" x14ac:dyDescent="0.25">
      <c r="A31" s="119" t="s">
        <v>27</v>
      </c>
      <c r="B31" s="119" t="s">
        <v>31</v>
      </c>
      <c r="C31" s="120" t="s">
        <v>31</v>
      </c>
      <c r="D31" s="120"/>
      <c r="E31" s="120"/>
      <c r="F31" s="120" t="s">
        <v>167</v>
      </c>
      <c r="G31" s="120"/>
      <c r="H31" s="120"/>
    </row>
    <row r="32" spans="1:8" s="12" customFormat="1" x14ac:dyDescent="0.25">
      <c r="A32" s="119" t="s">
        <v>29</v>
      </c>
      <c r="B32" s="119" t="s">
        <v>31</v>
      </c>
      <c r="C32" s="120" t="s">
        <v>31</v>
      </c>
      <c r="D32" s="120"/>
      <c r="E32" s="120"/>
      <c r="F32" s="120" t="s">
        <v>162</v>
      </c>
      <c r="G32" s="120"/>
      <c r="H32" s="120"/>
    </row>
    <row r="33" spans="1:8" x14ac:dyDescent="0.25">
      <c r="A33" s="119" t="s">
        <v>28</v>
      </c>
      <c r="B33" s="119" t="s">
        <v>31</v>
      </c>
      <c r="C33" s="120" t="s">
        <v>31</v>
      </c>
      <c r="D33" s="120"/>
      <c r="E33" s="120"/>
      <c r="F33" s="120" t="s">
        <v>182</v>
      </c>
      <c r="G33" s="120"/>
      <c r="H33" s="120"/>
    </row>
    <row r="34" spans="1:8" x14ac:dyDescent="0.25">
      <c r="A34" s="98" t="s">
        <v>33</v>
      </c>
      <c r="B34" s="98"/>
      <c r="C34" s="98"/>
      <c r="D34" s="98"/>
      <c r="E34" s="98"/>
      <c r="F34" s="98"/>
      <c r="G34" s="98"/>
      <c r="H34" s="98"/>
    </row>
    <row r="35" spans="1:8" ht="15.75" customHeight="1" x14ac:dyDescent="0.25">
      <c r="A35" s="122" t="s">
        <v>233</v>
      </c>
      <c r="B35" s="122"/>
      <c r="C35" s="138" t="s">
        <v>234</v>
      </c>
      <c r="D35" s="139"/>
      <c r="E35" s="139"/>
      <c r="F35" s="139"/>
      <c r="G35" s="139"/>
      <c r="H35" s="140"/>
    </row>
    <row r="36" spans="1:8" ht="15.75" customHeight="1" x14ac:dyDescent="0.25">
      <c r="A36" s="122" t="s">
        <v>235</v>
      </c>
      <c r="B36" s="122"/>
      <c r="C36" s="141" t="s">
        <v>236</v>
      </c>
      <c r="D36" s="139"/>
      <c r="E36" s="139"/>
      <c r="F36" s="139"/>
      <c r="G36" s="139"/>
      <c r="H36" s="140"/>
    </row>
    <row r="37" spans="1:8" x14ac:dyDescent="0.25">
      <c r="A37" s="106" t="s">
        <v>36</v>
      </c>
      <c r="B37" s="106"/>
      <c r="C37" s="106"/>
      <c r="D37" s="106"/>
      <c r="E37" s="106"/>
      <c r="F37" s="106"/>
      <c r="G37" s="106"/>
      <c r="H37" s="106"/>
    </row>
    <row r="38" spans="1:8" x14ac:dyDescent="0.25">
      <c r="A38" s="98" t="s">
        <v>37</v>
      </c>
      <c r="B38" s="98"/>
      <c r="C38" s="98"/>
      <c r="D38" s="98"/>
      <c r="E38" s="117">
        <v>4081.6280000000002</v>
      </c>
      <c r="F38" s="117"/>
      <c r="G38" s="117"/>
      <c r="H38" s="117"/>
    </row>
    <row r="39" spans="1:8" x14ac:dyDescent="0.25">
      <c r="A39" s="98" t="s">
        <v>176</v>
      </c>
      <c r="B39" s="98"/>
      <c r="C39" s="98"/>
      <c r="D39" s="98"/>
      <c r="E39" s="135">
        <v>4</v>
      </c>
      <c r="F39" s="135"/>
      <c r="G39" s="135"/>
      <c r="H39" s="135"/>
    </row>
    <row r="40" spans="1:8" x14ac:dyDescent="0.25">
      <c r="A40" s="98" t="s">
        <v>177</v>
      </c>
      <c r="B40" s="98"/>
      <c r="C40" s="98"/>
      <c r="D40" s="98"/>
      <c r="E40" s="135">
        <v>1</v>
      </c>
      <c r="F40" s="135"/>
      <c r="G40" s="135"/>
      <c r="H40" s="135"/>
    </row>
    <row r="41" spans="1:8" x14ac:dyDescent="0.25">
      <c r="A41" s="98" t="s">
        <v>178</v>
      </c>
      <c r="B41" s="98"/>
      <c r="C41" s="98"/>
      <c r="D41" s="98"/>
      <c r="E41" s="135">
        <v>0.9</v>
      </c>
      <c r="F41" s="135"/>
      <c r="G41" s="135"/>
      <c r="H41" s="135"/>
    </row>
    <row r="42" spans="1:8" x14ac:dyDescent="0.25">
      <c r="A42" s="98" t="s">
        <v>179</v>
      </c>
      <c r="B42" s="98"/>
      <c r="C42" s="98"/>
      <c r="D42" s="98"/>
      <c r="E42" s="135">
        <v>0.5</v>
      </c>
      <c r="F42" s="135"/>
      <c r="G42" s="135"/>
      <c r="H42" s="135"/>
    </row>
    <row r="43" spans="1:8" x14ac:dyDescent="0.25">
      <c r="A43" s="98" t="s">
        <v>129</v>
      </c>
      <c r="B43" s="98"/>
      <c r="C43" s="98"/>
      <c r="D43" s="98"/>
      <c r="E43" s="137">
        <v>14949.128000000001</v>
      </c>
      <c r="F43" s="137"/>
      <c r="G43" s="137"/>
      <c r="H43" s="137"/>
    </row>
    <row r="44" spans="1:8" x14ac:dyDescent="0.25">
      <c r="A44" s="64" t="s">
        <v>38</v>
      </c>
      <c r="B44" s="64"/>
      <c r="C44" s="64"/>
      <c r="D44" s="64"/>
      <c r="E44" s="64" t="s">
        <v>187</v>
      </c>
      <c r="F44" s="64"/>
      <c r="G44" s="64"/>
      <c r="H44" s="64"/>
    </row>
    <row r="45" spans="1:8" x14ac:dyDescent="0.25">
      <c r="A45" s="106" t="s">
        <v>39</v>
      </c>
      <c r="B45" s="106"/>
      <c r="C45" s="106"/>
      <c r="D45" s="106"/>
      <c r="E45" s="106"/>
      <c r="F45" s="106"/>
      <c r="G45" s="106"/>
      <c r="H45" s="106"/>
    </row>
    <row r="46" spans="1:8" x14ac:dyDescent="0.25">
      <c r="A46" s="80" t="s">
        <v>40</v>
      </c>
      <c r="B46" s="80"/>
      <c r="C46" s="92" t="s">
        <v>168</v>
      </c>
      <c r="D46" s="92"/>
      <c r="E46" s="92"/>
      <c r="F46" s="43" t="s">
        <v>41</v>
      </c>
      <c r="G46" s="136">
        <v>44431</v>
      </c>
      <c r="H46" s="93"/>
    </row>
    <row r="47" spans="1:8" x14ac:dyDescent="0.25">
      <c r="A47" s="98" t="s">
        <v>42</v>
      </c>
      <c r="B47" s="98"/>
      <c r="C47" s="92" t="str">
        <f>C46</f>
        <v>PS/STGOVT/0011/20120327/AP/S</v>
      </c>
      <c r="D47" s="92"/>
      <c r="E47" s="92"/>
      <c r="F47" s="43" t="s">
        <v>41</v>
      </c>
      <c r="G47" s="136">
        <f>G46</f>
        <v>44431</v>
      </c>
      <c r="H47" s="93"/>
    </row>
    <row r="48" spans="1:8" s="11" customFormat="1" x14ac:dyDescent="0.25">
      <c r="A48" s="93" t="s">
        <v>43</v>
      </c>
      <c r="B48" s="93"/>
      <c r="C48" s="92" t="s">
        <v>239</v>
      </c>
      <c r="D48" s="78"/>
      <c r="E48" s="78"/>
      <c r="F48" s="14" t="s">
        <v>41</v>
      </c>
      <c r="G48" s="94">
        <v>45135</v>
      </c>
      <c r="H48" s="78"/>
    </row>
    <row r="49" spans="1:11" s="11" customFormat="1" ht="66" customHeight="1" x14ac:dyDescent="0.25">
      <c r="A49" s="93"/>
      <c r="B49" s="93"/>
      <c r="C49" s="127" t="s">
        <v>240</v>
      </c>
      <c r="D49" s="128"/>
      <c r="E49" s="128"/>
      <c r="F49" s="128"/>
      <c r="G49" s="128"/>
      <c r="H49" s="129"/>
    </row>
    <row r="50" spans="1:11" ht="34.5" hidden="1" customHeight="1" x14ac:dyDescent="0.25">
      <c r="A50" s="95" t="s">
        <v>44</v>
      </c>
      <c r="B50" s="95"/>
      <c r="C50" s="96" t="s">
        <v>147</v>
      </c>
      <c r="D50" s="97"/>
      <c r="E50" s="97" t="s">
        <v>45</v>
      </c>
      <c r="F50" s="44" t="s">
        <v>41</v>
      </c>
      <c r="G50" s="132" t="s">
        <v>31</v>
      </c>
      <c r="H50" s="133"/>
    </row>
    <row r="51" spans="1:11" x14ac:dyDescent="0.25">
      <c r="A51" s="79" t="s">
        <v>47</v>
      </c>
      <c r="B51" s="79"/>
      <c r="C51" s="79"/>
      <c r="D51" s="79"/>
      <c r="E51" s="79"/>
      <c r="F51" s="79"/>
      <c r="G51" s="79"/>
      <c r="H51" s="79"/>
    </row>
    <row r="52" spans="1:11" x14ac:dyDescent="0.25">
      <c r="A52" s="80" t="s">
        <v>128</v>
      </c>
      <c r="B52" s="80"/>
      <c r="C52" s="80"/>
      <c r="D52" s="98">
        <f>E43</f>
        <v>14949.128000000001</v>
      </c>
      <c r="E52" s="98"/>
      <c r="F52" s="98"/>
      <c r="G52" s="98"/>
      <c r="H52" s="98"/>
    </row>
    <row r="53" spans="1:11" x14ac:dyDescent="0.25">
      <c r="A53" s="93" t="s">
        <v>48</v>
      </c>
      <c r="B53" s="64"/>
      <c r="C53" s="64"/>
      <c r="D53" s="64" t="s">
        <v>230</v>
      </c>
      <c r="E53" s="64"/>
      <c r="F53" s="64"/>
      <c r="G53" s="64"/>
      <c r="H53" s="64"/>
    </row>
    <row r="54" spans="1:11" ht="30" customHeight="1" x14ac:dyDescent="0.25">
      <c r="A54" s="93" t="s">
        <v>49</v>
      </c>
      <c r="B54" s="64"/>
      <c r="C54" s="64"/>
      <c r="D54" s="93" t="s">
        <v>228</v>
      </c>
      <c r="E54" s="93"/>
      <c r="F54" s="93"/>
      <c r="G54" s="93"/>
      <c r="H54" s="93"/>
    </row>
    <row r="55" spans="1:11" x14ac:dyDescent="0.25">
      <c r="A55" s="93" t="s">
        <v>126</v>
      </c>
      <c r="B55" s="64"/>
      <c r="C55" s="64"/>
      <c r="D55" s="93" t="s">
        <v>214</v>
      </c>
      <c r="E55" s="64"/>
      <c r="F55" s="64"/>
      <c r="G55" s="64"/>
      <c r="H55" s="64"/>
    </row>
    <row r="56" spans="1:11" ht="15.75" customHeight="1" x14ac:dyDescent="0.25">
      <c r="A56" s="98" t="s">
        <v>46</v>
      </c>
      <c r="B56" s="98"/>
      <c r="C56" s="98"/>
      <c r="D56" s="80" t="s">
        <v>244</v>
      </c>
      <c r="E56" s="80"/>
      <c r="F56" s="80"/>
      <c r="G56" s="80"/>
      <c r="H56" s="80"/>
    </row>
    <row r="57" spans="1:11" ht="15.75" customHeight="1" x14ac:dyDescent="0.25">
      <c r="A57" s="98" t="s">
        <v>123</v>
      </c>
      <c r="B57" s="98"/>
      <c r="C57" s="98"/>
      <c r="D57" s="80" t="s">
        <v>124</v>
      </c>
      <c r="E57" s="80"/>
      <c r="F57" s="80"/>
      <c r="G57" s="80"/>
      <c r="H57" s="80"/>
    </row>
    <row r="58" spans="1:11" ht="15.75" customHeight="1" x14ac:dyDescent="0.25">
      <c r="A58" s="98" t="s">
        <v>125</v>
      </c>
      <c r="B58" s="98"/>
      <c r="C58" s="98"/>
      <c r="D58" s="80" t="s">
        <v>25</v>
      </c>
      <c r="E58" s="80"/>
      <c r="F58" s="80"/>
      <c r="G58" s="80"/>
      <c r="H58" s="80"/>
      <c r="J58" s="22"/>
      <c r="K58" s="22"/>
    </row>
    <row r="59" spans="1:11" ht="16.5" thickBot="1" x14ac:dyDescent="0.3">
      <c r="A59" s="101" t="s">
        <v>122</v>
      </c>
      <c r="B59" s="101"/>
      <c r="C59" s="101"/>
      <c r="D59" s="102" t="s">
        <v>169</v>
      </c>
      <c r="E59" s="102"/>
      <c r="F59" s="102"/>
      <c r="G59" s="102"/>
      <c r="H59" s="102"/>
      <c r="J59" s="22"/>
      <c r="K59" s="22"/>
    </row>
    <row r="60" spans="1:11" ht="15.75" customHeight="1" x14ac:dyDescent="0.25">
      <c r="A60" s="69" t="s">
        <v>195</v>
      </c>
      <c r="B60" s="70"/>
      <c r="C60" s="71" t="str">
        <f>D55</f>
        <v>Wing B = B + Gr/St + 3Podium + 4th to 38th Floor</v>
      </c>
      <c r="D60" s="72"/>
      <c r="E60" s="72"/>
      <c r="F60" s="72"/>
      <c r="G60" s="72"/>
      <c r="H60" s="73"/>
      <c r="I60" s="53"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Plinth, RCC, Brick, Plaster, Flooring, Painting work Completed. Finishing work is in process.</v>
      </c>
      <c r="J60" s="26"/>
      <c r="K60" s="26"/>
    </row>
    <row r="61" spans="1:11" s="11" customFormat="1" x14ac:dyDescent="0.25">
      <c r="A61" s="25" t="s">
        <v>99</v>
      </c>
      <c r="B61" s="51">
        <v>1</v>
      </c>
      <c r="C61" s="51" t="s">
        <v>101</v>
      </c>
      <c r="D61" s="51">
        <v>1</v>
      </c>
      <c r="E61" s="51" t="s">
        <v>100</v>
      </c>
      <c r="F61" s="51">
        <v>0</v>
      </c>
      <c r="G61" s="51" t="s">
        <v>116</v>
      </c>
      <c r="H61" s="45">
        <f ca="1">--TRIM(RIGHT(SUBSTITUTE(LEFT(C60,_xlfn.AGGREGATE(16,6,FIND({0,1,2,3,4,5,6,7,8,9},C60,ROW(INDIRECT("1:"&amp;LEN(C60)))),1))," ",REPT(" ",LEN(C60))),LEN(C60)))</f>
        <v>38</v>
      </c>
      <c r="I61" s="22"/>
      <c r="J61" s="27"/>
      <c r="K61" s="46"/>
    </row>
    <row r="62" spans="1:11" ht="32.25" customHeight="1" x14ac:dyDescent="0.25">
      <c r="A62" s="130" t="s">
        <v>127</v>
      </c>
      <c r="B62" s="131"/>
      <c r="C62" s="99" t="str">
        <f ca="1">I60</f>
        <v>Plinth, RCC, Brick, Plaster, Flooring, Painting work Completed. Finishing work is in process.</v>
      </c>
      <c r="D62" s="99"/>
      <c r="E62" s="99"/>
      <c r="F62" s="99"/>
      <c r="G62" s="99"/>
      <c r="H62" s="100"/>
      <c r="I62" s="22" t="s">
        <v>146</v>
      </c>
      <c r="J62" s="27"/>
      <c r="K62" s="27"/>
    </row>
    <row r="63" spans="1:11" x14ac:dyDescent="0.25">
      <c r="A63" s="65" t="s">
        <v>50</v>
      </c>
      <c r="B63" s="66"/>
      <c r="C63" s="59" t="s">
        <v>196</v>
      </c>
      <c r="D63" s="59" t="s">
        <v>119</v>
      </c>
      <c r="E63" s="66" t="s">
        <v>121</v>
      </c>
      <c r="F63" s="66"/>
      <c r="G63" s="66" t="s">
        <v>120</v>
      </c>
      <c r="H63" s="147"/>
      <c r="I63" s="52" t="s">
        <v>197</v>
      </c>
      <c r="J63" s="28">
        <f ca="1">H61*25%</f>
        <v>9.5</v>
      </c>
      <c r="K63" s="28"/>
    </row>
    <row r="64" spans="1:11" ht="15.75" customHeight="1" x14ac:dyDescent="0.25">
      <c r="A64" s="65" t="s">
        <v>198</v>
      </c>
      <c r="B64" s="66"/>
      <c r="C64" s="48">
        <v>38</v>
      </c>
      <c r="D64" s="60">
        <f ca="1">((100/H61)*C64)/100</f>
        <v>1</v>
      </c>
      <c r="E64" s="74">
        <f ca="1">(((C65/H61*10)+(40/(D61+F61+H61)*C66)+(7.5/(H61)*C67)+(7.5/(H61)*C68)+(10/H61*C69)+(10/H61*C70)+(5/H61*C71)+(5/H61*C72)+(5/H61*C73))/100)</f>
        <v>0.9</v>
      </c>
      <c r="F64" s="74"/>
      <c r="G64" s="74">
        <f ca="1">((((C64/H61)*20)+((C65/H61)*25)+(30/(H61+F61+D61)*C66)+(5/H61*C67)+(5/H61*C68)+(5/H61*C69)+(5/H61*C70)+(0/H61*C71)+(0/H61*C72)+(5/H61*C73))/100)</f>
        <v>0.9447368421052631</v>
      </c>
      <c r="H64" s="76"/>
      <c r="I64" s="52" t="s">
        <v>140</v>
      </c>
      <c r="J64" s="54">
        <f ca="1">H61*50%</f>
        <v>19</v>
      </c>
      <c r="K64" s="28"/>
    </row>
    <row r="65" spans="1:11" x14ac:dyDescent="0.25">
      <c r="A65" s="65" t="s">
        <v>199</v>
      </c>
      <c r="B65" s="66"/>
      <c r="C65" s="47">
        <v>38</v>
      </c>
      <c r="D65" s="60">
        <f ca="1">((100/H61)*C65)/100</f>
        <v>1</v>
      </c>
      <c r="E65" s="74"/>
      <c r="F65" s="74"/>
      <c r="G65" s="74"/>
      <c r="H65" s="76"/>
      <c r="I65" s="52" t="s">
        <v>141</v>
      </c>
      <c r="J65" s="54">
        <f ca="1">H61</f>
        <v>38</v>
      </c>
      <c r="K65" s="29"/>
    </row>
    <row r="66" spans="1:11" x14ac:dyDescent="0.25">
      <c r="A66" s="153" t="s">
        <v>200</v>
      </c>
      <c r="B66" s="120"/>
      <c r="C66" s="47">
        <v>39</v>
      </c>
      <c r="D66" s="60">
        <f ca="1">((100/(D61+F61+H61))*C66)/100</f>
        <v>1.0000000000000002</v>
      </c>
      <c r="E66" s="74"/>
      <c r="F66" s="74"/>
      <c r="G66" s="74"/>
      <c r="H66" s="76"/>
      <c r="I66" s="52" t="s">
        <v>142</v>
      </c>
      <c r="J66" s="55">
        <f ca="1">(IF(B61&gt;1,(H61/(B61+2)),H61/4))</f>
        <v>9.5</v>
      </c>
      <c r="K66" s="29"/>
    </row>
    <row r="67" spans="1:11" x14ac:dyDescent="0.25">
      <c r="A67" s="65" t="s">
        <v>201</v>
      </c>
      <c r="B67" s="66" t="s">
        <v>202</v>
      </c>
      <c r="C67" s="47">
        <v>38</v>
      </c>
      <c r="D67" s="60">
        <f ca="1">((100/H61)*C67)/100</f>
        <v>1</v>
      </c>
      <c r="E67" s="74"/>
      <c r="F67" s="74"/>
      <c r="G67" s="74"/>
      <c r="H67" s="76"/>
      <c r="I67" s="52" t="s">
        <v>143</v>
      </c>
      <c r="J67" s="55">
        <f ca="1">(IF(B61&gt;1,(H61/(B61+2)+J66),H61/4+J66))</f>
        <v>19</v>
      </c>
      <c r="K67" s="29"/>
    </row>
    <row r="68" spans="1:11" x14ac:dyDescent="0.25">
      <c r="A68" s="65" t="s">
        <v>203</v>
      </c>
      <c r="B68" s="66" t="s">
        <v>202</v>
      </c>
      <c r="C68" s="47">
        <v>38</v>
      </c>
      <c r="D68" s="60">
        <f ca="1">((100/H61)*C68)/100</f>
        <v>1</v>
      </c>
      <c r="E68" s="74"/>
      <c r="F68" s="74"/>
      <c r="G68" s="74"/>
      <c r="H68" s="76"/>
      <c r="I68" s="52" t="s">
        <v>204</v>
      </c>
      <c r="J68" s="55">
        <f>(IF(B61&gt;1,(H61/(B61+2)+J67),0))</f>
        <v>0</v>
      </c>
      <c r="K68" s="29"/>
    </row>
    <row r="69" spans="1:11" ht="15" customHeight="1" x14ac:dyDescent="0.25">
      <c r="A69" s="65" t="s">
        <v>205</v>
      </c>
      <c r="B69" s="66" t="s">
        <v>206</v>
      </c>
      <c r="C69" s="47">
        <v>38</v>
      </c>
      <c r="D69" s="60">
        <f ca="1">((100/(H61))*C69)/100</f>
        <v>1</v>
      </c>
      <c r="E69" s="74"/>
      <c r="F69" s="74"/>
      <c r="G69" s="74"/>
      <c r="H69" s="76"/>
      <c r="I69" s="52" t="s">
        <v>207</v>
      </c>
      <c r="J69" s="55">
        <f>(IF(B61&gt;2,(H61/(B61+2)+J68),0))</f>
        <v>0</v>
      </c>
      <c r="K69" s="29"/>
    </row>
    <row r="70" spans="1:11" ht="16.5" thickBot="1" x14ac:dyDescent="0.3">
      <c r="A70" s="65" t="s">
        <v>208</v>
      </c>
      <c r="B70" s="66" t="s">
        <v>208</v>
      </c>
      <c r="C70" s="48">
        <v>34</v>
      </c>
      <c r="D70" s="60">
        <f ca="1">((100/H61)*C70)/100</f>
        <v>0.89473684210526327</v>
      </c>
      <c r="E70" s="74"/>
      <c r="F70" s="74"/>
      <c r="G70" s="74"/>
      <c r="H70" s="76"/>
      <c r="I70" s="52" t="s">
        <v>209</v>
      </c>
      <c r="J70" s="56">
        <f>(IF(B61&gt;3,(H61/(B61+2)+J69),0))</f>
        <v>0</v>
      </c>
      <c r="K70" s="30"/>
    </row>
    <row r="71" spans="1:11" x14ac:dyDescent="0.25">
      <c r="A71" s="65" t="s">
        <v>210</v>
      </c>
      <c r="B71" s="66"/>
      <c r="C71" s="48">
        <v>33</v>
      </c>
      <c r="D71" s="60">
        <f ca="1">((100/H61)*C71)/100</f>
        <v>0.86842105263157909</v>
      </c>
      <c r="E71" s="74"/>
      <c r="F71" s="74"/>
      <c r="G71" s="74"/>
      <c r="H71" s="76"/>
      <c r="I71" s="52" t="s">
        <v>211</v>
      </c>
      <c r="J71" s="55">
        <f>(IF(B61&gt;4,(H61/(B61+2)+J70),0))</f>
        <v>0</v>
      </c>
      <c r="K71" s="29"/>
    </row>
    <row r="72" spans="1:11" ht="15" customHeight="1" x14ac:dyDescent="0.25">
      <c r="A72" s="65" t="s">
        <v>212</v>
      </c>
      <c r="B72" s="66" t="s">
        <v>212</v>
      </c>
      <c r="C72" s="48">
        <v>13</v>
      </c>
      <c r="D72" s="60">
        <f ca="1">((100/(H61))*C72)/100</f>
        <v>0.3421052631578948</v>
      </c>
      <c r="E72" s="74"/>
      <c r="F72" s="74"/>
      <c r="G72" s="74"/>
      <c r="H72" s="76"/>
      <c r="I72" s="52" t="s">
        <v>144</v>
      </c>
      <c r="J72" s="55">
        <f ca="1">(IF(B61=1,(H61/(B61+3)+J67),IF(B61=0,(H61/4+J67),IF(B61&gt;1,0))))</f>
        <v>28.5</v>
      </c>
      <c r="K72" s="29"/>
    </row>
    <row r="73" spans="1:11" ht="16.5" thickBot="1" x14ac:dyDescent="0.3">
      <c r="A73" s="67" t="s">
        <v>213</v>
      </c>
      <c r="B73" s="68"/>
      <c r="C73" s="49">
        <v>0</v>
      </c>
      <c r="D73" s="61">
        <f ca="1">((100/(H61))*C73)/100</f>
        <v>0</v>
      </c>
      <c r="E73" s="75"/>
      <c r="F73" s="75"/>
      <c r="G73" s="75"/>
      <c r="H73" s="77"/>
      <c r="I73" s="57" t="s">
        <v>145</v>
      </c>
      <c r="J73" s="58">
        <f ca="1">(IF(B61&gt;1.5,(H61/(B61+2)+J67+MAX(0,J68-J67)+MAX(0,J69-J68)+MAX(0,J70-J69)+MAX(0,J71-J70)+MAX(0,J72-J71)),IF(B61=1,(H61/(B61+3)+J72),IF(B61=0,H61/4+J72))))</f>
        <v>38</v>
      </c>
      <c r="K73" s="30"/>
    </row>
    <row r="74" spans="1:11" x14ac:dyDescent="0.25">
      <c r="A74" s="148" t="s">
        <v>170</v>
      </c>
      <c r="B74" s="148"/>
      <c r="C74" s="148"/>
      <c r="D74" s="148"/>
      <c r="E74" s="148"/>
      <c r="F74" s="148"/>
      <c r="G74" s="148"/>
      <c r="H74" s="148"/>
    </row>
    <row r="75" spans="1:11" x14ac:dyDescent="0.25">
      <c r="A75" s="98" t="s">
        <v>51</v>
      </c>
      <c r="B75" s="98"/>
      <c r="C75" s="98"/>
      <c r="D75" s="98"/>
      <c r="E75" s="98"/>
      <c r="F75" s="98"/>
      <c r="G75" s="98"/>
      <c r="H75" s="98"/>
    </row>
    <row r="76" spans="1:11" ht="15" customHeight="1" x14ac:dyDescent="0.25">
      <c r="A76" s="131" t="s">
        <v>104</v>
      </c>
      <c r="B76" s="131"/>
      <c r="C76" s="99" t="s">
        <v>105</v>
      </c>
      <c r="D76" s="99"/>
      <c r="E76" s="99"/>
      <c r="F76" s="99"/>
      <c r="G76" s="99"/>
      <c r="H76" s="99"/>
    </row>
    <row r="77" spans="1:11" x14ac:dyDescent="0.25">
      <c r="A77" s="106" t="s">
        <v>52</v>
      </c>
      <c r="B77" s="106"/>
      <c r="C77" s="106"/>
      <c r="D77" s="106"/>
      <c r="E77" s="106"/>
      <c r="F77" s="106"/>
      <c r="G77" s="106"/>
      <c r="H77" s="106"/>
    </row>
    <row r="78" spans="1:11" x14ac:dyDescent="0.25">
      <c r="A78" s="64" t="s">
        <v>106</v>
      </c>
      <c r="B78" s="64"/>
      <c r="C78" s="64"/>
      <c r="D78" s="64"/>
      <c r="E78" s="64"/>
      <c r="F78" s="78">
        <v>15600</v>
      </c>
      <c r="G78" s="78"/>
      <c r="H78" s="78"/>
    </row>
    <row r="79" spans="1:11" x14ac:dyDescent="0.25">
      <c r="A79" s="64" t="s">
        <v>114</v>
      </c>
      <c r="B79" s="64"/>
      <c r="C79" s="64"/>
      <c r="D79" s="64"/>
      <c r="E79" s="64"/>
      <c r="F79" s="78">
        <v>25000</v>
      </c>
      <c r="G79" s="78"/>
      <c r="H79" s="78"/>
    </row>
    <row r="80" spans="1:11" hidden="1" x14ac:dyDescent="0.25">
      <c r="A80" s="64" t="s">
        <v>115</v>
      </c>
      <c r="B80" s="64"/>
      <c r="C80" s="64"/>
      <c r="D80" s="64"/>
      <c r="E80" s="64"/>
      <c r="F80" s="78"/>
      <c r="G80" s="78"/>
      <c r="H80" s="78"/>
    </row>
    <row r="81" spans="1:8" s="13" customFormat="1" hidden="1" x14ac:dyDescent="0.25">
      <c r="A81" s="64" t="s">
        <v>132</v>
      </c>
      <c r="B81" s="64"/>
      <c r="C81" s="64"/>
      <c r="D81" s="64"/>
      <c r="E81" s="64"/>
      <c r="F81" s="78" t="s">
        <v>31</v>
      </c>
      <c r="G81" s="78"/>
      <c r="H81" s="78"/>
    </row>
    <row r="82" spans="1:8" s="13" customFormat="1" hidden="1" x14ac:dyDescent="0.25">
      <c r="A82" s="64" t="s">
        <v>133</v>
      </c>
      <c r="B82" s="64"/>
      <c r="C82" s="64"/>
      <c r="D82" s="64"/>
      <c r="E82" s="64"/>
      <c r="F82" s="78" t="s">
        <v>31</v>
      </c>
      <c r="G82" s="78"/>
      <c r="H82" s="78"/>
    </row>
    <row r="83" spans="1:8" s="13" customFormat="1" hidden="1" x14ac:dyDescent="0.25">
      <c r="A83" s="64" t="s">
        <v>134</v>
      </c>
      <c r="B83" s="64"/>
      <c r="C83" s="64"/>
      <c r="D83" s="64"/>
      <c r="E83" s="64"/>
      <c r="F83" s="78" t="s">
        <v>31</v>
      </c>
      <c r="G83" s="78"/>
      <c r="H83" s="78"/>
    </row>
    <row r="84" spans="1:8" s="13" customFormat="1" hidden="1" x14ac:dyDescent="0.25">
      <c r="A84" s="64" t="s">
        <v>135</v>
      </c>
      <c r="B84" s="64"/>
      <c r="C84" s="64"/>
      <c r="D84" s="64"/>
      <c r="E84" s="64"/>
      <c r="F84" s="78" t="s">
        <v>31</v>
      </c>
      <c r="G84" s="78"/>
      <c r="H84" s="78"/>
    </row>
    <row r="85" spans="1:8" s="13" customFormat="1" hidden="1" x14ac:dyDescent="0.25">
      <c r="A85" s="64" t="s">
        <v>136</v>
      </c>
      <c r="B85" s="64"/>
      <c r="C85" s="64"/>
      <c r="D85" s="64"/>
      <c r="E85" s="64"/>
      <c r="F85" s="78" t="s">
        <v>31</v>
      </c>
      <c r="G85" s="78"/>
      <c r="H85" s="78"/>
    </row>
    <row r="86" spans="1:8" s="13" customFormat="1" hidden="1" x14ac:dyDescent="0.25">
      <c r="A86" s="64" t="s">
        <v>137</v>
      </c>
      <c r="B86" s="64"/>
      <c r="C86" s="64"/>
      <c r="D86" s="64"/>
      <c r="E86" s="64"/>
      <c r="F86" s="78" t="s">
        <v>31</v>
      </c>
      <c r="G86" s="78"/>
      <c r="H86" s="78"/>
    </row>
    <row r="87" spans="1:8" s="13" customFormat="1" hidden="1" x14ac:dyDescent="0.25">
      <c r="A87" s="64" t="s">
        <v>138</v>
      </c>
      <c r="B87" s="64"/>
      <c r="C87" s="64"/>
      <c r="D87" s="64"/>
      <c r="E87" s="64"/>
      <c r="F87" s="78" t="s">
        <v>31</v>
      </c>
      <c r="G87" s="78"/>
      <c r="H87" s="78"/>
    </row>
    <row r="88" spans="1:8" s="13" customFormat="1" hidden="1" x14ac:dyDescent="0.25">
      <c r="A88" s="64" t="s">
        <v>139</v>
      </c>
      <c r="B88" s="64"/>
      <c r="C88" s="64"/>
      <c r="D88" s="64"/>
      <c r="E88" s="64"/>
      <c r="F88" s="78" t="s">
        <v>31</v>
      </c>
      <c r="G88" s="78"/>
      <c r="H88" s="78"/>
    </row>
    <row r="89" spans="1:8" x14ac:dyDescent="0.25">
      <c r="A89" s="64" t="s">
        <v>53</v>
      </c>
      <c r="B89" s="64"/>
      <c r="C89" s="64"/>
      <c r="D89" s="64"/>
      <c r="E89" s="64"/>
      <c r="F89" s="92" t="s">
        <v>231</v>
      </c>
      <c r="G89" s="92"/>
      <c r="H89" s="92"/>
    </row>
    <row r="90" spans="1:8" s="9" customFormat="1" x14ac:dyDescent="0.25">
      <c r="A90" s="106" t="s">
        <v>54</v>
      </c>
      <c r="B90" s="106"/>
      <c r="C90" s="106"/>
      <c r="D90" s="106"/>
      <c r="E90" s="106"/>
      <c r="F90" s="78">
        <f>F78*0.8</f>
        <v>12480</v>
      </c>
      <c r="G90" s="78"/>
      <c r="H90" s="78"/>
    </row>
    <row r="91" spans="1:8" s="1" customFormat="1" ht="15.75" customHeight="1" x14ac:dyDescent="0.25">
      <c r="A91" s="105" t="s">
        <v>107</v>
      </c>
      <c r="B91" s="105"/>
      <c r="C91" s="105"/>
      <c r="D91" s="105"/>
      <c r="E91" s="105"/>
      <c r="F91" s="105"/>
      <c r="G91" s="105"/>
      <c r="H91" s="105"/>
    </row>
    <row r="92" spans="1:8" s="1" customFormat="1" ht="15.75" customHeight="1" x14ac:dyDescent="0.25">
      <c r="A92" s="113" t="s">
        <v>55</v>
      </c>
      <c r="B92" s="113"/>
      <c r="C92" s="15" t="s">
        <v>111</v>
      </c>
      <c r="D92" s="114" t="s">
        <v>56</v>
      </c>
      <c r="E92" s="114"/>
      <c r="F92" s="113" t="s">
        <v>57</v>
      </c>
      <c r="G92" s="113"/>
      <c r="H92" s="113"/>
    </row>
    <row r="93" spans="1:8" s="1" customFormat="1" x14ac:dyDescent="0.25">
      <c r="A93" s="142" t="s">
        <v>171</v>
      </c>
      <c r="B93" s="142"/>
      <c r="C93" s="16">
        <f>COUNT(D104:D106)</f>
        <v>3</v>
      </c>
      <c r="D93" s="143">
        <f>SUM(D104:D106)</f>
        <v>3804.1052399999994</v>
      </c>
      <c r="E93" s="143"/>
      <c r="F93" s="144">
        <f>SUM(F104:F106)</f>
        <v>6466.9789079999991</v>
      </c>
      <c r="G93" s="145"/>
      <c r="H93" s="146"/>
    </row>
    <row r="94" spans="1:8" s="1" customFormat="1" x14ac:dyDescent="0.25">
      <c r="A94" s="105" t="s">
        <v>98</v>
      </c>
      <c r="B94" s="105"/>
      <c r="C94" s="105"/>
      <c r="D94" s="105"/>
      <c r="E94" s="105"/>
      <c r="F94" s="105"/>
      <c r="G94" s="105"/>
      <c r="H94" s="105"/>
    </row>
    <row r="95" spans="1:8" s="1" customFormat="1" x14ac:dyDescent="0.25">
      <c r="A95" s="113" t="s">
        <v>55</v>
      </c>
      <c r="B95" s="113"/>
      <c r="C95" s="15" t="s">
        <v>111</v>
      </c>
      <c r="D95" s="114" t="s">
        <v>56</v>
      </c>
      <c r="E95" s="114"/>
      <c r="F95" s="113" t="s">
        <v>57</v>
      </c>
      <c r="G95" s="113"/>
      <c r="H95" s="113"/>
    </row>
    <row r="96" spans="1:8" s="1" customFormat="1" ht="16.5" thickBot="1" x14ac:dyDescent="0.3">
      <c r="A96" s="112" t="s">
        <v>77</v>
      </c>
      <c r="B96" s="112"/>
      <c r="C96" s="62">
        <f>COUNT(D111)+COUNT(D115:D120)*5 +COUNT(D122:D127)*21+COUNT(D130:D133)*4+COUNT(D135:D139)+COUNT(D141:D146)+COUNT(D148:D153)+COUNT(D155)+COUNT(D159:D160)</f>
        <v>193</v>
      </c>
      <c r="D96" s="107">
        <f>SUM(D111)+SUM(D115:D120)*5 +SUM(D122:D127)*21+SUM(D130:D133)*4+SUM(D135:D139)+SUM(D141:D146)+SUM(D148:D153)+SUM(D155)+SUM(D159:D160)</f>
        <v>127682.8371</v>
      </c>
      <c r="E96" s="107"/>
      <c r="F96" s="108">
        <f>SUM(F111)+SUM(F115:F120)*5 +SUM(F122:F127)*21+SUM(F130:F133)*4+SUM(F135:F139)+SUM(F141:F146)+SUM(F148:F153)+SUM(F155)+SUM(F159:F160)</f>
        <v>204292.53936</v>
      </c>
      <c r="G96" s="109"/>
      <c r="H96" s="110"/>
    </row>
    <row r="97" spans="1:8" s="1" customFormat="1" ht="16.5" thickBot="1" x14ac:dyDescent="0.3">
      <c r="A97" s="154" t="s">
        <v>237</v>
      </c>
      <c r="B97" s="155"/>
      <c r="C97" s="63">
        <f>C93+C96</f>
        <v>196</v>
      </c>
      <c r="D97" s="156">
        <f>D93+D96</f>
        <v>131486.94234000001</v>
      </c>
      <c r="E97" s="156"/>
      <c r="F97" s="157">
        <f>F93+F96</f>
        <v>210759.51826799999</v>
      </c>
      <c r="G97" s="158"/>
      <c r="H97" s="159"/>
    </row>
    <row r="98" spans="1:8" s="9" customFormat="1" x14ac:dyDescent="0.25">
      <c r="A98" s="152" t="s">
        <v>60</v>
      </c>
      <c r="B98" s="152"/>
      <c r="C98" s="152"/>
      <c r="D98" s="152"/>
      <c r="E98" s="152"/>
      <c r="F98" s="152"/>
      <c r="G98" s="152"/>
      <c r="H98" s="152"/>
    </row>
    <row r="99" spans="1:8" x14ac:dyDescent="0.25">
      <c r="A99" s="122" t="s">
        <v>61</v>
      </c>
      <c r="B99" s="122"/>
      <c r="C99" s="122"/>
      <c r="D99" s="122"/>
      <c r="E99" s="122"/>
      <c r="F99" s="122"/>
      <c r="G99" s="122"/>
      <c r="H99" s="122"/>
    </row>
    <row r="100" spans="1:8" ht="47.25" customHeight="1" x14ac:dyDescent="0.25">
      <c r="A100" s="111" t="s">
        <v>108</v>
      </c>
      <c r="B100" s="111"/>
      <c r="C100" s="24" t="s">
        <v>62</v>
      </c>
      <c r="D100" s="24" t="s">
        <v>63</v>
      </c>
      <c r="E100" s="17" t="s">
        <v>64</v>
      </c>
      <c r="F100" s="24" t="s">
        <v>65</v>
      </c>
      <c r="G100" s="111" t="s">
        <v>66</v>
      </c>
      <c r="H100" s="111"/>
    </row>
    <row r="101" spans="1:8" s="2" customFormat="1" x14ac:dyDescent="0.25">
      <c r="A101" s="82" t="s">
        <v>190</v>
      </c>
      <c r="B101" s="82"/>
      <c r="C101" s="82"/>
      <c r="D101" s="82"/>
      <c r="E101" s="82"/>
      <c r="F101" s="82"/>
      <c r="G101" s="82"/>
      <c r="H101" s="82"/>
    </row>
    <row r="102" spans="1:8" s="2" customFormat="1" x14ac:dyDescent="0.25">
      <c r="A102" s="82" t="s">
        <v>183</v>
      </c>
      <c r="B102" s="82"/>
      <c r="C102" s="82"/>
      <c r="D102" s="82"/>
      <c r="E102" s="82"/>
      <c r="F102" s="82"/>
      <c r="G102" s="82"/>
      <c r="H102" s="82"/>
    </row>
    <row r="103" spans="1:8" s="2" customFormat="1" x14ac:dyDescent="0.25">
      <c r="A103" s="82" t="s">
        <v>227</v>
      </c>
      <c r="B103" s="82"/>
      <c r="C103" s="82"/>
      <c r="D103" s="82"/>
      <c r="E103" s="82"/>
      <c r="F103" s="82"/>
      <c r="G103" s="82"/>
      <c r="H103" s="82"/>
    </row>
    <row r="104" spans="1:8" s="2" customFormat="1" ht="60.75" x14ac:dyDescent="0.25">
      <c r="A104" s="81">
        <v>1</v>
      </c>
      <c r="B104" s="81"/>
      <c r="C104" s="23" t="s">
        <v>229</v>
      </c>
      <c r="D104" s="23">
        <f>186.45*10.764</f>
        <v>2006.9477999999997</v>
      </c>
      <c r="E104" s="23">
        <v>0</v>
      </c>
      <c r="F104" s="23">
        <f>D104*1.7+E104</f>
        <v>3411.8112599999995</v>
      </c>
      <c r="G104" s="83" t="str">
        <f>A103</f>
        <v>Ground Floor for Commercial &amp; Parking (Duplex with 1st Podium Floor)</v>
      </c>
      <c r="H104" s="84"/>
    </row>
    <row r="105" spans="1:8" s="2" customFormat="1" x14ac:dyDescent="0.25">
      <c r="A105" s="81">
        <v>2</v>
      </c>
      <c r="B105" s="81"/>
      <c r="C105" s="23" t="s">
        <v>226</v>
      </c>
      <c r="D105" s="23">
        <f>21.09*10.764</f>
        <v>227.01275999999999</v>
      </c>
      <c r="E105" s="23">
        <v>0</v>
      </c>
      <c r="F105" s="23">
        <f>D105*1.7+E105</f>
        <v>385.92169199999995</v>
      </c>
      <c r="G105" s="85"/>
      <c r="H105" s="86"/>
    </row>
    <row r="106" spans="1:8" s="2" customFormat="1" ht="60.75" x14ac:dyDescent="0.25">
      <c r="A106" s="81">
        <v>3</v>
      </c>
      <c r="B106" s="81"/>
      <c r="C106" s="23" t="s">
        <v>229</v>
      </c>
      <c r="D106" s="23">
        <f>145.87*10.764</f>
        <v>1570.1446799999999</v>
      </c>
      <c r="E106" s="23">
        <v>0</v>
      </c>
      <c r="F106" s="23">
        <f>D106*1.7+E106</f>
        <v>2669.2459559999998</v>
      </c>
      <c r="G106" s="87"/>
      <c r="H106" s="88"/>
    </row>
    <row r="107" spans="1:8" s="2" customFormat="1" ht="20.25" customHeight="1" x14ac:dyDescent="0.25">
      <c r="A107" s="82" t="s">
        <v>215</v>
      </c>
      <c r="B107" s="82"/>
      <c r="C107" s="82"/>
      <c r="D107" s="82"/>
      <c r="E107" s="82"/>
      <c r="F107" s="82"/>
      <c r="G107" s="82"/>
      <c r="H107" s="82"/>
    </row>
    <row r="108" spans="1:8" s="2" customFormat="1" ht="32.25" hidden="1" customHeight="1" x14ac:dyDescent="0.25">
      <c r="A108" s="81">
        <v>1</v>
      </c>
      <c r="B108" s="81"/>
      <c r="C108" s="23" t="s">
        <v>171</v>
      </c>
      <c r="D108" s="89" t="s">
        <v>184</v>
      </c>
      <c r="E108" s="90"/>
      <c r="F108" s="91"/>
      <c r="G108" s="83" t="str">
        <f>A107</f>
        <v>Upper Ground Floor for Commercial &amp; Parking (Duplex with Ground Floor)</v>
      </c>
      <c r="H108" s="84"/>
    </row>
    <row r="109" spans="1:8" s="2" customFormat="1" ht="31.5" hidden="1" customHeight="1" x14ac:dyDescent="0.25">
      <c r="A109" s="81">
        <v>2</v>
      </c>
      <c r="B109" s="81"/>
      <c r="C109" s="23" t="s">
        <v>171</v>
      </c>
      <c r="D109" s="89" t="s">
        <v>184</v>
      </c>
      <c r="E109" s="90"/>
      <c r="F109" s="91"/>
      <c r="G109" s="87"/>
      <c r="H109" s="88"/>
    </row>
    <row r="110" spans="1:8" s="2" customFormat="1" ht="20.25" customHeight="1" x14ac:dyDescent="0.25">
      <c r="A110" s="82" t="s">
        <v>216</v>
      </c>
      <c r="B110" s="82"/>
      <c r="C110" s="82"/>
      <c r="D110" s="82"/>
      <c r="E110" s="82"/>
      <c r="F110" s="82"/>
      <c r="G110" s="82"/>
      <c r="H110" s="82"/>
    </row>
    <row r="111" spans="1:8" s="2" customFormat="1" x14ac:dyDescent="0.25">
      <c r="A111" s="81">
        <v>1</v>
      </c>
      <c r="B111" s="81"/>
      <c r="C111" s="23" t="s">
        <v>172</v>
      </c>
      <c r="D111" s="23">
        <f>125.505*10.764</f>
        <v>1350.9358199999999</v>
      </c>
      <c r="E111" s="23">
        <v>0</v>
      </c>
      <c r="F111" s="23">
        <f>D111*1.6+E111</f>
        <v>2161.497312</v>
      </c>
      <c r="G111" s="160" t="str">
        <f>A110</f>
        <v>1st (Podium) Floor for  Residential &amp; Parking</v>
      </c>
      <c r="H111" s="161"/>
    </row>
    <row r="112" spans="1:8" s="2" customFormat="1" x14ac:dyDescent="0.25">
      <c r="A112" s="82" t="s">
        <v>188</v>
      </c>
      <c r="B112" s="82"/>
      <c r="C112" s="82"/>
      <c r="D112" s="82"/>
      <c r="E112" s="82"/>
      <c r="F112" s="82"/>
      <c r="G112" s="82"/>
      <c r="H112" s="82"/>
    </row>
    <row r="113" spans="1:9" s="2" customFormat="1" x14ac:dyDescent="0.25">
      <c r="A113" s="82" t="s">
        <v>189</v>
      </c>
      <c r="B113" s="82"/>
      <c r="C113" s="82"/>
      <c r="D113" s="82"/>
      <c r="E113" s="82"/>
      <c r="F113" s="82"/>
      <c r="G113" s="82"/>
      <c r="H113" s="82"/>
    </row>
    <row r="114" spans="1:9" s="2" customFormat="1" x14ac:dyDescent="0.25">
      <c r="A114" s="82" t="s">
        <v>218</v>
      </c>
      <c r="B114" s="82"/>
      <c r="C114" s="82"/>
      <c r="D114" s="82"/>
      <c r="E114" s="82"/>
      <c r="F114" s="82"/>
      <c r="G114" s="82"/>
      <c r="H114" s="82"/>
    </row>
    <row r="115" spans="1:9" s="2" customFormat="1" x14ac:dyDescent="0.25">
      <c r="A115" s="81">
        <v>1</v>
      </c>
      <c r="B115" s="81"/>
      <c r="C115" s="23" t="s">
        <v>172</v>
      </c>
      <c r="D115" s="23">
        <f>70.61*10.764</f>
        <v>760.04603999999995</v>
      </c>
      <c r="E115" s="23">
        <v>0</v>
      </c>
      <c r="F115" s="23">
        <f t="shared" ref="F115:F120" si="0">D115*1.6+E115</f>
        <v>1216.073664</v>
      </c>
      <c r="G115" s="81" t="str">
        <f>A114</f>
        <v xml:space="preserve">4th, 7th, 14th, 21st &amp; 28th Floor for Residential </v>
      </c>
      <c r="H115" s="81"/>
    </row>
    <row r="116" spans="1:9" s="2" customFormat="1" x14ac:dyDescent="0.25">
      <c r="A116" s="81">
        <v>2</v>
      </c>
      <c r="B116" s="81"/>
      <c r="C116" s="23" t="s">
        <v>173</v>
      </c>
      <c r="D116" s="23">
        <f>42.18*10.764</f>
        <v>454.02551999999997</v>
      </c>
      <c r="E116" s="23">
        <v>0</v>
      </c>
      <c r="F116" s="23">
        <f t="shared" si="0"/>
        <v>726.440832</v>
      </c>
      <c r="G116" s="81"/>
      <c r="H116" s="81"/>
      <c r="I116" s="50">
        <f>12000000/F116</f>
        <v>16518.895237430708</v>
      </c>
    </row>
    <row r="117" spans="1:9" s="2" customFormat="1" x14ac:dyDescent="0.25">
      <c r="A117" s="81">
        <v>3</v>
      </c>
      <c r="B117" s="81"/>
      <c r="C117" s="23" t="s">
        <v>172</v>
      </c>
      <c r="D117" s="23">
        <f>69.67*10.764</f>
        <v>749.92787999999996</v>
      </c>
      <c r="E117" s="23">
        <v>0</v>
      </c>
      <c r="F117" s="23">
        <f t="shared" si="0"/>
        <v>1199.8846080000001</v>
      </c>
      <c r="G117" s="81"/>
      <c r="H117" s="81"/>
      <c r="I117" s="50"/>
    </row>
    <row r="118" spans="1:9" s="2" customFormat="1" x14ac:dyDescent="0.25">
      <c r="A118" s="81">
        <v>4</v>
      </c>
      <c r="B118" s="81"/>
      <c r="C118" s="23" t="s">
        <v>172</v>
      </c>
      <c r="D118" s="23">
        <f>69.67*10.764</f>
        <v>749.92787999999996</v>
      </c>
      <c r="E118" s="23">
        <v>0</v>
      </c>
      <c r="F118" s="23">
        <f t="shared" si="0"/>
        <v>1199.8846080000001</v>
      </c>
      <c r="G118" s="81"/>
      <c r="H118" s="81"/>
      <c r="I118" s="50">
        <f>18800000/F118</f>
        <v>15668.173318212945</v>
      </c>
    </row>
    <row r="119" spans="1:9" s="2" customFormat="1" x14ac:dyDescent="0.25">
      <c r="A119" s="81">
        <v>5</v>
      </c>
      <c r="B119" s="81"/>
      <c r="C119" s="23" t="s">
        <v>173</v>
      </c>
      <c r="D119" s="23">
        <f>42.18*10.764</f>
        <v>454.02551999999997</v>
      </c>
      <c r="E119" s="23">
        <v>0</v>
      </c>
      <c r="F119" s="23">
        <f t="shared" si="0"/>
        <v>726.440832</v>
      </c>
      <c r="G119" s="81"/>
      <c r="H119" s="81"/>
    </row>
    <row r="120" spans="1:9" s="2" customFormat="1" x14ac:dyDescent="0.25">
      <c r="A120" s="81">
        <v>6</v>
      </c>
      <c r="B120" s="81"/>
      <c r="C120" s="23" t="s">
        <v>172</v>
      </c>
      <c r="D120" s="23">
        <f>69.67*10.764</f>
        <v>749.92787999999996</v>
      </c>
      <c r="E120" s="23">
        <v>0</v>
      </c>
      <c r="F120" s="23">
        <f t="shared" si="0"/>
        <v>1199.8846080000001</v>
      </c>
      <c r="G120" s="81"/>
      <c r="H120" s="81"/>
    </row>
    <row r="121" spans="1:9" s="2" customFormat="1" x14ac:dyDescent="0.25">
      <c r="A121" s="82" t="s">
        <v>217</v>
      </c>
      <c r="B121" s="82"/>
      <c r="C121" s="82"/>
      <c r="D121" s="82"/>
      <c r="E121" s="82"/>
      <c r="F121" s="82"/>
      <c r="G121" s="82"/>
      <c r="H121" s="82"/>
    </row>
    <row r="122" spans="1:9" s="2" customFormat="1" x14ac:dyDescent="0.25">
      <c r="A122" s="81">
        <v>1</v>
      </c>
      <c r="B122" s="81"/>
      <c r="C122" s="23" t="s">
        <v>172</v>
      </c>
      <c r="D122" s="23">
        <f>70.61*10.764</f>
        <v>760.04603999999995</v>
      </c>
      <c r="E122" s="23">
        <v>0</v>
      </c>
      <c r="F122" s="23">
        <f t="shared" ref="F122:F127" si="1">D122*1.6+E122</f>
        <v>1216.073664</v>
      </c>
      <c r="G122" s="81" t="str">
        <f>A121</f>
        <v xml:space="preserve">5th, 8th to 12th, 15th to 19th, 22nd to 26th, 29th to 33rd Floor for Residential </v>
      </c>
      <c r="H122" s="81"/>
    </row>
    <row r="123" spans="1:9" s="2" customFormat="1" x14ac:dyDescent="0.25">
      <c r="A123" s="81">
        <v>2</v>
      </c>
      <c r="B123" s="81"/>
      <c r="C123" s="23" t="s">
        <v>173</v>
      </c>
      <c r="D123" s="23">
        <f>42.18*10.764</f>
        <v>454.02551999999997</v>
      </c>
      <c r="E123" s="23">
        <v>0</v>
      </c>
      <c r="F123" s="23">
        <f t="shared" si="1"/>
        <v>726.440832</v>
      </c>
      <c r="G123" s="81"/>
      <c r="H123" s="81"/>
      <c r="I123" s="50"/>
    </row>
    <row r="124" spans="1:9" s="2" customFormat="1" x14ac:dyDescent="0.25">
      <c r="A124" s="81">
        <v>3</v>
      </c>
      <c r="B124" s="81"/>
      <c r="C124" s="23" t="s">
        <v>172</v>
      </c>
      <c r="D124" s="23">
        <f>69.67*10.764</f>
        <v>749.92787999999996</v>
      </c>
      <c r="E124" s="23">
        <v>0</v>
      </c>
      <c r="F124" s="23">
        <f t="shared" si="1"/>
        <v>1199.8846080000001</v>
      </c>
      <c r="G124" s="81"/>
      <c r="H124" s="81"/>
      <c r="I124" s="50"/>
    </row>
    <row r="125" spans="1:9" s="2" customFormat="1" x14ac:dyDescent="0.25">
      <c r="A125" s="81">
        <v>4</v>
      </c>
      <c r="B125" s="81"/>
      <c r="C125" s="23" t="s">
        <v>172</v>
      </c>
      <c r="D125" s="23">
        <f>69.67*10.764</f>
        <v>749.92787999999996</v>
      </c>
      <c r="E125" s="23">
        <v>0</v>
      </c>
      <c r="F125" s="23">
        <f t="shared" si="1"/>
        <v>1199.8846080000001</v>
      </c>
      <c r="G125" s="81"/>
      <c r="H125" s="81"/>
      <c r="I125" s="50"/>
    </row>
    <row r="126" spans="1:9" s="2" customFormat="1" x14ac:dyDescent="0.25">
      <c r="A126" s="81">
        <v>5</v>
      </c>
      <c r="B126" s="81"/>
      <c r="C126" s="23" t="s">
        <v>173</v>
      </c>
      <c r="D126" s="23">
        <f>42.18*10.764</f>
        <v>454.02551999999997</v>
      </c>
      <c r="E126" s="23">
        <v>0</v>
      </c>
      <c r="F126" s="23">
        <f t="shared" si="1"/>
        <v>726.440832</v>
      </c>
      <c r="G126" s="81"/>
      <c r="H126" s="81"/>
    </row>
    <row r="127" spans="1:9" s="2" customFormat="1" x14ac:dyDescent="0.25">
      <c r="A127" s="81">
        <v>6</v>
      </c>
      <c r="B127" s="81"/>
      <c r="C127" s="23" t="s">
        <v>172</v>
      </c>
      <c r="D127" s="23">
        <f>69.67*10.764</f>
        <v>749.92787999999996</v>
      </c>
      <c r="E127" s="23">
        <v>0</v>
      </c>
      <c r="F127" s="23">
        <f t="shared" si="1"/>
        <v>1199.8846080000001</v>
      </c>
      <c r="G127" s="81"/>
      <c r="H127" s="81"/>
    </row>
    <row r="128" spans="1:9" s="2" customFormat="1" x14ac:dyDescent="0.25">
      <c r="A128" s="82" t="s">
        <v>191</v>
      </c>
      <c r="B128" s="82"/>
      <c r="C128" s="82"/>
      <c r="D128" s="82"/>
      <c r="E128" s="82"/>
      <c r="F128" s="82"/>
      <c r="G128" s="82"/>
      <c r="H128" s="82"/>
    </row>
    <row r="129" spans="1:9" s="2" customFormat="1" x14ac:dyDescent="0.25">
      <c r="A129" s="82" t="s">
        <v>220</v>
      </c>
      <c r="B129" s="82"/>
      <c r="C129" s="82"/>
      <c r="D129" s="82"/>
      <c r="E129" s="82"/>
      <c r="F129" s="82"/>
      <c r="G129" s="82"/>
      <c r="H129" s="82"/>
    </row>
    <row r="130" spans="1:9" s="2" customFormat="1" x14ac:dyDescent="0.25">
      <c r="A130" s="81">
        <v>1</v>
      </c>
      <c r="B130" s="81"/>
      <c r="C130" s="23" t="s">
        <v>172</v>
      </c>
      <c r="D130" s="23">
        <f>70.61*10.764</f>
        <v>760.04603999999995</v>
      </c>
      <c r="E130" s="23">
        <v>0</v>
      </c>
      <c r="F130" s="23">
        <f>D130*1.6+E130</f>
        <v>1216.073664</v>
      </c>
      <c r="G130" s="81" t="str">
        <f>A129</f>
        <v>6th, 13th, 20th &amp; 27th Floor (Part Refuge Area)</v>
      </c>
      <c r="H130" s="81"/>
    </row>
    <row r="131" spans="1:9" s="2" customFormat="1" x14ac:dyDescent="0.25">
      <c r="A131" s="81">
        <v>2</v>
      </c>
      <c r="B131" s="81"/>
      <c r="C131" s="23" t="s">
        <v>173</v>
      </c>
      <c r="D131" s="23">
        <f>42.18*10.764</f>
        <v>454.02551999999997</v>
      </c>
      <c r="E131" s="23">
        <v>0</v>
      </c>
      <c r="F131" s="23">
        <f>D131*1.6+E131</f>
        <v>726.440832</v>
      </c>
      <c r="G131" s="81"/>
      <c r="H131" s="81"/>
      <c r="I131" s="50"/>
    </row>
    <row r="132" spans="1:9" s="2" customFormat="1" x14ac:dyDescent="0.25">
      <c r="A132" s="81">
        <v>3</v>
      </c>
      <c r="B132" s="81"/>
      <c r="C132" s="23" t="s">
        <v>172</v>
      </c>
      <c r="D132" s="23">
        <f>69.67*10.764</f>
        <v>749.92787999999996</v>
      </c>
      <c r="E132" s="23">
        <v>0</v>
      </c>
      <c r="F132" s="23">
        <f>D132*1.6+E132</f>
        <v>1199.8846080000001</v>
      </c>
      <c r="G132" s="81"/>
      <c r="H132" s="81"/>
      <c r="I132" s="50"/>
    </row>
    <row r="133" spans="1:9" s="2" customFormat="1" x14ac:dyDescent="0.25">
      <c r="A133" s="81">
        <v>4</v>
      </c>
      <c r="B133" s="81"/>
      <c r="C133" s="23" t="s">
        <v>172</v>
      </c>
      <c r="D133" s="23">
        <f>69.67*10.764</f>
        <v>749.92787999999996</v>
      </c>
      <c r="E133" s="23">
        <v>0</v>
      </c>
      <c r="F133" s="23">
        <f>D133*1.6+E133</f>
        <v>1199.8846080000001</v>
      </c>
      <c r="G133" s="81"/>
      <c r="H133" s="81"/>
      <c r="I133" s="50"/>
    </row>
    <row r="134" spans="1:9" s="2" customFormat="1" x14ac:dyDescent="0.25">
      <c r="A134" s="82" t="s">
        <v>221</v>
      </c>
      <c r="B134" s="82"/>
      <c r="C134" s="82"/>
      <c r="D134" s="82"/>
      <c r="E134" s="82"/>
      <c r="F134" s="82"/>
      <c r="G134" s="82"/>
      <c r="H134" s="82"/>
    </row>
    <row r="135" spans="1:9" s="2" customFormat="1" ht="15.75" customHeight="1" x14ac:dyDescent="0.25">
      <c r="A135" s="81">
        <v>1</v>
      </c>
      <c r="B135" s="81"/>
      <c r="C135" s="23" t="s">
        <v>172</v>
      </c>
      <c r="D135" s="23">
        <f>70.61*10.764</f>
        <v>760.04603999999995</v>
      </c>
      <c r="E135" s="23">
        <v>0</v>
      </c>
      <c r="F135" s="23">
        <f>D135*1.6+E135</f>
        <v>1216.073664</v>
      </c>
      <c r="G135" s="81" t="str">
        <f>A134</f>
        <v>34th Floor (Part Refuge Area)</v>
      </c>
      <c r="H135" s="81"/>
    </row>
    <row r="136" spans="1:9" s="2" customFormat="1" x14ac:dyDescent="0.25">
      <c r="A136" s="81">
        <v>2</v>
      </c>
      <c r="B136" s="81"/>
      <c r="C136" s="23" t="s">
        <v>173</v>
      </c>
      <c r="D136" s="23">
        <f>47.1*10.764</f>
        <v>506.98439999999999</v>
      </c>
      <c r="E136" s="23">
        <v>0</v>
      </c>
      <c r="F136" s="23">
        <f>D136*1.6+E136</f>
        <v>811.17504000000008</v>
      </c>
      <c r="G136" s="81"/>
      <c r="H136" s="81"/>
      <c r="I136" s="50"/>
    </row>
    <row r="137" spans="1:9" s="2" customFormat="1" x14ac:dyDescent="0.25">
      <c r="A137" s="81">
        <v>3</v>
      </c>
      <c r="B137" s="81"/>
      <c r="C137" s="23" t="s">
        <v>172</v>
      </c>
      <c r="D137" s="23">
        <f>75.3*10.764</f>
        <v>810.52919999999995</v>
      </c>
      <c r="E137" s="23">
        <v>0</v>
      </c>
      <c r="F137" s="23">
        <f>D137*1.6+E137</f>
        <v>1296.84672</v>
      </c>
      <c r="G137" s="81"/>
      <c r="H137" s="81"/>
      <c r="I137" s="50"/>
    </row>
    <row r="138" spans="1:9" s="2" customFormat="1" x14ac:dyDescent="0.25">
      <c r="A138" s="81">
        <v>4</v>
      </c>
      <c r="B138" s="81"/>
      <c r="C138" s="23" t="s">
        <v>172</v>
      </c>
      <c r="D138" s="23">
        <f>69.67*10.764</f>
        <v>749.92787999999996</v>
      </c>
      <c r="E138" s="23">
        <v>0</v>
      </c>
      <c r="F138" s="23">
        <f>D138*1.6+E138</f>
        <v>1199.8846080000001</v>
      </c>
      <c r="G138" s="81"/>
      <c r="H138" s="81"/>
      <c r="I138" s="50"/>
    </row>
    <row r="139" spans="1:9" s="2" customFormat="1" x14ac:dyDescent="0.25">
      <c r="A139" s="81">
        <v>5</v>
      </c>
      <c r="B139" s="81"/>
      <c r="C139" s="23" t="s">
        <v>173</v>
      </c>
      <c r="D139" s="23">
        <f>36.17*10.764</f>
        <v>389.33388000000002</v>
      </c>
      <c r="E139" s="23">
        <v>0</v>
      </c>
      <c r="F139" s="23">
        <f>D139*1.6+E139</f>
        <v>622.93420800000013</v>
      </c>
      <c r="G139" s="81"/>
      <c r="H139" s="81"/>
      <c r="I139" s="50"/>
    </row>
    <row r="140" spans="1:9" s="2" customFormat="1" x14ac:dyDescent="0.25">
      <c r="A140" s="82" t="s">
        <v>222</v>
      </c>
      <c r="B140" s="82"/>
      <c r="C140" s="82"/>
      <c r="D140" s="82"/>
      <c r="E140" s="82"/>
      <c r="F140" s="82"/>
      <c r="G140" s="82"/>
      <c r="H140" s="82"/>
    </row>
    <row r="141" spans="1:9" s="2" customFormat="1" x14ac:dyDescent="0.25">
      <c r="A141" s="81">
        <v>1</v>
      </c>
      <c r="B141" s="81"/>
      <c r="C141" s="23" t="s">
        <v>172</v>
      </c>
      <c r="D141" s="23">
        <f>70.61*10.764</f>
        <v>760.04603999999995</v>
      </c>
      <c r="E141" s="23">
        <v>0</v>
      </c>
      <c r="F141" s="23">
        <f t="shared" ref="F141:F146" si="2">D141*1.6+E141</f>
        <v>1216.073664</v>
      </c>
      <c r="G141" s="81" t="str">
        <f>A140</f>
        <v xml:space="preserve">35th Floor for Residential </v>
      </c>
      <c r="H141" s="81"/>
    </row>
    <row r="142" spans="1:9" s="2" customFormat="1" x14ac:dyDescent="0.25">
      <c r="A142" s="81">
        <v>2</v>
      </c>
      <c r="B142" s="81"/>
      <c r="C142" s="23" t="s">
        <v>173</v>
      </c>
      <c r="D142" s="23">
        <f>47.1*10.764</f>
        <v>506.98439999999999</v>
      </c>
      <c r="E142" s="23">
        <v>0</v>
      </c>
      <c r="F142" s="23">
        <f t="shared" si="2"/>
        <v>811.17504000000008</v>
      </c>
      <c r="G142" s="81"/>
      <c r="H142" s="81"/>
      <c r="I142" s="50"/>
    </row>
    <row r="143" spans="1:9" s="2" customFormat="1" x14ac:dyDescent="0.25">
      <c r="A143" s="81">
        <v>3</v>
      </c>
      <c r="B143" s="81"/>
      <c r="C143" s="23" t="s">
        <v>172</v>
      </c>
      <c r="D143" s="23">
        <f>75.8*10.764</f>
        <v>815.91119999999989</v>
      </c>
      <c r="E143" s="23">
        <v>0</v>
      </c>
      <c r="F143" s="23">
        <f t="shared" si="2"/>
        <v>1305.4579199999998</v>
      </c>
      <c r="G143" s="81"/>
      <c r="H143" s="81"/>
      <c r="I143" s="50"/>
    </row>
    <row r="144" spans="1:9" s="2" customFormat="1" x14ac:dyDescent="0.25">
      <c r="A144" s="81">
        <v>4</v>
      </c>
      <c r="B144" s="81"/>
      <c r="C144" s="23" t="s">
        <v>172</v>
      </c>
      <c r="D144" s="23">
        <f>69.67*10.764</f>
        <v>749.92787999999996</v>
      </c>
      <c r="E144" s="23">
        <v>0</v>
      </c>
      <c r="F144" s="23">
        <f t="shared" si="2"/>
        <v>1199.8846080000001</v>
      </c>
      <c r="G144" s="81"/>
      <c r="H144" s="81"/>
      <c r="I144" s="50"/>
    </row>
    <row r="145" spans="1:9" s="2" customFormat="1" x14ac:dyDescent="0.25">
      <c r="A145" s="81">
        <v>5</v>
      </c>
      <c r="B145" s="81"/>
      <c r="C145" s="23" t="s">
        <v>173</v>
      </c>
      <c r="D145" s="23">
        <f>47.1*10.764</f>
        <v>506.98439999999999</v>
      </c>
      <c r="E145" s="23">
        <v>0</v>
      </c>
      <c r="F145" s="23">
        <f t="shared" si="2"/>
        <v>811.17504000000008</v>
      </c>
      <c r="G145" s="81"/>
      <c r="H145" s="81"/>
    </row>
    <row r="146" spans="1:9" s="2" customFormat="1" x14ac:dyDescent="0.25">
      <c r="A146" s="81">
        <v>6</v>
      </c>
      <c r="B146" s="81"/>
      <c r="C146" s="23" t="s">
        <v>172</v>
      </c>
      <c r="D146" s="23">
        <f>75.8*10.764</f>
        <v>815.91119999999989</v>
      </c>
      <c r="E146" s="23">
        <v>0</v>
      </c>
      <c r="F146" s="23">
        <f t="shared" si="2"/>
        <v>1305.4579199999998</v>
      </c>
      <c r="G146" s="81"/>
      <c r="H146" s="81"/>
    </row>
    <row r="147" spans="1:9" s="2" customFormat="1" x14ac:dyDescent="0.25">
      <c r="A147" s="82" t="s">
        <v>223</v>
      </c>
      <c r="B147" s="82"/>
      <c r="C147" s="82"/>
      <c r="D147" s="82"/>
      <c r="E147" s="82"/>
      <c r="F147" s="82"/>
      <c r="G147" s="82"/>
      <c r="H147" s="82"/>
    </row>
    <row r="148" spans="1:9" s="2" customFormat="1" x14ac:dyDescent="0.25">
      <c r="A148" s="81">
        <v>1</v>
      </c>
      <c r="B148" s="81"/>
      <c r="C148" s="23" t="s">
        <v>172</v>
      </c>
      <c r="D148" s="23">
        <f>70.61*10.764</f>
        <v>760.04603999999995</v>
      </c>
      <c r="E148" s="23">
        <v>0</v>
      </c>
      <c r="F148" s="23">
        <f t="shared" ref="F148:F153" si="3">D148*1.6+E148</f>
        <v>1216.073664</v>
      </c>
      <c r="G148" s="83" t="str">
        <f>A147</f>
        <v xml:space="preserve">36th Floor for Residential </v>
      </c>
      <c r="H148" s="84"/>
    </row>
    <row r="149" spans="1:9" s="2" customFormat="1" x14ac:dyDescent="0.25">
      <c r="A149" s="81">
        <v>2</v>
      </c>
      <c r="B149" s="81"/>
      <c r="C149" s="23" t="s">
        <v>173</v>
      </c>
      <c r="D149" s="23">
        <f>47.1*10.764</f>
        <v>506.98439999999999</v>
      </c>
      <c r="E149" s="23">
        <v>0</v>
      </c>
      <c r="F149" s="23">
        <f t="shared" si="3"/>
        <v>811.17504000000008</v>
      </c>
      <c r="G149" s="85"/>
      <c r="H149" s="86"/>
      <c r="I149" s="50"/>
    </row>
    <row r="150" spans="1:9" s="2" customFormat="1" x14ac:dyDescent="0.25">
      <c r="A150" s="81">
        <v>3</v>
      </c>
      <c r="B150" s="81"/>
      <c r="C150" s="23" t="s">
        <v>172</v>
      </c>
      <c r="D150" s="23">
        <f>75.8*10.764</f>
        <v>815.91119999999989</v>
      </c>
      <c r="E150" s="23">
        <v>0</v>
      </c>
      <c r="F150" s="23">
        <f t="shared" si="3"/>
        <v>1305.4579199999998</v>
      </c>
      <c r="G150" s="85"/>
      <c r="H150" s="86"/>
      <c r="I150" s="50"/>
    </row>
    <row r="151" spans="1:9" s="2" customFormat="1" x14ac:dyDescent="0.25">
      <c r="A151" s="81">
        <v>4</v>
      </c>
      <c r="B151" s="81"/>
      <c r="C151" s="23" t="s">
        <v>172</v>
      </c>
      <c r="D151" s="23">
        <f>69.67*10.764</f>
        <v>749.92787999999996</v>
      </c>
      <c r="E151" s="23">
        <v>0</v>
      </c>
      <c r="F151" s="23">
        <f t="shared" si="3"/>
        <v>1199.8846080000001</v>
      </c>
      <c r="G151" s="85"/>
      <c r="H151" s="86"/>
      <c r="I151" s="50"/>
    </row>
    <row r="152" spans="1:9" s="2" customFormat="1" x14ac:dyDescent="0.25">
      <c r="A152" s="81">
        <v>5</v>
      </c>
      <c r="B152" s="81"/>
      <c r="C152" s="23" t="s">
        <v>173</v>
      </c>
      <c r="D152" s="23">
        <f>47.1*10.764</f>
        <v>506.98439999999999</v>
      </c>
      <c r="E152" s="23">
        <v>0</v>
      </c>
      <c r="F152" s="23">
        <f t="shared" si="3"/>
        <v>811.17504000000008</v>
      </c>
      <c r="G152" s="85"/>
      <c r="H152" s="86"/>
    </row>
    <row r="153" spans="1:9" s="2" customFormat="1" x14ac:dyDescent="0.25">
      <c r="A153" s="81">
        <v>6</v>
      </c>
      <c r="B153" s="81"/>
      <c r="C153" s="23" t="s">
        <v>172</v>
      </c>
      <c r="D153" s="23">
        <f>75.8*10.764</f>
        <v>815.91119999999989</v>
      </c>
      <c r="E153" s="23">
        <v>0</v>
      </c>
      <c r="F153" s="23">
        <f t="shared" si="3"/>
        <v>1305.4579199999998</v>
      </c>
      <c r="G153" s="87"/>
      <c r="H153" s="88"/>
    </row>
    <row r="154" spans="1:9" s="2" customFormat="1" x14ac:dyDescent="0.25">
      <c r="A154" s="82" t="s">
        <v>224</v>
      </c>
      <c r="B154" s="82"/>
      <c r="C154" s="82"/>
      <c r="D154" s="82"/>
      <c r="E154" s="82"/>
      <c r="F154" s="82"/>
      <c r="G154" s="82"/>
      <c r="H154" s="82"/>
    </row>
    <row r="155" spans="1:9" s="2" customFormat="1" x14ac:dyDescent="0.25">
      <c r="A155" s="81">
        <v>1</v>
      </c>
      <c r="B155" s="81"/>
      <c r="C155" s="23" t="s">
        <v>172</v>
      </c>
      <c r="D155" s="23">
        <f>70.61*10.764</f>
        <v>760.04603999999995</v>
      </c>
      <c r="E155" s="23">
        <v>0</v>
      </c>
      <c r="F155" s="23">
        <f>D155*1.6+E155</f>
        <v>1216.073664</v>
      </c>
      <c r="G155" s="81" t="str">
        <f>A154</f>
        <v>37th Floor (Part Terrace Area)</v>
      </c>
      <c r="H155" s="81"/>
    </row>
    <row r="156" spans="1:9" s="2" customFormat="1" x14ac:dyDescent="0.25">
      <c r="A156" s="81">
        <v>2</v>
      </c>
      <c r="B156" s="81"/>
      <c r="C156" s="81" t="s">
        <v>225</v>
      </c>
      <c r="D156" s="81"/>
      <c r="E156" s="81"/>
      <c r="F156" s="81"/>
      <c r="G156" s="81"/>
      <c r="H156" s="81"/>
      <c r="I156" s="50"/>
    </row>
    <row r="157" spans="1:9" s="2" customFormat="1" x14ac:dyDescent="0.25">
      <c r="A157" s="81">
        <v>3</v>
      </c>
      <c r="B157" s="81"/>
      <c r="C157" s="81"/>
      <c r="D157" s="81"/>
      <c r="E157" s="81"/>
      <c r="F157" s="81"/>
      <c r="G157" s="81"/>
      <c r="H157" s="81"/>
      <c r="I157" s="50"/>
    </row>
    <row r="158" spans="1:9" s="2" customFormat="1" x14ac:dyDescent="0.25">
      <c r="A158" s="81">
        <v>4</v>
      </c>
      <c r="B158" s="81"/>
      <c r="C158" s="81"/>
      <c r="D158" s="81"/>
      <c r="E158" s="81"/>
      <c r="F158" s="81"/>
      <c r="G158" s="81"/>
      <c r="H158" s="81"/>
      <c r="I158" s="50"/>
    </row>
    <row r="159" spans="1:9" s="2" customFormat="1" x14ac:dyDescent="0.25">
      <c r="A159" s="81">
        <v>5</v>
      </c>
      <c r="B159" s="81"/>
      <c r="C159" s="23" t="s">
        <v>173</v>
      </c>
      <c r="D159" s="23">
        <f>47.1*10.764</f>
        <v>506.98439999999999</v>
      </c>
      <c r="E159" s="23">
        <v>0</v>
      </c>
      <c r="F159" s="23">
        <f>D159*1.6+E159</f>
        <v>811.17504000000008</v>
      </c>
      <c r="G159" s="81"/>
      <c r="H159" s="81"/>
    </row>
    <row r="160" spans="1:9" s="2" customFormat="1" x14ac:dyDescent="0.25">
      <c r="A160" s="81">
        <v>6</v>
      </c>
      <c r="B160" s="81"/>
      <c r="C160" s="23" t="s">
        <v>172</v>
      </c>
      <c r="D160" s="23">
        <f>75.8*10.764</f>
        <v>815.91119999999989</v>
      </c>
      <c r="E160" s="23">
        <v>0</v>
      </c>
      <c r="F160" s="23">
        <f>D160*1.6+E160</f>
        <v>1305.4579199999998</v>
      </c>
      <c r="G160" s="81"/>
      <c r="H160" s="81"/>
    </row>
    <row r="161" spans="1:8" x14ac:dyDescent="0.25">
      <c r="A161" s="79" t="s">
        <v>219</v>
      </c>
      <c r="B161" s="115"/>
      <c r="C161" s="115"/>
      <c r="D161" s="115"/>
      <c r="E161" s="115"/>
      <c r="F161" s="115"/>
      <c r="G161" s="115"/>
      <c r="H161" s="115"/>
    </row>
    <row r="162" spans="1:8" s="10" customFormat="1" ht="206.25" customHeight="1" x14ac:dyDescent="0.25">
      <c r="A162" s="149" t="s">
        <v>242</v>
      </c>
      <c r="B162" s="150"/>
      <c r="C162" s="150"/>
      <c r="D162" s="150"/>
      <c r="E162" s="150"/>
      <c r="F162" s="150"/>
      <c r="G162" s="150"/>
      <c r="H162" s="151"/>
    </row>
    <row r="163" spans="1:8" x14ac:dyDescent="0.25">
      <c r="A163" s="115" t="s">
        <v>67</v>
      </c>
      <c r="B163" s="115"/>
      <c r="C163" s="115"/>
      <c r="D163" s="115"/>
      <c r="E163" s="115"/>
      <c r="F163" s="115"/>
      <c r="G163" s="115"/>
      <c r="H163" s="115"/>
    </row>
    <row r="164" spans="1:8" x14ac:dyDescent="0.25">
      <c r="A164" s="98" t="s">
        <v>68</v>
      </c>
      <c r="B164" s="98"/>
      <c r="C164" s="98"/>
      <c r="D164" s="98"/>
      <c r="E164" s="98"/>
      <c r="F164" s="98"/>
      <c r="G164" s="98"/>
      <c r="H164" s="98"/>
    </row>
    <row r="165" spans="1:8" ht="15.75" customHeight="1" x14ac:dyDescent="0.25">
      <c r="A165" s="115" t="s">
        <v>69</v>
      </c>
      <c r="B165" s="115"/>
      <c r="C165" s="115"/>
      <c r="D165" s="115"/>
      <c r="E165" s="115"/>
      <c r="F165" s="115"/>
      <c r="G165" s="115"/>
      <c r="H165" s="115"/>
    </row>
    <row r="166" spans="1:8" x14ac:dyDescent="0.25">
      <c r="A166" s="98" t="s">
        <v>70</v>
      </c>
      <c r="B166" s="98"/>
      <c r="C166" s="98"/>
      <c r="D166" s="98"/>
      <c r="E166" s="98"/>
      <c r="F166" s="98"/>
      <c r="G166" s="98"/>
      <c r="H166" s="98"/>
    </row>
    <row r="167" spans="1:8" x14ac:dyDescent="0.25">
      <c r="A167" s="98" t="s">
        <v>71</v>
      </c>
      <c r="B167" s="98"/>
      <c r="C167" s="98"/>
      <c r="D167" s="98"/>
      <c r="E167" s="98"/>
      <c r="F167" s="98"/>
      <c r="G167" s="98"/>
      <c r="H167" s="98"/>
    </row>
    <row r="168" spans="1:8" x14ac:dyDescent="0.25">
      <c r="A168" s="98" t="s">
        <v>72</v>
      </c>
      <c r="B168" s="98"/>
      <c r="C168" s="98"/>
      <c r="D168" s="98"/>
      <c r="E168" s="98"/>
      <c r="F168" s="98"/>
      <c r="G168" s="98"/>
      <c r="H168" s="98"/>
    </row>
    <row r="169" spans="1:8" ht="35.25" customHeight="1" x14ac:dyDescent="0.25">
      <c r="A169" s="80" t="s">
        <v>73</v>
      </c>
      <c r="B169" s="80"/>
      <c r="C169" s="80"/>
      <c r="D169" s="80"/>
      <c r="E169" s="80"/>
      <c r="F169" s="80"/>
      <c r="G169" s="80"/>
      <c r="H169" s="80"/>
    </row>
    <row r="170" spans="1:8" x14ac:dyDescent="0.25">
      <c r="A170" s="104" t="s">
        <v>110</v>
      </c>
      <c r="B170" s="104"/>
      <c r="C170" s="104" t="s">
        <v>243</v>
      </c>
      <c r="D170" s="104"/>
      <c r="E170" s="104" t="s">
        <v>148</v>
      </c>
      <c r="F170" s="104"/>
      <c r="G170" s="104" t="s">
        <v>245</v>
      </c>
      <c r="H170" s="104"/>
    </row>
    <row r="171" spans="1:8" x14ac:dyDescent="0.25">
      <c r="A171" s="103" t="s">
        <v>112</v>
      </c>
      <c r="B171" s="103"/>
      <c r="C171" s="103"/>
      <c r="D171" s="103"/>
      <c r="E171" s="103"/>
      <c r="F171" s="103"/>
      <c r="G171" s="103"/>
      <c r="H171" s="103"/>
    </row>
    <row r="172" spans="1:8" x14ac:dyDescent="0.25">
      <c r="A172" s="103"/>
      <c r="B172" s="103"/>
      <c r="C172" s="103"/>
      <c r="D172" s="103"/>
      <c r="E172" s="103"/>
      <c r="F172" s="103"/>
      <c r="G172" s="103"/>
      <c r="H172" s="103"/>
    </row>
    <row r="173" spans="1:8" x14ac:dyDescent="0.25">
      <c r="A173" s="103"/>
      <c r="B173" s="103"/>
      <c r="C173" s="103"/>
      <c r="D173" s="103"/>
      <c r="E173" s="103"/>
      <c r="F173" s="103"/>
      <c r="G173" s="103"/>
      <c r="H173" s="103"/>
    </row>
    <row r="174" spans="1:8" x14ac:dyDescent="0.25">
      <c r="A174" s="103"/>
      <c r="B174" s="103"/>
      <c r="C174" s="103"/>
      <c r="D174" s="103"/>
      <c r="E174" s="103"/>
      <c r="F174" s="103"/>
      <c r="G174" s="103"/>
      <c r="H174" s="103"/>
    </row>
    <row r="175" spans="1:8" x14ac:dyDescent="0.25">
      <c r="A175" s="18" t="s">
        <v>74</v>
      </c>
      <c r="B175" s="19"/>
      <c r="C175" s="19"/>
      <c r="D175" s="18" t="str">
        <f>E8</f>
        <v>Applaud 38</v>
      </c>
      <c r="F175" s="19"/>
      <c r="G175" s="19"/>
      <c r="H175" s="19"/>
    </row>
    <row r="176" spans="1:8" x14ac:dyDescent="0.25">
      <c r="A176" s="19"/>
      <c r="B176" s="19"/>
      <c r="C176" s="19"/>
      <c r="D176" s="19"/>
      <c r="E176" s="19"/>
      <c r="F176" s="19"/>
      <c r="G176" s="19"/>
      <c r="H176" s="19"/>
    </row>
    <row r="177" spans="1:8" x14ac:dyDescent="0.25">
      <c r="A177" s="19"/>
      <c r="B177" s="19"/>
      <c r="C177" s="19"/>
      <c r="D177" s="19"/>
      <c r="E177" s="19"/>
      <c r="F177" s="19"/>
      <c r="G177" s="19"/>
      <c r="H177" s="19"/>
    </row>
    <row r="178" spans="1:8" ht="15" customHeight="1" x14ac:dyDescent="0.25"/>
    <row r="215" spans="1:1" x14ac:dyDescent="0.25">
      <c r="A215" s="21" t="s">
        <v>75</v>
      </c>
    </row>
  </sheetData>
  <mergeCells count="284">
    <mergeCell ref="A97:B97"/>
    <mergeCell ref="D97:E97"/>
    <mergeCell ref="F97:H97"/>
    <mergeCell ref="A105:B105"/>
    <mergeCell ref="A148:B148"/>
    <mergeCell ref="G148:H153"/>
    <mergeCell ref="A149:B149"/>
    <mergeCell ref="A150:B150"/>
    <mergeCell ref="A151:B151"/>
    <mergeCell ref="A152:B152"/>
    <mergeCell ref="A153:B153"/>
    <mergeCell ref="A110:H110"/>
    <mergeCell ref="A111:B111"/>
    <mergeCell ref="G111:H111"/>
    <mergeCell ref="A114:H114"/>
    <mergeCell ref="A115:B115"/>
    <mergeCell ref="G115:H120"/>
    <mergeCell ref="A116:B116"/>
    <mergeCell ref="A117:B117"/>
    <mergeCell ref="A118:B118"/>
    <mergeCell ref="A119:B119"/>
    <mergeCell ref="A120:B120"/>
    <mergeCell ref="A132:B132"/>
    <mergeCell ref="A133:B133"/>
    <mergeCell ref="A154:H154"/>
    <mergeCell ref="A135:B135"/>
    <mergeCell ref="A136:B136"/>
    <mergeCell ref="A137:B137"/>
    <mergeCell ref="A138:B138"/>
    <mergeCell ref="A139:B139"/>
    <mergeCell ref="A134:H134"/>
    <mergeCell ref="G135:H139"/>
    <mergeCell ref="A140:H140"/>
    <mergeCell ref="A141:B141"/>
    <mergeCell ref="G141:H146"/>
    <mergeCell ref="A142:B142"/>
    <mergeCell ref="A143:B143"/>
    <mergeCell ref="A144:B144"/>
    <mergeCell ref="A145:B145"/>
    <mergeCell ref="A146:B146"/>
    <mergeCell ref="A147:H147"/>
    <mergeCell ref="A155:B155"/>
    <mergeCell ref="G155:H160"/>
    <mergeCell ref="A156:B156"/>
    <mergeCell ref="A157:B157"/>
    <mergeCell ref="A158:B158"/>
    <mergeCell ref="A159:B159"/>
    <mergeCell ref="A160:B160"/>
    <mergeCell ref="C156:F158"/>
    <mergeCell ref="A161:H161"/>
    <mergeCell ref="A167:H167"/>
    <mergeCell ref="A168:H168"/>
    <mergeCell ref="A169:H169"/>
    <mergeCell ref="A58:C58"/>
    <mergeCell ref="D58:H58"/>
    <mergeCell ref="A162:H162"/>
    <mergeCell ref="A163:H163"/>
    <mergeCell ref="A164:H164"/>
    <mergeCell ref="A99:H99"/>
    <mergeCell ref="A98:H98"/>
    <mergeCell ref="E63:F63"/>
    <mergeCell ref="A66:B66"/>
    <mergeCell ref="A86:E86"/>
    <mergeCell ref="F86:H86"/>
    <mergeCell ref="A87:E87"/>
    <mergeCell ref="F87:H87"/>
    <mergeCell ref="A83:E83"/>
    <mergeCell ref="F83:H83"/>
    <mergeCell ref="A84:E84"/>
    <mergeCell ref="F84:H84"/>
    <mergeCell ref="A104:B104"/>
    <mergeCell ref="A106:B106"/>
    <mergeCell ref="A108:B108"/>
    <mergeCell ref="D92:E92"/>
    <mergeCell ref="F92:H92"/>
    <mergeCell ref="A93:B93"/>
    <mergeCell ref="D93:E93"/>
    <mergeCell ref="F93:H93"/>
    <mergeCell ref="A94:H94"/>
    <mergeCell ref="G63:H63"/>
    <mergeCell ref="A74:H74"/>
    <mergeCell ref="A80:E80"/>
    <mergeCell ref="A77:H77"/>
    <mergeCell ref="A78:E78"/>
    <mergeCell ref="F78:H78"/>
    <mergeCell ref="A75:H75"/>
    <mergeCell ref="A76:B76"/>
    <mergeCell ref="C76:H76"/>
    <mergeCell ref="F79:H79"/>
    <mergeCell ref="A79:E79"/>
    <mergeCell ref="F80:H80"/>
    <mergeCell ref="A67:B67"/>
    <mergeCell ref="A68:B68"/>
    <mergeCell ref="A69:B69"/>
    <mergeCell ref="A88:E88"/>
    <mergeCell ref="F88:H88"/>
    <mergeCell ref="A65:B65"/>
    <mergeCell ref="F85:H85"/>
    <mergeCell ref="G47:H47"/>
    <mergeCell ref="A47:B47"/>
    <mergeCell ref="A42:D42"/>
    <mergeCell ref="E42:H42"/>
    <mergeCell ref="F30:H30"/>
    <mergeCell ref="F31:H31"/>
    <mergeCell ref="C29:E29"/>
    <mergeCell ref="F32:H32"/>
    <mergeCell ref="F33:H33"/>
    <mergeCell ref="A40:D40"/>
    <mergeCell ref="E40:H40"/>
    <mergeCell ref="E41:H41"/>
    <mergeCell ref="E43:H43"/>
    <mergeCell ref="E44:H44"/>
    <mergeCell ref="A41:D41"/>
    <mergeCell ref="A43:D43"/>
    <mergeCell ref="A44:D44"/>
    <mergeCell ref="A45:H45"/>
    <mergeCell ref="G46:H46"/>
    <mergeCell ref="C47:E47"/>
    <mergeCell ref="C35:H35"/>
    <mergeCell ref="A36:B36"/>
    <mergeCell ref="C36:H36"/>
    <mergeCell ref="C49:H49"/>
    <mergeCell ref="A62:B62"/>
    <mergeCell ref="G50:H50"/>
    <mergeCell ref="A16:B16"/>
    <mergeCell ref="C16:D16"/>
    <mergeCell ref="A12:D12"/>
    <mergeCell ref="E12:H12"/>
    <mergeCell ref="A13:B13"/>
    <mergeCell ref="C13:H13"/>
    <mergeCell ref="C14:H14"/>
    <mergeCell ref="A15:B15"/>
    <mergeCell ref="C15:D15"/>
    <mergeCell ref="E15:F15"/>
    <mergeCell ref="G15:H15"/>
    <mergeCell ref="E16:F16"/>
    <mergeCell ref="G16:H16"/>
    <mergeCell ref="A26:D26"/>
    <mergeCell ref="E26:H26"/>
    <mergeCell ref="A39:D39"/>
    <mergeCell ref="E39:H39"/>
    <mergeCell ref="A27:D27"/>
    <mergeCell ref="E27:H27"/>
    <mergeCell ref="A34:H34"/>
    <mergeCell ref="A33:B33"/>
    <mergeCell ref="A10:D10"/>
    <mergeCell ref="E10:H10"/>
    <mergeCell ref="A5:D5"/>
    <mergeCell ref="E5:H5"/>
    <mergeCell ref="A6:D6"/>
    <mergeCell ref="E6:H6"/>
    <mergeCell ref="A7:D7"/>
    <mergeCell ref="E7:H7"/>
    <mergeCell ref="A14:B14"/>
    <mergeCell ref="A11:D11"/>
    <mergeCell ref="E11:H11"/>
    <mergeCell ref="A1:H1"/>
    <mergeCell ref="A2:H2"/>
    <mergeCell ref="A3:D3"/>
    <mergeCell ref="E3:H3"/>
    <mergeCell ref="A4:D4"/>
    <mergeCell ref="A8:D8"/>
    <mergeCell ref="E8:H8"/>
    <mergeCell ref="A9:D9"/>
    <mergeCell ref="E9:H9"/>
    <mergeCell ref="E4:H4"/>
    <mergeCell ref="A28:D28"/>
    <mergeCell ref="E28:H28"/>
    <mergeCell ref="A37:H37"/>
    <mergeCell ref="A38:D38"/>
    <mergeCell ref="E38:H38"/>
    <mergeCell ref="F29:H29"/>
    <mergeCell ref="A30:B30"/>
    <mergeCell ref="C30:E30"/>
    <mergeCell ref="A31:B31"/>
    <mergeCell ref="C31:E31"/>
    <mergeCell ref="A32:B32"/>
    <mergeCell ref="C32:E32"/>
    <mergeCell ref="C33:E33"/>
    <mergeCell ref="A29:B29"/>
    <mergeCell ref="A35:B3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A171:H174"/>
    <mergeCell ref="A170:B170"/>
    <mergeCell ref="E170:F170"/>
    <mergeCell ref="C170:D170"/>
    <mergeCell ref="G170:H170"/>
    <mergeCell ref="A91:H91"/>
    <mergeCell ref="A89:E89"/>
    <mergeCell ref="F89:H89"/>
    <mergeCell ref="A90:E90"/>
    <mergeCell ref="F90:H90"/>
    <mergeCell ref="D96:E96"/>
    <mergeCell ref="F96:H96"/>
    <mergeCell ref="A100:B100"/>
    <mergeCell ref="A101:H101"/>
    <mergeCell ref="A96:B96"/>
    <mergeCell ref="A125:B125"/>
    <mergeCell ref="A126:B126"/>
    <mergeCell ref="A95:B95"/>
    <mergeCell ref="D95:E95"/>
    <mergeCell ref="G100:H100"/>
    <mergeCell ref="F95:H95"/>
    <mergeCell ref="A92:B92"/>
    <mergeCell ref="A165:H165"/>
    <mergeCell ref="A166:H166"/>
    <mergeCell ref="C48:E48"/>
    <mergeCell ref="A46:B46"/>
    <mergeCell ref="C46:E46"/>
    <mergeCell ref="A48:B49"/>
    <mergeCell ref="G48:H48"/>
    <mergeCell ref="A50:B50"/>
    <mergeCell ref="C50:E50"/>
    <mergeCell ref="A56:C56"/>
    <mergeCell ref="F82:H82"/>
    <mergeCell ref="A63:B63"/>
    <mergeCell ref="A64:B64"/>
    <mergeCell ref="A57:C57"/>
    <mergeCell ref="D56:H56"/>
    <mergeCell ref="D57:H57"/>
    <mergeCell ref="C62:H62"/>
    <mergeCell ref="D54:H54"/>
    <mergeCell ref="A54:C54"/>
    <mergeCell ref="A55:C55"/>
    <mergeCell ref="D55:H55"/>
    <mergeCell ref="A53:C53"/>
    <mergeCell ref="D53:H53"/>
    <mergeCell ref="D52:H52"/>
    <mergeCell ref="A59:C59"/>
    <mergeCell ref="D59:H59"/>
    <mergeCell ref="A51:H51"/>
    <mergeCell ref="A52:C52"/>
    <mergeCell ref="G130:H133"/>
    <mergeCell ref="A131:B131"/>
    <mergeCell ref="A127:B127"/>
    <mergeCell ref="A130:B130"/>
    <mergeCell ref="G122:H127"/>
    <mergeCell ref="A129:H129"/>
    <mergeCell ref="A102:H102"/>
    <mergeCell ref="A103:H103"/>
    <mergeCell ref="G104:H106"/>
    <mergeCell ref="A112:H112"/>
    <mergeCell ref="A113:H113"/>
    <mergeCell ref="A121:H121"/>
    <mergeCell ref="A107:H107"/>
    <mergeCell ref="G108:H109"/>
    <mergeCell ref="D108:F108"/>
    <mergeCell ref="D109:F109"/>
    <mergeCell ref="A128:H128"/>
    <mergeCell ref="A109:B109"/>
    <mergeCell ref="A122:B122"/>
    <mergeCell ref="A123:B123"/>
    <mergeCell ref="A124:B124"/>
    <mergeCell ref="A85:E85"/>
    <mergeCell ref="A82:E82"/>
    <mergeCell ref="A70:B70"/>
    <mergeCell ref="A71:B71"/>
    <mergeCell ref="A72:B72"/>
    <mergeCell ref="A73:B73"/>
    <mergeCell ref="A60:B60"/>
    <mergeCell ref="C60:H60"/>
    <mergeCell ref="E64:F73"/>
    <mergeCell ref="G64:H73"/>
    <mergeCell ref="A81:E81"/>
    <mergeCell ref="F81:H81"/>
  </mergeCells>
  <hyperlinks>
    <hyperlink ref="C36" r:id="rId1" xr:uid="{00000000-0004-0000-0000-000000000000}"/>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4" manualBreakCount="4">
    <brk id="36" max="16383" man="1"/>
    <brk id="160" max="16383" man="1"/>
    <brk id="174" max="16383" man="1"/>
    <brk id="21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workbookViewId="0">
      <selection activeCell="M197" sqref="M197"/>
    </sheetView>
  </sheetViews>
  <sheetFormatPr defaultRowHeight="15" x14ac:dyDescent="0.25"/>
  <cols>
    <col min="2" max="2" width="12.28515625" customWidth="1"/>
  </cols>
  <sheetData>
    <row r="2" spans="1:12" x14ac:dyDescent="0.25">
      <c r="B2" s="3" t="s">
        <v>76</v>
      </c>
      <c r="C2" s="162"/>
      <c r="D2" s="162"/>
    </row>
    <row r="3" spans="1:12" x14ac:dyDescent="0.25">
      <c r="D3" s="4"/>
      <c r="E3" s="4"/>
      <c r="F3" s="4"/>
      <c r="G3" s="4"/>
      <c r="H3" s="4"/>
      <c r="I3" s="4"/>
    </row>
    <row r="4" spans="1:12" x14ac:dyDescent="0.25">
      <c r="A4" s="3" t="s">
        <v>77</v>
      </c>
      <c r="B4" s="5" t="s">
        <v>78</v>
      </c>
      <c r="C4" s="163" t="s">
        <v>79</v>
      </c>
      <c r="D4" s="163"/>
      <c r="E4" s="163"/>
      <c r="F4" s="6"/>
      <c r="G4" s="163" t="s">
        <v>80</v>
      </c>
      <c r="H4" s="163"/>
      <c r="I4" s="163"/>
      <c r="J4" s="163" t="s">
        <v>81</v>
      </c>
      <c r="K4" s="163"/>
      <c r="L4" s="163"/>
    </row>
    <row r="5" spans="1:12" x14ac:dyDescent="0.25">
      <c r="A5" s="3">
        <v>202</v>
      </c>
      <c r="B5" s="5"/>
      <c r="C5" s="5" t="s">
        <v>82</v>
      </c>
      <c r="D5" s="5" t="s">
        <v>83</v>
      </c>
      <c r="E5" s="5" t="s">
        <v>58</v>
      </c>
      <c r="F5" s="5"/>
      <c r="G5" s="5" t="s">
        <v>82</v>
      </c>
      <c r="H5" s="5" t="s">
        <v>83</v>
      </c>
      <c r="I5" s="5" t="s">
        <v>58</v>
      </c>
      <c r="J5" s="5" t="s">
        <v>82</v>
      </c>
      <c r="K5" s="5" t="s">
        <v>83</v>
      </c>
      <c r="L5" s="5" t="s">
        <v>58</v>
      </c>
    </row>
    <row r="6" spans="1:12" x14ac:dyDescent="0.25">
      <c r="B6" s="7" t="s">
        <v>84</v>
      </c>
      <c r="C6" s="7">
        <v>4.5</v>
      </c>
      <c r="D6" s="7">
        <v>2.9</v>
      </c>
      <c r="E6" s="7">
        <f>C6*D6</f>
        <v>13.049999999999999</v>
      </c>
      <c r="F6" s="7" t="s">
        <v>85</v>
      </c>
      <c r="G6" s="7"/>
      <c r="H6" s="7"/>
      <c r="I6" s="7">
        <f>G6*H6</f>
        <v>0</v>
      </c>
      <c r="J6" s="7"/>
      <c r="K6" s="7"/>
      <c r="L6" s="7">
        <f>J6*K6</f>
        <v>0</v>
      </c>
    </row>
    <row r="7" spans="1:12" x14ac:dyDescent="0.25">
      <c r="B7" s="7"/>
      <c r="C7" s="7"/>
      <c r="D7" s="7"/>
      <c r="E7" s="7">
        <f t="shared" ref="E7:E33" si="0">C7*D7</f>
        <v>0</v>
      </c>
      <c r="F7" s="7" t="s">
        <v>86</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87</v>
      </c>
      <c r="C9" s="7">
        <v>1.88</v>
      </c>
      <c r="D9" s="7">
        <v>2.13</v>
      </c>
      <c r="E9" s="7">
        <f t="shared" si="0"/>
        <v>4.0043999999999995</v>
      </c>
      <c r="F9" s="7" t="s">
        <v>85</v>
      </c>
      <c r="G9" s="7"/>
      <c r="H9" s="7"/>
      <c r="I9" s="7">
        <f t="shared" si="1"/>
        <v>0</v>
      </c>
      <c r="J9" s="7"/>
      <c r="K9" s="7"/>
      <c r="L9" s="7">
        <f t="shared" si="2"/>
        <v>0</v>
      </c>
    </row>
    <row r="10" spans="1:12" x14ac:dyDescent="0.25">
      <c r="B10" s="7"/>
      <c r="C10" s="7"/>
      <c r="D10" s="7"/>
      <c r="E10" s="7">
        <f t="shared" si="0"/>
        <v>0</v>
      </c>
      <c r="F10" s="7" t="s">
        <v>86</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88</v>
      </c>
      <c r="C13" s="7"/>
      <c r="D13" s="7"/>
      <c r="E13" s="7">
        <f t="shared" si="0"/>
        <v>0</v>
      </c>
      <c r="F13" s="7" t="s">
        <v>85</v>
      </c>
      <c r="G13" s="7"/>
      <c r="H13" s="7"/>
      <c r="I13" s="7">
        <f t="shared" si="1"/>
        <v>0</v>
      </c>
      <c r="J13" s="7"/>
      <c r="K13" s="7"/>
      <c r="L13" s="7">
        <f t="shared" si="2"/>
        <v>0</v>
      </c>
    </row>
    <row r="14" spans="1:12" x14ac:dyDescent="0.25">
      <c r="B14" s="7"/>
      <c r="C14" s="7"/>
      <c r="D14" s="7"/>
      <c r="E14" s="7">
        <f t="shared" si="0"/>
        <v>0</v>
      </c>
      <c r="F14" s="7" t="s">
        <v>86</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89</v>
      </c>
      <c r="C17" s="7"/>
      <c r="D17" s="7"/>
      <c r="E17" s="7">
        <f t="shared" si="0"/>
        <v>0</v>
      </c>
      <c r="F17" s="7" t="s">
        <v>85</v>
      </c>
      <c r="G17" s="7"/>
      <c r="H17" s="7"/>
      <c r="I17" s="7">
        <f t="shared" si="1"/>
        <v>0</v>
      </c>
      <c r="J17" s="7"/>
      <c r="K17" s="7"/>
      <c r="L17" s="7">
        <f t="shared" si="2"/>
        <v>0</v>
      </c>
    </row>
    <row r="18" spans="2:12" x14ac:dyDescent="0.25">
      <c r="B18" s="7"/>
      <c r="C18" s="7"/>
      <c r="D18" s="7"/>
      <c r="E18" s="7">
        <f t="shared" si="0"/>
        <v>0</v>
      </c>
      <c r="F18" s="7" t="s">
        <v>86</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89</v>
      </c>
      <c r="C20" s="7"/>
      <c r="D20" s="7"/>
      <c r="E20" s="7">
        <f t="shared" si="0"/>
        <v>0</v>
      </c>
      <c r="F20" s="7" t="s">
        <v>85</v>
      </c>
      <c r="G20" s="7"/>
      <c r="H20" s="7"/>
      <c r="I20" s="7">
        <f t="shared" si="1"/>
        <v>0</v>
      </c>
      <c r="J20" s="7"/>
      <c r="K20" s="7"/>
      <c r="L20" s="7">
        <f t="shared" si="2"/>
        <v>0</v>
      </c>
    </row>
    <row r="21" spans="2:12" x14ac:dyDescent="0.25">
      <c r="B21" s="7"/>
      <c r="C21" s="7"/>
      <c r="D21" s="7"/>
      <c r="E21" s="7">
        <f t="shared" si="0"/>
        <v>0</v>
      </c>
      <c r="F21" s="7" t="s">
        <v>86</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90</v>
      </c>
      <c r="C23" s="7">
        <v>1.9</v>
      </c>
      <c r="D23" s="7">
        <v>1.07</v>
      </c>
      <c r="E23" s="7">
        <f t="shared" si="0"/>
        <v>2.0329999999999999</v>
      </c>
      <c r="F23" s="7" t="s">
        <v>91</v>
      </c>
      <c r="G23" s="7"/>
      <c r="H23" s="7"/>
      <c r="I23" s="7">
        <f t="shared" si="1"/>
        <v>0</v>
      </c>
      <c r="J23" s="7"/>
      <c r="K23" s="7"/>
      <c r="L23" s="7">
        <f t="shared" si="2"/>
        <v>0</v>
      </c>
    </row>
    <row r="24" spans="2:12" x14ac:dyDescent="0.25">
      <c r="B24" s="7" t="s">
        <v>92</v>
      </c>
      <c r="C24" s="7"/>
      <c r="D24" s="7"/>
      <c r="E24" s="7">
        <f t="shared" si="0"/>
        <v>0</v>
      </c>
      <c r="F24" s="7" t="s">
        <v>91</v>
      </c>
      <c r="G24" s="7"/>
      <c r="H24" s="7"/>
      <c r="I24" s="7">
        <f t="shared" si="1"/>
        <v>0</v>
      </c>
      <c r="J24" s="7"/>
      <c r="K24" s="7"/>
      <c r="L24" s="7">
        <f t="shared" si="2"/>
        <v>0</v>
      </c>
    </row>
    <row r="25" spans="2:12" x14ac:dyDescent="0.25">
      <c r="B25" s="7" t="s">
        <v>93</v>
      </c>
      <c r="C25" s="7"/>
      <c r="D25" s="7"/>
      <c r="E25" s="7">
        <f t="shared" si="0"/>
        <v>0</v>
      </c>
      <c r="F25" s="7" t="s">
        <v>91</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94</v>
      </c>
      <c r="C27" s="7"/>
      <c r="D27" s="7"/>
      <c r="E27" s="7">
        <f t="shared" si="0"/>
        <v>0</v>
      </c>
      <c r="F27" s="7"/>
      <c r="G27" s="7"/>
      <c r="H27" s="7"/>
      <c r="I27" s="7">
        <f t="shared" si="1"/>
        <v>0</v>
      </c>
      <c r="J27" s="7"/>
      <c r="K27" s="7"/>
      <c r="L27" s="7">
        <f t="shared" si="2"/>
        <v>0</v>
      </c>
    </row>
    <row r="28" spans="2:12" x14ac:dyDescent="0.25">
      <c r="B28" s="7" t="s">
        <v>95</v>
      </c>
      <c r="C28" s="7"/>
      <c r="D28" s="7"/>
      <c r="E28" s="7">
        <f t="shared" si="0"/>
        <v>0</v>
      </c>
      <c r="F28" s="7"/>
      <c r="G28" s="7"/>
      <c r="H28" s="7"/>
      <c r="I28" s="7">
        <f t="shared" si="1"/>
        <v>0</v>
      </c>
      <c r="J28" s="7"/>
      <c r="K28" s="7"/>
      <c r="L28" s="7">
        <f t="shared" si="2"/>
        <v>0</v>
      </c>
    </row>
    <row r="29" spans="2:12" x14ac:dyDescent="0.25">
      <c r="B29" s="7" t="s">
        <v>96</v>
      </c>
      <c r="C29" s="7"/>
      <c r="D29" s="7"/>
      <c r="E29" s="7">
        <f t="shared" si="0"/>
        <v>0</v>
      </c>
      <c r="F29" s="7"/>
      <c r="G29" s="7"/>
      <c r="H29" s="7"/>
      <c r="I29" s="7">
        <f t="shared" si="1"/>
        <v>0</v>
      </c>
      <c r="J29" s="7"/>
      <c r="K29" s="7"/>
      <c r="L29" s="7">
        <f t="shared" si="2"/>
        <v>0</v>
      </c>
    </row>
    <row r="30" spans="2:12" x14ac:dyDescent="0.25">
      <c r="B30" s="7" t="s">
        <v>97</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59</v>
      </c>
      <c r="C34" s="7"/>
      <c r="D34" s="7">
        <f>E34*10.764</f>
        <v>205.45677359999996</v>
      </c>
      <c r="E34" s="7">
        <f>SUM(E6:E33)</f>
        <v>19.087399999999999</v>
      </c>
      <c r="F34" s="7"/>
      <c r="G34" s="7"/>
      <c r="H34" s="7">
        <f>I34*10.764</f>
        <v>0</v>
      </c>
      <c r="I34" s="7">
        <f>SUM(I6:I33)</f>
        <v>0</v>
      </c>
      <c r="J34" s="7"/>
      <c r="K34" s="7">
        <f>L34*10.764</f>
        <v>0</v>
      </c>
      <c r="L34" s="7">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16" sqref="C16"/>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zoomScale="85" zoomScaleNormal="85" workbookViewId="0">
      <selection activeCell="B15" sqref="B15"/>
    </sheetView>
  </sheetViews>
  <sheetFormatPr defaultColWidth="8.7109375" defaultRowHeight="15" x14ac:dyDescent="0.25"/>
  <cols>
    <col min="1" max="1" width="8.7109375" style="31"/>
    <col min="2" max="2" width="22.140625" style="31" customWidth="1"/>
    <col min="3" max="3" width="37" style="31" customWidth="1"/>
    <col min="4" max="5" width="11.42578125" style="31" customWidth="1"/>
    <col min="6" max="6" width="14" style="31" customWidth="1"/>
    <col min="7" max="7" width="20" style="31" customWidth="1"/>
    <col min="8" max="8" width="16.42578125" style="31" customWidth="1"/>
    <col min="9" max="16384" width="8.7109375" style="31"/>
  </cols>
  <sheetData>
    <row r="1" spans="1:9" ht="15" customHeight="1" x14ac:dyDescent="0.25"/>
    <row r="2" spans="1:9" ht="15" customHeight="1" x14ac:dyDescent="0.25">
      <c r="A2" s="32"/>
      <c r="B2" s="32"/>
      <c r="C2" s="32"/>
      <c r="D2" s="32"/>
      <c r="E2" s="32"/>
      <c r="F2" s="32"/>
      <c r="G2" s="32"/>
      <c r="H2" s="32"/>
    </row>
    <row r="3" spans="1:9" ht="15.75" customHeight="1" x14ac:dyDescent="0.25">
      <c r="A3" s="32"/>
      <c r="B3" s="164" t="s">
        <v>149</v>
      </c>
      <c r="C3" s="164"/>
      <c r="D3" s="164"/>
      <c r="E3" s="164"/>
      <c r="F3" s="164"/>
      <c r="G3" s="164"/>
      <c r="H3" s="164"/>
    </row>
    <row r="4" spans="1:9" x14ac:dyDescent="0.25">
      <c r="A4" s="32"/>
      <c r="B4" s="33" t="s">
        <v>150</v>
      </c>
      <c r="C4" s="33" t="s">
        <v>151</v>
      </c>
      <c r="D4" s="33" t="s">
        <v>77</v>
      </c>
      <c r="E4" s="33" t="s">
        <v>152</v>
      </c>
      <c r="F4" s="33" t="s">
        <v>156</v>
      </c>
      <c r="G4" s="33" t="s">
        <v>157</v>
      </c>
      <c r="H4" s="33" t="s">
        <v>153</v>
      </c>
    </row>
    <row r="5" spans="1:9" ht="15" customHeight="1" x14ac:dyDescent="0.25">
      <c r="A5" s="32"/>
      <c r="B5" s="35"/>
      <c r="C5" s="36"/>
      <c r="D5" s="35"/>
      <c r="E5" s="35"/>
      <c r="F5" s="37"/>
      <c r="G5" s="37"/>
      <c r="H5" s="38"/>
    </row>
    <row r="6" spans="1:9" x14ac:dyDescent="0.25">
      <c r="A6" s="32"/>
      <c r="B6" s="35"/>
      <c r="C6" s="39"/>
      <c r="D6" s="35"/>
      <c r="E6" s="35"/>
      <c r="F6" s="37"/>
      <c r="G6" s="37"/>
      <c r="H6" s="38"/>
    </row>
    <row r="7" spans="1:9" ht="15" customHeight="1" x14ac:dyDescent="0.25">
      <c r="A7" s="32"/>
      <c r="B7" s="35"/>
      <c r="C7" s="36"/>
      <c r="D7" s="35"/>
      <c r="E7" s="35"/>
      <c r="F7" s="37"/>
      <c r="G7" s="37"/>
      <c r="H7" s="38"/>
    </row>
    <row r="8" spans="1:9" x14ac:dyDescent="0.25">
      <c r="A8" s="32"/>
      <c r="B8" s="35"/>
      <c r="C8" s="39"/>
      <c r="D8" s="35"/>
      <c r="E8" s="35"/>
      <c r="F8" s="37"/>
      <c r="G8" s="37"/>
      <c r="H8" s="38"/>
    </row>
    <row r="9" spans="1:9" ht="15" customHeight="1" x14ac:dyDescent="0.25">
      <c r="A9" s="32"/>
      <c r="B9" s="35"/>
      <c r="C9" s="39"/>
      <c r="D9" s="35"/>
      <c r="E9" s="35"/>
      <c r="F9" s="37"/>
      <c r="G9" s="37"/>
      <c r="H9" s="38"/>
    </row>
    <row r="10" spans="1:9" ht="15" customHeight="1" x14ac:dyDescent="0.25">
      <c r="A10" s="32"/>
      <c r="B10" s="35"/>
      <c r="C10" s="36"/>
      <c r="D10" s="35"/>
      <c r="E10" s="35"/>
      <c r="F10" s="37"/>
      <c r="G10" s="37"/>
      <c r="H10" s="38"/>
    </row>
    <row r="11" spans="1:9" ht="15" customHeight="1" x14ac:dyDescent="0.25">
      <c r="A11" s="32"/>
      <c r="B11" s="35"/>
      <c r="C11" s="36"/>
      <c r="D11" s="35"/>
      <c r="E11" s="35"/>
      <c r="F11" s="37"/>
      <c r="G11" s="37"/>
      <c r="H11" s="38"/>
    </row>
    <row r="12" spans="1:9" ht="15" customHeight="1" x14ac:dyDescent="0.25">
      <c r="A12" s="32"/>
      <c r="B12" s="40" t="s">
        <v>154</v>
      </c>
      <c r="C12" s="35"/>
      <c r="D12" s="35"/>
      <c r="E12" s="35"/>
      <c r="F12" s="35"/>
      <c r="G12" s="41" t="e">
        <f>AVERAGE(G5:G11)</f>
        <v>#DIV/0!</v>
      </c>
      <c r="H12" s="35"/>
    </row>
    <row r="13" spans="1:9" ht="15" customHeight="1" x14ac:dyDescent="0.25">
      <c r="B13" s="40" t="s">
        <v>155</v>
      </c>
      <c r="C13" s="35"/>
      <c r="D13" s="35"/>
      <c r="E13" s="35"/>
      <c r="F13" s="42"/>
      <c r="G13" s="40"/>
      <c r="H13" s="40"/>
      <c r="I13" s="3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2025-08-13T12:54:13Z</cp:lastPrinted>
  <dcterms:created xsi:type="dcterms:W3CDTF">2019-07-16T09:29:46Z</dcterms:created>
  <dcterms:modified xsi:type="dcterms:W3CDTF">2025-08-13T12:55:33Z</dcterms:modified>
</cp:coreProperties>
</file>