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hisWorkbook" defaultThemeVersion="153222"/>
  <mc:AlternateContent xmlns:mc="http://schemas.openxmlformats.org/markup-compatibility/2006">
    <mc:Choice Requires="x15">
      <x15ac:absPath xmlns:x15ac="http://schemas.microsoft.com/office/spreadsheetml/2010/11/ac" url="D:\VSJCV\Making\AXIS\2025-26\Axis\APF Dump\Aug 2025\18-08-2025\"/>
    </mc:Choice>
  </mc:AlternateContent>
  <bookViews>
    <workbookView xWindow="0" yWindow="0" windowWidth="19200" windowHeight="6640" tabRatio="725"/>
  </bookViews>
  <sheets>
    <sheet name="Report" sheetId="1" r:id="rId1"/>
    <sheet name="valuation" sheetId="5" r:id="rId2"/>
    <sheet name="Note" sheetId="4" r:id="rId3"/>
  </sheets>
  <definedNames>
    <definedName name="_xlnm.Print_Area" localSheetId="0">Report!$A$1:$H$319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K140" i="1" l="1"/>
  <c r="K117" i="1" l="1"/>
  <c r="K116" i="1"/>
  <c r="K115" i="1"/>
  <c r="L116" i="1"/>
  <c r="L117" i="1"/>
  <c r="L115" i="1"/>
  <c r="J138" i="1"/>
  <c r="J131" i="1"/>
  <c r="D148" i="1" l="1"/>
  <c r="D147" i="1"/>
  <c r="D146" i="1"/>
  <c r="D145" i="1"/>
  <c r="D143" i="1"/>
  <c r="D142" i="1"/>
  <c r="A146" i="1"/>
  <c r="A147" i="1" s="1"/>
  <c r="A148" i="1" s="1"/>
  <c r="G145" i="1"/>
  <c r="G146" i="1" s="1"/>
  <c r="G147" i="1" s="1"/>
  <c r="G148" i="1" s="1"/>
  <c r="J142" i="1"/>
  <c r="A143" i="1"/>
  <c r="G142" i="1"/>
  <c r="G143" i="1" s="1"/>
  <c r="D139" i="1"/>
  <c r="K137" i="1" s="1"/>
  <c r="D138" i="1"/>
  <c r="D137" i="1"/>
  <c r="D136" i="1"/>
  <c r="D135" i="1"/>
  <c r="A136" i="1"/>
  <c r="A137" i="1" s="1"/>
  <c r="A138" i="1" s="1"/>
  <c r="A139" i="1" s="1"/>
  <c r="G135" i="1"/>
  <c r="G136" i="1" s="1"/>
  <c r="G137" i="1" s="1"/>
  <c r="G138" i="1" s="1"/>
  <c r="G139" i="1" s="1"/>
  <c r="F154" i="1"/>
  <c r="D133" i="1"/>
  <c r="D132" i="1"/>
  <c r="D131" i="1"/>
  <c r="J130" i="1"/>
  <c r="J135" i="1"/>
  <c r="A132" i="1"/>
  <c r="A133" i="1" s="1"/>
  <c r="G131" i="1"/>
  <c r="D60" i="1"/>
  <c r="C49" i="1"/>
  <c r="E114" i="1" l="1"/>
  <c r="C115" i="1"/>
  <c r="E115" i="1"/>
  <c r="K135" i="1"/>
  <c r="K136" i="1"/>
  <c r="C114" i="1"/>
  <c r="C116" i="1" s="1"/>
  <c r="G114" i="1"/>
  <c r="K118" i="1"/>
  <c r="G115" i="1"/>
  <c r="E42" i="1"/>
  <c r="E43" i="1" s="1"/>
  <c r="E116" i="1" l="1"/>
  <c r="G116" i="1"/>
  <c r="C14" i="1"/>
  <c r="E29" i="1" l="1"/>
  <c r="F151" i="1" l="1"/>
  <c r="F152" i="1"/>
  <c r="F153" i="1"/>
  <c r="F150" i="1"/>
  <c r="A151" i="1"/>
  <c r="A152" i="1" s="1"/>
  <c r="A153" i="1" s="1"/>
  <c r="A154" i="1" s="1"/>
  <c r="G150" i="1"/>
  <c r="G151" i="1" s="1"/>
  <c r="G152" i="1" s="1"/>
  <c r="G153" i="1" s="1"/>
  <c r="G154" i="1" s="1"/>
  <c r="F106" i="1" l="1"/>
  <c r="F123" i="1" l="1"/>
  <c r="F124" i="1"/>
  <c r="F125" i="1"/>
  <c r="F122" i="1"/>
  <c r="B181" i="1" l="1"/>
  <c r="A168" i="1"/>
  <c r="A174" i="1"/>
  <c r="A162" i="1"/>
  <c r="F178" i="1" l="1"/>
  <c r="F177" i="1"/>
  <c r="F176" i="1"/>
  <c r="F175" i="1"/>
  <c r="F174" i="1"/>
  <c r="F172" i="1"/>
  <c r="F171" i="1"/>
  <c r="F170" i="1"/>
  <c r="F169" i="1"/>
  <c r="F168" i="1"/>
  <c r="F166" i="1"/>
  <c r="F165" i="1"/>
  <c r="F164" i="1"/>
  <c r="F163" i="1"/>
  <c r="F162" i="1"/>
  <c r="F160" i="1"/>
  <c r="F159" i="1"/>
  <c r="F157" i="1"/>
  <c r="F156" i="1"/>
  <c r="F158" i="1"/>
  <c r="A175" i="1"/>
  <c r="A163" i="1"/>
  <c r="A169" i="1"/>
  <c r="B182" i="1" l="1"/>
  <c r="A176" i="1"/>
  <c r="A164" i="1"/>
  <c r="A170" i="1"/>
  <c r="F11" i="5" l="1"/>
  <c r="G11" i="5" s="1"/>
  <c r="F10" i="5"/>
  <c r="G10" i="5" s="1"/>
  <c r="F9" i="5"/>
  <c r="G9" i="5" s="1"/>
  <c r="F8" i="5"/>
  <c r="G8" i="5" s="1"/>
  <c r="F7" i="5"/>
  <c r="G7" i="5" s="1"/>
  <c r="F6" i="5"/>
  <c r="G6" i="5" s="1"/>
  <c r="F5" i="5"/>
  <c r="G5" i="5" s="1"/>
  <c r="G12" i="5" s="1"/>
  <c r="D202" i="1"/>
  <c r="G174" i="1"/>
  <c r="G175" i="1" s="1"/>
  <c r="G176" i="1" s="1"/>
  <c r="G177" i="1" s="1"/>
  <c r="G178" i="1" s="1"/>
  <c r="G168" i="1"/>
  <c r="G169" i="1" s="1"/>
  <c r="G170" i="1" s="1"/>
  <c r="G171" i="1" s="1"/>
  <c r="G172" i="1" s="1"/>
  <c r="G162" i="1"/>
  <c r="G163" i="1" s="1"/>
  <c r="G164" i="1" s="1"/>
  <c r="G165" i="1" s="1"/>
  <c r="G166" i="1" s="1"/>
  <c r="G156" i="1"/>
  <c r="G157" i="1" s="1"/>
  <c r="G158" i="1" s="1"/>
  <c r="G159" i="1" s="1"/>
  <c r="G160" i="1" s="1"/>
  <c r="A156" i="1"/>
  <c r="A157" i="1" s="1"/>
  <c r="A158" i="1" s="1"/>
  <c r="A159" i="1" s="1"/>
  <c r="A160" i="1" s="1"/>
  <c r="A123" i="1"/>
  <c r="A124" i="1" s="1"/>
  <c r="A125" i="1" s="1"/>
  <c r="G122" i="1"/>
  <c r="G123" i="1" s="1"/>
  <c r="G124" i="1" s="1"/>
  <c r="G125" i="1" s="1"/>
  <c r="J91" i="1"/>
  <c r="J90" i="1"/>
  <c r="J89" i="1"/>
  <c r="J88" i="1"/>
  <c r="C80" i="1"/>
  <c r="J77" i="1"/>
  <c r="J76" i="1"/>
  <c r="J75" i="1"/>
  <c r="J74" i="1"/>
  <c r="C66" i="1"/>
  <c r="D54" i="1"/>
  <c r="G49" i="1"/>
  <c r="G50" i="1" s="1"/>
  <c r="E26" i="1"/>
  <c r="E24" i="1"/>
  <c r="E7" i="1"/>
  <c r="E3" i="1"/>
  <c r="H67" i="1"/>
  <c r="H81" i="1"/>
  <c r="A165" i="1"/>
  <c r="A177" i="1"/>
  <c r="A171" i="1"/>
  <c r="D91" i="1" l="1"/>
  <c r="D92" i="1"/>
  <c r="D93" i="1"/>
  <c r="D87" i="1"/>
  <c r="D88" i="1"/>
  <c r="D89" i="1"/>
  <c r="D90" i="1"/>
  <c r="J80" i="1"/>
  <c r="J82" i="1" s="1"/>
  <c r="D79" i="1"/>
  <c r="D77" i="1"/>
  <c r="D76" i="1"/>
  <c r="D75" i="1"/>
  <c r="D73" i="1"/>
  <c r="J66" i="1"/>
  <c r="D78" i="1"/>
  <c r="D74" i="1"/>
  <c r="J70" i="1"/>
  <c r="J71" i="1"/>
  <c r="C70" i="1" s="1"/>
  <c r="J69" i="1"/>
  <c r="J72" i="1"/>
  <c r="J73" i="1" s="1"/>
  <c r="J78" i="1" s="1"/>
  <c r="J79" i="1" s="1"/>
  <c r="C71" i="1" s="1"/>
  <c r="J86" i="1"/>
  <c r="J87" i="1" s="1"/>
  <c r="J92" i="1" s="1"/>
  <c r="J93" i="1" s="1"/>
  <c r="C85" i="1" s="1"/>
  <c r="J84" i="1"/>
  <c r="J85" i="1"/>
  <c r="C84" i="1" s="1"/>
  <c r="J83" i="1"/>
  <c r="A172" i="1"/>
  <c r="A166" i="1"/>
  <c r="A178" i="1"/>
  <c r="D86" i="1" l="1"/>
  <c r="D72" i="1"/>
  <c r="J68" i="1"/>
  <c r="E70" i="1"/>
  <c r="D71" i="1"/>
  <c r="G70" i="1"/>
  <c r="D70" i="1"/>
  <c r="E84" i="1"/>
  <c r="D85" i="1"/>
  <c r="G84" i="1"/>
  <c r="D64" i="1" s="1"/>
  <c r="D84" i="1"/>
  <c r="J81" i="1" s="1"/>
  <c r="D65" i="1" l="1"/>
  <c r="I67" i="1"/>
  <c r="J67" i="1"/>
  <c r="I81" i="1"/>
  <c r="F65" i="1"/>
  <c r="I68" i="1" l="1"/>
  <c r="I66" i="1" s="1"/>
  <c r="C68" i="1" s="1"/>
  <c r="I82" i="1"/>
  <c r="I80" i="1" s="1"/>
  <c r="C82" i="1" s="1"/>
</calcChain>
</file>

<file path=xl/sharedStrings.xml><?xml version="1.0" encoding="utf-8"?>
<sst xmlns="http://schemas.openxmlformats.org/spreadsheetml/2006/main" count="312" uniqueCount="231">
  <si>
    <t xml:space="preserve">Valuation Report </t>
  </si>
  <si>
    <t>Date:</t>
  </si>
  <si>
    <t>CPC Name:</t>
  </si>
  <si>
    <t>Date Of Property Visit</t>
  </si>
  <si>
    <t>Name of the builder group</t>
  </si>
  <si>
    <t>Name of the builder company</t>
  </si>
  <si>
    <t>Name of the Project</t>
  </si>
  <si>
    <t>Name / No of the Building</t>
  </si>
  <si>
    <t>Docouments Provided</t>
  </si>
  <si>
    <t>RERA No.</t>
  </si>
  <si>
    <t xml:space="preserve">Project location details       </t>
  </si>
  <si>
    <t>Road</t>
  </si>
  <si>
    <t>District</t>
  </si>
  <si>
    <t>City</t>
  </si>
  <si>
    <t>Pin Code</t>
  </si>
  <si>
    <t xml:space="preserve">Distance from city centre: </t>
  </si>
  <si>
    <t>all available at  1 to 2 km.</t>
  </si>
  <si>
    <t>Does property have Electricity / Water / Drainage Connection</t>
  </si>
  <si>
    <t>Yes</t>
  </si>
  <si>
    <t>Class of locality</t>
  </si>
  <si>
    <t>Nature of land with topographical condtion</t>
  </si>
  <si>
    <t>Plane</t>
  </si>
  <si>
    <t xml:space="preserve">Nature of the locality </t>
  </si>
  <si>
    <t>Quality of infrastructure in vicinity</t>
  </si>
  <si>
    <t>Good</t>
  </si>
  <si>
    <t>East</t>
  </si>
  <si>
    <t>West</t>
  </si>
  <si>
    <t>South</t>
  </si>
  <si>
    <t>North</t>
  </si>
  <si>
    <t>As per deed</t>
  </si>
  <si>
    <t>NA</t>
  </si>
  <si>
    <t>At site</t>
  </si>
  <si>
    <t>Does the boundaries at site match, as mentioned in the Docoumentation: NA</t>
  </si>
  <si>
    <t>Latitude</t>
  </si>
  <si>
    <t>Longitude</t>
  </si>
  <si>
    <t xml:space="preserve">Approved usage of the Property:                                                                                                                                             </t>
  </si>
  <si>
    <t>No</t>
  </si>
  <si>
    <t>Area Statement Details :</t>
  </si>
  <si>
    <t>Total land area of the project in Sq. Mt.</t>
  </si>
  <si>
    <t>Permissible FSI</t>
  </si>
  <si>
    <t>Permissible TDR/Paid FSI</t>
  </si>
  <si>
    <t>Total FSI availaible for the project</t>
  </si>
  <si>
    <t>Total number of Buildings</t>
  </si>
  <si>
    <t xml:space="preserve">Approval Detail : Plan approval </t>
  </si>
  <si>
    <t xml:space="preserve">Layout Approval No     </t>
  </si>
  <si>
    <t>Dated</t>
  </si>
  <si>
    <t xml:space="preserve">Approved Floor plan No.  </t>
  </si>
  <si>
    <t xml:space="preserve">O. Certificate No.: </t>
  </si>
  <si>
    <t>Expected Completion</t>
  </si>
  <si>
    <t>Building wise Construction details</t>
  </si>
  <si>
    <t>Approved no of units</t>
  </si>
  <si>
    <t>Approved no of Floors</t>
  </si>
  <si>
    <t>Type of Work</t>
  </si>
  <si>
    <t>Plinth</t>
  </si>
  <si>
    <t xml:space="preserve">Recommended rate of Parking </t>
  </si>
  <si>
    <t>Distressed valuation of the Property</t>
  </si>
  <si>
    <t>Building &amp; Wing</t>
  </si>
  <si>
    <t>Total Carpet Area</t>
  </si>
  <si>
    <t>Total Saleable Area</t>
  </si>
  <si>
    <t>Building details Floor Wise</t>
  </si>
  <si>
    <t xml:space="preserve">Details of Flats in Building   </t>
  </si>
  <si>
    <t>Description</t>
  </si>
  <si>
    <t>Gross Carpet area</t>
  </si>
  <si>
    <t>Attached Terrace area</t>
  </si>
  <si>
    <t>Floor</t>
  </si>
  <si>
    <t>Undertaking :</t>
  </si>
  <si>
    <t>1) We have personally visited the property &amp; identified the same based on the documents provided.</t>
  </si>
  <si>
    <t>2) I/We have no direct or Indirect Interest in the property being valued</t>
  </si>
  <si>
    <t>3) The information furnished above is true and correct to my/our knowledge.</t>
  </si>
  <si>
    <t>4) Legal title of the property is not verified by us.</t>
  </si>
  <si>
    <t xml:space="preserve">PHOTOGRAPHS OF PROPERTY : 
</t>
  </si>
  <si>
    <t>Google Map :</t>
  </si>
  <si>
    <t xml:space="preserve">Remarks:  </t>
  </si>
  <si>
    <t>Flat</t>
  </si>
  <si>
    <t>Residential Area Details :</t>
  </si>
  <si>
    <t>Podium</t>
  </si>
  <si>
    <t>Ground</t>
  </si>
  <si>
    <t>Locality/Village</t>
  </si>
  <si>
    <t>Taluka</t>
  </si>
  <si>
    <r>
      <t xml:space="preserve">Proposed Amenities :                                                                                                                                                                                                                      </t>
    </r>
    <r>
      <rPr>
        <sz val="12"/>
        <rFont val="Times New Roman"/>
        <family val="1"/>
      </rPr>
      <t xml:space="preserve">   </t>
    </r>
    <r>
      <rPr>
        <b/>
        <sz val="12"/>
        <rFont val="Times New Roman"/>
        <family val="1"/>
      </rPr>
      <t xml:space="preserve">                                               </t>
    </r>
  </si>
  <si>
    <t>Commercial Area Details :</t>
  </si>
  <si>
    <t>Accessibility to the Project from the City: (Proximity to civic amenities like school, hospital, market, etc.)</t>
  </si>
  <si>
    <t>Inspected By :</t>
  </si>
  <si>
    <t>No. of Units</t>
  </si>
  <si>
    <t>Authorized Signatory
Name &amp; Seal of the agency</t>
  </si>
  <si>
    <t>Floors</t>
  </si>
  <si>
    <t>Type of Structure</t>
  </si>
  <si>
    <t>RCC Frame Structure</t>
  </si>
  <si>
    <t>Complition %</t>
  </si>
  <si>
    <t>Disbursement %</t>
  </si>
  <si>
    <t>Progress %</t>
  </si>
  <si>
    <t xml:space="preserve">Material laying at Site: </t>
  </si>
  <si>
    <t>Projected life of the structure</t>
  </si>
  <si>
    <t xml:space="preserve">Quality of construction: </t>
  </si>
  <si>
    <t>Proposed no of Floors</t>
  </si>
  <si>
    <t xml:space="preserve">Stage of construction: </t>
  </si>
  <si>
    <t>Approved area of building (Sq.Mt)</t>
  </si>
  <si>
    <t>Total Approved Builtup area of the project (Sq.Mt)</t>
  </si>
  <si>
    <t>Restrictive Covenants in regard to Land Use</t>
  </si>
  <si>
    <t>Boundries</t>
  </si>
  <si>
    <t>Development Charges</t>
  </si>
  <si>
    <t>Club Charges</t>
  </si>
  <si>
    <t>Gas Connection Charges</t>
  </si>
  <si>
    <t>Water, Electricity, Drainages, Sewerage Connection</t>
  </si>
  <si>
    <t>Society Formation Charges</t>
  </si>
  <si>
    <t>Advance Maintenance Charges</t>
  </si>
  <si>
    <t>Excavation in process</t>
  </si>
  <si>
    <t>Excavation Completed</t>
  </si>
  <si>
    <t>Footing in Process</t>
  </si>
  <si>
    <t>Footing Completed</t>
  </si>
  <si>
    <t>Plinth completed</t>
  </si>
  <si>
    <t>NA
Approved upto : NA</t>
  </si>
  <si>
    <t>Report By :</t>
  </si>
  <si>
    <t>Market Research Data</t>
  </si>
  <si>
    <t>Source</t>
  </si>
  <si>
    <t>Distance from proposed property</t>
  </si>
  <si>
    <t>Net Carpet</t>
  </si>
  <si>
    <t>Market Value</t>
  </si>
  <si>
    <t>Magic Brick</t>
  </si>
  <si>
    <t>99 Acres</t>
  </si>
  <si>
    <t>Average</t>
  </si>
  <si>
    <t xml:space="preserve">Valuation Adopted </t>
  </si>
  <si>
    <t>Saleable Area</t>
  </si>
  <si>
    <t>Rate on Saleable</t>
  </si>
  <si>
    <t xml:space="preserve">Wheather the construction is as per approved Building plan : </t>
  </si>
  <si>
    <t>Ground Floor</t>
  </si>
  <si>
    <t>2nd Floor</t>
  </si>
  <si>
    <t>Shop No.
(Sale Plan)</t>
  </si>
  <si>
    <r>
      <t xml:space="preserve">Shop No.
</t>
    </r>
    <r>
      <rPr>
        <b/>
        <sz val="11"/>
        <color rgb="FF000000"/>
        <rFont val="Times New Roman"/>
        <family val="1"/>
      </rPr>
      <t>(Approved Plan)</t>
    </r>
  </si>
  <si>
    <r>
      <t xml:space="preserve">Flat No.
</t>
    </r>
    <r>
      <rPr>
        <b/>
        <sz val="11"/>
        <color rgb="FF000000"/>
        <rFont val="Times New Roman"/>
        <family val="1"/>
      </rPr>
      <t>(Approved Plan)</t>
    </r>
  </si>
  <si>
    <t>Flat No.
(Sale Plan)</t>
  </si>
  <si>
    <t>Nearby Landmark</t>
  </si>
  <si>
    <t>We considered Carpet area as per Approved Plan.</t>
  </si>
  <si>
    <t>We have considered rate by verifying it from market inquire.</t>
  </si>
  <si>
    <t>Car parking is subjected to authentic documentation.</t>
  </si>
  <si>
    <t>5) Gross carpet area =  Net Carpet area + Fungible area.</t>
  </si>
  <si>
    <t>6) Fungible Area= Enclosed Balcony + Flower Bed + Covered Balcony + Service Slab + Duct + Chajja + Wheather Shed area.</t>
  </si>
  <si>
    <t>Excavation</t>
  </si>
  <si>
    <t>RCC (Including podiums)</t>
  </si>
  <si>
    <t>Brickwork &amp; Internal Plaster</t>
  </si>
  <si>
    <t>Flooring &amp; Fitting</t>
  </si>
  <si>
    <t>External Plaster &amp; Plumbing</t>
  </si>
  <si>
    <t>Building Common Amenities</t>
  </si>
  <si>
    <t>Possession</t>
  </si>
  <si>
    <t>Ext. Plaster &amp; Plumbing</t>
  </si>
  <si>
    <t>Brickwork</t>
  </si>
  <si>
    <t>Internal Plaster</t>
  </si>
  <si>
    <t>Painting &amp; Wooden</t>
  </si>
  <si>
    <t>Slab/Floor</t>
  </si>
  <si>
    <t>Construction details:</t>
  </si>
  <si>
    <t>Piling Work in process</t>
  </si>
  <si>
    <t>Basement</t>
  </si>
  <si>
    <t>Basement 2</t>
  </si>
  <si>
    <t>Basement 3</t>
  </si>
  <si>
    <t>Basement 4</t>
  </si>
  <si>
    <t>2nd to 5th Floor</t>
  </si>
  <si>
    <t>2nd &amp; 5th Floor</t>
  </si>
  <si>
    <t>Basement 1</t>
  </si>
  <si>
    <t>Plinth in process</t>
  </si>
  <si>
    <t xml:space="preserve">Violations Observed if any : </t>
  </si>
  <si>
    <t>Saleable area Loading :</t>
  </si>
  <si>
    <t>3rd, 5th, 7th, 9th, 11th, 13th, 15th Floor</t>
  </si>
  <si>
    <t>Total</t>
  </si>
  <si>
    <t>Name of Municipal Corporation/Authority</t>
  </si>
  <si>
    <t>We have considered proposed No. of Floor for Stage Calculation.</t>
  </si>
  <si>
    <t>*</t>
  </si>
  <si>
    <t>Recommended rate should be considered as all inclusive rate if other charges are not mentioned. (Excluding GST &amp; other government Taxes)</t>
  </si>
  <si>
    <t xml:space="preserve">Commencement-CC No
Valid Up to: </t>
  </si>
  <si>
    <t>Attached Loft area</t>
  </si>
  <si>
    <t xml:space="preserve">Recommended Rates of the Property : </t>
  </si>
  <si>
    <t>Floor Rise Rate</t>
  </si>
  <si>
    <t>Recommended rate of the Shop Per Sq. Ft.</t>
  </si>
  <si>
    <t>Recommended rate of the Flat Per Sq. Ft.</t>
  </si>
  <si>
    <t>Recommended rate of the Office Per Sq. Ft.</t>
  </si>
  <si>
    <t>On Saleable Area</t>
  </si>
  <si>
    <t>Location Link</t>
  </si>
  <si>
    <t>Locality</t>
  </si>
  <si>
    <t>Provided Contact Details ( Name &amp; Contact No.)</t>
  </si>
  <si>
    <t>Site Person - Contact Details ( Name &amp; Contact No.)</t>
  </si>
  <si>
    <t>Layout :</t>
  </si>
  <si>
    <t xml:space="preserve">1. Vitrified tiles flooring 2. Granite Kitchen Platform 3. Decorative
Enternace etc.
</t>
  </si>
  <si>
    <t>Axis Goregaon</t>
  </si>
  <si>
    <t>Saarnath Builders and Developers</t>
  </si>
  <si>
    <t>Ideal Park Building No.2</t>
  </si>
  <si>
    <t>7875337123 / 9270319400</t>
  </si>
  <si>
    <t>P99000047280</t>
  </si>
  <si>
    <t>Gut No</t>
  </si>
  <si>
    <t>179, 180 &amp; 181</t>
  </si>
  <si>
    <t>Umroli</t>
  </si>
  <si>
    <t>Sarpada</t>
  </si>
  <si>
    <t>Padghe Road</t>
  </si>
  <si>
    <t>Umroli East</t>
  </si>
  <si>
    <t>Palghar</t>
  </si>
  <si>
    <t>0.300KM from Umroli Railway Station</t>
  </si>
  <si>
    <t>Building No.1</t>
  </si>
  <si>
    <t>Yasuvansi complex (Building No.3)</t>
  </si>
  <si>
    <t>Internal Road</t>
  </si>
  <si>
    <t>Building</t>
  </si>
  <si>
    <t>2 Wings</t>
  </si>
  <si>
    <t>Collector Of Palghar</t>
  </si>
  <si>
    <t>Mahsul/K.1/MJ.1/NAP/SR/229/17</t>
  </si>
  <si>
    <t>Mahsul/K.1/MJ.1/NAP/SR/229/2017</t>
  </si>
  <si>
    <t>Wing A (Type D1a)</t>
  </si>
  <si>
    <t>Wing B (Type C2a)</t>
  </si>
  <si>
    <t>Ground Floor For Part Residential &amp; Parking</t>
  </si>
  <si>
    <t>1st to 4th Floor</t>
  </si>
  <si>
    <t>1st to 3rd Floor</t>
  </si>
  <si>
    <t>We considered Gross carpet area = Net carpet</t>
  </si>
  <si>
    <t>Approved Plans, CC, Sale Plans, Cost Sheet</t>
  </si>
  <si>
    <t>Flats - 37</t>
  </si>
  <si>
    <t>Soham Garden Buildings</t>
  </si>
  <si>
    <t xml:space="preserve">or </t>
  </si>
  <si>
    <t>Sheet</t>
  </si>
  <si>
    <t>Builder sheet</t>
  </si>
  <si>
    <t>SA</t>
  </si>
  <si>
    <t xml:space="preserve">Builder Saleable area </t>
  </si>
  <si>
    <t>https://housing.com/in/buy/projects/page/109998-ideal-city-bldg-no-2-by-shree-ganesh-enterprises-in-boisar</t>
  </si>
  <si>
    <t>https://www.magicbricks.com/2-bhk-flats-in-umroli-palghar-for-sale-pppfs</t>
  </si>
  <si>
    <t>Building No.2
Wing A (Type D1a) = Gr + 1st to 4th Floor
Wing B (Type C2a) = Gr + 1st to 3rd Floor</t>
  </si>
  <si>
    <t>Building No. 2</t>
  </si>
  <si>
    <t>Building No.2 - Wing A (Type D1a) = Gr + 1st to 4th Floor</t>
  </si>
  <si>
    <t>Building No.2
Wing A (Type D1a)
Wing B (Type C2a)</t>
  </si>
  <si>
    <t>Office No. 1031, Wing J, Akshar Business Park, Plot No. 03 Sector 25, Near APMC Market, Vashi, Navi Mumbai, Maharashtra 400703 TEL: 022-46090378/79/80                                                                                             E mail : vsjcapf@gmail.com. Web site : www.vsjadon.com</t>
  </si>
  <si>
    <t>Building No.2 - Wing B (Type C2a) = Gr + 1st to 5th Floor</t>
  </si>
  <si>
    <t xml:space="preserve">Construction work beyond the CC of B Wing. Please Provide latest CC and approved floor plans. </t>
  </si>
  <si>
    <t>Mr. Akhilesh : 9029664475</t>
  </si>
  <si>
    <t>As per RERA - 31/03/2026</t>
  </si>
  <si>
    <t>https://maps.app.goo.gl/Tnnewcg5vYA1kQvN8</t>
  </si>
  <si>
    <t>Pooja</t>
  </si>
  <si>
    <t>Yadnyesh Patil</t>
  </si>
  <si>
    <t xml:space="preserve">Wing A = Few flats are occupied by tenents. Lift work is pending.
Wing B = Finishing work is pending.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</si>
</sst>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43" formatCode="_ * #,##0.00_ ;_ * \-#,##0.00_ ;_ * &quot;-&quot;??_ ;_ @_ "/>
    <numFmt numFmtId="164" formatCode="_(* #,##0.00_);_(* \(#,##0.00\);_(* &quot;-&quot;??_);_(@_)"/>
    <numFmt numFmtId="165" formatCode="0.0"/>
    <numFmt numFmtId="166" formatCode="_(* #,##0_);_(* \(#,##0\);_(* &quot;-&quot;??_);_(@_)"/>
    <numFmt numFmtId="167" formatCode="_ * #,##0_ ;_ * \-#,##0_ ;_ * &quot;-&quot;??_ ;_ @_ "/>
    <numFmt numFmtId="168" formatCode="[&gt;0]0&quot;BHK&quot;;&quot;1RK&quot;"/>
    <numFmt numFmtId="169" formatCode="0.000"/>
  </numFmts>
  <fonts count="27" x14ac:knownFonts="1">
    <font>
      <sz val="11"/>
      <color rgb="FF000000"/>
      <name val="Calibri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indexed="8"/>
      <name val="Times New Roman"/>
      <family val="1"/>
    </font>
    <font>
      <sz val="11"/>
      <color indexed="8"/>
      <name val="Calibri"/>
      <family val="2"/>
    </font>
    <font>
      <sz val="12"/>
      <color indexed="8"/>
      <name val="Times New Roman"/>
      <family val="1"/>
    </font>
    <font>
      <sz val="12"/>
      <color theme="1"/>
      <name val="Times New Roman"/>
      <family val="1"/>
    </font>
    <font>
      <b/>
      <sz val="12"/>
      <color indexed="8"/>
      <name val="Times New Roman"/>
      <family val="1"/>
    </font>
    <font>
      <b/>
      <sz val="11"/>
      <color theme="1"/>
      <name val="Calibri"/>
      <family val="2"/>
      <scheme val="minor"/>
    </font>
    <font>
      <b/>
      <sz val="12"/>
      <color theme="1"/>
      <name val="Times New Roman"/>
      <family val="1"/>
    </font>
    <font>
      <b/>
      <sz val="11.5"/>
      <color indexed="8"/>
      <name val="Times New Roman"/>
      <family val="1"/>
    </font>
    <font>
      <sz val="12"/>
      <name val="Times New Roman"/>
      <family val="1"/>
    </font>
    <font>
      <b/>
      <sz val="12"/>
      <name val="Times New Roman"/>
      <family val="1"/>
    </font>
    <font>
      <sz val="11"/>
      <name val="Times New Roman"/>
      <family val="1"/>
    </font>
    <font>
      <sz val="12"/>
      <color rgb="FFFF0000"/>
      <name val="Times New Roman"/>
      <family val="1"/>
    </font>
    <font>
      <sz val="11"/>
      <color theme="1"/>
      <name val="Times New Roman"/>
      <family val="1"/>
    </font>
    <font>
      <sz val="11"/>
      <color rgb="FF000000"/>
      <name val="Times New Roman"/>
      <family val="1"/>
    </font>
    <font>
      <sz val="11"/>
      <color rgb="FFFF0000"/>
      <name val="Calibri"/>
      <family val="2"/>
      <scheme val="minor"/>
    </font>
    <font>
      <sz val="11"/>
      <color rgb="FFFF0000"/>
      <name val="Calibri"/>
      <family val="2"/>
    </font>
    <font>
      <sz val="10"/>
      <name val="Arial"/>
      <family val="2"/>
    </font>
    <font>
      <sz val="11"/>
      <color rgb="FF000000"/>
      <name val="Calibri"/>
      <family val="2"/>
    </font>
    <font>
      <b/>
      <sz val="11"/>
      <color rgb="FF000000"/>
      <name val="Times New Roman"/>
      <family val="1"/>
    </font>
    <font>
      <sz val="10"/>
      <color theme="1"/>
      <name val="Times New Roman"/>
      <family val="1"/>
    </font>
    <font>
      <sz val="11"/>
      <name val="Calibri"/>
      <family val="2"/>
    </font>
    <font>
      <sz val="11"/>
      <color theme="0"/>
      <name val="Calibri"/>
      <family val="2"/>
    </font>
    <font>
      <u/>
      <sz val="11"/>
      <color theme="10"/>
      <name val="Calibri"/>
      <family val="2"/>
    </font>
  </fonts>
  <fills count="3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</fills>
  <borders count="3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</borders>
  <cellStyleXfs count="11">
    <xf numFmtId="0" fontId="0" fillId="0" borderId="0"/>
    <xf numFmtId="0" fontId="3" fillId="0" borderId="0"/>
    <xf numFmtId="0" fontId="5" fillId="0" borderId="0"/>
    <xf numFmtId="0" fontId="2" fillId="0" borderId="0"/>
    <xf numFmtId="0" fontId="5" fillId="0" borderId="0"/>
    <xf numFmtId="0" fontId="1" fillId="0" borderId="0"/>
    <xf numFmtId="164" fontId="5" fillId="0" borderId="0" applyFont="0" applyFill="0" applyBorder="0" applyAlignment="0" applyProtection="0"/>
    <xf numFmtId="0" fontId="20" fillId="0" borderId="0"/>
    <xf numFmtId="9" fontId="21" fillId="0" borderId="0" applyFont="0" applyFill="0" applyBorder="0" applyAlignment="0" applyProtection="0"/>
    <xf numFmtId="43" fontId="21" fillId="0" borderId="0" applyFont="0" applyFill="0" applyBorder="0" applyAlignment="0" applyProtection="0"/>
    <xf numFmtId="0" fontId="26" fillId="0" borderId="0" applyNumberFormat="0" applyFill="0" applyBorder="0" applyAlignment="0" applyProtection="0"/>
  </cellStyleXfs>
  <cellXfs count="200">
    <xf numFmtId="0" fontId="0" fillId="0" borderId="0" xfId="0"/>
    <xf numFmtId="0" fontId="5" fillId="0" borderId="0" xfId="4"/>
    <xf numFmtId="0" fontId="1" fillId="0" borderId="0" xfId="5"/>
    <xf numFmtId="0" fontId="9" fillId="0" borderId="1" xfId="5" applyFont="1" applyBorder="1" applyAlignment="1">
      <alignment horizontal="center" vertical="top" wrapText="1"/>
    </xf>
    <xf numFmtId="0" fontId="19" fillId="0" borderId="0" xfId="4" applyFont="1"/>
    <xf numFmtId="0" fontId="1" fillId="0" borderId="1" xfId="5" applyBorder="1" applyAlignment="1">
      <alignment horizontal="center" vertical="center"/>
    </xf>
    <xf numFmtId="0" fontId="1" fillId="0" borderId="1" xfId="5" applyBorder="1" applyAlignment="1">
      <alignment horizontal="left" vertical="center"/>
    </xf>
    <xf numFmtId="1" fontId="1" fillId="0" borderId="1" xfId="5" applyNumberFormat="1" applyBorder="1" applyAlignment="1">
      <alignment horizontal="center" vertical="center"/>
    </xf>
    <xf numFmtId="166" fontId="1" fillId="0" borderId="1" xfId="6" applyNumberFormat="1" applyFont="1" applyBorder="1" applyAlignment="1">
      <alignment horizontal="right" vertical="center"/>
    </xf>
    <xf numFmtId="0" fontId="1" fillId="0" borderId="1" xfId="5" applyBorder="1" applyAlignment="1">
      <alignment horizontal="left" vertical="center" wrapText="1"/>
    </xf>
    <xf numFmtId="0" fontId="9" fillId="0" borderId="1" xfId="5" applyFont="1" applyBorder="1" applyAlignment="1">
      <alignment horizontal="center" vertical="center"/>
    </xf>
    <xf numFmtId="1" fontId="18" fillId="0" borderId="1" xfId="5" applyNumberFormat="1" applyFont="1" applyBorder="1" applyAlignment="1">
      <alignment horizontal="center" vertical="center"/>
    </xf>
    <xf numFmtId="0" fontId="5" fillId="0" borderId="1" xfId="4" applyBorder="1" applyAlignment="1">
      <alignment horizontal="center" vertical="center"/>
    </xf>
    <xf numFmtId="9" fontId="8" fillId="0" borderId="14" xfId="8" applyFont="1" applyFill="1" applyBorder="1" applyAlignment="1" applyProtection="1">
      <alignment horizontal="center" vertical="top" wrapText="1"/>
      <protection locked="0"/>
    </xf>
    <xf numFmtId="0" fontId="17" fillId="0" borderId="0" xfId="0" applyFont="1" applyProtection="1">
      <protection hidden="1"/>
    </xf>
    <xf numFmtId="0" fontId="17" fillId="0" borderId="11" xfId="0" applyFont="1" applyBorder="1" applyProtection="1">
      <protection hidden="1"/>
    </xf>
    <xf numFmtId="0" fontId="12" fillId="0" borderId="4" xfId="1" applyFont="1" applyBorder="1" applyAlignment="1" applyProtection="1">
      <alignment horizontal="center" vertical="top"/>
      <protection locked="0"/>
    </xf>
    <xf numFmtId="0" fontId="12" fillId="0" borderId="5" xfId="1" applyFont="1" applyBorder="1" applyAlignment="1" applyProtection="1">
      <alignment horizontal="center" vertical="top"/>
      <protection locked="0"/>
    </xf>
    <xf numFmtId="0" fontId="6" fillId="0" borderId="1" xfId="1" applyFont="1" applyBorder="1" applyAlignment="1" applyProtection="1">
      <alignment vertical="top" wrapText="1"/>
      <protection locked="0"/>
    </xf>
    <xf numFmtId="9" fontId="7" fillId="0" borderId="1" xfId="8" applyFont="1" applyFill="1" applyBorder="1" applyAlignment="1" applyProtection="1">
      <alignment horizontal="center" vertical="top" wrapText="1"/>
      <protection locked="0"/>
    </xf>
    <xf numFmtId="9" fontId="7" fillId="0" borderId="7" xfId="8" applyFont="1" applyFill="1" applyBorder="1" applyAlignment="1" applyProtection="1">
      <alignment horizontal="center" vertical="top" wrapText="1"/>
      <protection locked="0"/>
    </xf>
    <xf numFmtId="0" fontId="7" fillId="0" borderId="0" xfId="1" applyFont="1"/>
    <xf numFmtId="0" fontId="15" fillId="0" borderId="0" xfId="1" applyFont="1"/>
    <xf numFmtId="0" fontId="12" fillId="0" borderId="0" xfId="1" applyFont="1"/>
    <xf numFmtId="1" fontId="7" fillId="0" borderId="0" xfId="1" applyNumberFormat="1" applyFont="1"/>
    <xf numFmtId="14" fontId="7" fillId="0" borderId="0" xfId="1" applyNumberFormat="1" applyFont="1"/>
    <xf numFmtId="0" fontId="7" fillId="0" borderId="0" xfId="1" applyFont="1" applyProtection="1">
      <protection hidden="1"/>
    </xf>
    <xf numFmtId="0" fontId="23" fillId="0" borderId="0" xfId="1" applyFont="1"/>
    <xf numFmtId="0" fontId="7" fillId="0" borderId="10" xfId="1" applyFont="1" applyBorder="1"/>
    <xf numFmtId="0" fontId="17" fillId="0" borderId="10" xfId="0" applyFont="1" applyBorder="1" applyProtection="1">
      <protection hidden="1"/>
    </xf>
    <xf numFmtId="1" fontId="0" fillId="0" borderId="10" xfId="0" applyNumberFormat="1" applyBorder="1"/>
    <xf numFmtId="1" fontId="0" fillId="0" borderId="10" xfId="0" applyNumberFormat="1" applyBorder="1" applyAlignment="1">
      <alignment horizontal="right"/>
    </xf>
    <xf numFmtId="1" fontId="0" fillId="0" borderId="12" xfId="0" applyNumberFormat="1" applyBorder="1"/>
    <xf numFmtId="0" fontId="16" fillId="0" borderId="0" xfId="1" applyFont="1"/>
    <xf numFmtId="0" fontId="6" fillId="0" borderId="0" xfId="2" applyFont="1"/>
    <xf numFmtId="0" fontId="7" fillId="0" borderId="0" xfId="0" applyFont="1" applyAlignment="1">
      <alignment horizontal="center" vertical="center"/>
    </xf>
    <xf numFmtId="1" fontId="7" fillId="0" borderId="0" xfId="1" applyNumberFormat="1" applyFont="1" applyAlignment="1">
      <alignment horizontal="center" vertical="center"/>
    </xf>
    <xf numFmtId="0" fontId="7" fillId="0" borderId="0" xfId="1" applyFont="1" applyAlignment="1">
      <alignment horizontal="center" vertical="center"/>
    </xf>
    <xf numFmtId="0" fontId="8" fillId="0" borderId="0" xfId="1" applyFont="1" applyAlignment="1" applyProtection="1">
      <alignment vertical="top"/>
      <protection locked="0"/>
    </xf>
    <xf numFmtId="0" fontId="8" fillId="0" borderId="0" xfId="1" applyFont="1" applyAlignment="1" applyProtection="1">
      <alignment vertical="top" wrapText="1"/>
      <protection locked="0"/>
    </xf>
    <xf numFmtId="0" fontId="7" fillId="0" borderId="0" xfId="1" applyFont="1" applyProtection="1">
      <protection locked="0"/>
    </xf>
    <xf numFmtId="0" fontId="10" fillId="0" borderId="0" xfId="1" applyFont="1" applyProtection="1">
      <protection locked="0"/>
    </xf>
    <xf numFmtId="1" fontId="6" fillId="0" borderId="1" xfId="1" applyNumberFormat="1" applyFont="1" applyBorder="1" applyAlignment="1" applyProtection="1">
      <alignment horizontal="center" vertical="center" wrapText="1"/>
      <protection locked="0"/>
    </xf>
    <xf numFmtId="1" fontId="8" fillId="0" borderId="3" xfId="1" applyNumberFormat="1" applyFont="1" applyBorder="1" applyAlignment="1" applyProtection="1">
      <alignment horizontal="center" vertical="top" wrapText="1"/>
      <protection locked="0"/>
    </xf>
    <xf numFmtId="0" fontId="7" fillId="0" borderId="1" xfId="1" applyFont="1" applyBorder="1" applyAlignment="1" applyProtection="1">
      <alignment horizontal="center" vertical="top" wrapText="1"/>
      <protection locked="0"/>
    </xf>
    <xf numFmtId="0" fontId="7" fillId="0" borderId="7" xfId="1" applyFont="1" applyBorder="1" applyAlignment="1" applyProtection="1">
      <alignment horizontal="center" vertical="top" wrapText="1"/>
      <protection locked="0"/>
    </xf>
    <xf numFmtId="0" fontId="8" fillId="0" borderId="1" xfId="1" applyFont="1" applyBorder="1" applyAlignment="1" applyProtection="1">
      <alignment vertical="top"/>
      <protection locked="0"/>
    </xf>
    <xf numFmtId="1" fontId="6" fillId="0" borderId="1" xfId="0" applyNumberFormat="1" applyFont="1" applyBorder="1" applyAlignment="1" applyProtection="1">
      <alignment horizontal="center" vertical="center" wrapText="1"/>
      <protection locked="0"/>
    </xf>
    <xf numFmtId="0" fontId="24" fillId="2" borderId="26" xfId="0" applyFont="1" applyFill="1" applyBorder="1"/>
    <xf numFmtId="0" fontId="25" fillId="0" borderId="27" xfId="0" applyFont="1" applyBorder="1"/>
    <xf numFmtId="0" fontId="25" fillId="0" borderId="1" xfId="0" applyFont="1" applyBorder="1"/>
    <xf numFmtId="0" fontId="25" fillId="0" borderId="5" xfId="0" applyFont="1" applyBorder="1"/>
    <xf numFmtId="0" fontId="12" fillId="0" borderId="1" xfId="1" applyFont="1" applyBorder="1" applyAlignment="1" applyProtection="1">
      <alignment horizontal="center" vertical="top"/>
      <protection locked="0"/>
    </xf>
    <xf numFmtId="168" fontId="6" fillId="0" borderId="1" xfId="1" applyNumberFormat="1" applyFont="1" applyBorder="1" applyAlignment="1" applyProtection="1">
      <alignment horizontal="center" vertical="center" wrapText="1"/>
      <protection locked="0"/>
    </xf>
    <xf numFmtId="1" fontId="8" fillId="0" borderId="15" xfId="1" applyNumberFormat="1" applyFont="1" applyBorder="1" applyAlignment="1" applyProtection="1">
      <alignment horizontal="center" vertical="top" wrapText="1"/>
      <protection locked="0"/>
    </xf>
    <xf numFmtId="1" fontId="4" fillId="0" borderId="3" xfId="1" applyNumberFormat="1" applyFont="1" applyBorder="1" applyAlignment="1" applyProtection="1">
      <alignment horizontal="center" vertical="top" wrapText="1"/>
      <protection locked="0"/>
    </xf>
    <xf numFmtId="1" fontId="7" fillId="0" borderId="1" xfId="1" applyNumberFormat="1" applyFont="1" applyBorder="1" applyAlignment="1">
      <alignment horizontal="center" vertical="center"/>
    </xf>
    <xf numFmtId="167" fontId="7" fillId="0" borderId="0" xfId="9" applyNumberFormat="1" applyFont="1" applyAlignment="1">
      <alignment horizontal="center" vertical="center"/>
    </xf>
    <xf numFmtId="0" fontId="10" fillId="0" borderId="0" xfId="0" applyFont="1" applyAlignment="1">
      <alignment horizontal="center" vertical="center"/>
    </xf>
    <xf numFmtId="169" fontId="7" fillId="0" borderId="0" xfId="1" applyNumberFormat="1" applyFont="1" applyAlignment="1">
      <alignment horizontal="center" vertical="center"/>
    </xf>
    <xf numFmtId="0" fontId="6" fillId="0" borderId="0" xfId="2" applyFont="1" applyAlignment="1">
      <alignment horizontal="center"/>
    </xf>
    <xf numFmtId="167" fontId="6" fillId="0" borderId="0" xfId="9" applyNumberFormat="1" applyFont="1" applyAlignment="1">
      <alignment horizontal="center"/>
    </xf>
    <xf numFmtId="167" fontId="8" fillId="0" borderId="0" xfId="9" applyNumberFormat="1" applyFont="1" applyAlignment="1">
      <alignment horizontal="center"/>
    </xf>
    <xf numFmtId="0" fontId="7" fillId="0" borderId="0" xfId="1" applyFont="1" applyAlignment="1">
      <alignment horizontal="center"/>
    </xf>
    <xf numFmtId="167" fontId="10" fillId="0" borderId="0" xfId="1" applyNumberFormat="1" applyFont="1" applyAlignment="1">
      <alignment horizontal="center"/>
    </xf>
    <xf numFmtId="0" fontId="26" fillId="0" borderId="0" xfId="10" applyAlignment="1">
      <alignment horizontal="center" vertical="center"/>
    </xf>
    <xf numFmtId="0" fontId="7" fillId="0" borderId="1" xfId="1" applyFont="1" applyBorder="1" applyAlignment="1" applyProtection="1">
      <alignment horizontal="center" vertical="top" wrapText="1"/>
      <protection locked="0"/>
    </xf>
    <xf numFmtId="0" fontId="12" fillId="0" borderId="1" xfId="1" applyFont="1" applyBorder="1" applyAlignment="1" applyProtection="1">
      <alignment horizontal="center" vertical="top"/>
      <protection locked="0"/>
    </xf>
    <xf numFmtId="0" fontId="24" fillId="2" borderId="13" xfId="0" applyFont="1" applyFill="1" applyBorder="1"/>
    <xf numFmtId="0" fontId="25" fillId="0" borderId="9" xfId="0" applyFont="1" applyBorder="1"/>
    <xf numFmtId="0" fontId="7" fillId="0" borderId="0" xfId="1" applyFont="1" applyAlignment="1">
      <alignment horizontal="center" vertical="center"/>
    </xf>
    <xf numFmtId="0" fontId="12" fillId="0" borderId="1" xfId="1" applyFont="1" applyBorder="1" applyAlignment="1" applyProtection="1">
      <alignment horizontal="left" vertical="top" wrapText="1"/>
      <protection locked="0"/>
    </xf>
    <xf numFmtId="165" fontId="6" fillId="0" borderId="1" xfId="1" applyNumberFormat="1" applyFont="1" applyBorder="1" applyAlignment="1" applyProtection="1">
      <alignment horizontal="left" vertical="top"/>
      <protection locked="0"/>
    </xf>
    <xf numFmtId="0" fontId="6" fillId="0" borderId="1" xfId="1" applyFont="1" applyBorder="1" applyAlignment="1" applyProtection="1">
      <alignment horizontal="left" vertical="top"/>
      <protection locked="0"/>
    </xf>
    <xf numFmtId="0" fontId="13" fillId="0" borderId="28" xfId="1" applyFont="1" applyBorder="1" applyAlignment="1" applyProtection="1">
      <alignment horizontal="left" vertical="top" wrapText="1"/>
      <protection locked="0"/>
    </xf>
    <xf numFmtId="0" fontId="13" fillId="0" borderId="18" xfId="1" applyFont="1" applyBorder="1" applyAlignment="1" applyProtection="1">
      <alignment horizontal="left" vertical="top" wrapText="1"/>
      <protection locked="0"/>
    </xf>
    <xf numFmtId="0" fontId="13" fillId="0" borderId="17" xfId="1" applyFont="1" applyBorder="1" applyAlignment="1" applyProtection="1">
      <alignment horizontal="left" vertical="top" wrapText="1"/>
      <protection locked="0"/>
    </xf>
    <xf numFmtId="0" fontId="13" fillId="0" borderId="2" xfId="1" applyFont="1" applyBorder="1" applyAlignment="1" applyProtection="1">
      <alignment horizontal="left" vertical="top" wrapText="1"/>
      <protection locked="0"/>
    </xf>
    <xf numFmtId="0" fontId="13" fillId="0" borderId="29" xfId="1" applyFont="1" applyBorder="1" applyAlignment="1" applyProtection="1">
      <alignment horizontal="left" vertical="top" wrapText="1"/>
      <protection locked="0"/>
    </xf>
    <xf numFmtId="0" fontId="7" fillId="0" borderId="1" xfId="1" applyFont="1" applyBorder="1" applyAlignment="1" applyProtection="1">
      <alignment horizontal="center" vertical="top" wrapText="1"/>
      <protection locked="0"/>
    </xf>
    <xf numFmtId="0" fontId="6" fillId="0" borderId="8" xfId="1" applyFont="1" applyBorder="1" applyAlignment="1" applyProtection="1">
      <alignment horizontal="left" vertical="top" wrapText="1"/>
      <protection locked="0"/>
    </xf>
    <xf numFmtId="0" fontId="6" fillId="0" borderId="9" xfId="1" applyFont="1" applyBorder="1" applyAlignment="1" applyProtection="1">
      <alignment horizontal="left" vertical="top" wrapText="1"/>
      <protection locked="0"/>
    </xf>
    <xf numFmtId="0" fontId="6" fillId="0" borderId="19" xfId="1" applyFont="1" applyBorder="1" applyAlignment="1" applyProtection="1">
      <alignment horizontal="left" vertical="top" wrapText="1"/>
      <protection locked="0"/>
    </xf>
    <xf numFmtId="14" fontId="6" fillId="0" borderId="8" xfId="1" applyNumberFormat="1" applyFont="1" applyBorder="1" applyAlignment="1" applyProtection="1">
      <alignment horizontal="left" vertical="top" wrapText="1"/>
      <protection locked="0"/>
    </xf>
    <xf numFmtId="14" fontId="6" fillId="0" borderId="9" xfId="1" applyNumberFormat="1" applyFont="1" applyBorder="1" applyAlignment="1" applyProtection="1">
      <alignment horizontal="left" vertical="top" wrapText="1"/>
      <protection locked="0"/>
    </xf>
    <xf numFmtId="0" fontId="12" fillId="0" borderId="15" xfId="1" applyFont="1" applyBorder="1" applyAlignment="1" applyProtection="1">
      <alignment horizontal="left" vertical="top" wrapText="1"/>
      <protection locked="0"/>
    </xf>
    <xf numFmtId="0" fontId="12" fillId="0" borderId="20" xfId="1" applyFont="1" applyBorder="1" applyAlignment="1" applyProtection="1">
      <alignment horizontal="left" vertical="top" wrapText="1"/>
      <protection locked="0"/>
    </xf>
    <xf numFmtId="0" fontId="12" fillId="0" borderId="21" xfId="1" applyFont="1" applyBorder="1" applyAlignment="1" applyProtection="1">
      <alignment horizontal="left" vertical="top" wrapText="1"/>
      <protection locked="0"/>
    </xf>
    <xf numFmtId="0" fontId="12" fillId="0" borderId="0" xfId="1" applyFont="1" applyAlignment="1" applyProtection="1">
      <alignment horizontal="left" vertical="top" wrapText="1"/>
      <protection locked="0"/>
    </xf>
    <xf numFmtId="0" fontId="12" fillId="0" borderId="15" xfId="1" applyFont="1" applyBorder="1" applyAlignment="1" applyProtection="1">
      <alignment horizontal="left" vertical="top"/>
      <protection locked="0"/>
    </xf>
    <xf numFmtId="0" fontId="12" fillId="0" borderId="20" xfId="1" applyFont="1" applyBorder="1" applyAlignment="1" applyProtection="1">
      <alignment horizontal="left" vertical="top"/>
      <protection locked="0"/>
    </xf>
    <xf numFmtId="0" fontId="12" fillId="0" borderId="16" xfId="1" applyFont="1" applyBorder="1" applyAlignment="1" applyProtection="1">
      <alignment horizontal="left" vertical="top"/>
      <protection locked="0"/>
    </xf>
    <xf numFmtId="0" fontId="12" fillId="0" borderId="17" xfId="1" applyFont="1" applyBorder="1" applyAlignment="1" applyProtection="1">
      <alignment horizontal="left" vertical="top"/>
      <protection locked="0"/>
    </xf>
    <xf numFmtId="0" fontId="12" fillId="0" borderId="2" xfId="1" applyFont="1" applyBorder="1" applyAlignment="1" applyProtection="1">
      <alignment horizontal="left" vertical="top"/>
      <protection locked="0"/>
    </xf>
    <xf numFmtId="0" fontId="12" fillId="0" borderId="18" xfId="1" applyFont="1" applyBorder="1" applyAlignment="1" applyProtection="1">
      <alignment horizontal="left" vertical="top"/>
      <protection locked="0"/>
    </xf>
    <xf numFmtId="0" fontId="8" fillId="0" borderId="8" xfId="1" applyFont="1" applyBorder="1" applyAlignment="1" applyProtection="1">
      <alignment horizontal="left" vertical="top" wrapText="1"/>
      <protection locked="0"/>
    </xf>
    <xf numFmtId="0" fontId="8" fillId="0" borderId="9" xfId="1" applyFont="1" applyBorder="1" applyAlignment="1" applyProtection="1">
      <alignment horizontal="left" vertical="top" wrapText="1"/>
      <protection locked="0"/>
    </xf>
    <xf numFmtId="0" fontId="8" fillId="0" borderId="19" xfId="1" applyFont="1" applyBorder="1" applyAlignment="1" applyProtection="1">
      <alignment horizontal="left" vertical="top" wrapText="1"/>
      <protection locked="0"/>
    </xf>
    <xf numFmtId="0" fontId="8" fillId="0" borderId="1" xfId="1" applyFont="1" applyBorder="1" applyAlignment="1" applyProtection="1">
      <alignment vertical="top"/>
      <protection locked="0"/>
    </xf>
    <xf numFmtId="0" fontId="6" fillId="0" borderId="1" xfId="1" applyFont="1" applyBorder="1" applyAlignment="1" applyProtection="1">
      <alignment horizontal="left" vertical="top" wrapText="1"/>
      <protection locked="0"/>
    </xf>
    <xf numFmtId="0" fontId="12" fillId="0" borderId="1" xfId="1" applyFont="1" applyBorder="1" applyAlignment="1" applyProtection="1">
      <alignment horizontal="left" vertical="top"/>
      <protection locked="0"/>
    </xf>
    <xf numFmtId="0" fontId="6" fillId="0" borderId="1" xfId="1" applyFont="1" applyBorder="1" applyAlignment="1" applyProtection="1">
      <alignment vertical="top"/>
      <protection locked="0"/>
    </xf>
    <xf numFmtId="1" fontId="6" fillId="0" borderId="8" xfId="1" applyNumberFormat="1" applyFont="1" applyBorder="1" applyAlignment="1" applyProtection="1">
      <alignment horizontal="center" vertical="center" wrapText="1"/>
      <protection locked="0"/>
    </xf>
    <xf numFmtId="1" fontId="6" fillId="0" borderId="9" xfId="1" applyNumberFormat="1" applyFont="1" applyBorder="1" applyAlignment="1" applyProtection="1">
      <alignment horizontal="center" vertical="center" wrapText="1"/>
      <protection locked="0"/>
    </xf>
    <xf numFmtId="1" fontId="6" fillId="0" borderId="1" xfId="1" applyNumberFormat="1" applyFont="1" applyBorder="1" applyAlignment="1" applyProtection="1">
      <alignment horizontal="center" vertical="center" wrapText="1"/>
      <protection locked="0"/>
    </xf>
    <xf numFmtId="1" fontId="8" fillId="0" borderId="1" xfId="0" applyNumberFormat="1" applyFont="1" applyBorder="1" applyAlignment="1" applyProtection="1">
      <alignment horizontal="center" vertical="top" wrapText="1"/>
      <protection locked="0"/>
    </xf>
    <xf numFmtId="1" fontId="8" fillId="0" borderId="15" xfId="1" applyNumberFormat="1" applyFont="1" applyBorder="1" applyAlignment="1" applyProtection="1">
      <alignment horizontal="center" vertical="top" wrapText="1"/>
      <protection locked="0"/>
    </xf>
    <xf numFmtId="1" fontId="8" fillId="0" borderId="16" xfId="1" applyNumberFormat="1" applyFont="1" applyBorder="1" applyAlignment="1" applyProtection="1">
      <alignment horizontal="center" vertical="top" wrapText="1"/>
      <protection locked="0"/>
    </xf>
    <xf numFmtId="0" fontId="7" fillId="0" borderId="4" xfId="1" applyFont="1" applyBorder="1" applyAlignment="1" applyProtection="1">
      <alignment horizontal="center" vertical="top" wrapText="1"/>
      <protection locked="0"/>
    </xf>
    <xf numFmtId="167" fontId="12" fillId="0" borderId="1" xfId="9" applyNumberFormat="1" applyFont="1" applyFill="1" applyBorder="1" applyAlignment="1" applyProtection="1">
      <alignment horizontal="left" vertical="top"/>
      <protection locked="0"/>
    </xf>
    <xf numFmtId="1" fontId="12" fillId="0" borderId="1" xfId="0" applyNumberFormat="1" applyFont="1" applyBorder="1" applyAlignment="1" applyProtection="1">
      <alignment horizontal="center" vertical="top" wrapText="1"/>
      <protection locked="0"/>
    </xf>
    <xf numFmtId="0" fontId="13" fillId="0" borderId="1" xfId="0" applyFont="1" applyBorder="1" applyAlignment="1" applyProtection="1">
      <alignment horizontal="center" vertical="center"/>
      <protection locked="0"/>
    </xf>
    <xf numFmtId="0" fontId="8" fillId="0" borderId="1" xfId="1" applyFont="1" applyBorder="1" applyAlignment="1" applyProtection="1">
      <alignment horizontal="center" vertical="top"/>
      <protection locked="0"/>
    </xf>
    <xf numFmtId="1" fontId="13" fillId="0" borderId="1" xfId="0" applyNumberFormat="1" applyFont="1" applyBorder="1" applyAlignment="1" applyProtection="1">
      <alignment horizontal="center" vertical="top" wrapText="1"/>
      <protection locked="0"/>
    </xf>
    <xf numFmtId="0" fontId="12" fillId="0" borderId="1" xfId="0" applyFont="1" applyBorder="1" applyAlignment="1" applyProtection="1">
      <alignment horizontal="center" vertical="center"/>
      <protection locked="0"/>
    </xf>
    <xf numFmtId="0" fontId="12" fillId="0" borderId="1" xfId="0" applyFont="1" applyBorder="1" applyAlignment="1" applyProtection="1">
      <alignment horizontal="center" vertical="top" wrapText="1"/>
      <protection locked="0"/>
    </xf>
    <xf numFmtId="0" fontId="8" fillId="0" borderId="8" xfId="1" applyFont="1" applyBorder="1" applyAlignment="1" applyProtection="1">
      <alignment horizontal="left" vertical="top"/>
      <protection locked="0"/>
    </xf>
    <xf numFmtId="0" fontId="8" fillId="0" borderId="9" xfId="1" applyFont="1" applyBorder="1" applyAlignment="1" applyProtection="1">
      <alignment horizontal="left" vertical="top"/>
      <protection locked="0"/>
    </xf>
    <xf numFmtId="0" fontId="7" fillId="0" borderId="5" xfId="1" applyFont="1" applyBorder="1" applyAlignment="1" applyProtection="1">
      <alignment horizontal="center" vertical="top" wrapText="1"/>
      <protection locked="0"/>
    </xf>
    <xf numFmtId="0" fontId="8" fillId="0" borderId="14" xfId="1" applyFont="1" applyBorder="1" applyAlignment="1" applyProtection="1">
      <alignment horizontal="left" vertical="top"/>
      <protection locked="0"/>
    </xf>
    <xf numFmtId="0" fontId="13" fillId="0" borderId="4" xfId="1" applyFont="1" applyBorder="1" applyAlignment="1" applyProtection="1">
      <alignment horizontal="left" vertical="top"/>
      <protection locked="0"/>
    </xf>
    <xf numFmtId="0" fontId="13" fillId="0" borderId="1" xfId="1" applyFont="1" applyBorder="1" applyAlignment="1" applyProtection="1">
      <alignment horizontal="left" vertical="top"/>
      <protection locked="0"/>
    </xf>
    <xf numFmtId="0" fontId="13" fillId="0" borderId="1" xfId="1" applyFont="1" applyBorder="1" applyAlignment="1" applyProtection="1">
      <alignment horizontal="left" vertical="top" wrapText="1"/>
      <protection locked="0"/>
    </xf>
    <xf numFmtId="0" fontId="13" fillId="0" borderId="5" xfId="1" applyFont="1" applyBorder="1" applyAlignment="1" applyProtection="1">
      <alignment horizontal="left" vertical="top" wrapText="1"/>
      <protection locked="0"/>
    </xf>
    <xf numFmtId="0" fontId="10" fillId="0" borderId="1" xfId="0" applyFont="1" applyBorder="1" applyAlignment="1" applyProtection="1">
      <alignment horizontal="center" vertical="top" wrapText="1"/>
      <protection locked="0"/>
    </xf>
    <xf numFmtId="1" fontId="8" fillId="0" borderId="8" xfId="0" applyNumberFormat="1" applyFont="1" applyBorder="1" applyAlignment="1" applyProtection="1">
      <alignment vertical="top" wrapText="1"/>
      <protection locked="0"/>
    </xf>
    <xf numFmtId="1" fontId="8" fillId="0" borderId="19" xfId="0" applyNumberFormat="1" applyFont="1" applyBorder="1" applyAlignment="1" applyProtection="1">
      <alignment vertical="top" wrapText="1"/>
      <protection locked="0"/>
    </xf>
    <xf numFmtId="1" fontId="8" fillId="0" borderId="9" xfId="0" applyNumberFormat="1" applyFont="1" applyBorder="1" applyAlignment="1" applyProtection="1">
      <alignment vertical="top" wrapText="1"/>
      <protection locked="0"/>
    </xf>
    <xf numFmtId="1" fontId="13" fillId="0" borderId="8" xfId="0" applyNumberFormat="1" applyFont="1" applyBorder="1" applyAlignment="1" applyProtection="1">
      <alignment vertical="top" wrapText="1"/>
      <protection locked="0"/>
    </xf>
    <xf numFmtId="1" fontId="13" fillId="0" borderId="19" xfId="0" applyNumberFormat="1" applyFont="1" applyBorder="1" applyAlignment="1" applyProtection="1">
      <alignment vertical="top" wrapText="1"/>
      <protection locked="0"/>
    </xf>
    <xf numFmtId="1" fontId="13" fillId="0" borderId="9" xfId="0" applyNumberFormat="1" applyFont="1" applyBorder="1" applyAlignment="1" applyProtection="1">
      <alignment vertical="top" wrapText="1"/>
      <protection locked="0"/>
    </xf>
    <xf numFmtId="1" fontId="8" fillId="0" borderId="8" xfId="1" applyNumberFormat="1" applyFont="1" applyBorder="1" applyAlignment="1" applyProtection="1">
      <alignment horizontal="center" vertical="center" wrapText="1"/>
      <protection locked="0"/>
    </xf>
    <xf numFmtId="1" fontId="8" fillId="0" borderId="19" xfId="1" applyNumberFormat="1" applyFont="1" applyBorder="1" applyAlignment="1" applyProtection="1">
      <alignment horizontal="center" vertical="center" wrapText="1"/>
      <protection locked="0"/>
    </xf>
    <xf numFmtId="1" fontId="8" fillId="0" borderId="9" xfId="1" applyNumberFormat="1" applyFont="1" applyBorder="1" applyAlignment="1" applyProtection="1">
      <alignment horizontal="center" vertical="center" wrapText="1"/>
      <protection locked="0"/>
    </xf>
    <xf numFmtId="1" fontId="7" fillId="0" borderId="1" xfId="0" applyNumberFormat="1" applyFont="1" applyBorder="1" applyAlignment="1" applyProtection="1">
      <alignment horizontal="center" vertical="top" wrapText="1"/>
      <protection locked="0"/>
    </xf>
    <xf numFmtId="0" fontId="13" fillId="0" borderId="1" xfId="1" applyFont="1" applyBorder="1" applyAlignment="1" applyProtection="1">
      <alignment horizontal="center" vertical="top" wrapText="1"/>
      <protection locked="0"/>
    </xf>
    <xf numFmtId="0" fontId="14" fillId="0" borderId="1" xfId="1" applyFont="1" applyBorder="1" applyAlignment="1" applyProtection="1">
      <alignment horizontal="center" vertical="top" wrapText="1"/>
      <protection locked="0"/>
    </xf>
    <xf numFmtId="1" fontId="13" fillId="0" borderId="1" xfId="0" applyNumberFormat="1" applyFont="1" applyBorder="1" applyAlignment="1" applyProtection="1">
      <alignment horizontal="center" vertical="center" wrapText="1"/>
      <protection locked="0"/>
    </xf>
    <xf numFmtId="1" fontId="8" fillId="0" borderId="1" xfId="1" applyNumberFormat="1" applyFont="1" applyBorder="1" applyAlignment="1" applyProtection="1">
      <alignment horizontal="center" vertical="center" wrapText="1"/>
      <protection locked="0"/>
    </xf>
    <xf numFmtId="1" fontId="6" fillId="0" borderId="1" xfId="0" applyNumberFormat="1" applyFont="1" applyBorder="1" applyAlignment="1" applyProtection="1">
      <alignment horizontal="center" vertical="center" wrapText="1"/>
      <protection locked="0"/>
    </xf>
    <xf numFmtId="1" fontId="12" fillId="0" borderId="1" xfId="0" applyNumberFormat="1" applyFont="1" applyBorder="1" applyAlignment="1" applyProtection="1">
      <alignment horizontal="center" vertical="center" wrapText="1"/>
      <protection locked="0"/>
    </xf>
    <xf numFmtId="1" fontId="8" fillId="0" borderId="1" xfId="0" applyNumberFormat="1" applyFont="1" applyBorder="1" applyAlignment="1" applyProtection="1">
      <alignment horizontal="left" vertical="top" wrapText="1"/>
      <protection locked="0"/>
    </xf>
    <xf numFmtId="0" fontId="12" fillId="0" borderId="3" xfId="1" applyFont="1" applyBorder="1" applyAlignment="1" applyProtection="1">
      <alignment horizontal="left" vertical="top" wrapText="1"/>
      <protection locked="0"/>
    </xf>
    <xf numFmtId="0" fontId="12" fillId="0" borderId="3" xfId="1" applyFont="1" applyBorder="1" applyAlignment="1" applyProtection="1">
      <alignment horizontal="left" vertical="top"/>
      <protection locked="0"/>
    </xf>
    <xf numFmtId="0" fontId="12" fillId="0" borderId="16" xfId="1" applyFont="1" applyBorder="1" applyAlignment="1" applyProtection="1">
      <alignment horizontal="left" vertical="top" wrapText="1"/>
      <protection locked="0"/>
    </xf>
    <xf numFmtId="0" fontId="6" fillId="0" borderId="15" xfId="1" applyFont="1" applyBorder="1" applyAlignment="1" applyProtection="1">
      <alignment horizontal="left" vertical="top" wrapText="1"/>
      <protection locked="0"/>
    </xf>
    <xf numFmtId="0" fontId="6" fillId="0" borderId="16" xfId="1" applyFont="1" applyBorder="1" applyAlignment="1" applyProtection="1">
      <alignment horizontal="left" vertical="top" wrapText="1"/>
      <protection locked="0"/>
    </xf>
    <xf numFmtId="0" fontId="6" fillId="0" borderId="17" xfId="1" applyFont="1" applyBorder="1" applyAlignment="1" applyProtection="1">
      <alignment horizontal="left" vertical="top" wrapText="1"/>
      <protection locked="0"/>
    </xf>
    <xf numFmtId="0" fontId="6" fillId="0" borderId="18" xfId="1" applyFont="1" applyBorder="1" applyAlignment="1" applyProtection="1">
      <alignment horizontal="left" vertical="top" wrapText="1"/>
      <protection locked="0"/>
    </xf>
    <xf numFmtId="0" fontId="11" fillId="0" borderId="1" xfId="1" applyFont="1" applyBorder="1" applyAlignment="1" applyProtection="1">
      <alignment horizontal="center" vertical="top" wrapText="1"/>
      <protection locked="0"/>
    </xf>
    <xf numFmtId="14" fontId="12" fillId="0" borderId="1" xfId="1" applyNumberFormat="1" applyFont="1" applyBorder="1" applyAlignment="1" applyProtection="1">
      <alignment horizontal="left" vertical="top"/>
      <protection locked="0"/>
    </xf>
    <xf numFmtId="0" fontId="12" fillId="0" borderId="1" xfId="1" applyFont="1" applyBorder="1" applyAlignment="1" applyProtection="1">
      <alignment horizontal="left"/>
      <protection locked="0"/>
    </xf>
    <xf numFmtId="0" fontId="12" fillId="0" borderId="1" xfId="1" applyFont="1" applyBorder="1" applyAlignment="1" applyProtection="1">
      <alignment horizontal="center"/>
      <protection locked="0"/>
    </xf>
    <xf numFmtId="0" fontId="12" fillId="0" borderId="1" xfId="1" applyFont="1" applyBorder="1" applyAlignment="1" applyProtection="1">
      <alignment horizontal="center" vertical="top"/>
      <protection locked="0"/>
    </xf>
    <xf numFmtId="0" fontId="13" fillId="0" borderId="1" xfId="1" applyFont="1" applyBorder="1" applyAlignment="1" applyProtection="1">
      <alignment horizontal="center" vertical="top"/>
      <protection locked="0"/>
    </xf>
    <xf numFmtId="0" fontId="6" fillId="0" borderId="1" xfId="1" applyFont="1" applyBorder="1" applyAlignment="1" applyProtection="1">
      <alignment horizontal="center" vertical="top"/>
      <protection locked="0"/>
    </xf>
    <xf numFmtId="0" fontId="13" fillId="0" borderId="1" xfId="1" applyFont="1" applyBorder="1" applyAlignment="1" applyProtection="1">
      <alignment horizontal="center"/>
      <protection locked="0"/>
    </xf>
    <xf numFmtId="2" fontId="6" fillId="0" borderId="1" xfId="1" applyNumberFormat="1" applyFont="1" applyBorder="1" applyAlignment="1" applyProtection="1">
      <alignment horizontal="left" vertical="top" wrapText="1"/>
      <protection locked="0"/>
    </xf>
    <xf numFmtId="0" fontId="8" fillId="0" borderId="1" xfId="1" applyFont="1" applyBorder="1" applyAlignment="1" applyProtection="1">
      <alignment horizontal="left" vertical="top"/>
      <protection locked="0"/>
    </xf>
    <xf numFmtId="0" fontId="6" fillId="0" borderId="14" xfId="1" applyFont="1" applyBorder="1" applyAlignment="1" applyProtection="1">
      <alignment horizontal="left" vertical="top" wrapText="1"/>
      <protection locked="0"/>
    </xf>
    <xf numFmtId="9" fontId="7" fillId="0" borderId="1" xfId="8" applyFont="1" applyFill="1" applyBorder="1" applyAlignment="1" applyProtection="1">
      <alignment horizontal="center" vertical="center" wrapText="1"/>
      <protection locked="0"/>
    </xf>
    <xf numFmtId="1" fontId="6" fillId="0" borderId="1" xfId="1" applyNumberFormat="1" applyFont="1" applyBorder="1" applyAlignment="1" applyProtection="1">
      <alignment horizontal="left" vertical="top" wrapText="1"/>
      <protection locked="0"/>
    </xf>
    <xf numFmtId="2" fontId="6" fillId="0" borderId="1" xfId="1" applyNumberFormat="1" applyFont="1" applyBorder="1" applyAlignment="1" applyProtection="1">
      <alignment horizontal="left" vertical="top"/>
      <protection locked="0"/>
    </xf>
    <xf numFmtId="0" fontId="7" fillId="0" borderId="1" xfId="1" applyFont="1" applyBorder="1" applyAlignment="1" applyProtection="1">
      <alignment horizontal="center"/>
      <protection locked="0"/>
    </xf>
    <xf numFmtId="9" fontId="7" fillId="0" borderId="15" xfId="8" applyFont="1" applyFill="1" applyBorder="1" applyAlignment="1" applyProtection="1">
      <alignment horizontal="center" vertical="center" wrapText="1"/>
      <protection locked="0"/>
    </xf>
    <xf numFmtId="9" fontId="7" fillId="0" borderId="16" xfId="8" applyFont="1" applyFill="1" applyBorder="1" applyAlignment="1" applyProtection="1">
      <alignment horizontal="center" vertical="center" wrapText="1"/>
      <protection locked="0"/>
    </xf>
    <xf numFmtId="9" fontId="7" fillId="0" borderId="21" xfId="8" applyFont="1" applyFill="1" applyBorder="1" applyAlignment="1" applyProtection="1">
      <alignment horizontal="center" vertical="center" wrapText="1"/>
      <protection locked="0"/>
    </xf>
    <xf numFmtId="9" fontId="7" fillId="0" borderId="22" xfId="8" applyFont="1" applyFill="1" applyBorder="1" applyAlignment="1" applyProtection="1">
      <alignment horizontal="center" vertical="center" wrapText="1"/>
      <protection locked="0"/>
    </xf>
    <xf numFmtId="9" fontId="7" fillId="0" borderId="24" xfId="8" applyFont="1" applyFill="1" applyBorder="1" applyAlignment="1" applyProtection="1">
      <alignment horizontal="center" vertical="center" wrapText="1"/>
      <protection locked="0"/>
    </xf>
    <xf numFmtId="9" fontId="7" fillId="0" borderId="25" xfId="8" applyFont="1" applyFill="1" applyBorder="1" applyAlignment="1" applyProtection="1">
      <alignment horizontal="center" vertical="center" wrapText="1"/>
      <protection locked="0"/>
    </xf>
    <xf numFmtId="0" fontId="7" fillId="0" borderId="6" xfId="1" applyFont="1" applyBorder="1" applyAlignment="1" applyProtection="1">
      <alignment horizontal="center" vertical="top" wrapText="1"/>
      <protection locked="0"/>
    </xf>
    <xf numFmtId="0" fontId="7" fillId="0" borderId="7" xfId="1" applyFont="1" applyBorder="1" applyAlignment="1" applyProtection="1">
      <alignment horizontal="center" vertical="top" wrapText="1"/>
      <protection locked="0"/>
    </xf>
    <xf numFmtId="0" fontId="8" fillId="0" borderId="14" xfId="1" applyFont="1" applyBorder="1" applyAlignment="1" applyProtection="1">
      <alignment horizontal="center" vertical="top"/>
      <protection locked="0"/>
    </xf>
    <xf numFmtId="1" fontId="7" fillId="0" borderId="1" xfId="0" applyNumberFormat="1" applyFont="1" applyBorder="1" applyAlignment="1" applyProtection="1">
      <alignment horizontal="center" vertical="center"/>
      <protection locked="0"/>
    </xf>
    <xf numFmtId="1" fontId="6" fillId="0" borderId="15" xfId="1" applyNumberFormat="1" applyFont="1" applyBorder="1" applyAlignment="1" applyProtection="1">
      <alignment horizontal="center" vertical="center" wrapText="1"/>
      <protection locked="0"/>
    </xf>
    <xf numFmtId="1" fontId="6" fillId="0" borderId="16" xfId="1" applyNumberFormat="1" applyFont="1" applyBorder="1" applyAlignment="1" applyProtection="1">
      <alignment horizontal="center" vertical="center" wrapText="1"/>
      <protection locked="0"/>
    </xf>
    <xf numFmtId="1" fontId="6" fillId="0" borderId="21" xfId="1" applyNumberFormat="1" applyFont="1" applyBorder="1" applyAlignment="1" applyProtection="1">
      <alignment horizontal="center" vertical="center" wrapText="1"/>
      <protection locked="0"/>
    </xf>
    <xf numFmtId="1" fontId="6" fillId="0" borderId="22" xfId="1" applyNumberFormat="1" applyFont="1" applyBorder="1" applyAlignment="1" applyProtection="1">
      <alignment horizontal="center" vertical="center" wrapText="1"/>
      <protection locked="0"/>
    </xf>
    <xf numFmtId="1" fontId="8" fillId="0" borderId="3" xfId="1" applyNumberFormat="1" applyFont="1" applyBorder="1" applyAlignment="1" applyProtection="1">
      <alignment horizontal="center" vertical="top" wrapText="1"/>
      <protection locked="0"/>
    </xf>
    <xf numFmtId="1" fontId="8" fillId="0" borderId="14" xfId="1" applyNumberFormat="1" applyFont="1" applyBorder="1" applyAlignment="1" applyProtection="1">
      <alignment horizontal="center" vertical="top" wrapText="1"/>
      <protection locked="0"/>
    </xf>
    <xf numFmtId="1" fontId="6" fillId="0" borderId="19" xfId="1" applyNumberFormat="1" applyFont="1" applyBorder="1" applyAlignment="1" applyProtection="1">
      <alignment horizontal="center" vertical="center" wrapText="1"/>
      <protection locked="0"/>
    </xf>
    <xf numFmtId="1" fontId="4" fillId="0" borderId="3" xfId="1" applyNumberFormat="1" applyFont="1" applyBorder="1" applyAlignment="1" applyProtection="1">
      <alignment horizontal="center" vertical="top" wrapText="1"/>
      <protection locked="0"/>
    </xf>
    <xf numFmtId="1" fontId="4" fillId="0" borderId="14" xfId="1" applyNumberFormat="1" applyFont="1" applyBorder="1" applyAlignment="1" applyProtection="1">
      <alignment horizontal="center" vertical="top" wrapText="1"/>
      <protection locked="0"/>
    </xf>
    <xf numFmtId="1" fontId="8" fillId="0" borderId="17" xfId="1" applyNumberFormat="1" applyFont="1" applyBorder="1" applyAlignment="1" applyProtection="1">
      <alignment horizontal="center" vertical="top" wrapText="1"/>
      <protection locked="0"/>
    </xf>
    <xf numFmtId="1" fontId="8" fillId="0" borderId="18" xfId="1" applyNumberFormat="1" applyFont="1" applyBorder="1" applyAlignment="1" applyProtection="1">
      <alignment horizontal="center" vertical="top" wrapText="1"/>
      <protection locked="0"/>
    </xf>
    <xf numFmtId="0" fontId="13" fillId="0" borderId="1" xfId="0" applyFont="1" applyBorder="1" applyAlignment="1" applyProtection="1">
      <alignment horizontal="center" vertical="top" wrapText="1"/>
      <protection locked="0"/>
    </xf>
    <xf numFmtId="0" fontId="10" fillId="0" borderId="1" xfId="0" applyFont="1" applyBorder="1" applyAlignment="1" applyProtection="1">
      <alignment horizontal="center" vertical="center"/>
      <protection locked="0"/>
    </xf>
    <xf numFmtId="0" fontId="26" fillId="0" borderId="1" xfId="10" applyFill="1" applyBorder="1" applyAlignment="1" applyProtection="1">
      <alignment horizontal="left" vertical="top" wrapText="1"/>
      <protection locked="0"/>
    </xf>
    <xf numFmtId="0" fontId="12" fillId="0" borderId="8" xfId="1" applyFont="1" applyBorder="1" applyAlignment="1" applyProtection="1">
      <alignment horizontal="left" vertical="top" wrapText="1"/>
      <protection locked="0"/>
    </xf>
    <xf numFmtId="0" fontId="12" fillId="0" borderId="9" xfId="1" applyFont="1" applyBorder="1" applyAlignment="1" applyProtection="1">
      <alignment horizontal="left" vertical="top" wrapText="1"/>
      <protection locked="0"/>
    </xf>
    <xf numFmtId="0" fontId="13" fillId="0" borderId="8" xfId="1" applyFont="1" applyBorder="1" applyAlignment="1" applyProtection="1">
      <alignment horizontal="left" vertical="top"/>
      <protection locked="0"/>
    </xf>
    <xf numFmtId="0" fontId="13" fillId="0" borderId="19" xfId="1" applyFont="1" applyBorder="1" applyAlignment="1" applyProtection="1">
      <alignment horizontal="left" vertical="top"/>
      <protection locked="0"/>
    </xf>
    <xf numFmtId="0" fontId="13" fillId="0" borderId="9" xfId="1" applyFont="1" applyBorder="1" applyAlignment="1" applyProtection="1">
      <alignment horizontal="left" vertical="top"/>
      <protection locked="0"/>
    </xf>
    <xf numFmtId="9" fontId="7" fillId="0" borderId="23" xfId="8" applyFont="1" applyFill="1" applyBorder="1" applyAlignment="1" applyProtection="1">
      <alignment horizontal="center" vertical="center" wrapText="1"/>
      <protection locked="0"/>
    </xf>
    <xf numFmtId="9" fontId="7" fillId="0" borderId="10" xfId="8" applyFont="1" applyFill="1" applyBorder="1" applyAlignment="1" applyProtection="1">
      <alignment horizontal="center" vertical="center" wrapText="1"/>
      <protection locked="0"/>
    </xf>
    <xf numFmtId="9" fontId="7" fillId="0" borderId="12" xfId="8" applyFont="1" applyFill="1" applyBorder="1" applyAlignment="1" applyProtection="1">
      <alignment horizontal="center" vertical="center" wrapText="1"/>
      <protection locked="0"/>
    </xf>
    <xf numFmtId="1" fontId="8" fillId="0" borderId="1" xfId="0" applyNumberFormat="1" applyFont="1" applyBorder="1" applyAlignment="1" applyProtection="1">
      <alignment horizontal="center" vertical="center" wrapText="1"/>
      <protection locked="0"/>
    </xf>
    <xf numFmtId="1" fontId="10" fillId="0" borderId="1" xfId="0" applyNumberFormat="1" applyFont="1" applyBorder="1" applyAlignment="1" applyProtection="1">
      <alignment horizontal="center" vertical="top" wrapText="1"/>
      <protection locked="0"/>
    </xf>
    <xf numFmtId="1" fontId="10" fillId="0" borderId="1" xfId="0" applyNumberFormat="1" applyFont="1" applyBorder="1" applyAlignment="1" applyProtection="1">
      <alignment horizontal="center" vertical="center"/>
      <protection locked="0"/>
    </xf>
    <xf numFmtId="0" fontId="9" fillId="0" borderId="1" xfId="5" applyFont="1" applyBorder="1" applyAlignment="1">
      <alignment horizontal="left"/>
    </xf>
  </cellXfs>
  <cellStyles count="11">
    <cellStyle name="Comma" xfId="9" builtinId="3"/>
    <cellStyle name="Comma 2" xfId="6"/>
    <cellStyle name="Excel Built-in Normal" xfId="2"/>
    <cellStyle name="Excel Built-in Normal 2" xfId="4"/>
    <cellStyle name="Hyperlink" xfId="10" builtinId="8"/>
    <cellStyle name="Normal" xfId="0" builtinId="0"/>
    <cellStyle name="Normal 2" xfId="3"/>
    <cellStyle name="Normal 3" xfId="1"/>
    <cellStyle name="Normal 3 3" xfId="7"/>
    <cellStyle name="Normal 4" xfId="5"/>
    <cellStyle name="Percent" xfId="8" builtin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13" Type="http://schemas.openxmlformats.org/officeDocument/2006/relationships/image" Target="../media/image13.jpeg"/><Relationship Id="rId18" Type="http://schemas.openxmlformats.org/officeDocument/2006/relationships/image" Target="../media/image18.png"/><Relationship Id="rId3" Type="http://schemas.openxmlformats.org/officeDocument/2006/relationships/image" Target="../media/image3.png"/><Relationship Id="rId21" Type="http://schemas.openxmlformats.org/officeDocument/2006/relationships/image" Target="../media/image21.png"/><Relationship Id="rId7" Type="http://schemas.openxmlformats.org/officeDocument/2006/relationships/image" Target="../media/image7.jpeg"/><Relationship Id="rId12" Type="http://schemas.openxmlformats.org/officeDocument/2006/relationships/image" Target="../media/image12.jpeg"/><Relationship Id="rId17" Type="http://schemas.openxmlformats.org/officeDocument/2006/relationships/image" Target="../media/image17.jpeg"/><Relationship Id="rId2" Type="http://schemas.openxmlformats.org/officeDocument/2006/relationships/image" Target="../media/image2.png"/><Relationship Id="rId16" Type="http://schemas.openxmlformats.org/officeDocument/2006/relationships/image" Target="../media/image16.jpeg"/><Relationship Id="rId20" Type="http://schemas.openxmlformats.org/officeDocument/2006/relationships/image" Target="../media/image20.png"/><Relationship Id="rId1" Type="http://schemas.openxmlformats.org/officeDocument/2006/relationships/image" Target="../media/image1.png"/><Relationship Id="rId6" Type="http://schemas.openxmlformats.org/officeDocument/2006/relationships/image" Target="../media/image6.jpeg"/><Relationship Id="rId11" Type="http://schemas.openxmlformats.org/officeDocument/2006/relationships/image" Target="../media/image11.jpeg"/><Relationship Id="rId5" Type="http://schemas.openxmlformats.org/officeDocument/2006/relationships/image" Target="../media/image5.jpeg"/><Relationship Id="rId15" Type="http://schemas.openxmlformats.org/officeDocument/2006/relationships/image" Target="../media/image15.jpeg"/><Relationship Id="rId23" Type="http://schemas.openxmlformats.org/officeDocument/2006/relationships/image" Target="../media/image23.png"/><Relationship Id="rId10" Type="http://schemas.openxmlformats.org/officeDocument/2006/relationships/image" Target="../media/image10.jpeg"/><Relationship Id="rId19" Type="http://schemas.openxmlformats.org/officeDocument/2006/relationships/image" Target="../media/image19.png"/><Relationship Id="rId4" Type="http://schemas.openxmlformats.org/officeDocument/2006/relationships/image" Target="../media/image4.jpeg"/><Relationship Id="rId9" Type="http://schemas.openxmlformats.org/officeDocument/2006/relationships/image" Target="../media/image9.jpeg"/><Relationship Id="rId14" Type="http://schemas.openxmlformats.org/officeDocument/2006/relationships/image" Target="../media/image14.jpeg"/><Relationship Id="rId22" Type="http://schemas.openxmlformats.org/officeDocument/2006/relationships/image" Target="../media/image22.png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25.png"/><Relationship Id="rId1" Type="http://schemas.openxmlformats.org/officeDocument/2006/relationships/image" Target="../media/image24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156064</xdr:colOff>
      <xdr:row>6</xdr:row>
      <xdr:rowOff>182241</xdr:rowOff>
    </xdr:from>
    <xdr:to>
      <xdr:col>13</xdr:col>
      <xdr:colOff>37544</xdr:colOff>
      <xdr:row>16</xdr:row>
      <xdr:rowOff>137535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691679" y="1786837"/>
          <a:ext cx="4153077" cy="2366432"/>
        </a:xfrm>
        <a:prstGeom prst="rect">
          <a:avLst/>
        </a:prstGeom>
      </xdr:spPr>
    </xdr:pic>
    <xdr:clientData/>
  </xdr:twoCellAnchor>
  <xdr:twoCellAnchor editAs="oneCell">
    <xdr:from>
      <xdr:col>0</xdr:col>
      <xdr:colOff>95249</xdr:colOff>
      <xdr:row>292</xdr:row>
      <xdr:rowOff>92931</xdr:rowOff>
    </xdr:from>
    <xdr:to>
      <xdr:col>7</xdr:col>
      <xdr:colOff>706226</xdr:colOff>
      <xdr:row>315</xdr:row>
      <xdr:rowOff>18955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95249" y="55753567"/>
          <a:ext cx="6300000" cy="4506683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 editAs="oneCell">
    <xdr:from>
      <xdr:col>0</xdr:col>
      <xdr:colOff>103908</xdr:colOff>
      <xdr:row>278</xdr:row>
      <xdr:rowOff>51954</xdr:rowOff>
    </xdr:from>
    <xdr:to>
      <xdr:col>7</xdr:col>
      <xdr:colOff>714885</xdr:colOff>
      <xdr:row>291</xdr:row>
      <xdr:rowOff>133709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>
          <a:off x="103908" y="52924363"/>
          <a:ext cx="6300000" cy="2670823"/>
        </a:xfrm>
        <a:prstGeom prst="rect">
          <a:avLst/>
        </a:prstGeom>
        <a:ln>
          <a:solidFill>
            <a:schemeClr val="tx1"/>
          </a:solidFill>
        </a:ln>
      </xdr:spPr>
    </xdr:pic>
    <xdr:clientData/>
  </xdr:twoCellAnchor>
  <xdr:twoCellAnchor>
    <xdr:from>
      <xdr:col>3</xdr:col>
      <xdr:colOff>736023</xdr:colOff>
      <xdr:row>299</xdr:row>
      <xdr:rowOff>51956</xdr:rowOff>
    </xdr:from>
    <xdr:to>
      <xdr:col>4</xdr:col>
      <xdr:colOff>597477</xdr:colOff>
      <xdr:row>305</xdr:row>
      <xdr:rowOff>121228</xdr:rowOff>
    </xdr:to>
    <xdr:sp macro="" textlink="">
      <xdr:nvSpPr>
        <xdr:cNvPr id="7" name="Rectangle 6">
          <a:extLst>
            <a:ext uri="{FF2B5EF4-FFF2-40B4-BE49-F238E27FC236}">
              <a16:creationId xmlns:a16="http://schemas.microsoft.com/office/drawing/2014/main" id="{00000000-0008-0000-0000-000007000000}"/>
            </a:ext>
          </a:extLst>
        </xdr:cNvPr>
        <xdr:cNvSpPr/>
      </xdr:nvSpPr>
      <xdr:spPr>
        <a:xfrm>
          <a:off x="3143250" y="57106706"/>
          <a:ext cx="805295" cy="1264227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IN" sz="1100"/>
        </a:p>
      </xdr:txBody>
    </xdr:sp>
    <xdr:clientData/>
  </xdr:twoCellAnchor>
  <xdr:oneCellAnchor>
    <xdr:from>
      <xdr:col>3</xdr:col>
      <xdr:colOff>744682</xdr:colOff>
      <xdr:row>297</xdr:row>
      <xdr:rowOff>95252</xdr:rowOff>
    </xdr:from>
    <xdr:ext cx="951735" cy="264560"/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 txBox="1"/>
      </xdr:nvSpPr>
      <xdr:spPr>
        <a:xfrm>
          <a:off x="3151909" y="56751684"/>
          <a:ext cx="951735" cy="264560"/>
        </a:xfrm>
        <a:prstGeom prst="rect">
          <a:avLst/>
        </a:prstGeom>
        <a:solidFill>
          <a:schemeClr val="bg1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IN" sz="1100">
              <a:solidFill>
                <a:srgbClr val="FF0000"/>
              </a:solidFill>
            </a:rPr>
            <a:t>Building No.2</a:t>
          </a:r>
        </a:p>
      </xdr:txBody>
    </xdr:sp>
    <xdr:clientData/>
  </xdr:oneCellAnchor>
  <xdr:twoCellAnchor>
    <xdr:from>
      <xdr:col>4</xdr:col>
      <xdr:colOff>268432</xdr:colOff>
      <xdr:row>301</xdr:row>
      <xdr:rowOff>181841</xdr:rowOff>
    </xdr:from>
    <xdr:to>
      <xdr:col>4</xdr:col>
      <xdr:colOff>562841</xdr:colOff>
      <xdr:row>305</xdr:row>
      <xdr:rowOff>8659</xdr:rowOff>
    </xdr:to>
    <xdr:sp macro="" textlink="">
      <xdr:nvSpPr>
        <xdr:cNvPr id="9" name="Rectangle 8">
          <a:extLst>
            <a:ext uri="{FF2B5EF4-FFF2-40B4-BE49-F238E27FC236}">
              <a16:creationId xmlns:a16="http://schemas.microsoft.com/office/drawing/2014/main" id="{00000000-0008-0000-0000-000009000000}"/>
            </a:ext>
          </a:extLst>
        </xdr:cNvPr>
        <xdr:cNvSpPr/>
      </xdr:nvSpPr>
      <xdr:spPr>
        <a:xfrm>
          <a:off x="3619500" y="57634909"/>
          <a:ext cx="294409" cy="623455"/>
        </a:xfrm>
        <a:prstGeom prst="rect">
          <a:avLst/>
        </a:prstGeom>
        <a:noFill/>
        <a:ln w="38100"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IN" sz="1100"/>
        </a:p>
      </xdr:txBody>
    </xdr:sp>
    <xdr:clientData/>
  </xdr:twoCellAnchor>
  <xdr:oneCellAnchor>
    <xdr:from>
      <xdr:col>4</xdr:col>
      <xdr:colOff>628650</xdr:colOff>
      <xdr:row>302</xdr:row>
      <xdr:rowOff>187038</xdr:rowOff>
    </xdr:from>
    <xdr:ext cx="833305" cy="264560"/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00000000-0008-0000-0000-00000C000000}"/>
            </a:ext>
          </a:extLst>
        </xdr:cNvPr>
        <xdr:cNvSpPr txBox="1"/>
      </xdr:nvSpPr>
      <xdr:spPr>
        <a:xfrm>
          <a:off x="3979718" y="57839265"/>
          <a:ext cx="833305" cy="264560"/>
        </a:xfrm>
        <a:prstGeom prst="rect">
          <a:avLst/>
        </a:prstGeom>
        <a:solidFill>
          <a:srgbClr val="FFFF00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IN" sz="1100">
              <a:solidFill>
                <a:schemeClr val="tx1"/>
              </a:solidFill>
            </a:rPr>
            <a:t>Wing</a:t>
          </a:r>
          <a:r>
            <a:rPr lang="en-IN" sz="1100" baseline="0">
              <a:solidFill>
                <a:schemeClr val="tx1"/>
              </a:solidFill>
            </a:rPr>
            <a:t> A &amp; B</a:t>
          </a:r>
          <a:endParaRPr lang="en-IN" sz="1100">
            <a:solidFill>
              <a:schemeClr val="tx1"/>
            </a:solidFill>
          </a:endParaRPr>
        </a:p>
      </xdr:txBody>
    </xdr:sp>
    <xdr:clientData/>
  </xdr:oneCellAnchor>
  <xdr:twoCellAnchor editAs="oneCell">
    <xdr:from>
      <xdr:col>0</xdr:col>
      <xdr:colOff>199159</xdr:colOff>
      <xdr:row>246</xdr:row>
      <xdr:rowOff>38611</xdr:rowOff>
    </xdr:from>
    <xdr:to>
      <xdr:col>7</xdr:col>
      <xdr:colOff>630136</xdr:colOff>
      <xdr:row>268</xdr:row>
      <xdr:rowOff>140818</xdr:rowOff>
    </xdr:to>
    <xdr:pic>
      <xdr:nvPicPr>
        <xdr:cNvPr id="23" name="Picture 22">
          <a:extLst>
            <a:ext uri="{FF2B5EF4-FFF2-40B4-BE49-F238E27FC236}">
              <a16:creationId xmlns:a16="http://schemas.microsoft.com/office/drawing/2014/main" id="{00000000-0008-0000-0000-00001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screen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>
        <a:xfrm rot="16200000">
          <a:off x="1017306" y="41329623"/>
          <a:ext cx="4483706" cy="6120000"/>
        </a:xfrm>
        <a:prstGeom prst="rect">
          <a:avLst/>
        </a:prstGeom>
        <a:ln>
          <a:solidFill>
            <a:sysClr val="windowText" lastClr="000000"/>
          </a:solidFill>
        </a:ln>
      </xdr:spPr>
    </xdr:pic>
    <xdr:clientData/>
  </xdr:twoCellAnchor>
  <xdr:oneCellAnchor>
    <xdr:from>
      <xdr:col>3</xdr:col>
      <xdr:colOff>389659</xdr:colOff>
      <xdr:row>247</xdr:row>
      <xdr:rowOff>34637</xdr:rowOff>
    </xdr:from>
    <xdr:ext cx="971484" cy="264560"/>
    <xdr:sp macro="" textlink="">
      <xdr:nvSpPr>
        <xdr:cNvPr id="24" name="TextBox 23">
          <a:extLst>
            <a:ext uri="{FF2B5EF4-FFF2-40B4-BE49-F238E27FC236}">
              <a16:creationId xmlns:a16="http://schemas.microsoft.com/office/drawing/2014/main" id="{00000000-0008-0000-0000-000018000000}"/>
            </a:ext>
          </a:extLst>
        </xdr:cNvPr>
        <xdr:cNvSpPr txBox="1"/>
      </xdr:nvSpPr>
      <xdr:spPr>
        <a:xfrm>
          <a:off x="2796886" y="42342955"/>
          <a:ext cx="971484" cy="264560"/>
        </a:xfrm>
        <a:prstGeom prst="rect">
          <a:avLst/>
        </a:prstGeom>
        <a:solidFill>
          <a:srgbClr val="FFFF00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r>
            <a:rPr lang="en-IN" sz="1100" b="1"/>
            <a:t>Building No.2</a:t>
          </a:r>
        </a:p>
      </xdr:txBody>
    </xdr:sp>
    <xdr:clientData/>
  </xdr:oneCellAnchor>
  <xdr:twoCellAnchor>
    <xdr:from>
      <xdr:col>3</xdr:col>
      <xdr:colOff>43296</xdr:colOff>
      <xdr:row>248</xdr:row>
      <xdr:rowOff>121228</xdr:rowOff>
    </xdr:from>
    <xdr:to>
      <xdr:col>4</xdr:col>
      <xdr:colOff>614796</xdr:colOff>
      <xdr:row>261</xdr:row>
      <xdr:rowOff>17319</xdr:rowOff>
    </xdr:to>
    <xdr:sp macro="" textlink="">
      <xdr:nvSpPr>
        <xdr:cNvPr id="25" name="Rectangle 24">
          <a:extLst>
            <a:ext uri="{FF2B5EF4-FFF2-40B4-BE49-F238E27FC236}">
              <a16:creationId xmlns:a16="http://schemas.microsoft.com/office/drawing/2014/main" id="{00000000-0008-0000-0000-000019000000}"/>
            </a:ext>
          </a:extLst>
        </xdr:cNvPr>
        <xdr:cNvSpPr/>
      </xdr:nvSpPr>
      <xdr:spPr>
        <a:xfrm>
          <a:off x="2450523" y="42628705"/>
          <a:ext cx="1515341" cy="2485159"/>
        </a:xfrm>
        <a:prstGeom prst="rect">
          <a:avLst/>
        </a:prstGeom>
        <a:noFill/>
        <a:ln w="28575">
          <a:solidFill>
            <a:srgbClr val="FF00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IN" sz="1100"/>
        </a:p>
      </xdr:txBody>
    </xdr:sp>
    <xdr:clientData/>
  </xdr:twoCellAnchor>
  <xdr:twoCellAnchor>
    <xdr:from>
      <xdr:col>3</xdr:col>
      <xdr:colOff>848591</xdr:colOff>
      <xdr:row>253</xdr:row>
      <xdr:rowOff>46462</xdr:rowOff>
    </xdr:from>
    <xdr:to>
      <xdr:col>4</xdr:col>
      <xdr:colOff>576943</xdr:colOff>
      <xdr:row>260</xdr:row>
      <xdr:rowOff>164522</xdr:rowOff>
    </xdr:to>
    <xdr:sp macro="" textlink="">
      <xdr:nvSpPr>
        <xdr:cNvPr id="26" name="Rectangle 25">
          <a:extLst>
            <a:ext uri="{FF2B5EF4-FFF2-40B4-BE49-F238E27FC236}">
              <a16:creationId xmlns:a16="http://schemas.microsoft.com/office/drawing/2014/main" id="{00000000-0008-0000-0000-00001A000000}"/>
            </a:ext>
          </a:extLst>
        </xdr:cNvPr>
        <xdr:cNvSpPr/>
      </xdr:nvSpPr>
      <xdr:spPr>
        <a:xfrm>
          <a:off x="3255396" y="44419023"/>
          <a:ext cx="671559" cy="1516609"/>
        </a:xfrm>
        <a:prstGeom prst="rect">
          <a:avLst/>
        </a:prstGeom>
        <a:noFill/>
        <a:ln w="19050"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IN" sz="1100"/>
        </a:p>
      </xdr:txBody>
    </xdr:sp>
    <xdr:clientData/>
  </xdr:twoCellAnchor>
  <xdr:twoCellAnchor>
    <xdr:from>
      <xdr:col>3</xdr:col>
      <xdr:colOff>898071</xdr:colOff>
      <xdr:row>249</xdr:row>
      <xdr:rowOff>130629</xdr:rowOff>
    </xdr:from>
    <xdr:to>
      <xdr:col>4</xdr:col>
      <xdr:colOff>566057</xdr:colOff>
      <xdr:row>253</xdr:row>
      <xdr:rowOff>5443</xdr:rowOff>
    </xdr:to>
    <xdr:sp macro="" textlink="">
      <xdr:nvSpPr>
        <xdr:cNvPr id="4" name="Rectangle 3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/>
      </xdr:nvSpPr>
      <xdr:spPr>
        <a:xfrm>
          <a:off x="3309257" y="44005500"/>
          <a:ext cx="609600" cy="680357"/>
        </a:xfrm>
        <a:prstGeom prst="rect">
          <a:avLst/>
        </a:prstGeom>
        <a:noFill/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IN" sz="1100"/>
        </a:p>
      </xdr:txBody>
    </xdr:sp>
    <xdr:clientData/>
  </xdr:twoCellAnchor>
  <xdr:twoCellAnchor>
    <xdr:from>
      <xdr:col>3</xdr:col>
      <xdr:colOff>163285</xdr:colOff>
      <xdr:row>249</xdr:row>
      <xdr:rowOff>10886</xdr:rowOff>
    </xdr:from>
    <xdr:to>
      <xdr:col>3</xdr:col>
      <xdr:colOff>870857</xdr:colOff>
      <xdr:row>252</xdr:row>
      <xdr:rowOff>76200</xdr:rowOff>
    </xdr:to>
    <xdr:sp macro="" textlink="">
      <xdr:nvSpPr>
        <xdr:cNvPr id="10" name="Rectangle 9">
          <a:extLst>
            <a:ext uri="{FF2B5EF4-FFF2-40B4-BE49-F238E27FC236}">
              <a16:creationId xmlns:a16="http://schemas.microsoft.com/office/drawing/2014/main" id="{00000000-0008-0000-0000-00000A000000}"/>
            </a:ext>
          </a:extLst>
        </xdr:cNvPr>
        <xdr:cNvSpPr/>
      </xdr:nvSpPr>
      <xdr:spPr>
        <a:xfrm>
          <a:off x="2574471" y="43885757"/>
          <a:ext cx="707572" cy="669472"/>
        </a:xfrm>
        <a:prstGeom prst="rect">
          <a:avLst/>
        </a:prstGeom>
        <a:noFill/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IN" sz="1100"/>
        </a:p>
      </xdr:txBody>
    </xdr:sp>
    <xdr:clientData/>
  </xdr:twoCellAnchor>
  <xdr:twoCellAnchor>
    <xdr:from>
      <xdr:col>3</xdr:col>
      <xdr:colOff>130628</xdr:colOff>
      <xdr:row>252</xdr:row>
      <xdr:rowOff>103413</xdr:rowOff>
    </xdr:from>
    <xdr:to>
      <xdr:col>3</xdr:col>
      <xdr:colOff>800099</xdr:colOff>
      <xdr:row>254</xdr:row>
      <xdr:rowOff>195942</xdr:rowOff>
    </xdr:to>
    <xdr:sp macro="" textlink="">
      <xdr:nvSpPr>
        <xdr:cNvPr id="11" name="Rectangle 10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SpPr/>
      </xdr:nvSpPr>
      <xdr:spPr>
        <a:xfrm>
          <a:off x="2541814" y="44582442"/>
          <a:ext cx="669471" cy="495300"/>
        </a:xfrm>
        <a:prstGeom prst="rect">
          <a:avLst/>
        </a:prstGeom>
        <a:noFill/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IN" sz="1100"/>
        </a:p>
      </xdr:txBody>
    </xdr:sp>
    <xdr:clientData/>
  </xdr:twoCellAnchor>
  <xdr:twoCellAnchor>
    <xdr:from>
      <xdr:col>3</xdr:col>
      <xdr:colOff>125185</xdr:colOff>
      <xdr:row>255</xdr:row>
      <xdr:rowOff>27214</xdr:rowOff>
    </xdr:from>
    <xdr:to>
      <xdr:col>3</xdr:col>
      <xdr:colOff>816428</xdr:colOff>
      <xdr:row>258</xdr:row>
      <xdr:rowOff>5443</xdr:rowOff>
    </xdr:to>
    <xdr:sp macro="" textlink="">
      <xdr:nvSpPr>
        <xdr:cNvPr id="21" name="Rectangle 20">
          <a:extLst>
            <a:ext uri="{FF2B5EF4-FFF2-40B4-BE49-F238E27FC236}">
              <a16:creationId xmlns:a16="http://schemas.microsoft.com/office/drawing/2014/main" id="{00000000-0008-0000-0000-000015000000}"/>
            </a:ext>
          </a:extLst>
        </xdr:cNvPr>
        <xdr:cNvSpPr/>
      </xdr:nvSpPr>
      <xdr:spPr>
        <a:xfrm>
          <a:off x="2536371" y="45110400"/>
          <a:ext cx="691243" cy="582386"/>
        </a:xfrm>
        <a:prstGeom prst="rect">
          <a:avLst/>
        </a:prstGeom>
        <a:noFill/>
        <a:ln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en-IN" sz="1100"/>
        </a:p>
      </xdr:txBody>
    </xdr:sp>
    <xdr:clientData/>
  </xdr:twoCellAnchor>
  <xdr:twoCellAnchor>
    <xdr:from>
      <xdr:col>4</xdr:col>
      <xdr:colOff>424541</xdr:colOff>
      <xdr:row>256</xdr:row>
      <xdr:rowOff>130629</xdr:rowOff>
    </xdr:from>
    <xdr:to>
      <xdr:col>4</xdr:col>
      <xdr:colOff>631370</xdr:colOff>
      <xdr:row>259</xdr:row>
      <xdr:rowOff>157842</xdr:rowOff>
    </xdr:to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id="{00000000-0008-0000-0000-000016000000}"/>
            </a:ext>
          </a:extLst>
        </xdr:cNvPr>
        <xdr:cNvSpPr txBox="1"/>
      </xdr:nvSpPr>
      <xdr:spPr>
        <a:xfrm rot="16200000">
          <a:off x="3565070" y="45627471"/>
          <a:ext cx="631371" cy="206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IN" sz="800" b="1">
              <a:solidFill>
                <a:srgbClr val="FF0000"/>
              </a:solidFill>
            </a:rPr>
            <a:t>Wing A</a:t>
          </a:r>
        </a:p>
      </xdr:txBody>
    </xdr:sp>
    <xdr:clientData/>
  </xdr:twoCellAnchor>
  <xdr:twoCellAnchor>
    <xdr:from>
      <xdr:col>4</xdr:col>
      <xdr:colOff>411640</xdr:colOff>
      <xdr:row>253</xdr:row>
      <xdr:rowOff>34081</xdr:rowOff>
    </xdr:from>
    <xdr:to>
      <xdr:col>4</xdr:col>
      <xdr:colOff>618469</xdr:colOff>
      <xdr:row>256</xdr:row>
      <xdr:rowOff>61295</xdr:rowOff>
    </xdr:to>
    <xdr:sp macro="" textlink="">
      <xdr:nvSpPr>
        <xdr:cNvPr id="31" name="TextBox 30">
          <a:extLst>
            <a:ext uri="{FF2B5EF4-FFF2-40B4-BE49-F238E27FC236}">
              <a16:creationId xmlns:a16="http://schemas.microsoft.com/office/drawing/2014/main" id="{00000000-0008-0000-0000-00001F000000}"/>
            </a:ext>
          </a:extLst>
        </xdr:cNvPr>
        <xdr:cNvSpPr txBox="1"/>
      </xdr:nvSpPr>
      <xdr:spPr>
        <a:xfrm rot="16200000">
          <a:off x="3560438" y="44312456"/>
          <a:ext cx="620695" cy="206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IN" sz="800" b="1">
              <a:solidFill>
                <a:srgbClr val="FF0000"/>
              </a:solidFill>
            </a:rPr>
            <a:t>Wing B</a:t>
          </a:r>
        </a:p>
      </xdr:txBody>
    </xdr:sp>
    <xdr:clientData/>
  </xdr:twoCellAnchor>
  <xdr:twoCellAnchor>
    <xdr:from>
      <xdr:col>4</xdr:col>
      <xdr:colOff>76200</xdr:colOff>
      <xdr:row>249</xdr:row>
      <xdr:rowOff>142196</xdr:rowOff>
    </xdr:from>
    <xdr:to>
      <xdr:col>4</xdr:col>
      <xdr:colOff>692418</xdr:colOff>
      <xdr:row>250</xdr:row>
      <xdr:rowOff>149000</xdr:rowOff>
    </xdr:to>
    <xdr:sp macro="" textlink="">
      <xdr:nvSpPr>
        <xdr:cNvPr id="32" name="TextBox 31">
          <a:extLst>
            <a:ext uri="{FF2B5EF4-FFF2-40B4-BE49-F238E27FC236}">
              <a16:creationId xmlns:a16="http://schemas.microsoft.com/office/drawing/2014/main" id="{00000000-0008-0000-0000-000020000000}"/>
            </a:ext>
          </a:extLst>
        </xdr:cNvPr>
        <xdr:cNvSpPr txBox="1"/>
      </xdr:nvSpPr>
      <xdr:spPr>
        <a:xfrm>
          <a:off x="3429000" y="43766696"/>
          <a:ext cx="616218" cy="206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IN" sz="800" b="1">
              <a:solidFill>
                <a:srgbClr val="FF0000"/>
              </a:solidFill>
            </a:rPr>
            <a:t>Wing C</a:t>
          </a:r>
        </a:p>
      </xdr:txBody>
    </xdr:sp>
    <xdr:clientData/>
  </xdr:twoCellAnchor>
  <xdr:twoCellAnchor>
    <xdr:from>
      <xdr:col>3</xdr:col>
      <xdr:colOff>176120</xdr:colOff>
      <xdr:row>249</xdr:row>
      <xdr:rowOff>14705</xdr:rowOff>
    </xdr:from>
    <xdr:to>
      <xdr:col>3</xdr:col>
      <xdr:colOff>382949</xdr:colOff>
      <xdr:row>252</xdr:row>
      <xdr:rowOff>30848</xdr:rowOff>
    </xdr:to>
    <xdr:sp macro="" textlink="">
      <xdr:nvSpPr>
        <xdr:cNvPr id="33" name="TextBox 32">
          <a:extLst>
            <a:ext uri="{FF2B5EF4-FFF2-40B4-BE49-F238E27FC236}">
              <a16:creationId xmlns:a16="http://schemas.microsoft.com/office/drawing/2014/main" id="{00000000-0008-0000-0000-000021000000}"/>
            </a:ext>
          </a:extLst>
        </xdr:cNvPr>
        <xdr:cNvSpPr txBox="1"/>
      </xdr:nvSpPr>
      <xdr:spPr>
        <a:xfrm rot="16200000">
          <a:off x="2381251" y="43843899"/>
          <a:ext cx="616218" cy="206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IN" sz="800" b="1">
              <a:solidFill>
                <a:srgbClr val="FF0000"/>
              </a:solidFill>
            </a:rPr>
            <a:t>Wing D</a:t>
          </a:r>
        </a:p>
      </xdr:txBody>
    </xdr:sp>
    <xdr:clientData/>
  </xdr:twoCellAnchor>
  <xdr:twoCellAnchor>
    <xdr:from>
      <xdr:col>3</xdr:col>
      <xdr:colOff>147870</xdr:colOff>
      <xdr:row>251</xdr:row>
      <xdr:rowOff>193809</xdr:rowOff>
    </xdr:from>
    <xdr:to>
      <xdr:col>3</xdr:col>
      <xdr:colOff>354699</xdr:colOff>
      <xdr:row>255</xdr:row>
      <xdr:rowOff>12124</xdr:rowOff>
    </xdr:to>
    <xdr:sp macro="" textlink="">
      <xdr:nvSpPr>
        <xdr:cNvPr id="35" name="TextBox 34">
          <a:extLst>
            <a:ext uri="{FF2B5EF4-FFF2-40B4-BE49-F238E27FC236}">
              <a16:creationId xmlns:a16="http://schemas.microsoft.com/office/drawing/2014/main" id="{00000000-0008-0000-0000-000023000000}"/>
            </a:ext>
          </a:extLst>
        </xdr:cNvPr>
        <xdr:cNvSpPr txBox="1"/>
      </xdr:nvSpPr>
      <xdr:spPr>
        <a:xfrm rot="16200000">
          <a:off x="2357031" y="44070994"/>
          <a:ext cx="609623" cy="206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IN" sz="800" b="1">
              <a:solidFill>
                <a:srgbClr val="FF0000"/>
              </a:solidFill>
            </a:rPr>
            <a:t>Wing E</a:t>
          </a:r>
        </a:p>
      </xdr:txBody>
    </xdr:sp>
    <xdr:clientData/>
  </xdr:twoCellAnchor>
  <xdr:twoCellAnchor>
    <xdr:from>
      <xdr:col>3</xdr:col>
      <xdr:colOff>263769</xdr:colOff>
      <xdr:row>256</xdr:row>
      <xdr:rowOff>138764</xdr:rowOff>
    </xdr:from>
    <xdr:to>
      <xdr:col>3</xdr:col>
      <xdr:colOff>871154</xdr:colOff>
      <xdr:row>257</xdr:row>
      <xdr:rowOff>147766</xdr:rowOff>
    </xdr:to>
    <xdr:sp macro="" textlink="">
      <xdr:nvSpPr>
        <xdr:cNvPr id="36" name="TextBox 35">
          <a:extLst>
            <a:ext uri="{FF2B5EF4-FFF2-40B4-BE49-F238E27FC236}">
              <a16:creationId xmlns:a16="http://schemas.microsoft.com/office/drawing/2014/main" id="{00000000-0008-0000-0000-000024000000}"/>
            </a:ext>
          </a:extLst>
        </xdr:cNvPr>
        <xdr:cNvSpPr txBox="1"/>
      </xdr:nvSpPr>
      <xdr:spPr>
        <a:xfrm>
          <a:off x="2674327" y="44803687"/>
          <a:ext cx="607385" cy="206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IN" sz="800" b="1">
              <a:solidFill>
                <a:srgbClr val="FF0000"/>
              </a:solidFill>
            </a:rPr>
            <a:t>Wing F</a:t>
          </a:r>
        </a:p>
      </xdr:txBody>
    </xdr:sp>
    <xdr:clientData/>
  </xdr:twoCellAnchor>
  <xdr:twoCellAnchor>
    <xdr:from>
      <xdr:col>8</xdr:col>
      <xdr:colOff>276225</xdr:colOff>
      <xdr:row>203</xdr:row>
      <xdr:rowOff>9525</xdr:rowOff>
    </xdr:from>
    <xdr:to>
      <xdr:col>15</xdr:col>
      <xdr:colOff>680088</xdr:colOff>
      <xdr:row>243</xdr:row>
      <xdr:rowOff>175576</xdr:rowOff>
    </xdr:to>
    <xdr:grpSp>
      <xdr:nvGrpSpPr>
        <xdr:cNvPr id="3" name="Group 2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GrpSpPr/>
      </xdr:nvGrpSpPr>
      <xdr:grpSpPr>
        <a:xfrm>
          <a:off x="7121525" y="34274125"/>
          <a:ext cx="6436363" cy="8033701"/>
          <a:chOff x="95250" y="34470975"/>
          <a:chExt cx="6166488" cy="8157526"/>
        </a:xfrm>
      </xdr:grpSpPr>
      <xdr:pic>
        <xdr:nvPicPr>
          <xdr:cNvPr id="28" name="Picture 27" descr="https://vsjcllp.vsjadon.com/upload/insp-197318-1525.jpg">
            <a:extLst>
              <a:ext uri="{FF2B5EF4-FFF2-40B4-BE49-F238E27FC236}">
                <a16:creationId xmlns:a16="http://schemas.microsoft.com/office/drawing/2014/main" id="{00000000-0008-0000-0000-00001C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5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1568449" y="40288501"/>
            <a:ext cx="3117108" cy="2340000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29" name="Picture 28" descr="https://vsjcllp.vsjadon.com/upload/insp-197318-849.jpg">
            <a:extLst>
              <a:ext uri="{FF2B5EF4-FFF2-40B4-BE49-F238E27FC236}">
                <a16:creationId xmlns:a16="http://schemas.microsoft.com/office/drawing/2014/main" id="{00000000-0008-0000-0000-00001D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6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95250" y="34470975"/>
            <a:ext cx="3836444" cy="2880000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30" name="Picture 29" descr="https://vsjcllp.vsjadon.com/upload/insp-197318-851.jpg">
            <a:extLst>
              <a:ext uri="{FF2B5EF4-FFF2-40B4-BE49-F238E27FC236}">
                <a16:creationId xmlns:a16="http://schemas.microsoft.com/office/drawing/2014/main" id="{00000000-0008-0000-0000-00001E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7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2582665" y="37523738"/>
            <a:ext cx="3452800" cy="2592000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41" name="Picture 40" descr="https://vsjcllp.vsjadon.com/upload/insp-197318-860.jpg">
            <a:extLst>
              <a:ext uri="{FF2B5EF4-FFF2-40B4-BE49-F238E27FC236}">
                <a16:creationId xmlns:a16="http://schemas.microsoft.com/office/drawing/2014/main" id="{00000000-0008-0000-0000-000029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8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4103988" y="34470975"/>
            <a:ext cx="2157750" cy="2880000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42" name="Picture 41" descr="https://vsjcllp.vsjadon.com/upload/insp-197318-844.jpg">
            <a:extLst>
              <a:ext uri="{FF2B5EF4-FFF2-40B4-BE49-F238E27FC236}">
                <a16:creationId xmlns:a16="http://schemas.microsoft.com/office/drawing/2014/main" id="{00000000-0008-0000-0000-00002A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9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/>
          <a:stretch>
            <a:fillRect/>
          </a:stretch>
        </xdr:blipFill>
        <xdr:spPr bwMode="auto">
          <a:xfrm>
            <a:off x="423685" y="37523738"/>
            <a:ext cx="1941975" cy="2592000"/>
          </a:xfrm>
          <a:prstGeom prst="rect">
            <a:avLst/>
          </a:prstGeom>
          <a:noFill/>
          <a:ln>
            <a:solidFill>
              <a:schemeClr val="tx1"/>
            </a:solidFill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>
    <xdr:from>
      <xdr:col>8</xdr:col>
      <xdr:colOff>282742</xdr:colOff>
      <xdr:row>233</xdr:row>
      <xdr:rowOff>109847</xdr:rowOff>
    </xdr:from>
    <xdr:to>
      <xdr:col>9</xdr:col>
      <xdr:colOff>49151</xdr:colOff>
      <xdr:row>235</xdr:row>
      <xdr:rowOff>79129</xdr:rowOff>
    </xdr:to>
    <xdr:sp macro="" textlink="">
      <xdr:nvSpPr>
        <xdr:cNvPr id="43" name="Rectangle 42">
          <a:extLst>
            <a:ext uri="{FF2B5EF4-FFF2-40B4-BE49-F238E27FC236}">
              <a16:creationId xmlns:a16="http://schemas.microsoft.com/office/drawing/2014/main" id="{00000000-0008-0000-0000-00002B000000}"/>
            </a:ext>
          </a:extLst>
        </xdr:cNvPr>
        <xdr:cNvSpPr/>
      </xdr:nvSpPr>
      <xdr:spPr>
        <a:xfrm>
          <a:off x="6807367" y="40714922"/>
          <a:ext cx="928459" cy="369332"/>
        </a:xfrm>
        <a:prstGeom prst="rect">
          <a:avLst/>
        </a:prstGeom>
      </xdr:spPr>
      <xdr:txBody>
        <a:bodyPr wrap="square">
          <a:spAutoFit/>
        </a:bodyPr>
        <a:lstStyle>
          <a:defPPr>
            <a:defRPr lang="en-US"/>
          </a:defPPr>
          <a:lvl1pPr marL="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9144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r>
            <a:rPr lang="en-IN" b="1">
              <a:solidFill>
                <a:srgbClr val="FF0000"/>
              </a:solidFill>
            </a:rPr>
            <a:t>A Wing </a:t>
          </a:r>
        </a:p>
      </xdr:txBody>
    </xdr:sp>
    <xdr:clientData/>
  </xdr:twoCellAnchor>
  <xdr:twoCellAnchor>
    <xdr:from>
      <xdr:col>8</xdr:col>
      <xdr:colOff>386403</xdr:colOff>
      <xdr:row>203</xdr:row>
      <xdr:rowOff>53975</xdr:rowOff>
    </xdr:from>
    <xdr:to>
      <xdr:col>16</xdr:col>
      <xdr:colOff>62150</xdr:colOff>
      <xdr:row>239</xdr:row>
      <xdr:rowOff>74839</xdr:rowOff>
    </xdr:to>
    <xdr:grpSp>
      <xdr:nvGrpSpPr>
        <xdr:cNvPr id="39" name="Group 38">
          <a:extLst>
            <a:ext uri="{FF2B5EF4-FFF2-40B4-BE49-F238E27FC236}">
              <a16:creationId xmlns:a16="http://schemas.microsoft.com/office/drawing/2014/main" id="{00000000-0008-0000-0000-000027000000}"/>
            </a:ext>
          </a:extLst>
        </xdr:cNvPr>
        <xdr:cNvGrpSpPr/>
      </xdr:nvGrpSpPr>
      <xdr:grpSpPr>
        <a:xfrm>
          <a:off x="7231703" y="34318575"/>
          <a:ext cx="6527397" cy="7101114"/>
          <a:chOff x="167328" y="34112200"/>
          <a:chExt cx="6498822" cy="7101114"/>
        </a:xfrm>
      </xdr:grpSpPr>
      <xdr:pic>
        <xdr:nvPicPr>
          <xdr:cNvPr id="44" name="Picture 43">
            <a:extLst>
              <a:ext uri="{FF2B5EF4-FFF2-40B4-BE49-F238E27FC236}">
                <a16:creationId xmlns:a16="http://schemas.microsoft.com/office/drawing/2014/main" id="{00000000-0008-0000-0000-00002C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0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3468459" y="39771171"/>
            <a:ext cx="3197691" cy="144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45" name="Picture 44">
            <a:extLst>
              <a:ext uri="{FF2B5EF4-FFF2-40B4-BE49-F238E27FC236}">
                <a16:creationId xmlns:a16="http://schemas.microsoft.com/office/drawing/2014/main" id="{00000000-0008-0000-0000-00002D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1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692150" y="34112200"/>
            <a:ext cx="1700412" cy="2736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46" name="Picture 45">
            <a:extLst>
              <a:ext uri="{FF2B5EF4-FFF2-40B4-BE49-F238E27FC236}">
                <a16:creationId xmlns:a16="http://schemas.microsoft.com/office/drawing/2014/main" id="{00000000-0008-0000-0000-00002E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2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4371066" y="34112200"/>
            <a:ext cx="1700412" cy="2736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47" name="Picture 46">
            <a:extLst>
              <a:ext uri="{FF2B5EF4-FFF2-40B4-BE49-F238E27FC236}">
                <a16:creationId xmlns:a16="http://schemas.microsoft.com/office/drawing/2014/main" id="{00000000-0008-0000-0000-00002F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3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4371066" y="36936407"/>
            <a:ext cx="1700412" cy="2736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48" name="Picture 47">
            <a:extLst>
              <a:ext uri="{FF2B5EF4-FFF2-40B4-BE49-F238E27FC236}">
                <a16:creationId xmlns:a16="http://schemas.microsoft.com/office/drawing/2014/main" id="{00000000-0008-0000-0000-000030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4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2531608" y="36936407"/>
            <a:ext cx="1700412" cy="2736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49" name="Picture 48">
            <a:extLst>
              <a:ext uri="{FF2B5EF4-FFF2-40B4-BE49-F238E27FC236}">
                <a16:creationId xmlns:a16="http://schemas.microsoft.com/office/drawing/2014/main" id="{00000000-0008-0000-0000-000031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5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67328" y="39773314"/>
            <a:ext cx="3190472" cy="144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50" name="Picture 49">
            <a:extLst>
              <a:ext uri="{FF2B5EF4-FFF2-40B4-BE49-F238E27FC236}">
                <a16:creationId xmlns:a16="http://schemas.microsoft.com/office/drawing/2014/main" id="{00000000-0008-0000-0000-000032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6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692150" y="36936407"/>
            <a:ext cx="1700412" cy="2736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51" name="Picture 50">
            <a:extLst>
              <a:ext uri="{FF2B5EF4-FFF2-40B4-BE49-F238E27FC236}">
                <a16:creationId xmlns:a16="http://schemas.microsoft.com/office/drawing/2014/main" id="{00000000-0008-0000-0000-00003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17" cstate="screen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2531608" y="34112200"/>
            <a:ext cx="1700412" cy="2736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sp macro="" textlink="">
        <xdr:nvSpPr>
          <xdr:cNvPr id="52" name="Rectangle 51">
            <a:extLst>
              <a:ext uri="{FF2B5EF4-FFF2-40B4-BE49-F238E27FC236}">
                <a16:creationId xmlns:a16="http://schemas.microsoft.com/office/drawing/2014/main" id="{00000000-0008-0000-0000-000034000000}"/>
              </a:ext>
            </a:extLst>
          </xdr:cNvPr>
          <xdr:cNvSpPr/>
        </xdr:nvSpPr>
        <xdr:spPr>
          <a:xfrm>
            <a:off x="1225550" y="34156650"/>
            <a:ext cx="676108" cy="280205"/>
          </a:xfrm>
          <a:prstGeom prst="rect">
            <a:avLst/>
          </a:prstGeom>
        </xdr:spPr>
        <xdr:txBody>
          <a:bodyPr wrap="square">
            <a:sp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en-IN" sz="1200" b="0" cap="none" spc="0">
                <a:ln w="0"/>
                <a:solidFill>
                  <a:sysClr val="windowText" lastClr="000000"/>
                </a:solidFill>
                <a:effectLst>
                  <a:outerShdw blurRad="38100" dist="25400" dir="5400000" algn="ctr" rotWithShape="0">
                    <a:srgbClr val="6E747A">
                      <a:alpha val="43000"/>
                    </a:srgbClr>
                  </a:outerShdw>
                </a:effectLst>
              </a:rPr>
              <a:t>A Wing </a:t>
            </a:r>
          </a:p>
        </xdr:txBody>
      </xdr:sp>
      <xdr:sp macro="" textlink="">
        <xdr:nvSpPr>
          <xdr:cNvPr id="53" name="Rectangle 52">
            <a:extLst>
              <a:ext uri="{FF2B5EF4-FFF2-40B4-BE49-F238E27FC236}">
                <a16:creationId xmlns:a16="http://schemas.microsoft.com/office/drawing/2014/main" id="{00000000-0008-0000-0000-000035000000}"/>
              </a:ext>
            </a:extLst>
          </xdr:cNvPr>
          <xdr:cNvSpPr/>
        </xdr:nvSpPr>
        <xdr:spPr>
          <a:xfrm>
            <a:off x="3026908" y="34251900"/>
            <a:ext cx="676108" cy="280205"/>
          </a:xfrm>
          <a:prstGeom prst="rect">
            <a:avLst/>
          </a:prstGeom>
        </xdr:spPr>
        <xdr:txBody>
          <a:bodyPr wrap="square">
            <a:sp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en-IN" sz="1200" b="0" cap="none" spc="0">
                <a:ln w="0"/>
                <a:solidFill>
                  <a:sysClr val="windowText" lastClr="000000"/>
                </a:solidFill>
                <a:effectLst>
                  <a:outerShdw blurRad="38100" dist="25400" dir="5400000" algn="ctr" rotWithShape="0">
                    <a:srgbClr val="6E747A">
                      <a:alpha val="43000"/>
                    </a:srgbClr>
                  </a:outerShdw>
                </a:effectLst>
              </a:rPr>
              <a:t>A Wing </a:t>
            </a:r>
          </a:p>
        </xdr:txBody>
      </xdr:sp>
      <xdr:sp macro="" textlink="">
        <xdr:nvSpPr>
          <xdr:cNvPr id="54" name="Rectangle 53">
            <a:extLst>
              <a:ext uri="{FF2B5EF4-FFF2-40B4-BE49-F238E27FC236}">
                <a16:creationId xmlns:a16="http://schemas.microsoft.com/office/drawing/2014/main" id="{00000000-0008-0000-0000-000036000000}"/>
              </a:ext>
            </a:extLst>
          </xdr:cNvPr>
          <xdr:cNvSpPr/>
        </xdr:nvSpPr>
        <xdr:spPr>
          <a:xfrm>
            <a:off x="4371066" y="34112200"/>
            <a:ext cx="676108" cy="280205"/>
          </a:xfrm>
          <a:prstGeom prst="rect">
            <a:avLst/>
          </a:prstGeom>
        </xdr:spPr>
        <xdr:txBody>
          <a:bodyPr wrap="square">
            <a:sp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en-IN" sz="1200" b="0" cap="none" spc="0">
                <a:ln w="0"/>
                <a:solidFill>
                  <a:sysClr val="windowText" lastClr="000000"/>
                </a:solidFill>
                <a:effectLst>
                  <a:outerShdw blurRad="38100" dist="25400" dir="5400000" algn="ctr" rotWithShape="0">
                    <a:srgbClr val="6E747A">
                      <a:alpha val="43000"/>
                    </a:srgbClr>
                  </a:outerShdw>
                </a:effectLst>
              </a:rPr>
              <a:t>B Wing </a:t>
            </a:r>
          </a:p>
        </xdr:txBody>
      </xdr:sp>
      <xdr:sp macro="" textlink="">
        <xdr:nvSpPr>
          <xdr:cNvPr id="55" name="Rectangle 54">
            <a:extLst>
              <a:ext uri="{FF2B5EF4-FFF2-40B4-BE49-F238E27FC236}">
                <a16:creationId xmlns:a16="http://schemas.microsoft.com/office/drawing/2014/main" id="{00000000-0008-0000-0000-000037000000}"/>
              </a:ext>
            </a:extLst>
          </xdr:cNvPr>
          <xdr:cNvSpPr/>
        </xdr:nvSpPr>
        <xdr:spPr>
          <a:xfrm>
            <a:off x="1638300" y="36872907"/>
            <a:ext cx="676108" cy="280205"/>
          </a:xfrm>
          <a:prstGeom prst="rect">
            <a:avLst/>
          </a:prstGeom>
        </xdr:spPr>
        <xdr:txBody>
          <a:bodyPr wrap="square">
            <a:spAutoFit/>
          </a:bodyPr>
          <a:lstStyle>
            <a:defPPr>
              <a:defRPr lang="en-US"/>
            </a:defPPr>
            <a:lvl1pPr marL="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1pPr>
            <a:lvl2pPr marL="457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2pPr>
            <a:lvl3pPr marL="914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3pPr>
            <a:lvl4pPr marL="1371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4pPr>
            <a:lvl5pPr marL="18288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1800" kern="1200">
                <a:solidFill>
                  <a:schemeClr val="tx1"/>
                </a:solidFill>
                <a:latin typeface="+mn-lt"/>
                <a:ea typeface="+mn-ea"/>
                <a:cs typeface="+mn-cs"/>
              </a:defRPr>
            </a:lvl9pPr>
          </a:lstStyle>
          <a:p>
            <a:r>
              <a:rPr lang="en-IN" sz="1200" b="0" cap="none" spc="0">
                <a:ln w="0"/>
                <a:solidFill>
                  <a:sysClr val="windowText" lastClr="000000"/>
                </a:solidFill>
                <a:effectLst>
                  <a:outerShdw blurRad="38100" dist="25400" dir="5400000" algn="ctr" rotWithShape="0">
                    <a:srgbClr val="6E747A">
                      <a:alpha val="43000"/>
                    </a:srgbClr>
                  </a:outerShdw>
                </a:effectLst>
              </a:rPr>
              <a:t>B Wing </a:t>
            </a:r>
          </a:p>
        </xdr:txBody>
      </xdr:sp>
    </xdr:grpSp>
    <xdr:clientData/>
  </xdr:twoCellAnchor>
  <xdr:twoCellAnchor>
    <xdr:from>
      <xdr:col>0</xdr:col>
      <xdr:colOff>184150</xdr:colOff>
      <xdr:row>202</xdr:row>
      <xdr:rowOff>82550</xdr:rowOff>
    </xdr:from>
    <xdr:to>
      <xdr:col>7</xdr:col>
      <xdr:colOff>598311</xdr:colOff>
      <xdr:row>242</xdr:row>
      <xdr:rowOff>166986</xdr:rowOff>
    </xdr:to>
    <xdr:grpSp>
      <xdr:nvGrpSpPr>
        <xdr:cNvPr id="13" name="Group 12"/>
        <xdr:cNvGrpSpPr/>
      </xdr:nvGrpSpPr>
      <xdr:grpSpPr>
        <a:xfrm>
          <a:off x="184150" y="34150300"/>
          <a:ext cx="6389511" cy="7952086"/>
          <a:chOff x="184150" y="34150300"/>
          <a:chExt cx="6389511" cy="7952086"/>
        </a:xfrm>
      </xdr:grpSpPr>
      <xdr:pic>
        <xdr:nvPicPr>
          <xdr:cNvPr id="56" name="Picture 55"/>
          <xdr:cNvPicPr>
            <a:picLocks noChangeAspect="1"/>
          </xdr:cNvPicPr>
        </xdr:nvPicPr>
        <xdr:blipFill>
          <a:blip xmlns:r="http://schemas.openxmlformats.org/officeDocument/2006/relationships" r:embed="rId18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2549559" y="39942386"/>
            <a:ext cx="1618313" cy="216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57" name="Picture 56"/>
          <xdr:cNvPicPr>
            <a:picLocks noChangeAspect="1"/>
          </xdr:cNvPicPr>
        </xdr:nvPicPr>
        <xdr:blipFill>
          <a:blip xmlns:r="http://schemas.openxmlformats.org/officeDocument/2006/relationships" r:embed="rId19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355404" y="34150300"/>
            <a:ext cx="3836903" cy="288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58" name="Picture 57"/>
          <xdr:cNvPicPr>
            <a:picLocks noChangeAspect="1"/>
          </xdr:cNvPicPr>
        </xdr:nvPicPr>
        <xdr:blipFill>
          <a:blip xmlns:r="http://schemas.openxmlformats.org/officeDocument/2006/relationships" r:embed="rId20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4550770" y="37136343"/>
            <a:ext cx="2022891" cy="270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59" name="Picture 58"/>
          <xdr:cNvPicPr>
            <a:picLocks noChangeAspect="1"/>
          </xdr:cNvPicPr>
        </xdr:nvPicPr>
        <xdr:blipFill>
          <a:blip xmlns:r="http://schemas.openxmlformats.org/officeDocument/2006/relationships" r:embed="rId21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2367460" y="37136343"/>
            <a:ext cx="2022891" cy="270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60" name="Picture 59"/>
          <xdr:cNvPicPr>
            <a:picLocks noChangeAspect="1"/>
          </xdr:cNvPicPr>
        </xdr:nvPicPr>
        <xdr:blipFill>
          <a:blip xmlns:r="http://schemas.openxmlformats.org/officeDocument/2006/relationships" r:embed="rId22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184150" y="37136343"/>
            <a:ext cx="2022891" cy="2700000"/>
          </a:xfrm>
          <a:prstGeom prst="rect">
            <a:avLst/>
          </a:prstGeom>
          <a:ln>
            <a:solidFill>
              <a:schemeClr val="tx1"/>
            </a:solidFill>
          </a:ln>
        </xdr:spPr>
      </xdr:pic>
      <xdr:pic>
        <xdr:nvPicPr>
          <xdr:cNvPr id="61" name="Picture 60"/>
          <xdr:cNvPicPr>
            <a:picLocks noChangeAspect="1"/>
          </xdr:cNvPicPr>
        </xdr:nvPicPr>
        <xdr:blipFill>
          <a:blip xmlns:r="http://schemas.openxmlformats.org/officeDocument/2006/relationships" r:embed="rId23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tretch>
            <a:fillRect/>
          </a:stretch>
        </xdr:blipFill>
        <xdr:spPr>
          <a:xfrm>
            <a:off x="4327721" y="34150300"/>
            <a:ext cx="2157751" cy="2880000"/>
          </a:xfrm>
          <a:prstGeom prst="rect">
            <a:avLst/>
          </a:prstGeom>
          <a:ln>
            <a:solidFill>
              <a:schemeClr val="tx1"/>
            </a:solidFill>
          </a:ln>
        </xdr:spPr>
      </xdr:pic>
    </xdr:grp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maps.app.goo.gl/Tnnewcg5vYA1kQvN8" TargetMode="External"/><Relationship Id="rId2" Type="http://schemas.openxmlformats.org/officeDocument/2006/relationships/hyperlink" Target="https://www.magicbricks.com/2-bhk-flats-in-umroli-palghar-for-sale-pppfs" TargetMode="External"/><Relationship Id="rId1" Type="http://schemas.openxmlformats.org/officeDocument/2006/relationships/hyperlink" Target="https://housing.com/in/buy/projects/page/109998-ideal-city-bldg-no-2-by-shree-ganesh-enterprises-in-boisar" TargetMode="External"/><Relationship Id="rId6" Type="http://schemas.openxmlformats.org/officeDocument/2006/relationships/vmlDrawing" Target="../drawings/vmlDrawing1.vm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1:N277"/>
  <sheetViews>
    <sheetView tabSelected="1" view="pageBreakPreview" topLeftCell="A204" zoomScaleNormal="100" zoomScaleSheetLayoutView="100" workbookViewId="0">
      <selection activeCell="J187" sqref="J187"/>
    </sheetView>
  </sheetViews>
  <sheetFormatPr defaultColWidth="9.1796875" defaultRowHeight="15.5" x14ac:dyDescent="0.35"/>
  <cols>
    <col min="1" max="1" width="11.453125" style="40" customWidth="1"/>
    <col min="2" max="2" width="12" style="40" customWidth="1"/>
    <col min="3" max="3" width="12.7265625" style="40" customWidth="1"/>
    <col min="4" max="4" width="14.1796875" style="40" customWidth="1"/>
    <col min="5" max="7" width="11.7265625" style="40" customWidth="1"/>
    <col min="8" max="8" width="12.453125" style="40" customWidth="1"/>
    <col min="9" max="9" width="17.453125" style="21" customWidth="1"/>
    <col min="10" max="10" width="11.453125" style="21" customWidth="1"/>
    <col min="11" max="11" width="12.7265625" style="21" customWidth="1"/>
    <col min="12" max="12" width="10.54296875" style="21" customWidth="1"/>
    <col min="13" max="13" width="11.81640625" style="21" customWidth="1"/>
    <col min="14" max="14" width="12.54296875" style="21" customWidth="1"/>
    <col min="15" max="15" width="9.81640625" style="21" customWidth="1"/>
    <col min="16" max="16" width="11.7265625" style="21" customWidth="1"/>
    <col min="17" max="247" width="9.1796875" style="21"/>
    <col min="248" max="248" width="8.7265625" style="21" customWidth="1"/>
    <col min="249" max="249" width="9.81640625" style="21" customWidth="1"/>
    <col min="250" max="250" width="14.453125" style="21" customWidth="1"/>
    <col min="251" max="251" width="7.26953125" style="21" customWidth="1"/>
    <col min="252" max="252" width="5.54296875" style="21" customWidth="1"/>
    <col min="253" max="253" width="9" style="21" customWidth="1"/>
    <col min="254" max="255" width="9.81640625" style="21" customWidth="1"/>
    <col min="256" max="256" width="11.1796875" style="21" customWidth="1"/>
    <col min="257" max="257" width="2.81640625" style="21" customWidth="1"/>
    <col min="258" max="258" width="3.54296875" style="21" customWidth="1"/>
    <col min="259" max="503" width="9.1796875" style="21"/>
    <col min="504" max="504" width="8.7265625" style="21" customWidth="1"/>
    <col min="505" max="505" width="9.81640625" style="21" customWidth="1"/>
    <col min="506" max="506" width="14.453125" style="21" customWidth="1"/>
    <col min="507" max="507" width="7.26953125" style="21" customWidth="1"/>
    <col min="508" max="508" width="5.54296875" style="21" customWidth="1"/>
    <col min="509" max="509" width="9" style="21" customWidth="1"/>
    <col min="510" max="511" width="9.81640625" style="21" customWidth="1"/>
    <col min="512" max="512" width="11.1796875" style="21" customWidth="1"/>
    <col min="513" max="513" width="2.81640625" style="21" customWidth="1"/>
    <col min="514" max="514" width="3.54296875" style="21" customWidth="1"/>
    <col min="515" max="759" width="9.1796875" style="21"/>
    <col min="760" max="760" width="8.7265625" style="21" customWidth="1"/>
    <col min="761" max="761" width="9.81640625" style="21" customWidth="1"/>
    <col min="762" max="762" width="14.453125" style="21" customWidth="1"/>
    <col min="763" max="763" width="7.26953125" style="21" customWidth="1"/>
    <col min="764" max="764" width="5.54296875" style="21" customWidth="1"/>
    <col min="765" max="765" width="9" style="21" customWidth="1"/>
    <col min="766" max="767" width="9.81640625" style="21" customWidth="1"/>
    <col min="768" max="768" width="11.1796875" style="21" customWidth="1"/>
    <col min="769" max="769" width="2.81640625" style="21" customWidth="1"/>
    <col min="770" max="770" width="3.54296875" style="21" customWidth="1"/>
    <col min="771" max="1015" width="9.1796875" style="21"/>
    <col min="1016" max="1016" width="8.7265625" style="21" customWidth="1"/>
    <col min="1017" max="1017" width="9.81640625" style="21" customWidth="1"/>
    <col min="1018" max="1018" width="14.453125" style="21" customWidth="1"/>
    <col min="1019" max="1019" width="7.26953125" style="21" customWidth="1"/>
    <col min="1020" max="1020" width="5.54296875" style="21" customWidth="1"/>
    <col min="1021" max="1021" width="9" style="21" customWidth="1"/>
    <col min="1022" max="1023" width="9.81640625" style="21" customWidth="1"/>
    <col min="1024" max="1024" width="11.1796875" style="21" customWidth="1"/>
    <col min="1025" max="1025" width="2.81640625" style="21" customWidth="1"/>
    <col min="1026" max="1026" width="3.54296875" style="21" customWidth="1"/>
    <col min="1027" max="1271" width="9.1796875" style="21"/>
    <col min="1272" max="1272" width="8.7265625" style="21" customWidth="1"/>
    <col min="1273" max="1273" width="9.81640625" style="21" customWidth="1"/>
    <col min="1274" max="1274" width="14.453125" style="21" customWidth="1"/>
    <col min="1275" max="1275" width="7.26953125" style="21" customWidth="1"/>
    <col min="1276" max="1276" width="5.54296875" style="21" customWidth="1"/>
    <col min="1277" max="1277" width="9" style="21" customWidth="1"/>
    <col min="1278" max="1279" width="9.81640625" style="21" customWidth="1"/>
    <col min="1280" max="1280" width="11.1796875" style="21" customWidth="1"/>
    <col min="1281" max="1281" width="2.81640625" style="21" customWidth="1"/>
    <col min="1282" max="1282" width="3.54296875" style="21" customWidth="1"/>
    <col min="1283" max="1527" width="9.1796875" style="21"/>
    <col min="1528" max="1528" width="8.7265625" style="21" customWidth="1"/>
    <col min="1529" max="1529" width="9.81640625" style="21" customWidth="1"/>
    <col min="1530" max="1530" width="14.453125" style="21" customWidth="1"/>
    <col min="1531" max="1531" width="7.26953125" style="21" customWidth="1"/>
    <col min="1532" max="1532" width="5.54296875" style="21" customWidth="1"/>
    <col min="1533" max="1533" width="9" style="21" customWidth="1"/>
    <col min="1534" max="1535" width="9.81640625" style="21" customWidth="1"/>
    <col min="1536" max="1536" width="11.1796875" style="21" customWidth="1"/>
    <col min="1537" max="1537" width="2.81640625" style="21" customWidth="1"/>
    <col min="1538" max="1538" width="3.54296875" style="21" customWidth="1"/>
    <col min="1539" max="1783" width="9.1796875" style="21"/>
    <col min="1784" max="1784" width="8.7265625" style="21" customWidth="1"/>
    <col min="1785" max="1785" width="9.81640625" style="21" customWidth="1"/>
    <col min="1786" max="1786" width="14.453125" style="21" customWidth="1"/>
    <col min="1787" max="1787" width="7.26953125" style="21" customWidth="1"/>
    <col min="1788" max="1788" width="5.54296875" style="21" customWidth="1"/>
    <col min="1789" max="1789" width="9" style="21" customWidth="1"/>
    <col min="1790" max="1791" width="9.81640625" style="21" customWidth="1"/>
    <col min="1792" max="1792" width="11.1796875" style="21" customWidth="1"/>
    <col min="1793" max="1793" width="2.81640625" style="21" customWidth="1"/>
    <col min="1794" max="1794" width="3.54296875" style="21" customWidth="1"/>
    <col min="1795" max="2039" width="9.1796875" style="21"/>
    <col min="2040" max="2040" width="8.7265625" style="21" customWidth="1"/>
    <col min="2041" max="2041" width="9.81640625" style="21" customWidth="1"/>
    <col min="2042" max="2042" width="14.453125" style="21" customWidth="1"/>
    <col min="2043" max="2043" width="7.26953125" style="21" customWidth="1"/>
    <col min="2044" max="2044" width="5.54296875" style="21" customWidth="1"/>
    <col min="2045" max="2045" width="9" style="21" customWidth="1"/>
    <col min="2046" max="2047" width="9.81640625" style="21" customWidth="1"/>
    <col min="2048" max="2048" width="11.1796875" style="21" customWidth="1"/>
    <col min="2049" max="2049" width="2.81640625" style="21" customWidth="1"/>
    <col min="2050" max="2050" width="3.54296875" style="21" customWidth="1"/>
    <col min="2051" max="2295" width="9.1796875" style="21"/>
    <col min="2296" max="2296" width="8.7265625" style="21" customWidth="1"/>
    <col min="2297" max="2297" width="9.81640625" style="21" customWidth="1"/>
    <col min="2298" max="2298" width="14.453125" style="21" customWidth="1"/>
    <col min="2299" max="2299" width="7.26953125" style="21" customWidth="1"/>
    <col min="2300" max="2300" width="5.54296875" style="21" customWidth="1"/>
    <col min="2301" max="2301" width="9" style="21" customWidth="1"/>
    <col min="2302" max="2303" width="9.81640625" style="21" customWidth="1"/>
    <col min="2304" max="2304" width="11.1796875" style="21" customWidth="1"/>
    <col min="2305" max="2305" width="2.81640625" style="21" customWidth="1"/>
    <col min="2306" max="2306" width="3.54296875" style="21" customWidth="1"/>
    <col min="2307" max="2551" width="9.1796875" style="21"/>
    <col min="2552" max="2552" width="8.7265625" style="21" customWidth="1"/>
    <col min="2553" max="2553" width="9.81640625" style="21" customWidth="1"/>
    <col min="2554" max="2554" width="14.453125" style="21" customWidth="1"/>
    <col min="2555" max="2555" width="7.26953125" style="21" customWidth="1"/>
    <col min="2556" max="2556" width="5.54296875" style="21" customWidth="1"/>
    <col min="2557" max="2557" width="9" style="21" customWidth="1"/>
    <col min="2558" max="2559" width="9.81640625" style="21" customWidth="1"/>
    <col min="2560" max="2560" width="11.1796875" style="21" customWidth="1"/>
    <col min="2561" max="2561" width="2.81640625" style="21" customWidth="1"/>
    <col min="2562" max="2562" width="3.54296875" style="21" customWidth="1"/>
    <col min="2563" max="2807" width="9.1796875" style="21"/>
    <col min="2808" max="2808" width="8.7265625" style="21" customWidth="1"/>
    <col min="2809" max="2809" width="9.81640625" style="21" customWidth="1"/>
    <col min="2810" max="2810" width="14.453125" style="21" customWidth="1"/>
    <col min="2811" max="2811" width="7.26953125" style="21" customWidth="1"/>
    <col min="2812" max="2812" width="5.54296875" style="21" customWidth="1"/>
    <col min="2813" max="2813" width="9" style="21" customWidth="1"/>
    <col min="2814" max="2815" width="9.81640625" style="21" customWidth="1"/>
    <col min="2816" max="2816" width="11.1796875" style="21" customWidth="1"/>
    <col min="2817" max="2817" width="2.81640625" style="21" customWidth="1"/>
    <col min="2818" max="2818" width="3.54296875" style="21" customWidth="1"/>
    <col min="2819" max="3063" width="9.1796875" style="21"/>
    <col min="3064" max="3064" width="8.7265625" style="21" customWidth="1"/>
    <col min="3065" max="3065" width="9.81640625" style="21" customWidth="1"/>
    <col min="3066" max="3066" width="14.453125" style="21" customWidth="1"/>
    <col min="3067" max="3067" width="7.26953125" style="21" customWidth="1"/>
    <col min="3068" max="3068" width="5.54296875" style="21" customWidth="1"/>
    <col min="3069" max="3069" width="9" style="21" customWidth="1"/>
    <col min="3070" max="3071" width="9.81640625" style="21" customWidth="1"/>
    <col min="3072" max="3072" width="11.1796875" style="21" customWidth="1"/>
    <col min="3073" max="3073" width="2.81640625" style="21" customWidth="1"/>
    <col min="3074" max="3074" width="3.54296875" style="21" customWidth="1"/>
    <col min="3075" max="3319" width="9.1796875" style="21"/>
    <col min="3320" max="3320" width="8.7265625" style="21" customWidth="1"/>
    <col min="3321" max="3321" width="9.81640625" style="21" customWidth="1"/>
    <col min="3322" max="3322" width="14.453125" style="21" customWidth="1"/>
    <col min="3323" max="3323" width="7.26953125" style="21" customWidth="1"/>
    <col min="3324" max="3324" width="5.54296875" style="21" customWidth="1"/>
    <col min="3325" max="3325" width="9" style="21" customWidth="1"/>
    <col min="3326" max="3327" width="9.81640625" style="21" customWidth="1"/>
    <col min="3328" max="3328" width="11.1796875" style="21" customWidth="1"/>
    <col min="3329" max="3329" width="2.81640625" style="21" customWidth="1"/>
    <col min="3330" max="3330" width="3.54296875" style="21" customWidth="1"/>
    <col min="3331" max="3575" width="9.1796875" style="21"/>
    <col min="3576" max="3576" width="8.7265625" style="21" customWidth="1"/>
    <col min="3577" max="3577" width="9.81640625" style="21" customWidth="1"/>
    <col min="3578" max="3578" width="14.453125" style="21" customWidth="1"/>
    <col min="3579" max="3579" width="7.26953125" style="21" customWidth="1"/>
    <col min="3580" max="3580" width="5.54296875" style="21" customWidth="1"/>
    <col min="3581" max="3581" width="9" style="21" customWidth="1"/>
    <col min="3582" max="3583" width="9.81640625" style="21" customWidth="1"/>
    <col min="3584" max="3584" width="11.1796875" style="21" customWidth="1"/>
    <col min="3585" max="3585" width="2.81640625" style="21" customWidth="1"/>
    <col min="3586" max="3586" width="3.54296875" style="21" customWidth="1"/>
    <col min="3587" max="3831" width="9.1796875" style="21"/>
    <col min="3832" max="3832" width="8.7265625" style="21" customWidth="1"/>
    <col min="3833" max="3833" width="9.81640625" style="21" customWidth="1"/>
    <col min="3834" max="3834" width="14.453125" style="21" customWidth="1"/>
    <col min="3835" max="3835" width="7.26953125" style="21" customWidth="1"/>
    <col min="3836" max="3836" width="5.54296875" style="21" customWidth="1"/>
    <col min="3837" max="3837" width="9" style="21" customWidth="1"/>
    <col min="3838" max="3839" width="9.81640625" style="21" customWidth="1"/>
    <col min="3840" max="3840" width="11.1796875" style="21" customWidth="1"/>
    <col min="3841" max="3841" width="2.81640625" style="21" customWidth="1"/>
    <col min="3842" max="3842" width="3.54296875" style="21" customWidth="1"/>
    <col min="3843" max="4087" width="9.1796875" style="21"/>
    <col min="4088" max="4088" width="8.7265625" style="21" customWidth="1"/>
    <col min="4089" max="4089" width="9.81640625" style="21" customWidth="1"/>
    <col min="4090" max="4090" width="14.453125" style="21" customWidth="1"/>
    <col min="4091" max="4091" width="7.26953125" style="21" customWidth="1"/>
    <col min="4092" max="4092" width="5.54296875" style="21" customWidth="1"/>
    <col min="4093" max="4093" width="9" style="21" customWidth="1"/>
    <col min="4094" max="4095" width="9.81640625" style="21" customWidth="1"/>
    <col min="4096" max="4096" width="11.1796875" style="21" customWidth="1"/>
    <col min="4097" max="4097" width="2.81640625" style="21" customWidth="1"/>
    <col min="4098" max="4098" width="3.54296875" style="21" customWidth="1"/>
    <col min="4099" max="4343" width="9.1796875" style="21"/>
    <col min="4344" max="4344" width="8.7265625" style="21" customWidth="1"/>
    <col min="4345" max="4345" width="9.81640625" style="21" customWidth="1"/>
    <col min="4346" max="4346" width="14.453125" style="21" customWidth="1"/>
    <col min="4347" max="4347" width="7.26953125" style="21" customWidth="1"/>
    <col min="4348" max="4348" width="5.54296875" style="21" customWidth="1"/>
    <col min="4349" max="4349" width="9" style="21" customWidth="1"/>
    <col min="4350" max="4351" width="9.81640625" style="21" customWidth="1"/>
    <col min="4352" max="4352" width="11.1796875" style="21" customWidth="1"/>
    <col min="4353" max="4353" width="2.81640625" style="21" customWidth="1"/>
    <col min="4354" max="4354" width="3.54296875" style="21" customWidth="1"/>
    <col min="4355" max="4599" width="9.1796875" style="21"/>
    <col min="4600" max="4600" width="8.7265625" style="21" customWidth="1"/>
    <col min="4601" max="4601" width="9.81640625" style="21" customWidth="1"/>
    <col min="4602" max="4602" width="14.453125" style="21" customWidth="1"/>
    <col min="4603" max="4603" width="7.26953125" style="21" customWidth="1"/>
    <col min="4604" max="4604" width="5.54296875" style="21" customWidth="1"/>
    <col min="4605" max="4605" width="9" style="21" customWidth="1"/>
    <col min="4606" max="4607" width="9.81640625" style="21" customWidth="1"/>
    <col min="4608" max="4608" width="11.1796875" style="21" customWidth="1"/>
    <col min="4609" max="4609" width="2.81640625" style="21" customWidth="1"/>
    <col min="4610" max="4610" width="3.54296875" style="21" customWidth="1"/>
    <col min="4611" max="4855" width="9.1796875" style="21"/>
    <col min="4856" max="4856" width="8.7265625" style="21" customWidth="1"/>
    <col min="4857" max="4857" width="9.81640625" style="21" customWidth="1"/>
    <col min="4858" max="4858" width="14.453125" style="21" customWidth="1"/>
    <col min="4859" max="4859" width="7.26953125" style="21" customWidth="1"/>
    <col min="4860" max="4860" width="5.54296875" style="21" customWidth="1"/>
    <col min="4861" max="4861" width="9" style="21" customWidth="1"/>
    <col min="4862" max="4863" width="9.81640625" style="21" customWidth="1"/>
    <col min="4864" max="4864" width="11.1796875" style="21" customWidth="1"/>
    <col min="4865" max="4865" width="2.81640625" style="21" customWidth="1"/>
    <col min="4866" max="4866" width="3.54296875" style="21" customWidth="1"/>
    <col min="4867" max="5111" width="9.1796875" style="21"/>
    <col min="5112" max="5112" width="8.7265625" style="21" customWidth="1"/>
    <col min="5113" max="5113" width="9.81640625" style="21" customWidth="1"/>
    <col min="5114" max="5114" width="14.453125" style="21" customWidth="1"/>
    <col min="5115" max="5115" width="7.26953125" style="21" customWidth="1"/>
    <col min="5116" max="5116" width="5.54296875" style="21" customWidth="1"/>
    <col min="5117" max="5117" width="9" style="21" customWidth="1"/>
    <col min="5118" max="5119" width="9.81640625" style="21" customWidth="1"/>
    <col min="5120" max="5120" width="11.1796875" style="21" customWidth="1"/>
    <col min="5121" max="5121" width="2.81640625" style="21" customWidth="1"/>
    <col min="5122" max="5122" width="3.54296875" style="21" customWidth="1"/>
    <col min="5123" max="5367" width="9.1796875" style="21"/>
    <col min="5368" max="5368" width="8.7265625" style="21" customWidth="1"/>
    <col min="5369" max="5369" width="9.81640625" style="21" customWidth="1"/>
    <col min="5370" max="5370" width="14.453125" style="21" customWidth="1"/>
    <col min="5371" max="5371" width="7.26953125" style="21" customWidth="1"/>
    <col min="5372" max="5372" width="5.54296875" style="21" customWidth="1"/>
    <col min="5373" max="5373" width="9" style="21" customWidth="1"/>
    <col min="5374" max="5375" width="9.81640625" style="21" customWidth="1"/>
    <col min="5376" max="5376" width="11.1796875" style="21" customWidth="1"/>
    <col min="5377" max="5377" width="2.81640625" style="21" customWidth="1"/>
    <col min="5378" max="5378" width="3.54296875" style="21" customWidth="1"/>
    <col min="5379" max="5623" width="9.1796875" style="21"/>
    <col min="5624" max="5624" width="8.7265625" style="21" customWidth="1"/>
    <col min="5625" max="5625" width="9.81640625" style="21" customWidth="1"/>
    <col min="5626" max="5626" width="14.453125" style="21" customWidth="1"/>
    <col min="5627" max="5627" width="7.26953125" style="21" customWidth="1"/>
    <col min="5628" max="5628" width="5.54296875" style="21" customWidth="1"/>
    <col min="5629" max="5629" width="9" style="21" customWidth="1"/>
    <col min="5630" max="5631" width="9.81640625" style="21" customWidth="1"/>
    <col min="5632" max="5632" width="11.1796875" style="21" customWidth="1"/>
    <col min="5633" max="5633" width="2.81640625" style="21" customWidth="1"/>
    <col min="5634" max="5634" width="3.54296875" style="21" customWidth="1"/>
    <col min="5635" max="5879" width="9.1796875" style="21"/>
    <col min="5880" max="5880" width="8.7265625" style="21" customWidth="1"/>
    <col min="5881" max="5881" width="9.81640625" style="21" customWidth="1"/>
    <col min="5882" max="5882" width="14.453125" style="21" customWidth="1"/>
    <col min="5883" max="5883" width="7.26953125" style="21" customWidth="1"/>
    <col min="5884" max="5884" width="5.54296875" style="21" customWidth="1"/>
    <col min="5885" max="5885" width="9" style="21" customWidth="1"/>
    <col min="5886" max="5887" width="9.81640625" style="21" customWidth="1"/>
    <col min="5888" max="5888" width="11.1796875" style="21" customWidth="1"/>
    <col min="5889" max="5889" width="2.81640625" style="21" customWidth="1"/>
    <col min="5890" max="5890" width="3.54296875" style="21" customWidth="1"/>
    <col min="5891" max="6135" width="9.1796875" style="21"/>
    <col min="6136" max="6136" width="8.7265625" style="21" customWidth="1"/>
    <col min="6137" max="6137" width="9.81640625" style="21" customWidth="1"/>
    <col min="6138" max="6138" width="14.453125" style="21" customWidth="1"/>
    <col min="6139" max="6139" width="7.26953125" style="21" customWidth="1"/>
    <col min="6140" max="6140" width="5.54296875" style="21" customWidth="1"/>
    <col min="6141" max="6141" width="9" style="21" customWidth="1"/>
    <col min="6142" max="6143" width="9.81640625" style="21" customWidth="1"/>
    <col min="6144" max="6144" width="11.1796875" style="21" customWidth="1"/>
    <col min="6145" max="6145" width="2.81640625" style="21" customWidth="1"/>
    <col min="6146" max="6146" width="3.54296875" style="21" customWidth="1"/>
    <col min="6147" max="6391" width="9.1796875" style="21"/>
    <col min="6392" max="6392" width="8.7265625" style="21" customWidth="1"/>
    <col min="6393" max="6393" width="9.81640625" style="21" customWidth="1"/>
    <col min="6394" max="6394" width="14.453125" style="21" customWidth="1"/>
    <col min="6395" max="6395" width="7.26953125" style="21" customWidth="1"/>
    <col min="6396" max="6396" width="5.54296875" style="21" customWidth="1"/>
    <col min="6397" max="6397" width="9" style="21" customWidth="1"/>
    <col min="6398" max="6399" width="9.81640625" style="21" customWidth="1"/>
    <col min="6400" max="6400" width="11.1796875" style="21" customWidth="1"/>
    <col min="6401" max="6401" width="2.81640625" style="21" customWidth="1"/>
    <col min="6402" max="6402" width="3.54296875" style="21" customWidth="1"/>
    <col min="6403" max="6647" width="9.1796875" style="21"/>
    <col min="6648" max="6648" width="8.7265625" style="21" customWidth="1"/>
    <col min="6649" max="6649" width="9.81640625" style="21" customWidth="1"/>
    <col min="6650" max="6650" width="14.453125" style="21" customWidth="1"/>
    <col min="6651" max="6651" width="7.26953125" style="21" customWidth="1"/>
    <col min="6652" max="6652" width="5.54296875" style="21" customWidth="1"/>
    <col min="6653" max="6653" width="9" style="21" customWidth="1"/>
    <col min="6654" max="6655" width="9.81640625" style="21" customWidth="1"/>
    <col min="6656" max="6656" width="11.1796875" style="21" customWidth="1"/>
    <col min="6657" max="6657" width="2.81640625" style="21" customWidth="1"/>
    <col min="6658" max="6658" width="3.54296875" style="21" customWidth="1"/>
    <col min="6659" max="6903" width="9.1796875" style="21"/>
    <col min="6904" max="6904" width="8.7265625" style="21" customWidth="1"/>
    <col min="6905" max="6905" width="9.81640625" style="21" customWidth="1"/>
    <col min="6906" max="6906" width="14.453125" style="21" customWidth="1"/>
    <col min="6907" max="6907" width="7.26953125" style="21" customWidth="1"/>
    <col min="6908" max="6908" width="5.54296875" style="21" customWidth="1"/>
    <col min="6909" max="6909" width="9" style="21" customWidth="1"/>
    <col min="6910" max="6911" width="9.81640625" style="21" customWidth="1"/>
    <col min="6912" max="6912" width="11.1796875" style="21" customWidth="1"/>
    <col min="6913" max="6913" width="2.81640625" style="21" customWidth="1"/>
    <col min="6914" max="6914" width="3.54296875" style="21" customWidth="1"/>
    <col min="6915" max="7159" width="9.1796875" style="21"/>
    <col min="7160" max="7160" width="8.7265625" style="21" customWidth="1"/>
    <col min="7161" max="7161" width="9.81640625" style="21" customWidth="1"/>
    <col min="7162" max="7162" width="14.453125" style="21" customWidth="1"/>
    <col min="7163" max="7163" width="7.26953125" style="21" customWidth="1"/>
    <col min="7164" max="7164" width="5.54296875" style="21" customWidth="1"/>
    <col min="7165" max="7165" width="9" style="21" customWidth="1"/>
    <col min="7166" max="7167" width="9.81640625" style="21" customWidth="1"/>
    <col min="7168" max="7168" width="11.1796875" style="21" customWidth="1"/>
    <col min="7169" max="7169" width="2.81640625" style="21" customWidth="1"/>
    <col min="7170" max="7170" width="3.54296875" style="21" customWidth="1"/>
    <col min="7171" max="7415" width="9.1796875" style="21"/>
    <col min="7416" max="7416" width="8.7265625" style="21" customWidth="1"/>
    <col min="7417" max="7417" width="9.81640625" style="21" customWidth="1"/>
    <col min="7418" max="7418" width="14.453125" style="21" customWidth="1"/>
    <col min="7419" max="7419" width="7.26953125" style="21" customWidth="1"/>
    <col min="7420" max="7420" width="5.54296875" style="21" customWidth="1"/>
    <col min="7421" max="7421" width="9" style="21" customWidth="1"/>
    <col min="7422" max="7423" width="9.81640625" style="21" customWidth="1"/>
    <col min="7424" max="7424" width="11.1796875" style="21" customWidth="1"/>
    <col min="7425" max="7425" width="2.81640625" style="21" customWidth="1"/>
    <col min="7426" max="7426" width="3.54296875" style="21" customWidth="1"/>
    <col min="7427" max="7671" width="9.1796875" style="21"/>
    <col min="7672" max="7672" width="8.7265625" style="21" customWidth="1"/>
    <col min="7673" max="7673" width="9.81640625" style="21" customWidth="1"/>
    <col min="7674" max="7674" width="14.453125" style="21" customWidth="1"/>
    <col min="7675" max="7675" width="7.26953125" style="21" customWidth="1"/>
    <col min="7676" max="7676" width="5.54296875" style="21" customWidth="1"/>
    <col min="7677" max="7677" width="9" style="21" customWidth="1"/>
    <col min="7678" max="7679" width="9.81640625" style="21" customWidth="1"/>
    <col min="7680" max="7680" width="11.1796875" style="21" customWidth="1"/>
    <col min="7681" max="7681" width="2.81640625" style="21" customWidth="1"/>
    <col min="7682" max="7682" width="3.54296875" style="21" customWidth="1"/>
    <col min="7683" max="7927" width="9.1796875" style="21"/>
    <col min="7928" max="7928" width="8.7265625" style="21" customWidth="1"/>
    <col min="7929" max="7929" width="9.81640625" style="21" customWidth="1"/>
    <col min="7930" max="7930" width="14.453125" style="21" customWidth="1"/>
    <col min="7931" max="7931" width="7.26953125" style="21" customWidth="1"/>
    <col min="7932" max="7932" width="5.54296875" style="21" customWidth="1"/>
    <col min="7933" max="7933" width="9" style="21" customWidth="1"/>
    <col min="7934" max="7935" width="9.81640625" style="21" customWidth="1"/>
    <col min="7936" max="7936" width="11.1796875" style="21" customWidth="1"/>
    <col min="7937" max="7937" width="2.81640625" style="21" customWidth="1"/>
    <col min="7938" max="7938" width="3.54296875" style="21" customWidth="1"/>
    <col min="7939" max="8183" width="9.1796875" style="21"/>
    <col min="8184" max="8184" width="8.7265625" style="21" customWidth="1"/>
    <col min="8185" max="8185" width="9.81640625" style="21" customWidth="1"/>
    <col min="8186" max="8186" width="14.453125" style="21" customWidth="1"/>
    <col min="8187" max="8187" width="7.26953125" style="21" customWidth="1"/>
    <col min="8188" max="8188" width="5.54296875" style="21" customWidth="1"/>
    <col min="8189" max="8189" width="9" style="21" customWidth="1"/>
    <col min="8190" max="8191" width="9.81640625" style="21" customWidth="1"/>
    <col min="8192" max="8192" width="11.1796875" style="21" customWidth="1"/>
    <col min="8193" max="8193" width="2.81640625" style="21" customWidth="1"/>
    <col min="8194" max="8194" width="3.54296875" style="21" customWidth="1"/>
    <col min="8195" max="8439" width="9.1796875" style="21"/>
    <col min="8440" max="8440" width="8.7265625" style="21" customWidth="1"/>
    <col min="8441" max="8441" width="9.81640625" style="21" customWidth="1"/>
    <col min="8442" max="8442" width="14.453125" style="21" customWidth="1"/>
    <col min="8443" max="8443" width="7.26953125" style="21" customWidth="1"/>
    <col min="8444" max="8444" width="5.54296875" style="21" customWidth="1"/>
    <col min="8445" max="8445" width="9" style="21" customWidth="1"/>
    <col min="8446" max="8447" width="9.81640625" style="21" customWidth="1"/>
    <col min="8448" max="8448" width="11.1796875" style="21" customWidth="1"/>
    <col min="8449" max="8449" width="2.81640625" style="21" customWidth="1"/>
    <col min="8450" max="8450" width="3.54296875" style="21" customWidth="1"/>
    <col min="8451" max="8695" width="9.1796875" style="21"/>
    <col min="8696" max="8696" width="8.7265625" style="21" customWidth="1"/>
    <col min="8697" max="8697" width="9.81640625" style="21" customWidth="1"/>
    <col min="8698" max="8698" width="14.453125" style="21" customWidth="1"/>
    <col min="8699" max="8699" width="7.26953125" style="21" customWidth="1"/>
    <col min="8700" max="8700" width="5.54296875" style="21" customWidth="1"/>
    <col min="8701" max="8701" width="9" style="21" customWidth="1"/>
    <col min="8702" max="8703" width="9.81640625" style="21" customWidth="1"/>
    <col min="8704" max="8704" width="11.1796875" style="21" customWidth="1"/>
    <col min="8705" max="8705" width="2.81640625" style="21" customWidth="1"/>
    <col min="8706" max="8706" width="3.54296875" style="21" customWidth="1"/>
    <col min="8707" max="8951" width="9.1796875" style="21"/>
    <col min="8952" max="8952" width="8.7265625" style="21" customWidth="1"/>
    <col min="8953" max="8953" width="9.81640625" style="21" customWidth="1"/>
    <col min="8954" max="8954" width="14.453125" style="21" customWidth="1"/>
    <col min="8955" max="8955" width="7.26953125" style="21" customWidth="1"/>
    <col min="8956" max="8956" width="5.54296875" style="21" customWidth="1"/>
    <col min="8957" max="8957" width="9" style="21" customWidth="1"/>
    <col min="8958" max="8959" width="9.81640625" style="21" customWidth="1"/>
    <col min="8960" max="8960" width="11.1796875" style="21" customWidth="1"/>
    <col min="8961" max="8961" width="2.81640625" style="21" customWidth="1"/>
    <col min="8962" max="8962" width="3.54296875" style="21" customWidth="1"/>
    <col min="8963" max="9207" width="9.1796875" style="21"/>
    <col min="9208" max="9208" width="8.7265625" style="21" customWidth="1"/>
    <col min="9209" max="9209" width="9.81640625" style="21" customWidth="1"/>
    <col min="9210" max="9210" width="14.453125" style="21" customWidth="1"/>
    <col min="9211" max="9211" width="7.26953125" style="21" customWidth="1"/>
    <col min="9212" max="9212" width="5.54296875" style="21" customWidth="1"/>
    <col min="9213" max="9213" width="9" style="21" customWidth="1"/>
    <col min="9214" max="9215" width="9.81640625" style="21" customWidth="1"/>
    <col min="9216" max="9216" width="11.1796875" style="21" customWidth="1"/>
    <col min="9217" max="9217" width="2.81640625" style="21" customWidth="1"/>
    <col min="9218" max="9218" width="3.54296875" style="21" customWidth="1"/>
    <col min="9219" max="9463" width="9.1796875" style="21"/>
    <col min="9464" max="9464" width="8.7265625" style="21" customWidth="1"/>
    <col min="9465" max="9465" width="9.81640625" style="21" customWidth="1"/>
    <col min="9466" max="9466" width="14.453125" style="21" customWidth="1"/>
    <col min="9467" max="9467" width="7.26953125" style="21" customWidth="1"/>
    <col min="9468" max="9468" width="5.54296875" style="21" customWidth="1"/>
    <col min="9469" max="9469" width="9" style="21" customWidth="1"/>
    <col min="9470" max="9471" width="9.81640625" style="21" customWidth="1"/>
    <col min="9472" max="9472" width="11.1796875" style="21" customWidth="1"/>
    <col min="9473" max="9473" width="2.81640625" style="21" customWidth="1"/>
    <col min="9474" max="9474" width="3.54296875" style="21" customWidth="1"/>
    <col min="9475" max="9719" width="9.1796875" style="21"/>
    <col min="9720" max="9720" width="8.7265625" style="21" customWidth="1"/>
    <col min="9721" max="9721" width="9.81640625" style="21" customWidth="1"/>
    <col min="9722" max="9722" width="14.453125" style="21" customWidth="1"/>
    <col min="9723" max="9723" width="7.26953125" style="21" customWidth="1"/>
    <col min="9724" max="9724" width="5.54296875" style="21" customWidth="1"/>
    <col min="9725" max="9725" width="9" style="21" customWidth="1"/>
    <col min="9726" max="9727" width="9.81640625" style="21" customWidth="1"/>
    <col min="9728" max="9728" width="11.1796875" style="21" customWidth="1"/>
    <col min="9729" max="9729" width="2.81640625" style="21" customWidth="1"/>
    <col min="9730" max="9730" width="3.54296875" style="21" customWidth="1"/>
    <col min="9731" max="9975" width="9.1796875" style="21"/>
    <col min="9976" max="9976" width="8.7265625" style="21" customWidth="1"/>
    <col min="9977" max="9977" width="9.81640625" style="21" customWidth="1"/>
    <col min="9978" max="9978" width="14.453125" style="21" customWidth="1"/>
    <col min="9979" max="9979" width="7.26953125" style="21" customWidth="1"/>
    <col min="9980" max="9980" width="5.54296875" style="21" customWidth="1"/>
    <col min="9981" max="9981" width="9" style="21" customWidth="1"/>
    <col min="9982" max="9983" width="9.81640625" style="21" customWidth="1"/>
    <col min="9984" max="9984" width="11.1796875" style="21" customWidth="1"/>
    <col min="9985" max="9985" width="2.81640625" style="21" customWidth="1"/>
    <col min="9986" max="9986" width="3.54296875" style="21" customWidth="1"/>
    <col min="9987" max="10231" width="9.1796875" style="21"/>
    <col min="10232" max="10232" width="8.7265625" style="21" customWidth="1"/>
    <col min="10233" max="10233" width="9.81640625" style="21" customWidth="1"/>
    <col min="10234" max="10234" width="14.453125" style="21" customWidth="1"/>
    <col min="10235" max="10235" width="7.26953125" style="21" customWidth="1"/>
    <col min="10236" max="10236" width="5.54296875" style="21" customWidth="1"/>
    <col min="10237" max="10237" width="9" style="21" customWidth="1"/>
    <col min="10238" max="10239" width="9.81640625" style="21" customWidth="1"/>
    <col min="10240" max="10240" width="11.1796875" style="21" customWidth="1"/>
    <col min="10241" max="10241" width="2.81640625" style="21" customWidth="1"/>
    <col min="10242" max="10242" width="3.54296875" style="21" customWidth="1"/>
    <col min="10243" max="10487" width="9.1796875" style="21"/>
    <col min="10488" max="10488" width="8.7265625" style="21" customWidth="1"/>
    <col min="10489" max="10489" width="9.81640625" style="21" customWidth="1"/>
    <col min="10490" max="10490" width="14.453125" style="21" customWidth="1"/>
    <col min="10491" max="10491" width="7.26953125" style="21" customWidth="1"/>
    <col min="10492" max="10492" width="5.54296875" style="21" customWidth="1"/>
    <col min="10493" max="10493" width="9" style="21" customWidth="1"/>
    <col min="10494" max="10495" width="9.81640625" style="21" customWidth="1"/>
    <col min="10496" max="10496" width="11.1796875" style="21" customWidth="1"/>
    <col min="10497" max="10497" width="2.81640625" style="21" customWidth="1"/>
    <col min="10498" max="10498" width="3.54296875" style="21" customWidth="1"/>
    <col min="10499" max="10743" width="9.1796875" style="21"/>
    <col min="10744" max="10744" width="8.7265625" style="21" customWidth="1"/>
    <col min="10745" max="10745" width="9.81640625" style="21" customWidth="1"/>
    <col min="10746" max="10746" width="14.453125" style="21" customWidth="1"/>
    <col min="10747" max="10747" width="7.26953125" style="21" customWidth="1"/>
    <col min="10748" max="10748" width="5.54296875" style="21" customWidth="1"/>
    <col min="10749" max="10749" width="9" style="21" customWidth="1"/>
    <col min="10750" max="10751" width="9.81640625" style="21" customWidth="1"/>
    <col min="10752" max="10752" width="11.1796875" style="21" customWidth="1"/>
    <col min="10753" max="10753" width="2.81640625" style="21" customWidth="1"/>
    <col min="10754" max="10754" width="3.54296875" style="21" customWidth="1"/>
    <col min="10755" max="10999" width="9.1796875" style="21"/>
    <col min="11000" max="11000" width="8.7265625" style="21" customWidth="1"/>
    <col min="11001" max="11001" width="9.81640625" style="21" customWidth="1"/>
    <col min="11002" max="11002" width="14.453125" style="21" customWidth="1"/>
    <col min="11003" max="11003" width="7.26953125" style="21" customWidth="1"/>
    <col min="11004" max="11004" width="5.54296875" style="21" customWidth="1"/>
    <col min="11005" max="11005" width="9" style="21" customWidth="1"/>
    <col min="11006" max="11007" width="9.81640625" style="21" customWidth="1"/>
    <col min="11008" max="11008" width="11.1796875" style="21" customWidth="1"/>
    <col min="11009" max="11009" width="2.81640625" style="21" customWidth="1"/>
    <col min="11010" max="11010" width="3.54296875" style="21" customWidth="1"/>
    <col min="11011" max="11255" width="9.1796875" style="21"/>
    <col min="11256" max="11256" width="8.7265625" style="21" customWidth="1"/>
    <col min="11257" max="11257" width="9.81640625" style="21" customWidth="1"/>
    <col min="11258" max="11258" width="14.453125" style="21" customWidth="1"/>
    <col min="11259" max="11259" width="7.26953125" style="21" customWidth="1"/>
    <col min="11260" max="11260" width="5.54296875" style="21" customWidth="1"/>
    <col min="11261" max="11261" width="9" style="21" customWidth="1"/>
    <col min="11262" max="11263" width="9.81640625" style="21" customWidth="1"/>
    <col min="11264" max="11264" width="11.1796875" style="21" customWidth="1"/>
    <col min="11265" max="11265" width="2.81640625" style="21" customWidth="1"/>
    <col min="11266" max="11266" width="3.54296875" style="21" customWidth="1"/>
    <col min="11267" max="11511" width="9.1796875" style="21"/>
    <col min="11512" max="11512" width="8.7265625" style="21" customWidth="1"/>
    <col min="11513" max="11513" width="9.81640625" style="21" customWidth="1"/>
    <col min="11514" max="11514" width="14.453125" style="21" customWidth="1"/>
    <col min="11515" max="11515" width="7.26953125" style="21" customWidth="1"/>
    <col min="11516" max="11516" width="5.54296875" style="21" customWidth="1"/>
    <col min="11517" max="11517" width="9" style="21" customWidth="1"/>
    <col min="11518" max="11519" width="9.81640625" style="21" customWidth="1"/>
    <col min="11520" max="11520" width="11.1796875" style="21" customWidth="1"/>
    <col min="11521" max="11521" width="2.81640625" style="21" customWidth="1"/>
    <col min="11522" max="11522" width="3.54296875" style="21" customWidth="1"/>
    <col min="11523" max="11767" width="9.1796875" style="21"/>
    <col min="11768" max="11768" width="8.7265625" style="21" customWidth="1"/>
    <col min="11769" max="11769" width="9.81640625" style="21" customWidth="1"/>
    <col min="11770" max="11770" width="14.453125" style="21" customWidth="1"/>
    <col min="11771" max="11771" width="7.26953125" style="21" customWidth="1"/>
    <col min="11772" max="11772" width="5.54296875" style="21" customWidth="1"/>
    <col min="11773" max="11773" width="9" style="21" customWidth="1"/>
    <col min="11774" max="11775" width="9.81640625" style="21" customWidth="1"/>
    <col min="11776" max="11776" width="11.1796875" style="21" customWidth="1"/>
    <col min="11777" max="11777" width="2.81640625" style="21" customWidth="1"/>
    <col min="11778" max="11778" width="3.54296875" style="21" customWidth="1"/>
    <col min="11779" max="12023" width="9.1796875" style="21"/>
    <col min="12024" max="12024" width="8.7265625" style="21" customWidth="1"/>
    <col min="12025" max="12025" width="9.81640625" style="21" customWidth="1"/>
    <col min="12026" max="12026" width="14.453125" style="21" customWidth="1"/>
    <col min="12027" max="12027" width="7.26953125" style="21" customWidth="1"/>
    <col min="12028" max="12028" width="5.54296875" style="21" customWidth="1"/>
    <col min="12029" max="12029" width="9" style="21" customWidth="1"/>
    <col min="12030" max="12031" width="9.81640625" style="21" customWidth="1"/>
    <col min="12032" max="12032" width="11.1796875" style="21" customWidth="1"/>
    <col min="12033" max="12033" width="2.81640625" style="21" customWidth="1"/>
    <col min="12034" max="12034" width="3.54296875" style="21" customWidth="1"/>
    <col min="12035" max="12279" width="9.1796875" style="21"/>
    <col min="12280" max="12280" width="8.7265625" style="21" customWidth="1"/>
    <col min="12281" max="12281" width="9.81640625" style="21" customWidth="1"/>
    <col min="12282" max="12282" width="14.453125" style="21" customWidth="1"/>
    <col min="12283" max="12283" width="7.26953125" style="21" customWidth="1"/>
    <col min="12284" max="12284" width="5.54296875" style="21" customWidth="1"/>
    <col min="12285" max="12285" width="9" style="21" customWidth="1"/>
    <col min="12286" max="12287" width="9.81640625" style="21" customWidth="1"/>
    <col min="12288" max="12288" width="11.1796875" style="21" customWidth="1"/>
    <col min="12289" max="12289" width="2.81640625" style="21" customWidth="1"/>
    <col min="12290" max="12290" width="3.54296875" style="21" customWidth="1"/>
    <col min="12291" max="12535" width="9.1796875" style="21"/>
    <col min="12536" max="12536" width="8.7265625" style="21" customWidth="1"/>
    <col min="12537" max="12537" width="9.81640625" style="21" customWidth="1"/>
    <col min="12538" max="12538" width="14.453125" style="21" customWidth="1"/>
    <col min="12539" max="12539" width="7.26953125" style="21" customWidth="1"/>
    <col min="12540" max="12540" width="5.54296875" style="21" customWidth="1"/>
    <col min="12541" max="12541" width="9" style="21" customWidth="1"/>
    <col min="12542" max="12543" width="9.81640625" style="21" customWidth="1"/>
    <col min="12544" max="12544" width="11.1796875" style="21" customWidth="1"/>
    <col min="12545" max="12545" width="2.81640625" style="21" customWidth="1"/>
    <col min="12546" max="12546" width="3.54296875" style="21" customWidth="1"/>
    <col min="12547" max="12791" width="9.1796875" style="21"/>
    <col min="12792" max="12792" width="8.7265625" style="21" customWidth="1"/>
    <col min="12793" max="12793" width="9.81640625" style="21" customWidth="1"/>
    <col min="12794" max="12794" width="14.453125" style="21" customWidth="1"/>
    <col min="12795" max="12795" width="7.26953125" style="21" customWidth="1"/>
    <col min="12796" max="12796" width="5.54296875" style="21" customWidth="1"/>
    <col min="12797" max="12797" width="9" style="21" customWidth="1"/>
    <col min="12798" max="12799" width="9.81640625" style="21" customWidth="1"/>
    <col min="12800" max="12800" width="11.1796875" style="21" customWidth="1"/>
    <col min="12801" max="12801" width="2.81640625" style="21" customWidth="1"/>
    <col min="12802" max="12802" width="3.54296875" style="21" customWidth="1"/>
    <col min="12803" max="13047" width="9.1796875" style="21"/>
    <col min="13048" max="13048" width="8.7265625" style="21" customWidth="1"/>
    <col min="13049" max="13049" width="9.81640625" style="21" customWidth="1"/>
    <col min="13050" max="13050" width="14.453125" style="21" customWidth="1"/>
    <col min="13051" max="13051" width="7.26953125" style="21" customWidth="1"/>
    <col min="13052" max="13052" width="5.54296875" style="21" customWidth="1"/>
    <col min="13053" max="13053" width="9" style="21" customWidth="1"/>
    <col min="13054" max="13055" width="9.81640625" style="21" customWidth="1"/>
    <col min="13056" max="13056" width="11.1796875" style="21" customWidth="1"/>
    <col min="13057" max="13057" width="2.81640625" style="21" customWidth="1"/>
    <col min="13058" max="13058" width="3.54296875" style="21" customWidth="1"/>
    <col min="13059" max="13303" width="9.1796875" style="21"/>
    <col min="13304" max="13304" width="8.7265625" style="21" customWidth="1"/>
    <col min="13305" max="13305" width="9.81640625" style="21" customWidth="1"/>
    <col min="13306" max="13306" width="14.453125" style="21" customWidth="1"/>
    <col min="13307" max="13307" width="7.26953125" style="21" customWidth="1"/>
    <col min="13308" max="13308" width="5.54296875" style="21" customWidth="1"/>
    <col min="13309" max="13309" width="9" style="21" customWidth="1"/>
    <col min="13310" max="13311" width="9.81640625" style="21" customWidth="1"/>
    <col min="13312" max="13312" width="11.1796875" style="21" customWidth="1"/>
    <col min="13313" max="13313" width="2.81640625" style="21" customWidth="1"/>
    <col min="13314" max="13314" width="3.54296875" style="21" customWidth="1"/>
    <col min="13315" max="13559" width="9.1796875" style="21"/>
    <col min="13560" max="13560" width="8.7265625" style="21" customWidth="1"/>
    <col min="13561" max="13561" width="9.81640625" style="21" customWidth="1"/>
    <col min="13562" max="13562" width="14.453125" style="21" customWidth="1"/>
    <col min="13563" max="13563" width="7.26953125" style="21" customWidth="1"/>
    <col min="13564" max="13564" width="5.54296875" style="21" customWidth="1"/>
    <col min="13565" max="13565" width="9" style="21" customWidth="1"/>
    <col min="13566" max="13567" width="9.81640625" style="21" customWidth="1"/>
    <col min="13568" max="13568" width="11.1796875" style="21" customWidth="1"/>
    <col min="13569" max="13569" width="2.81640625" style="21" customWidth="1"/>
    <col min="13570" max="13570" width="3.54296875" style="21" customWidth="1"/>
    <col min="13571" max="13815" width="9.1796875" style="21"/>
    <col min="13816" max="13816" width="8.7265625" style="21" customWidth="1"/>
    <col min="13817" max="13817" width="9.81640625" style="21" customWidth="1"/>
    <col min="13818" max="13818" width="14.453125" style="21" customWidth="1"/>
    <col min="13819" max="13819" width="7.26953125" style="21" customWidth="1"/>
    <col min="13820" max="13820" width="5.54296875" style="21" customWidth="1"/>
    <col min="13821" max="13821" width="9" style="21" customWidth="1"/>
    <col min="13822" max="13823" width="9.81640625" style="21" customWidth="1"/>
    <col min="13824" max="13824" width="11.1796875" style="21" customWidth="1"/>
    <col min="13825" max="13825" width="2.81640625" style="21" customWidth="1"/>
    <col min="13826" max="13826" width="3.54296875" style="21" customWidth="1"/>
    <col min="13827" max="14071" width="9.1796875" style="21"/>
    <col min="14072" max="14072" width="8.7265625" style="21" customWidth="1"/>
    <col min="14073" max="14073" width="9.81640625" style="21" customWidth="1"/>
    <col min="14074" max="14074" width="14.453125" style="21" customWidth="1"/>
    <col min="14075" max="14075" width="7.26953125" style="21" customWidth="1"/>
    <col min="14076" max="14076" width="5.54296875" style="21" customWidth="1"/>
    <col min="14077" max="14077" width="9" style="21" customWidth="1"/>
    <col min="14078" max="14079" width="9.81640625" style="21" customWidth="1"/>
    <col min="14080" max="14080" width="11.1796875" style="21" customWidth="1"/>
    <col min="14081" max="14081" width="2.81640625" style="21" customWidth="1"/>
    <col min="14082" max="14082" width="3.54296875" style="21" customWidth="1"/>
    <col min="14083" max="14327" width="9.1796875" style="21"/>
    <col min="14328" max="14328" width="8.7265625" style="21" customWidth="1"/>
    <col min="14329" max="14329" width="9.81640625" style="21" customWidth="1"/>
    <col min="14330" max="14330" width="14.453125" style="21" customWidth="1"/>
    <col min="14331" max="14331" width="7.26953125" style="21" customWidth="1"/>
    <col min="14332" max="14332" width="5.54296875" style="21" customWidth="1"/>
    <col min="14333" max="14333" width="9" style="21" customWidth="1"/>
    <col min="14334" max="14335" width="9.81640625" style="21" customWidth="1"/>
    <col min="14336" max="14336" width="11.1796875" style="21" customWidth="1"/>
    <col min="14337" max="14337" width="2.81640625" style="21" customWidth="1"/>
    <col min="14338" max="14338" width="3.54296875" style="21" customWidth="1"/>
    <col min="14339" max="14583" width="9.1796875" style="21"/>
    <col min="14584" max="14584" width="8.7265625" style="21" customWidth="1"/>
    <col min="14585" max="14585" width="9.81640625" style="21" customWidth="1"/>
    <col min="14586" max="14586" width="14.453125" style="21" customWidth="1"/>
    <col min="14587" max="14587" width="7.26953125" style="21" customWidth="1"/>
    <col min="14588" max="14588" width="5.54296875" style="21" customWidth="1"/>
    <col min="14589" max="14589" width="9" style="21" customWidth="1"/>
    <col min="14590" max="14591" width="9.81640625" style="21" customWidth="1"/>
    <col min="14592" max="14592" width="11.1796875" style="21" customWidth="1"/>
    <col min="14593" max="14593" width="2.81640625" style="21" customWidth="1"/>
    <col min="14594" max="14594" width="3.54296875" style="21" customWidth="1"/>
    <col min="14595" max="14839" width="9.1796875" style="21"/>
    <col min="14840" max="14840" width="8.7265625" style="21" customWidth="1"/>
    <col min="14841" max="14841" width="9.81640625" style="21" customWidth="1"/>
    <col min="14842" max="14842" width="14.453125" style="21" customWidth="1"/>
    <col min="14843" max="14843" width="7.26953125" style="21" customWidth="1"/>
    <col min="14844" max="14844" width="5.54296875" style="21" customWidth="1"/>
    <col min="14845" max="14845" width="9" style="21" customWidth="1"/>
    <col min="14846" max="14847" width="9.81640625" style="21" customWidth="1"/>
    <col min="14848" max="14848" width="11.1796875" style="21" customWidth="1"/>
    <col min="14849" max="14849" width="2.81640625" style="21" customWidth="1"/>
    <col min="14850" max="14850" width="3.54296875" style="21" customWidth="1"/>
    <col min="14851" max="15095" width="9.1796875" style="21"/>
    <col min="15096" max="15096" width="8.7265625" style="21" customWidth="1"/>
    <col min="15097" max="15097" width="9.81640625" style="21" customWidth="1"/>
    <col min="15098" max="15098" width="14.453125" style="21" customWidth="1"/>
    <col min="15099" max="15099" width="7.26953125" style="21" customWidth="1"/>
    <col min="15100" max="15100" width="5.54296875" style="21" customWidth="1"/>
    <col min="15101" max="15101" width="9" style="21" customWidth="1"/>
    <col min="15102" max="15103" width="9.81640625" style="21" customWidth="1"/>
    <col min="15104" max="15104" width="11.1796875" style="21" customWidth="1"/>
    <col min="15105" max="15105" width="2.81640625" style="21" customWidth="1"/>
    <col min="15106" max="15106" width="3.54296875" style="21" customWidth="1"/>
    <col min="15107" max="15351" width="9.1796875" style="21"/>
    <col min="15352" max="15352" width="8.7265625" style="21" customWidth="1"/>
    <col min="15353" max="15353" width="9.81640625" style="21" customWidth="1"/>
    <col min="15354" max="15354" width="14.453125" style="21" customWidth="1"/>
    <col min="15355" max="15355" width="7.26953125" style="21" customWidth="1"/>
    <col min="15356" max="15356" width="5.54296875" style="21" customWidth="1"/>
    <col min="15357" max="15357" width="9" style="21" customWidth="1"/>
    <col min="15358" max="15359" width="9.81640625" style="21" customWidth="1"/>
    <col min="15360" max="15360" width="11.1796875" style="21" customWidth="1"/>
    <col min="15361" max="15361" width="2.81640625" style="21" customWidth="1"/>
    <col min="15362" max="15362" width="3.54296875" style="21" customWidth="1"/>
    <col min="15363" max="15607" width="9.1796875" style="21"/>
    <col min="15608" max="15608" width="8.7265625" style="21" customWidth="1"/>
    <col min="15609" max="15609" width="9.81640625" style="21" customWidth="1"/>
    <col min="15610" max="15610" width="14.453125" style="21" customWidth="1"/>
    <col min="15611" max="15611" width="7.26953125" style="21" customWidth="1"/>
    <col min="15612" max="15612" width="5.54296875" style="21" customWidth="1"/>
    <col min="15613" max="15613" width="9" style="21" customWidth="1"/>
    <col min="15614" max="15615" width="9.81640625" style="21" customWidth="1"/>
    <col min="15616" max="15616" width="11.1796875" style="21" customWidth="1"/>
    <col min="15617" max="15617" width="2.81640625" style="21" customWidth="1"/>
    <col min="15618" max="15618" width="3.54296875" style="21" customWidth="1"/>
    <col min="15619" max="15863" width="9.1796875" style="21"/>
    <col min="15864" max="15864" width="8.7265625" style="21" customWidth="1"/>
    <col min="15865" max="15865" width="9.81640625" style="21" customWidth="1"/>
    <col min="15866" max="15866" width="14.453125" style="21" customWidth="1"/>
    <col min="15867" max="15867" width="7.26953125" style="21" customWidth="1"/>
    <col min="15868" max="15868" width="5.54296875" style="21" customWidth="1"/>
    <col min="15869" max="15869" width="9" style="21" customWidth="1"/>
    <col min="15870" max="15871" width="9.81640625" style="21" customWidth="1"/>
    <col min="15872" max="15872" width="11.1796875" style="21" customWidth="1"/>
    <col min="15873" max="15873" width="2.81640625" style="21" customWidth="1"/>
    <col min="15874" max="15874" width="3.54296875" style="21" customWidth="1"/>
    <col min="15875" max="16119" width="9.1796875" style="21"/>
    <col min="16120" max="16120" width="8.7265625" style="21" customWidth="1"/>
    <col min="16121" max="16121" width="9.81640625" style="21" customWidth="1"/>
    <col min="16122" max="16122" width="14.453125" style="21" customWidth="1"/>
    <col min="16123" max="16123" width="7.26953125" style="21" customWidth="1"/>
    <col min="16124" max="16124" width="5.54296875" style="21" customWidth="1"/>
    <col min="16125" max="16125" width="9" style="21" customWidth="1"/>
    <col min="16126" max="16127" width="9.81640625" style="21" customWidth="1"/>
    <col min="16128" max="16128" width="11.1796875" style="21" customWidth="1"/>
    <col min="16129" max="16129" width="2.81640625" style="21" customWidth="1"/>
    <col min="16130" max="16130" width="3.54296875" style="21" customWidth="1"/>
    <col min="16131" max="16384" width="9.1796875" style="21"/>
  </cols>
  <sheetData>
    <row r="1" spans="1:8" ht="46.5" customHeight="1" x14ac:dyDescent="0.35">
      <c r="A1" s="149" t="s">
        <v>222</v>
      </c>
      <c r="B1" s="149"/>
      <c r="C1" s="149"/>
      <c r="D1" s="149"/>
      <c r="E1" s="149"/>
      <c r="F1" s="149"/>
      <c r="G1" s="149"/>
      <c r="H1" s="149"/>
    </row>
    <row r="2" spans="1:8" ht="16.5" customHeight="1" x14ac:dyDescent="0.35">
      <c r="A2" s="112" t="s">
        <v>0</v>
      </c>
      <c r="B2" s="112"/>
      <c r="C2" s="112"/>
      <c r="D2" s="112"/>
      <c r="E2" s="112"/>
      <c r="F2" s="112"/>
      <c r="G2" s="112"/>
      <c r="H2" s="112"/>
    </row>
    <row r="3" spans="1:8" x14ac:dyDescent="0.35">
      <c r="A3" s="100" t="s">
        <v>1</v>
      </c>
      <c r="B3" s="100"/>
      <c r="C3" s="100"/>
      <c r="D3" s="100"/>
      <c r="E3" s="100" t="str">
        <f ca="1">TEXT(TODAY(),"DD/MM/YYYY")</f>
        <v>18/08/2025</v>
      </c>
      <c r="F3" s="100"/>
      <c r="G3" s="100"/>
      <c r="H3" s="100"/>
    </row>
    <row r="4" spans="1:8" ht="15" customHeight="1" x14ac:dyDescent="0.35">
      <c r="A4" s="100" t="s">
        <v>2</v>
      </c>
      <c r="B4" s="100"/>
      <c r="C4" s="100"/>
      <c r="D4" s="100"/>
      <c r="E4" s="100" t="s">
        <v>181</v>
      </c>
      <c r="F4" s="100"/>
      <c r="G4" s="100"/>
      <c r="H4" s="100"/>
    </row>
    <row r="5" spans="1:8" x14ac:dyDescent="0.35">
      <c r="A5" s="100" t="s">
        <v>3</v>
      </c>
      <c r="B5" s="100"/>
      <c r="C5" s="100"/>
      <c r="D5" s="100"/>
      <c r="E5" s="150">
        <v>45880</v>
      </c>
      <c r="F5" s="100"/>
      <c r="G5" s="100"/>
      <c r="H5" s="100"/>
    </row>
    <row r="6" spans="1:8" ht="16.5" customHeight="1" x14ac:dyDescent="0.35">
      <c r="A6" s="100" t="s">
        <v>4</v>
      </c>
      <c r="B6" s="100"/>
      <c r="C6" s="100"/>
      <c r="D6" s="100"/>
      <c r="E6" s="100" t="s">
        <v>182</v>
      </c>
      <c r="F6" s="100"/>
      <c r="G6" s="100"/>
      <c r="H6" s="100"/>
    </row>
    <row r="7" spans="1:8" ht="15" customHeight="1" x14ac:dyDescent="0.35">
      <c r="A7" s="100" t="s">
        <v>5</v>
      </c>
      <c r="B7" s="100"/>
      <c r="C7" s="100"/>
      <c r="D7" s="100"/>
      <c r="E7" s="100" t="str">
        <f>E6</f>
        <v>Saarnath Builders and Developers</v>
      </c>
      <c r="F7" s="100"/>
      <c r="G7" s="100"/>
      <c r="H7" s="100"/>
    </row>
    <row r="8" spans="1:8" x14ac:dyDescent="0.35">
      <c r="A8" s="100" t="s">
        <v>6</v>
      </c>
      <c r="B8" s="100"/>
      <c r="C8" s="100"/>
      <c r="D8" s="100"/>
      <c r="E8" s="121" t="s">
        <v>183</v>
      </c>
      <c r="F8" s="121"/>
      <c r="G8" s="121"/>
      <c r="H8" s="121"/>
    </row>
    <row r="9" spans="1:8" x14ac:dyDescent="0.35">
      <c r="A9" s="100" t="s">
        <v>177</v>
      </c>
      <c r="B9" s="100"/>
      <c r="C9" s="100"/>
      <c r="D9" s="100"/>
      <c r="E9" s="100" t="s">
        <v>184</v>
      </c>
      <c r="F9" s="100"/>
      <c r="G9" s="100"/>
      <c r="H9" s="100"/>
    </row>
    <row r="10" spans="1:8" hidden="1" x14ac:dyDescent="0.35">
      <c r="A10" s="100" t="s">
        <v>178</v>
      </c>
      <c r="B10" s="100"/>
      <c r="C10" s="100"/>
      <c r="D10" s="100"/>
      <c r="E10" s="100" t="s">
        <v>225</v>
      </c>
      <c r="F10" s="100"/>
      <c r="G10" s="100"/>
      <c r="H10" s="100"/>
    </row>
    <row r="11" spans="1:8" ht="48.75" customHeight="1" x14ac:dyDescent="0.35">
      <c r="A11" s="100" t="s">
        <v>7</v>
      </c>
      <c r="B11" s="100"/>
      <c r="C11" s="100"/>
      <c r="D11" s="100"/>
      <c r="E11" s="71" t="s">
        <v>221</v>
      </c>
      <c r="F11" s="100"/>
      <c r="G11" s="100"/>
      <c r="H11" s="100"/>
    </row>
    <row r="12" spans="1:8" x14ac:dyDescent="0.35">
      <c r="A12" s="100" t="s">
        <v>8</v>
      </c>
      <c r="B12" s="100"/>
      <c r="C12" s="100"/>
      <c r="D12" s="100"/>
      <c r="E12" s="71" t="s">
        <v>208</v>
      </c>
      <c r="F12" s="71"/>
      <c r="G12" s="71"/>
      <c r="H12" s="71"/>
    </row>
    <row r="13" spans="1:8" x14ac:dyDescent="0.35">
      <c r="A13" s="100" t="s">
        <v>9</v>
      </c>
      <c r="B13" s="100"/>
      <c r="C13" s="100"/>
      <c r="D13" s="100"/>
      <c r="E13" s="71" t="s">
        <v>185</v>
      </c>
      <c r="F13" s="100"/>
      <c r="G13" s="100"/>
      <c r="H13" s="100"/>
    </row>
    <row r="14" spans="1:8" ht="33" customHeight="1" x14ac:dyDescent="0.35">
      <c r="A14" s="71" t="s">
        <v>10</v>
      </c>
      <c r="B14" s="71"/>
      <c r="C14" s="71" t="str">
        <f>CONCATENATE((IF(OR(E8="",E8="NA"),"",E8)),", ",(IF(OR(A15="",A15="NA"),"",A15)),".",(IF(OR(C15="",C15="NA"),"",C15)),", near ",(IF(OR(C20="",C20="NA"),"",C20)),", ",(IF(OR(C17="",C17="NA"),"",C17)),", ",(IF(OR(C16="",C16="NA"),"",C16)),", ",(IF(OR(G17="",G17="NA"),"",G17)),", ",(IF(OR(C18="",C18="NA"),"",C18)),", ",(IF(OR(C19="",C19="NA"),"",C19)),", ",(IF(OR(G18="",G18="NA"),"",G18))," - ",(IF(OR(G19="",G19="NA"),"",G19)),".")</f>
        <v>Ideal Park Building No.2, Gut No.179, 180 &amp; 181, near Soham Garden Buildings, Padghe Road, Sarpada, Umroli, Umroli East, Palghar, Palghar - 401404.</v>
      </c>
      <c r="D14" s="71"/>
      <c r="E14" s="71"/>
      <c r="F14" s="71"/>
      <c r="G14" s="71"/>
      <c r="H14" s="71"/>
    </row>
    <row r="15" spans="1:8" x14ac:dyDescent="0.35">
      <c r="A15" s="71" t="s">
        <v>186</v>
      </c>
      <c r="B15" s="71"/>
      <c r="C15" s="71" t="s">
        <v>187</v>
      </c>
      <c r="D15" s="71"/>
      <c r="E15" s="71"/>
      <c r="F15" s="71"/>
      <c r="G15" s="71"/>
      <c r="H15" s="71"/>
    </row>
    <row r="16" spans="1:8" ht="15.75" customHeight="1" x14ac:dyDescent="0.35">
      <c r="A16" s="71" t="s">
        <v>176</v>
      </c>
      <c r="B16" s="71"/>
      <c r="C16" s="71" t="s">
        <v>189</v>
      </c>
      <c r="D16" s="71"/>
      <c r="E16" s="71"/>
      <c r="F16" s="71"/>
      <c r="G16" s="71"/>
      <c r="H16" s="71"/>
    </row>
    <row r="17" spans="1:8" ht="15.75" customHeight="1" x14ac:dyDescent="0.35">
      <c r="A17" s="99" t="s">
        <v>11</v>
      </c>
      <c r="B17" s="99"/>
      <c r="C17" s="100" t="s">
        <v>190</v>
      </c>
      <c r="D17" s="100"/>
      <c r="E17" s="99" t="s">
        <v>77</v>
      </c>
      <c r="F17" s="99"/>
      <c r="G17" s="71" t="s">
        <v>188</v>
      </c>
      <c r="H17" s="71"/>
    </row>
    <row r="18" spans="1:8" x14ac:dyDescent="0.35">
      <c r="A18" s="73" t="s">
        <v>13</v>
      </c>
      <c r="B18" s="73"/>
      <c r="C18" s="71" t="s">
        <v>191</v>
      </c>
      <c r="D18" s="71"/>
      <c r="E18" s="99" t="s">
        <v>12</v>
      </c>
      <c r="F18" s="99"/>
      <c r="G18" s="151" t="s">
        <v>192</v>
      </c>
      <c r="H18" s="151"/>
    </row>
    <row r="19" spans="1:8" x14ac:dyDescent="0.35">
      <c r="A19" s="73" t="s">
        <v>78</v>
      </c>
      <c r="B19" s="73"/>
      <c r="C19" s="71" t="s">
        <v>192</v>
      </c>
      <c r="D19" s="71"/>
      <c r="E19" s="99" t="s">
        <v>14</v>
      </c>
      <c r="F19" s="99"/>
      <c r="G19" s="71">
        <v>401404</v>
      </c>
      <c r="H19" s="71"/>
    </row>
    <row r="20" spans="1:8" ht="32.25" customHeight="1" x14ac:dyDescent="0.35">
      <c r="A20" s="73" t="s">
        <v>131</v>
      </c>
      <c r="B20" s="73"/>
      <c r="C20" s="71" t="s">
        <v>210</v>
      </c>
      <c r="D20" s="71"/>
      <c r="E20" s="99" t="s">
        <v>15</v>
      </c>
      <c r="F20" s="99"/>
      <c r="G20" s="71" t="s">
        <v>193</v>
      </c>
      <c r="H20" s="71"/>
    </row>
    <row r="21" spans="1:8" ht="15" customHeight="1" x14ac:dyDescent="0.35">
      <c r="A21" s="99" t="s">
        <v>81</v>
      </c>
      <c r="B21" s="99"/>
      <c r="C21" s="99"/>
      <c r="D21" s="99"/>
      <c r="E21" s="100" t="s">
        <v>16</v>
      </c>
      <c r="F21" s="100"/>
      <c r="G21" s="100"/>
      <c r="H21" s="100"/>
    </row>
    <row r="22" spans="1:8" ht="18.75" customHeight="1" x14ac:dyDescent="0.35">
      <c r="A22" s="99"/>
      <c r="B22" s="99"/>
      <c r="C22" s="99"/>
      <c r="D22" s="99"/>
      <c r="E22" s="100"/>
      <c r="F22" s="100"/>
      <c r="G22" s="100"/>
      <c r="H22" s="100"/>
    </row>
    <row r="23" spans="1:8" ht="15" customHeight="1" x14ac:dyDescent="0.35">
      <c r="A23" s="99" t="s">
        <v>17</v>
      </c>
      <c r="B23" s="99"/>
      <c r="C23" s="99"/>
      <c r="D23" s="99"/>
      <c r="E23" s="71" t="s">
        <v>18</v>
      </c>
      <c r="F23" s="71"/>
      <c r="G23" s="71"/>
      <c r="H23" s="71"/>
    </row>
    <row r="24" spans="1:8" ht="15" customHeight="1" x14ac:dyDescent="0.35">
      <c r="A24" s="73" t="s">
        <v>19</v>
      </c>
      <c r="B24" s="73"/>
      <c r="C24" s="73"/>
      <c r="D24" s="73"/>
      <c r="E24" s="71" t="str">
        <f>IF(AND(G18="Mumbai"),"Upper Class","Middle Class")</f>
        <v>Middle Class</v>
      </c>
      <c r="F24" s="71"/>
      <c r="G24" s="71"/>
      <c r="H24" s="71"/>
    </row>
    <row r="25" spans="1:8" x14ac:dyDescent="0.35">
      <c r="A25" s="73" t="s">
        <v>20</v>
      </c>
      <c r="B25" s="73"/>
      <c r="C25" s="73"/>
      <c r="D25" s="73"/>
      <c r="E25" s="71" t="s">
        <v>21</v>
      </c>
      <c r="F25" s="71"/>
      <c r="G25" s="71"/>
      <c r="H25" s="71"/>
    </row>
    <row r="26" spans="1:8" ht="15.75" customHeight="1" x14ac:dyDescent="0.35">
      <c r="A26" s="73" t="s">
        <v>22</v>
      </c>
      <c r="B26" s="73"/>
      <c r="C26" s="73"/>
      <c r="D26" s="73"/>
      <c r="E26" s="71" t="str">
        <f>IF(AND(G18="Mumbai"),"Developed","Developing")</f>
        <v>Developing</v>
      </c>
      <c r="F26" s="71"/>
      <c r="G26" s="71"/>
      <c r="H26" s="71"/>
    </row>
    <row r="27" spans="1:8" x14ac:dyDescent="0.35">
      <c r="A27" s="73" t="s">
        <v>23</v>
      </c>
      <c r="B27" s="73"/>
      <c r="C27" s="73"/>
      <c r="D27" s="73"/>
      <c r="E27" s="71" t="s">
        <v>24</v>
      </c>
      <c r="F27" s="71"/>
      <c r="G27" s="71"/>
      <c r="H27" s="71"/>
    </row>
    <row r="28" spans="1:8" ht="15.75" customHeight="1" x14ac:dyDescent="0.35">
      <c r="A28" s="73" t="s">
        <v>86</v>
      </c>
      <c r="B28" s="73"/>
      <c r="C28" s="73"/>
      <c r="D28" s="73"/>
      <c r="E28" s="71" t="s">
        <v>87</v>
      </c>
      <c r="F28" s="71"/>
      <c r="G28" s="71"/>
      <c r="H28" s="71"/>
    </row>
    <row r="29" spans="1:8" ht="15" customHeight="1" x14ac:dyDescent="0.35">
      <c r="A29" s="73" t="s">
        <v>35</v>
      </c>
      <c r="B29" s="73"/>
      <c r="C29" s="73"/>
      <c r="D29" s="73"/>
      <c r="E29" s="71" t="str">
        <f>IF(AND(ISNUMBER(SEARCH("Flat",D55)),ISNUMBER(SEARCH("Shop",D55)),ISNUMBER(SEARCH("Office",D55))),"Residential + Commercial",IF(AND(ISNUMBER(SEARCH("Flat",D55)),ISNUMBER(SEARCH("Shop",D55))),"Residential + Commercial",IF(AND(ISNUMBER(SEARCH("Flat",D55)),ISNUMBER(SEARCH("Office",D55))),"Residential + Commercial",IF(AND(ISNUMBER(SEARCH("Shop",D55)),ISNUMBER(SEARCH("Office",D55))),"Commercial",IF(ISNUMBER(SEARCH("Shop",D55)),"Commercial",IF(ISNUMBER(SEARCH("Office",D55)),"Commercial",IF(ISNUMBER(SEARCH("Flat",D55)),"Residential")))))))</f>
        <v>Residential</v>
      </c>
      <c r="F29" s="71"/>
      <c r="G29" s="71"/>
      <c r="H29" s="71"/>
    </row>
    <row r="30" spans="1:8" ht="15.75" customHeight="1" x14ac:dyDescent="0.35">
      <c r="A30" s="73" t="s">
        <v>98</v>
      </c>
      <c r="B30" s="73"/>
      <c r="C30" s="73"/>
      <c r="D30" s="73"/>
      <c r="E30" s="71" t="s">
        <v>36</v>
      </c>
      <c r="F30" s="71"/>
      <c r="G30" s="71"/>
      <c r="H30" s="71"/>
    </row>
    <row r="31" spans="1:8" s="22" customFormat="1" x14ac:dyDescent="0.35">
      <c r="A31" s="156" t="s">
        <v>99</v>
      </c>
      <c r="B31" s="156"/>
      <c r="C31" s="154" t="s">
        <v>29</v>
      </c>
      <c r="D31" s="154"/>
      <c r="E31" s="154"/>
      <c r="F31" s="154" t="s">
        <v>31</v>
      </c>
      <c r="G31" s="154"/>
      <c r="H31" s="154"/>
    </row>
    <row r="32" spans="1:8" s="22" customFormat="1" x14ac:dyDescent="0.35">
      <c r="A32" s="152" t="s">
        <v>25</v>
      </c>
      <c r="B32" s="152" t="s">
        <v>30</v>
      </c>
      <c r="C32" s="153" t="s">
        <v>30</v>
      </c>
      <c r="D32" s="153"/>
      <c r="E32" s="153"/>
      <c r="F32" s="153" t="s">
        <v>194</v>
      </c>
      <c r="G32" s="153"/>
      <c r="H32" s="153"/>
    </row>
    <row r="33" spans="1:8" x14ac:dyDescent="0.35">
      <c r="A33" s="152" t="s">
        <v>26</v>
      </c>
      <c r="B33" s="152" t="s">
        <v>30</v>
      </c>
      <c r="C33" s="153" t="s">
        <v>30</v>
      </c>
      <c r="D33" s="153"/>
      <c r="E33" s="153"/>
      <c r="F33" s="153" t="s">
        <v>195</v>
      </c>
      <c r="G33" s="153"/>
      <c r="H33" s="153"/>
    </row>
    <row r="34" spans="1:8" s="22" customFormat="1" x14ac:dyDescent="0.35">
      <c r="A34" s="152" t="s">
        <v>28</v>
      </c>
      <c r="B34" s="152" t="s">
        <v>30</v>
      </c>
      <c r="C34" s="153" t="s">
        <v>30</v>
      </c>
      <c r="D34" s="153"/>
      <c r="E34" s="153"/>
      <c r="F34" s="153" t="s">
        <v>196</v>
      </c>
      <c r="G34" s="153"/>
      <c r="H34" s="153"/>
    </row>
    <row r="35" spans="1:8" x14ac:dyDescent="0.35">
      <c r="A35" s="152" t="s">
        <v>27</v>
      </c>
      <c r="B35" s="152" t="s">
        <v>30</v>
      </c>
      <c r="C35" s="153" t="s">
        <v>30</v>
      </c>
      <c r="D35" s="153"/>
      <c r="E35" s="153"/>
      <c r="F35" s="153" t="s">
        <v>197</v>
      </c>
      <c r="G35" s="153"/>
      <c r="H35" s="153"/>
    </row>
    <row r="36" spans="1:8" x14ac:dyDescent="0.35">
      <c r="A36" s="73" t="s">
        <v>32</v>
      </c>
      <c r="B36" s="73"/>
      <c r="C36" s="73"/>
      <c r="D36" s="73"/>
      <c r="E36" s="73"/>
      <c r="F36" s="73"/>
      <c r="G36" s="73"/>
      <c r="H36" s="73"/>
    </row>
    <row r="37" spans="1:8" ht="15.75" customHeight="1" x14ac:dyDescent="0.35">
      <c r="A37" s="112" t="s">
        <v>33</v>
      </c>
      <c r="B37" s="112"/>
      <c r="C37" s="163">
        <v>19.755318800000001</v>
      </c>
      <c r="D37" s="163"/>
      <c r="E37" s="112" t="s">
        <v>34</v>
      </c>
      <c r="F37" s="112"/>
      <c r="G37" s="155">
        <v>72.763369699999998</v>
      </c>
      <c r="H37" s="155"/>
    </row>
    <row r="38" spans="1:8" x14ac:dyDescent="0.35">
      <c r="A38" s="112" t="s">
        <v>175</v>
      </c>
      <c r="B38" s="112"/>
      <c r="C38" s="187" t="s">
        <v>227</v>
      </c>
      <c r="D38" s="71"/>
      <c r="E38" s="71"/>
      <c r="F38" s="71"/>
      <c r="G38" s="71"/>
      <c r="H38" s="71"/>
    </row>
    <row r="39" spans="1:8" x14ac:dyDescent="0.35">
      <c r="A39" s="158" t="s">
        <v>37</v>
      </c>
      <c r="B39" s="158"/>
      <c r="C39" s="158"/>
      <c r="D39" s="158"/>
      <c r="E39" s="158"/>
      <c r="F39" s="158"/>
      <c r="G39" s="158"/>
      <c r="H39" s="158"/>
    </row>
    <row r="40" spans="1:8" x14ac:dyDescent="0.35">
      <c r="A40" s="73" t="s">
        <v>38</v>
      </c>
      <c r="B40" s="73"/>
      <c r="C40" s="73"/>
      <c r="D40" s="73"/>
      <c r="E40" s="157">
        <v>12311.44</v>
      </c>
      <c r="F40" s="157"/>
      <c r="G40" s="157"/>
      <c r="H40" s="157"/>
    </row>
    <row r="41" spans="1:8" x14ac:dyDescent="0.35">
      <c r="A41" s="73" t="s">
        <v>39</v>
      </c>
      <c r="B41" s="73"/>
      <c r="C41" s="73"/>
      <c r="D41" s="73"/>
      <c r="E41" s="72">
        <v>0.9</v>
      </c>
      <c r="F41" s="72"/>
      <c r="G41" s="72"/>
      <c r="H41" s="72"/>
    </row>
    <row r="42" spans="1:8" x14ac:dyDescent="0.35">
      <c r="A42" s="73" t="s">
        <v>40</v>
      </c>
      <c r="B42" s="73"/>
      <c r="C42" s="73"/>
      <c r="D42" s="73"/>
      <c r="E42" s="72">
        <f>E44/E40-E41</f>
        <v>-1.085656917468647E-3</v>
      </c>
      <c r="F42" s="72"/>
      <c r="G42" s="72"/>
      <c r="H42" s="72"/>
    </row>
    <row r="43" spans="1:8" x14ac:dyDescent="0.35">
      <c r="A43" s="73" t="s">
        <v>41</v>
      </c>
      <c r="B43" s="73"/>
      <c r="C43" s="73"/>
      <c r="D43" s="73"/>
      <c r="E43" s="72">
        <f>E41+E42</f>
        <v>0.89891434308253138</v>
      </c>
      <c r="F43" s="72"/>
      <c r="G43" s="72"/>
      <c r="H43" s="72"/>
    </row>
    <row r="44" spans="1:8" x14ac:dyDescent="0.35">
      <c r="A44" s="73" t="s">
        <v>97</v>
      </c>
      <c r="B44" s="73"/>
      <c r="C44" s="73"/>
      <c r="D44" s="73"/>
      <c r="E44" s="162">
        <v>11066.93</v>
      </c>
      <c r="F44" s="162"/>
      <c r="G44" s="162"/>
      <c r="H44" s="162"/>
    </row>
    <row r="45" spans="1:8" x14ac:dyDescent="0.35">
      <c r="A45" s="100" t="s">
        <v>42</v>
      </c>
      <c r="B45" s="100"/>
      <c r="C45" s="100"/>
      <c r="D45" s="100"/>
      <c r="E45" s="100" t="s">
        <v>198</v>
      </c>
      <c r="F45" s="100"/>
      <c r="G45" s="100"/>
      <c r="H45" s="100"/>
    </row>
    <row r="46" spans="1:8" x14ac:dyDescent="0.35">
      <c r="A46" s="121" t="s">
        <v>43</v>
      </c>
      <c r="B46" s="121"/>
      <c r="C46" s="121"/>
      <c r="D46" s="121"/>
      <c r="E46" s="121"/>
      <c r="F46" s="121"/>
      <c r="G46" s="121"/>
      <c r="H46" s="121"/>
    </row>
    <row r="47" spans="1:8" ht="33.75" customHeight="1" x14ac:dyDescent="0.35">
      <c r="A47" s="188" t="s">
        <v>163</v>
      </c>
      <c r="B47" s="189"/>
      <c r="C47" s="190" t="s">
        <v>199</v>
      </c>
      <c r="D47" s="191"/>
      <c r="E47" s="191"/>
      <c r="F47" s="191"/>
      <c r="G47" s="191"/>
      <c r="H47" s="192"/>
    </row>
    <row r="48" spans="1:8" ht="15.75" customHeight="1" x14ac:dyDescent="0.35">
      <c r="A48" s="80" t="s">
        <v>44</v>
      </c>
      <c r="B48" s="81"/>
      <c r="C48" s="80" t="s">
        <v>200</v>
      </c>
      <c r="D48" s="82"/>
      <c r="E48" s="81"/>
      <c r="F48" s="18" t="s">
        <v>45</v>
      </c>
      <c r="G48" s="83">
        <v>43546</v>
      </c>
      <c r="H48" s="81"/>
    </row>
    <row r="49" spans="1:14" x14ac:dyDescent="0.35">
      <c r="A49" s="80" t="s">
        <v>46</v>
      </c>
      <c r="B49" s="81"/>
      <c r="C49" s="80" t="str">
        <f>C48</f>
        <v>Mahsul/K.1/MJ.1/NAP/SR/229/17</v>
      </c>
      <c r="D49" s="82"/>
      <c r="E49" s="81"/>
      <c r="F49" s="18" t="s">
        <v>45</v>
      </c>
      <c r="G49" s="83">
        <f>G48</f>
        <v>43546</v>
      </c>
      <c r="H49" s="84"/>
    </row>
    <row r="50" spans="1:14" s="23" customFormat="1" ht="15.75" customHeight="1" x14ac:dyDescent="0.35">
      <c r="A50" s="145" t="s">
        <v>167</v>
      </c>
      <c r="B50" s="146"/>
      <c r="C50" s="80" t="s">
        <v>201</v>
      </c>
      <c r="D50" s="82"/>
      <c r="E50" s="81"/>
      <c r="F50" s="18" t="s">
        <v>45</v>
      </c>
      <c r="G50" s="83">
        <f>G49</f>
        <v>43546</v>
      </c>
      <c r="H50" s="84"/>
    </row>
    <row r="51" spans="1:14" s="23" customFormat="1" ht="50.25" customHeight="1" x14ac:dyDescent="0.35">
      <c r="A51" s="147"/>
      <c r="B51" s="148"/>
      <c r="C51" s="80" t="s">
        <v>218</v>
      </c>
      <c r="D51" s="82"/>
      <c r="E51" s="82"/>
      <c r="F51" s="82"/>
      <c r="G51" s="82"/>
      <c r="H51" s="81"/>
    </row>
    <row r="52" spans="1:14" x14ac:dyDescent="0.35">
      <c r="A52" s="95" t="s">
        <v>47</v>
      </c>
      <c r="B52" s="96"/>
      <c r="C52" s="95" t="s">
        <v>111</v>
      </c>
      <c r="D52" s="97"/>
      <c r="E52" s="96"/>
      <c r="F52" s="46" t="s">
        <v>45</v>
      </c>
      <c r="G52" s="116" t="s">
        <v>30</v>
      </c>
      <c r="H52" s="117"/>
    </row>
    <row r="53" spans="1:14" x14ac:dyDescent="0.35">
      <c r="A53" s="98" t="s">
        <v>49</v>
      </c>
      <c r="B53" s="98"/>
      <c r="C53" s="98"/>
      <c r="D53" s="98"/>
      <c r="E53" s="98"/>
      <c r="F53" s="98"/>
      <c r="G53" s="98"/>
      <c r="H53" s="98"/>
    </row>
    <row r="54" spans="1:14" x14ac:dyDescent="0.35">
      <c r="A54" s="99" t="s">
        <v>96</v>
      </c>
      <c r="B54" s="99"/>
      <c r="C54" s="99"/>
      <c r="D54" s="73">
        <f>E44</f>
        <v>11066.93</v>
      </c>
      <c r="E54" s="73"/>
      <c r="F54" s="73"/>
      <c r="G54" s="73"/>
      <c r="H54" s="73"/>
      <c r="I54" s="21" t="s">
        <v>211</v>
      </c>
    </row>
    <row r="55" spans="1:14" x14ac:dyDescent="0.35">
      <c r="A55" s="71" t="s">
        <v>50</v>
      </c>
      <c r="B55" s="100"/>
      <c r="C55" s="100"/>
      <c r="D55" s="100" t="s">
        <v>209</v>
      </c>
      <c r="E55" s="100"/>
      <c r="F55" s="100"/>
      <c r="G55" s="100"/>
      <c r="H55" s="100"/>
      <c r="I55" s="24"/>
    </row>
    <row r="56" spans="1:14" ht="50.25" customHeight="1" x14ac:dyDescent="0.35">
      <c r="A56" s="85" t="s">
        <v>51</v>
      </c>
      <c r="B56" s="86"/>
      <c r="C56" s="144"/>
      <c r="D56" s="142" t="s">
        <v>218</v>
      </c>
      <c r="E56" s="143"/>
      <c r="F56" s="143"/>
      <c r="G56" s="143"/>
      <c r="H56" s="143"/>
    </row>
    <row r="57" spans="1:14" ht="15.75" customHeight="1" x14ac:dyDescent="0.35">
      <c r="A57" s="85" t="s">
        <v>94</v>
      </c>
      <c r="B57" s="86"/>
      <c r="C57" s="86"/>
      <c r="D57" s="89" t="s">
        <v>220</v>
      </c>
      <c r="E57" s="90"/>
      <c r="F57" s="90"/>
      <c r="G57" s="90"/>
      <c r="H57" s="91"/>
    </row>
    <row r="58" spans="1:14" ht="15.75" customHeight="1" x14ac:dyDescent="0.35">
      <c r="A58" s="87"/>
      <c r="B58" s="88"/>
      <c r="C58" s="88"/>
      <c r="D58" s="92" t="s">
        <v>223</v>
      </c>
      <c r="E58" s="93"/>
      <c r="F58" s="93"/>
      <c r="G58" s="93"/>
      <c r="H58" s="94"/>
    </row>
    <row r="59" spans="1:14" ht="15.75" customHeight="1" x14ac:dyDescent="0.35">
      <c r="A59" s="73" t="s">
        <v>48</v>
      </c>
      <c r="B59" s="73"/>
      <c r="C59" s="73"/>
      <c r="D59" s="159" t="s">
        <v>226</v>
      </c>
      <c r="E59" s="159"/>
      <c r="F59" s="159"/>
      <c r="G59" s="159"/>
      <c r="H59" s="159"/>
      <c r="J59" s="25"/>
      <c r="K59" s="24"/>
      <c r="N59" s="24"/>
    </row>
    <row r="60" spans="1:14" ht="15.75" customHeight="1" x14ac:dyDescent="0.35">
      <c r="A60" s="73" t="s">
        <v>92</v>
      </c>
      <c r="B60" s="73"/>
      <c r="C60" s="73"/>
      <c r="D60" s="161" t="str">
        <f>(IF(G52="NA","60 Years After Completion",IF(G52&lt;&gt;"NA",""&amp;60-ROUNDDOWN((E3-G52)/360,0)&amp;" Years"," ")))</f>
        <v>60 Years After Completion</v>
      </c>
      <c r="E60" s="161"/>
      <c r="F60" s="161"/>
      <c r="G60" s="161"/>
      <c r="H60" s="161"/>
      <c r="N60" s="24"/>
    </row>
    <row r="61" spans="1:14" ht="15.75" customHeight="1" x14ac:dyDescent="0.35">
      <c r="A61" s="73" t="s">
        <v>93</v>
      </c>
      <c r="B61" s="73"/>
      <c r="C61" s="73"/>
      <c r="D61" s="99" t="s">
        <v>24</v>
      </c>
      <c r="E61" s="99"/>
      <c r="F61" s="99"/>
      <c r="G61" s="99"/>
      <c r="H61" s="99"/>
      <c r="J61" s="26"/>
      <c r="K61" s="26"/>
    </row>
    <row r="62" spans="1:14" ht="30" customHeight="1" x14ac:dyDescent="0.35">
      <c r="A62" s="73" t="s">
        <v>79</v>
      </c>
      <c r="B62" s="73"/>
      <c r="C62" s="73"/>
      <c r="D62" s="71" t="s">
        <v>180</v>
      </c>
      <c r="E62" s="99"/>
      <c r="F62" s="99"/>
      <c r="G62" s="99"/>
      <c r="H62" s="99"/>
    </row>
    <row r="63" spans="1:14" x14ac:dyDescent="0.35">
      <c r="A63" s="99" t="s">
        <v>159</v>
      </c>
      <c r="B63" s="99"/>
      <c r="C63" s="99"/>
      <c r="D63" s="99" t="s">
        <v>30</v>
      </c>
      <c r="E63" s="99"/>
      <c r="F63" s="99"/>
      <c r="G63" s="99"/>
      <c r="H63" s="99"/>
      <c r="I63" s="27"/>
      <c r="J63" s="27"/>
      <c r="K63" s="27"/>
      <c r="L63" s="27"/>
      <c r="M63" s="27"/>
      <c r="N63" s="27"/>
    </row>
    <row r="64" spans="1:14" ht="15.75" customHeight="1" x14ac:dyDescent="0.35">
      <c r="A64" s="73" t="s">
        <v>91</v>
      </c>
      <c r="B64" s="73"/>
      <c r="C64" s="73"/>
      <c r="D64" s="71" t="str">
        <f ca="1">(IF(G84&gt;95%,"Nothing",IF(G84&gt;0%,"Cement, Aggregate, Steel, etc",IF(G84=0%,"Work not yet Started"))))</f>
        <v>Cement, Aggregate, Steel, etc</v>
      </c>
      <c r="E64" s="71"/>
      <c r="F64" s="71"/>
      <c r="G64" s="71"/>
      <c r="H64" s="71"/>
      <c r="J64" s="26"/>
    </row>
    <row r="65" spans="1:10" ht="33.75" customHeight="1" thickBot="1" x14ac:dyDescent="0.4">
      <c r="A65" s="99" t="s">
        <v>124</v>
      </c>
      <c r="B65" s="99"/>
      <c r="C65" s="99"/>
      <c r="D65" s="71" t="str">
        <f ca="1">(IF(D64="Nothing","Yes",IF(D64="Cement, Aggregate, Steel, etc","Under Construction",IF(D64="Work not yet Started","Work not yet Started"))))</f>
        <v>Under Construction</v>
      </c>
      <c r="E65" s="71"/>
      <c r="F65" s="71" t="str">
        <f ca="1">(IF(D64="Nothing","Yes",IF(D64="Cement, Aggregate, Steel, etc","Under Construction",IF(D64="Work not yet Started","Work not yet Started"))))</f>
        <v>Under Construction</v>
      </c>
      <c r="G65" s="71"/>
      <c r="H65" s="71"/>
    </row>
    <row r="66" spans="1:10" ht="15.75" customHeight="1" x14ac:dyDescent="0.35">
      <c r="A66" s="122" t="s">
        <v>149</v>
      </c>
      <c r="B66" s="122"/>
      <c r="C66" s="122" t="str">
        <f>D57</f>
        <v>Building No.2 - Wing A (Type D1a) = Gr + 1st to 4th Floor</v>
      </c>
      <c r="D66" s="122"/>
      <c r="E66" s="122"/>
      <c r="F66" s="122"/>
      <c r="G66" s="122"/>
      <c r="H66" s="122"/>
      <c r="I66" s="68" t="str">
        <f ca="1">IF(D79=100%,"All work Completed. Possession granted to the Building.",IF(D78=100%,"All work Completed, Waiting for OC",I67&amp;""&amp;I68&amp;""&amp;J67&amp;""&amp;J66&amp;" "&amp;J68))</f>
        <v>Excavation, Plinth, RCC Slab, Brickwork, Internal Plaster, External Plaster, Flooring, Painting Completed, Finishing upto 3 Floor, Possession upto 2 Floor Completed</v>
      </c>
      <c r="J66" s="49" t="str">
        <f ca="1">(IF(C72=(D67+F67+H67),"",IF(C72&gt;0,", RCC upto "&amp;C72&amp;" Slab","")))&amp;(IF(C73=H67,"",IF(C73&gt;0,", Brickwork upto "&amp;C73&amp;" Floor","")))&amp;(IF(C74=H67,"",IF(C74&gt;0,", Internal Plaster upto "&amp;C74&amp;" Floor","")))&amp;(IF(C75=H67,"",IF(C75&gt;0,", External Plaster upto "&amp;C75&amp;" Floor","")))&amp;(IF(C76=H67,"",IF(C76&gt;0,", Flooring upto "&amp;C76&amp;" Floor","")))&amp;(IF(C77=H67,"",IF(C77&gt;0,", Painting upto "&amp;C77&amp;" Floor","")))&amp;(IF(C78=H67,"",IF(C78&gt;0,", Finishing upto "&amp;C78&amp;" Floor","")))&amp;(IF(C79=H67,"",IF(C79&gt;0,", Possession upto "&amp;C79&amp;" Floor","")))</f>
        <v>, Finishing upto 3 Floor, Possession upto 2 Floor</v>
      </c>
    </row>
    <row r="67" spans="1:10" x14ac:dyDescent="0.35">
      <c r="A67" s="67" t="s">
        <v>151</v>
      </c>
      <c r="B67" s="67">
        <v>0</v>
      </c>
      <c r="C67" s="67" t="s">
        <v>76</v>
      </c>
      <c r="D67" s="67">
        <v>1</v>
      </c>
      <c r="E67" s="67" t="s">
        <v>75</v>
      </c>
      <c r="F67" s="67">
        <v>0</v>
      </c>
      <c r="G67" s="67" t="s">
        <v>85</v>
      </c>
      <c r="H67" s="67">
        <f ca="1">--TRIM(RIGHT(SUBSTITUTE(LEFT(C66,_xlfn.AGGREGATE(16,6,FIND({0,1,2,3,4,5,6,7,8,9},C66,ROW(INDIRECT("1:"&amp;LEN(C66)))),1))," ",REPT(" ",LEN(C66))),LEN(C66)))</f>
        <v>4</v>
      </c>
      <c r="I67" s="69" t="str">
        <f ca="1">IF(D70=100%,"Excavation","")&amp;IF(D71=100%,", Plinth","")&amp;IF(D72=100%,", RCC Slab","")&amp;IF(D73=100%,", Brickwork","")&amp;IF(D74=100%,", Internal Plaster","")&amp;IF(D75=100%,", External Plaster","")&amp;IF(D76=100%,", Flooring","")&amp;IF(D77=100%,", Painting","")&amp;IF(D78=100%,", Building common Amenities","")</f>
        <v>Excavation, Plinth, RCC Slab, Brickwork, Internal Plaster, External Plaster, Flooring, Painting</v>
      </c>
      <c r="J67" s="51" t="str">
        <f ca="1">(IF(C70=0,"Work not yet Started.",IF(D70=25%,"Piling work in process",IF(D70=50%,"Excavation work in process",IF(D70=100%,"","0")))))&amp;(IF(C71=0%,"",IF(C71=J72,", Footing work is process",IF(C71=J73,", Footing work Completed",IF(C71=J74,", 1st Basement Completed",IF(C71=J75,", 1st &amp; 2nd Basement Completed",IF(C71=J76,", 1st to 3rd Basement Completed",IF(C71=J77,", 1st to 4th Basement Completed",IF(C71=J78,", Plinth work is process",IF(C71=J79,"","0"))))))))))</f>
        <v/>
      </c>
    </row>
    <row r="68" spans="1:10" ht="46.5" customHeight="1" x14ac:dyDescent="0.35">
      <c r="A68" s="121" t="s">
        <v>95</v>
      </c>
      <c r="B68" s="121"/>
      <c r="C68" s="122" t="str">
        <f ca="1">I66</f>
        <v>Excavation, Plinth, RCC Slab, Brickwork, Internal Plaster, External Plaster, Flooring, Painting Completed, Finishing upto 3 Floor, Possession upto 2 Floor Completed</v>
      </c>
      <c r="D68" s="122"/>
      <c r="E68" s="122"/>
      <c r="F68" s="122"/>
      <c r="G68" s="122"/>
      <c r="H68" s="122"/>
      <c r="I68" s="69" t="str">
        <f ca="1">IF(I67&lt;&gt;""," Completed","")</f>
        <v xml:space="preserve"> Completed</v>
      </c>
      <c r="J68" s="51" t="str">
        <f ca="1">IF(J66&lt;&gt;"","Completed","")</f>
        <v>Completed</v>
      </c>
    </row>
    <row r="69" spans="1:10" ht="15.75" customHeight="1" x14ac:dyDescent="0.35">
      <c r="A69" s="79" t="s">
        <v>52</v>
      </c>
      <c r="B69" s="79"/>
      <c r="C69" s="66" t="s">
        <v>148</v>
      </c>
      <c r="D69" s="66" t="s">
        <v>88</v>
      </c>
      <c r="E69" s="79" t="s">
        <v>90</v>
      </c>
      <c r="F69" s="79"/>
      <c r="G69" s="79" t="s">
        <v>89</v>
      </c>
      <c r="H69" s="79"/>
      <c r="I69" s="14" t="s">
        <v>150</v>
      </c>
      <c r="J69" s="28">
        <f ca="1">H67*25%</f>
        <v>1</v>
      </c>
    </row>
    <row r="70" spans="1:10" x14ac:dyDescent="0.35">
      <c r="A70" s="79" t="s">
        <v>137</v>
      </c>
      <c r="B70" s="79"/>
      <c r="C70" s="66">
        <f ca="1">J71</f>
        <v>4</v>
      </c>
      <c r="D70" s="19">
        <f ca="1">((100/H67)*C70)/100</f>
        <v>1</v>
      </c>
      <c r="E70" s="160">
        <f ca="1">(((C71/H67*10)+(40/(D67+F67+H67)*C72)+(7.5/(H67)*C73)+(7.5/(H67)*C74)+(10/H67*C75)+(10/H67*C76)+(5/H67*C77)+(5/H67*C78)+(5/H67*C79))/100)</f>
        <v>0.96250000000000002</v>
      </c>
      <c r="F70" s="160"/>
      <c r="G70" s="160">
        <f ca="1">((((C70/H67)*20)+((C71/H67)*25)+(30/(H67+F67+D67)*C72)+(5/H67*C73)+(5/H67*C74)+(5/H67*C75)+(5/H67*C76)+(0/H67*C77)+(0/H67*C78)+(5/H67*C79))/100)</f>
        <v>0.97499999999999998</v>
      </c>
      <c r="H70" s="160"/>
      <c r="I70" s="14" t="s">
        <v>106</v>
      </c>
      <c r="J70" s="29">
        <f ca="1">H67*50%</f>
        <v>2</v>
      </c>
    </row>
    <row r="71" spans="1:10" x14ac:dyDescent="0.35">
      <c r="A71" s="79" t="s">
        <v>53</v>
      </c>
      <c r="B71" s="79"/>
      <c r="C71" s="66">
        <f ca="1">J79</f>
        <v>4</v>
      </c>
      <c r="D71" s="19">
        <f ca="1">((100/H67)*C71)/100</f>
        <v>1</v>
      </c>
      <c r="E71" s="160"/>
      <c r="F71" s="160"/>
      <c r="G71" s="160"/>
      <c r="H71" s="160"/>
      <c r="I71" s="14" t="s">
        <v>107</v>
      </c>
      <c r="J71" s="29">
        <f ca="1">H67</f>
        <v>4</v>
      </c>
    </row>
    <row r="72" spans="1:10" ht="15.75" customHeight="1" x14ac:dyDescent="0.35">
      <c r="A72" s="79" t="s">
        <v>138</v>
      </c>
      <c r="B72" s="79"/>
      <c r="C72" s="66">
        <v>5</v>
      </c>
      <c r="D72" s="19">
        <f ca="1">((100/(D67+F67+H67))*C72)/100</f>
        <v>1</v>
      </c>
      <c r="E72" s="160"/>
      <c r="F72" s="160"/>
      <c r="G72" s="160"/>
      <c r="H72" s="160"/>
      <c r="I72" s="14" t="s">
        <v>108</v>
      </c>
      <c r="J72" s="30">
        <f ca="1">(IF(B67&gt;1,(H67/(B67+2)),H67/4))</f>
        <v>1</v>
      </c>
    </row>
    <row r="73" spans="1:10" ht="15.75" customHeight="1" x14ac:dyDescent="0.35">
      <c r="A73" s="79" t="s">
        <v>145</v>
      </c>
      <c r="B73" s="79" t="s">
        <v>139</v>
      </c>
      <c r="C73" s="66">
        <v>4</v>
      </c>
      <c r="D73" s="19">
        <f ca="1">((100/H67)*C73)/100</f>
        <v>1</v>
      </c>
      <c r="E73" s="160"/>
      <c r="F73" s="160"/>
      <c r="G73" s="160"/>
      <c r="H73" s="160"/>
      <c r="I73" s="14" t="s">
        <v>109</v>
      </c>
      <c r="J73" s="30">
        <f ca="1">(IF(B67&gt;1,(H67/(B67+2)+J72),H67/4+J72))</f>
        <v>2</v>
      </c>
    </row>
    <row r="74" spans="1:10" ht="15.75" customHeight="1" x14ac:dyDescent="0.35">
      <c r="A74" s="79" t="s">
        <v>146</v>
      </c>
      <c r="B74" s="79" t="s">
        <v>139</v>
      </c>
      <c r="C74" s="66">
        <v>4</v>
      </c>
      <c r="D74" s="19">
        <f ca="1">((100/H67)*C74)/100</f>
        <v>1</v>
      </c>
      <c r="E74" s="160"/>
      <c r="F74" s="160"/>
      <c r="G74" s="160"/>
      <c r="H74" s="160"/>
      <c r="I74" s="14" t="s">
        <v>157</v>
      </c>
      <c r="J74" s="30">
        <f>(IF(B67&gt;1,(H67/(B67+2)+J73),0))</f>
        <v>0</v>
      </c>
    </row>
    <row r="75" spans="1:10" ht="15" customHeight="1" x14ac:dyDescent="0.35">
      <c r="A75" s="79" t="s">
        <v>144</v>
      </c>
      <c r="B75" s="79" t="s">
        <v>141</v>
      </c>
      <c r="C75" s="66">
        <v>4</v>
      </c>
      <c r="D75" s="19">
        <f ca="1">((100/(H67))*C75)/100</f>
        <v>1</v>
      </c>
      <c r="E75" s="160"/>
      <c r="F75" s="160"/>
      <c r="G75" s="160"/>
      <c r="H75" s="160"/>
      <c r="I75" s="14" t="s">
        <v>152</v>
      </c>
      <c r="J75" s="30">
        <f>(IF(B67&gt;2,(H67/(B67+2)+J74),0))</f>
        <v>0</v>
      </c>
    </row>
    <row r="76" spans="1:10" ht="15.75" customHeight="1" x14ac:dyDescent="0.35">
      <c r="A76" s="79" t="s">
        <v>140</v>
      </c>
      <c r="B76" s="79" t="s">
        <v>140</v>
      </c>
      <c r="C76" s="66">
        <v>4</v>
      </c>
      <c r="D76" s="19">
        <f ca="1">((100/H67)*C76)/100</f>
        <v>1</v>
      </c>
      <c r="E76" s="160"/>
      <c r="F76" s="160"/>
      <c r="G76" s="160"/>
      <c r="H76" s="160"/>
      <c r="I76" s="14" t="s">
        <v>153</v>
      </c>
      <c r="J76" s="31">
        <f>(IF(B67&gt;3,(H67/(B67+2)+J75),0))</f>
        <v>0</v>
      </c>
    </row>
    <row r="77" spans="1:10" ht="15.75" customHeight="1" x14ac:dyDescent="0.35">
      <c r="A77" s="79" t="s">
        <v>147</v>
      </c>
      <c r="B77" s="79"/>
      <c r="C77" s="66">
        <v>4</v>
      </c>
      <c r="D77" s="19">
        <f ca="1">((100/H67)*C77)/100</f>
        <v>1</v>
      </c>
      <c r="E77" s="160"/>
      <c r="F77" s="160"/>
      <c r="G77" s="160"/>
      <c r="H77" s="160"/>
      <c r="I77" s="14" t="s">
        <v>154</v>
      </c>
      <c r="J77" s="30">
        <f>(IF(B67&gt;4,(H67/(B67+2)+J76),0))</f>
        <v>0</v>
      </c>
    </row>
    <row r="78" spans="1:10" ht="15.75" customHeight="1" x14ac:dyDescent="0.35">
      <c r="A78" s="79" t="s">
        <v>142</v>
      </c>
      <c r="B78" s="79" t="s">
        <v>142</v>
      </c>
      <c r="C78" s="66">
        <v>3</v>
      </c>
      <c r="D78" s="19">
        <f ca="1">((100/(H67))*C78)/100</f>
        <v>0.75</v>
      </c>
      <c r="E78" s="160"/>
      <c r="F78" s="160"/>
      <c r="G78" s="160"/>
      <c r="H78" s="160"/>
      <c r="I78" s="14" t="s">
        <v>158</v>
      </c>
      <c r="J78" s="30">
        <f ca="1">(IF(B67=1,(H67/(B67+3)+J73),IF(B67=0,(H67/4+J73),IF(B67&gt;1,0))))</f>
        <v>3</v>
      </c>
    </row>
    <row r="79" spans="1:10" ht="16" thickBot="1" x14ac:dyDescent="0.4">
      <c r="A79" s="79" t="s">
        <v>143</v>
      </c>
      <c r="B79" s="79"/>
      <c r="C79" s="66">
        <v>2</v>
      </c>
      <c r="D79" s="19">
        <f ca="1">((100/(H67))*C79)/100</f>
        <v>0.5</v>
      </c>
      <c r="E79" s="160"/>
      <c r="F79" s="160"/>
      <c r="G79" s="160"/>
      <c r="H79" s="160"/>
      <c r="I79" s="15" t="s">
        <v>110</v>
      </c>
      <c r="J79" s="32">
        <f ca="1">(IF(B67&gt;1.5,(H67/(B67+2)+J73+MAX(0,J74-J73)+MAX(0,J75-J74)+MAX(0,J76-J75)+MAX(0,J77-J76)+MAX(0,J78-J77)),IF(B67=1,(H67/(B67+3)+J78),IF(B67=0,H67/4+J78))))</f>
        <v>4</v>
      </c>
    </row>
    <row r="80" spans="1:10" ht="15.75" customHeight="1" x14ac:dyDescent="0.35">
      <c r="A80" s="74" t="s">
        <v>149</v>
      </c>
      <c r="B80" s="75"/>
      <c r="C80" s="76" t="str">
        <f>D58</f>
        <v>Building No.2 - Wing B (Type C2a) = Gr + 1st to 5th Floor</v>
      </c>
      <c r="D80" s="77"/>
      <c r="E80" s="77"/>
      <c r="F80" s="77"/>
      <c r="G80" s="77"/>
      <c r="H80" s="78"/>
      <c r="I80" s="48" t="str">
        <f ca="1">IF(D93=100%,"All work Completed. Possession granted to the Building.",IF(D92=100%,"All work Completed, Waiting for OC",I81&amp;""&amp;I82&amp;""&amp;J81&amp;""&amp;J80&amp;" "&amp;J82))</f>
        <v xml:space="preserve">Excavation, Plinth, RCC Slab, Brickwork, Internal Plaster, External Plaster, Flooring, Painting Completed </v>
      </c>
      <c r="J80" s="49" t="str">
        <f ca="1">(IF(C86=(D81+F81+H81),"",IF(C86&gt;0,", RCC upto "&amp;C86&amp;" Slab","")))&amp;(IF(C87=H81,"",IF(C87&gt;0,", Brickwork upto "&amp;C87&amp;" Floor","")))&amp;(IF(C88=H81,"",IF(C88&gt;0,", Internal Plaster upto "&amp;C88&amp;" Floor","")))&amp;(IF(C89=H81,"",IF(C89&gt;0,", External Plaster upto "&amp;C89&amp;" Floor","")))&amp;(IF(C90=H81,"",IF(C90&gt;0,", Flooring upto "&amp;C90&amp;" Floor","")))&amp;(IF(C91=H81,"",IF(C91&gt;0,", Painting upto "&amp;C91&amp;" Floor","")))&amp;(IF(C92=H81,"",IF(C92&gt;0,", Finishing upto "&amp;C92&amp;" Floor","")))&amp;(IF(C93=H81,"",IF(C93&gt;0,", Possession upto "&amp;C93&amp;" Floor","")))</f>
        <v/>
      </c>
    </row>
    <row r="81" spans="1:10" x14ac:dyDescent="0.35">
      <c r="A81" s="16" t="s">
        <v>151</v>
      </c>
      <c r="B81" s="52">
        <v>0</v>
      </c>
      <c r="C81" s="52" t="s">
        <v>76</v>
      </c>
      <c r="D81" s="52">
        <v>1</v>
      </c>
      <c r="E81" s="52" t="s">
        <v>75</v>
      </c>
      <c r="F81" s="52">
        <v>0</v>
      </c>
      <c r="G81" s="52" t="s">
        <v>85</v>
      </c>
      <c r="H81" s="17">
        <f ca="1">--TRIM(RIGHT(SUBSTITUTE(LEFT(C80,_xlfn.AGGREGATE(16,6,FIND({0,1,2,3,4,5,6,7,8,9},C80,ROW(INDIRECT("1:"&amp;LEN(C80)))),1))," ",REPT(" ",LEN(C80))),LEN(C80)))</f>
        <v>5</v>
      </c>
      <c r="I81" s="50" t="str">
        <f ca="1">IF(D84=100%,"Excavation","")&amp;IF(D85=100%,", Plinth","")&amp;IF(D86=100%,", RCC Slab","")&amp;IF(D87=100%,", Brickwork","")&amp;IF(D88=100%,", Internal Plaster","")&amp;IF(D89=100%,", External Plaster","")&amp;IF(D90=100%,", Flooring","")&amp;IF(D91=100%,", Painting","")&amp;IF(D92=100%,", Building common Amenities","")</f>
        <v>Excavation, Plinth, RCC Slab, Brickwork, Internal Plaster, External Plaster, Flooring, Painting</v>
      </c>
      <c r="J81" s="51" t="str">
        <f ca="1">(IF(C84=0,"Work not yet Started.",IF(D84=25%,"Piling work in process",IF(D84=50%,"Excavation work in process",IF(D84=100%,"","0")))))&amp;(IF(C85=0%,"",IF(C85=J86,", Footing work is process",IF(C85=J87,", Footing work Completed",IF(C85=J88,", 1st Basement Completed",IF(C85=J89,", 1st &amp; 2nd Basement Completed",IF(C85=J90,", 1st to 3rd Basement Completed",IF(C85=J91,", 1st to 4th Basement Completed",IF(C85=J92,", Plinth work is process",IF(C85=J93,"","0"))))))))))</f>
        <v/>
      </c>
    </row>
    <row r="82" spans="1:10" ht="35.25" customHeight="1" x14ac:dyDescent="0.35">
      <c r="A82" s="120" t="s">
        <v>95</v>
      </c>
      <c r="B82" s="121"/>
      <c r="C82" s="122" t="str">
        <f ca="1">(IF($G$52="NA",I80,"All work Completed. OC Received."))</f>
        <v xml:space="preserve">Excavation, Plinth, RCC Slab, Brickwork, Internal Plaster, External Plaster, Flooring, Painting Completed </v>
      </c>
      <c r="D82" s="122"/>
      <c r="E82" s="122"/>
      <c r="F82" s="122"/>
      <c r="G82" s="122"/>
      <c r="H82" s="123"/>
      <c r="I82" s="50" t="str">
        <f ca="1">IF(I81&lt;&gt;""," Completed","")</f>
        <v xml:space="preserve"> Completed</v>
      </c>
      <c r="J82" s="51" t="str">
        <f ca="1">IF(J80&lt;&gt;"","Completed","")</f>
        <v/>
      </c>
    </row>
    <row r="83" spans="1:10" ht="15.75" customHeight="1" x14ac:dyDescent="0.35">
      <c r="A83" s="108" t="s">
        <v>52</v>
      </c>
      <c r="B83" s="79"/>
      <c r="C83" s="44" t="s">
        <v>148</v>
      </c>
      <c r="D83" s="44" t="s">
        <v>88</v>
      </c>
      <c r="E83" s="79" t="s">
        <v>90</v>
      </c>
      <c r="F83" s="79"/>
      <c r="G83" s="79" t="s">
        <v>89</v>
      </c>
      <c r="H83" s="118"/>
      <c r="I83" s="14" t="s">
        <v>150</v>
      </c>
      <c r="J83" s="28">
        <f ca="1">H81*25%</f>
        <v>1.25</v>
      </c>
    </row>
    <row r="84" spans="1:10" x14ac:dyDescent="0.35">
      <c r="A84" s="108" t="s">
        <v>137</v>
      </c>
      <c r="B84" s="79"/>
      <c r="C84" s="44">
        <f ca="1">J85</f>
        <v>5</v>
      </c>
      <c r="D84" s="19">
        <f ca="1">((100/H81)*C84)/100</f>
        <v>1</v>
      </c>
      <c r="E84" s="164">
        <f ca="1">(((C85/H81*10)+(40/(D81+F81+H81)*C86)+(7.5/(H81)*C87)+(7.5/(H81)*C88)+(10/H81*C89)+(10/H81*C90)+(5/H81*C91)+(5/H81*C92)+(5/H81*C93))/100)</f>
        <v>0.9</v>
      </c>
      <c r="F84" s="165"/>
      <c r="G84" s="164">
        <f ca="1">((((C84/H81)*20)+((C85/H81)*25)+(30/(H81+F81+D81)*C86)+(5/H81*C87)+(5/H81*C88)+(5/H81*C89)+(5/H81*C90)+(0/H81*C91)+(0/H81*C92)+(5/H81*C93))/100)</f>
        <v>0.95</v>
      </c>
      <c r="H84" s="193"/>
      <c r="I84" s="14" t="s">
        <v>106</v>
      </c>
      <c r="J84" s="29">
        <f ca="1">H81*50%</f>
        <v>2.5</v>
      </c>
    </row>
    <row r="85" spans="1:10" x14ac:dyDescent="0.35">
      <c r="A85" s="108" t="s">
        <v>53</v>
      </c>
      <c r="B85" s="79"/>
      <c r="C85" s="44">
        <f ca="1">J93</f>
        <v>5</v>
      </c>
      <c r="D85" s="19">
        <f ca="1">((100/H81)*C85)/100</f>
        <v>1</v>
      </c>
      <c r="E85" s="166"/>
      <c r="F85" s="167"/>
      <c r="G85" s="166"/>
      <c r="H85" s="194"/>
      <c r="I85" s="14" t="s">
        <v>107</v>
      </c>
      <c r="J85" s="29">
        <f ca="1">H81</f>
        <v>5</v>
      </c>
    </row>
    <row r="86" spans="1:10" ht="15.75" customHeight="1" x14ac:dyDescent="0.35">
      <c r="A86" s="108" t="s">
        <v>138</v>
      </c>
      <c r="B86" s="79"/>
      <c r="C86" s="44">
        <v>6</v>
      </c>
      <c r="D86" s="19">
        <f ca="1">((100/(D81+F81+H81))*C86)/100</f>
        <v>1</v>
      </c>
      <c r="E86" s="166"/>
      <c r="F86" s="167"/>
      <c r="G86" s="166"/>
      <c r="H86" s="194"/>
      <c r="I86" s="14" t="s">
        <v>108</v>
      </c>
      <c r="J86" s="30">
        <f ca="1">(IF(B81&gt;1,(H81/(B81+2)),H81/4))</f>
        <v>1.25</v>
      </c>
    </row>
    <row r="87" spans="1:10" ht="15.75" customHeight="1" x14ac:dyDescent="0.35">
      <c r="A87" s="108" t="s">
        <v>145</v>
      </c>
      <c r="B87" s="79" t="s">
        <v>139</v>
      </c>
      <c r="C87" s="44">
        <v>5</v>
      </c>
      <c r="D87" s="19">
        <f ca="1">((100/H81)*C87)/100</f>
        <v>1</v>
      </c>
      <c r="E87" s="166"/>
      <c r="F87" s="167"/>
      <c r="G87" s="166"/>
      <c r="H87" s="194"/>
      <c r="I87" s="14" t="s">
        <v>109</v>
      </c>
      <c r="J87" s="30">
        <f ca="1">(IF(B81&gt;1,(H81/(B81+2)+J86),H81/4+J86))</f>
        <v>2.5</v>
      </c>
    </row>
    <row r="88" spans="1:10" ht="15.75" customHeight="1" x14ac:dyDescent="0.35">
      <c r="A88" s="108" t="s">
        <v>146</v>
      </c>
      <c r="B88" s="79" t="s">
        <v>139</v>
      </c>
      <c r="C88" s="44">
        <v>5</v>
      </c>
      <c r="D88" s="19">
        <f ca="1">((100/H81)*C88)/100</f>
        <v>1</v>
      </c>
      <c r="E88" s="166"/>
      <c r="F88" s="167"/>
      <c r="G88" s="166"/>
      <c r="H88" s="194"/>
      <c r="I88" s="14" t="s">
        <v>157</v>
      </c>
      <c r="J88" s="30">
        <f>(IF(B81&gt;1,(H81/(B81+2)+J87),0))</f>
        <v>0</v>
      </c>
    </row>
    <row r="89" spans="1:10" ht="15" customHeight="1" x14ac:dyDescent="0.35">
      <c r="A89" s="108" t="s">
        <v>144</v>
      </c>
      <c r="B89" s="79" t="s">
        <v>141</v>
      </c>
      <c r="C89" s="44">
        <v>5</v>
      </c>
      <c r="D89" s="19">
        <f ca="1">((100/(H81))*C89)/100</f>
        <v>1</v>
      </c>
      <c r="E89" s="166"/>
      <c r="F89" s="167"/>
      <c r="G89" s="166"/>
      <c r="H89" s="194"/>
      <c r="I89" s="14" t="s">
        <v>152</v>
      </c>
      <c r="J89" s="30">
        <f>(IF(B81&gt;2,(H81/(B81+2)+J88),0))</f>
        <v>0</v>
      </c>
    </row>
    <row r="90" spans="1:10" ht="15.75" customHeight="1" x14ac:dyDescent="0.35">
      <c r="A90" s="108" t="s">
        <v>140</v>
      </c>
      <c r="B90" s="79" t="s">
        <v>140</v>
      </c>
      <c r="C90" s="44">
        <v>5</v>
      </c>
      <c r="D90" s="19">
        <f ca="1">((100/H81)*C90)/100</f>
        <v>1</v>
      </c>
      <c r="E90" s="166"/>
      <c r="F90" s="167"/>
      <c r="G90" s="166"/>
      <c r="H90" s="194"/>
      <c r="I90" s="14" t="s">
        <v>153</v>
      </c>
      <c r="J90" s="31">
        <f>(IF(B81&gt;3,(H81/(B81+2)+J89),0))</f>
        <v>0</v>
      </c>
    </row>
    <row r="91" spans="1:10" ht="15.75" customHeight="1" x14ac:dyDescent="0.35">
      <c r="A91" s="108" t="s">
        <v>147</v>
      </c>
      <c r="B91" s="79"/>
      <c r="C91" s="44">
        <v>5</v>
      </c>
      <c r="D91" s="19">
        <f ca="1">((100/H81)*C91)/100</f>
        <v>1</v>
      </c>
      <c r="E91" s="166"/>
      <c r="F91" s="167"/>
      <c r="G91" s="166"/>
      <c r="H91" s="194"/>
      <c r="I91" s="14" t="s">
        <v>154</v>
      </c>
      <c r="J91" s="30">
        <f>(IF(B81&gt;4,(H81/(B81+2)+J90),0))</f>
        <v>0</v>
      </c>
    </row>
    <row r="92" spans="1:10" ht="15.75" customHeight="1" x14ac:dyDescent="0.35">
      <c r="A92" s="108" t="s">
        <v>142</v>
      </c>
      <c r="B92" s="79" t="s">
        <v>142</v>
      </c>
      <c r="C92" s="44">
        <v>0</v>
      </c>
      <c r="D92" s="19">
        <f ca="1">((100/(H81))*C92)/100</f>
        <v>0</v>
      </c>
      <c r="E92" s="166"/>
      <c r="F92" s="167"/>
      <c r="G92" s="166"/>
      <c r="H92" s="194"/>
      <c r="I92" s="14" t="s">
        <v>158</v>
      </c>
      <c r="J92" s="30">
        <f ca="1">(IF(B81=1,(H81/(B81+3)+J87),IF(B81=0,(H81/4+J87),IF(B81&gt;1,0))))</f>
        <v>3.75</v>
      </c>
    </row>
    <row r="93" spans="1:10" ht="16" thickBot="1" x14ac:dyDescent="0.4">
      <c r="A93" s="170" t="s">
        <v>143</v>
      </c>
      <c r="B93" s="171"/>
      <c r="C93" s="45">
        <v>0</v>
      </c>
      <c r="D93" s="20">
        <f ca="1">((100/(H81))*C93)/100</f>
        <v>0</v>
      </c>
      <c r="E93" s="168"/>
      <c r="F93" s="169"/>
      <c r="G93" s="168"/>
      <c r="H93" s="195"/>
      <c r="I93" s="15" t="s">
        <v>110</v>
      </c>
      <c r="J93" s="32">
        <f ca="1">(IF(B81&gt;1.5,(H81/(B81+2)+J87+MAX(0,J88-J87)+MAX(0,J89-J88)+MAX(0,J90-J89)+MAX(0,J91-J90)+MAX(0,J92-J91)),IF(B81=1,(H81/(B81+3)+J92),IF(B81=0,H81/4+J92))))</f>
        <v>5</v>
      </c>
    </row>
    <row r="94" spans="1:10" x14ac:dyDescent="0.35">
      <c r="A94" s="119" t="s">
        <v>169</v>
      </c>
      <c r="B94" s="119"/>
      <c r="C94" s="119"/>
      <c r="D94" s="119"/>
      <c r="E94" s="119"/>
      <c r="F94" s="172" t="s">
        <v>174</v>
      </c>
      <c r="G94" s="172"/>
      <c r="H94" s="172"/>
    </row>
    <row r="95" spans="1:10" x14ac:dyDescent="0.35">
      <c r="A95" s="100" t="s">
        <v>172</v>
      </c>
      <c r="B95" s="100"/>
      <c r="C95" s="100"/>
      <c r="D95" s="100"/>
      <c r="E95" s="100"/>
      <c r="F95" s="109">
        <v>3000</v>
      </c>
      <c r="G95" s="109"/>
      <c r="H95" s="109"/>
    </row>
    <row r="96" spans="1:10" hidden="1" x14ac:dyDescent="0.35">
      <c r="A96" s="100" t="s">
        <v>171</v>
      </c>
      <c r="B96" s="100"/>
      <c r="C96" s="100"/>
      <c r="D96" s="100"/>
      <c r="E96" s="100"/>
      <c r="F96" s="109"/>
      <c r="G96" s="109"/>
      <c r="H96" s="109"/>
    </row>
    <row r="97" spans="1:9" hidden="1" x14ac:dyDescent="0.35">
      <c r="A97" s="100" t="s">
        <v>173</v>
      </c>
      <c r="B97" s="100"/>
      <c r="C97" s="100"/>
      <c r="D97" s="100"/>
      <c r="E97" s="100"/>
      <c r="F97" s="109"/>
      <c r="G97" s="109"/>
      <c r="H97" s="109"/>
    </row>
    <row r="98" spans="1:9" s="33" customFormat="1" hidden="1" x14ac:dyDescent="0.3">
      <c r="A98" s="100" t="s">
        <v>170</v>
      </c>
      <c r="B98" s="100"/>
      <c r="C98" s="100"/>
      <c r="D98" s="100"/>
      <c r="E98" s="100"/>
      <c r="F98" s="109"/>
      <c r="G98" s="109"/>
      <c r="H98" s="109"/>
    </row>
    <row r="99" spans="1:9" s="33" customFormat="1" hidden="1" x14ac:dyDescent="0.3">
      <c r="A99" s="100" t="s">
        <v>100</v>
      </c>
      <c r="B99" s="100"/>
      <c r="C99" s="100"/>
      <c r="D99" s="100"/>
      <c r="E99" s="100"/>
      <c r="F99" s="109"/>
      <c r="G99" s="109"/>
      <c r="H99" s="109"/>
    </row>
    <row r="100" spans="1:9" s="33" customFormat="1" hidden="1" x14ac:dyDescent="0.3">
      <c r="A100" s="100" t="s">
        <v>101</v>
      </c>
      <c r="B100" s="100"/>
      <c r="C100" s="100"/>
      <c r="D100" s="100"/>
      <c r="E100" s="100"/>
      <c r="F100" s="109"/>
      <c r="G100" s="109"/>
      <c r="H100" s="109"/>
    </row>
    <row r="101" spans="1:9" s="33" customFormat="1" hidden="1" x14ac:dyDescent="0.3">
      <c r="A101" s="100" t="s">
        <v>102</v>
      </c>
      <c r="B101" s="100"/>
      <c r="C101" s="100"/>
      <c r="D101" s="100"/>
      <c r="E101" s="100"/>
      <c r="F101" s="109"/>
      <c r="G101" s="109"/>
      <c r="H101" s="109"/>
    </row>
    <row r="102" spans="1:9" s="33" customFormat="1" hidden="1" x14ac:dyDescent="0.3">
      <c r="A102" s="100" t="s">
        <v>103</v>
      </c>
      <c r="B102" s="100"/>
      <c r="C102" s="100"/>
      <c r="D102" s="100"/>
      <c r="E102" s="100"/>
      <c r="F102" s="109"/>
      <c r="G102" s="109"/>
      <c r="H102" s="109"/>
    </row>
    <row r="103" spans="1:9" s="33" customFormat="1" x14ac:dyDescent="0.3">
      <c r="A103" s="100" t="s">
        <v>104</v>
      </c>
      <c r="B103" s="100"/>
      <c r="C103" s="100"/>
      <c r="D103" s="100"/>
      <c r="E103" s="100"/>
      <c r="F103" s="109">
        <v>100000</v>
      </c>
      <c r="G103" s="109"/>
      <c r="H103" s="109"/>
    </row>
    <row r="104" spans="1:9" s="33" customFormat="1" hidden="1" x14ac:dyDescent="0.3">
      <c r="A104" s="100" t="s">
        <v>105</v>
      </c>
      <c r="B104" s="100"/>
      <c r="C104" s="100"/>
      <c r="D104" s="100"/>
      <c r="E104" s="100"/>
      <c r="F104" s="109"/>
      <c r="G104" s="109"/>
      <c r="H104" s="109"/>
    </row>
    <row r="105" spans="1:9" x14ac:dyDescent="0.35">
      <c r="A105" s="100" t="s">
        <v>54</v>
      </c>
      <c r="B105" s="100"/>
      <c r="C105" s="100"/>
      <c r="D105" s="100"/>
      <c r="E105" s="100"/>
      <c r="F105" s="109">
        <v>100000</v>
      </c>
      <c r="G105" s="109"/>
      <c r="H105" s="109"/>
    </row>
    <row r="106" spans="1:9" s="34" customFormat="1" x14ac:dyDescent="0.35">
      <c r="A106" s="121" t="s">
        <v>55</v>
      </c>
      <c r="B106" s="121"/>
      <c r="C106" s="121"/>
      <c r="D106" s="121"/>
      <c r="E106" s="121"/>
      <c r="F106" s="109">
        <f>F95*0.8</f>
        <v>2400</v>
      </c>
      <c r="G106" s="109"/>
      <c r="H106" s="109"/>
    </row>
    <row r="107" spans="1:9" s="35" customFormat="1" ht="15.75" hidden="1" customHeight="1" x14ac:dyDescent="0.35">
      <c r="A107" s="137" t="s">
        <v>80</v>
      </c>
      <c r="B107" s="137"/>
      <c r="C107" s="137"/>
      <c r="D107" s="137"/>
      <c r="E107" s="137"/>
      <c r="F107" s="137"/>
      <c r="G107" s="137"/>
      <c r="H107" s="137"/>
    </row>
    <row r="108" spans="1:9" s="35" customFormat="1" ht="15.75" hidden="1" customHeight="1" x14ac:dyDescent="0.35">
      <c r="A108" s="113" t="s">
        <v>56</v>
      </c>
      <c r="B108" s="113"/>
      <c r="C108" s="111" t="s">
        <v>83</v>
      </c>
      <c r="D108" s="111"/>
      <c r="E108" s="185" t="s">
        <v>57</v>
      </c>
      <c r="F108" s="185"/>
      <c r="G108" s="113" t="s">
        <v>58</v>
      </c>
      <c r="H108" s="113"/>
    </row>
    <row r="109" spans="1:9" s="35" customFormat="1" hidden="1" x14ac:dyDescent="0.35">
      <c r="A109" s="140"/>
      <c r="B109" s="140"/>
      <c r="C109" s="114"/>
      <c r="D109" s="114"/>
      <c r="E109" s="115"/>
      <c r="F109" s="115"/>
      <c r="G109" s="110"/>
      <c r="H109" s="110"/>
    </row>
    <row r="110" spans="1:9" s="35" customFormat="1" hidden="1" x14ac:dyDescent="0.35">
      <c r="A110" s="140"/>
      <c r="B110" s="140"/>
      <c r="C110" s="114"/>
      <c r="D110" s="114"/>
      <c r="E110" s="115"/>
      <c r="F110" s="115"/>
      <c r="G110" s="110"/>
      <c r="H110" s="110"/>
    </row>
    <row r="111" spans="1:9" s="35" customFormat="1" hidden="1" x14ac:dyDescent="0.35">
      <c r="A111" s="137" t="s">
        <v>162</v>
      </c>
      <c r="B111" s="137"/>
      <c r="C111" s="111"/>
      <c r="D111" s="111"/>
      <c r="E111" s="185"/>
      <c r="F111" s="185"/>
      <c r="G111" s="113"/>
      <c r="H111" s="113"/>
    </row>
    <row r="112" spans="1:9" s="35" customFormat="1" x14ac:dyDescent="0.35">
      <c r="A112" s="137" t="s">
        <v>74</v>
      </c>
      <c r="B112" s="137"/>
      <c r="C112" s="137"/>
      <c r="D112" s="137"/>
      <c r="E112" s="137"/>
      <c r="F112" s="137"/>
      <c r="G112" s="137"/>
      <c r="H112" s="137"/>
      <c r="I112" s="65" t="s">
        <v>216</v>
      </c>
    </row>
    <row r="113" spans="1:14" s="35" customFormat="1" ht="15.75" customHeight="1" x14ac:dyDescent="0.35">
      <c r="A113" s="105" t="s">
        <v>56</v>
      </c>
      <c r="B113" s="105"/>
      <c r="C113" s="186" t="s">
        <v>83</v>
      </c>
      <c r="D113" s="186"/>
      <c r="E113" s="124" t="s">
        <v>57</v>
      </c>
      <c r="F113" s="124"/>
      <c r="G113" s="105" t="s">
        <v>58</v>
      </c>
      <c r="H113" s="105"/>
      <c r="I113" s="65" t="s">
        <v>217</v>
      </c>
    </row>
    <row r="114" spans="1:14" s="35" customFormat="1" x14ac:dyDescent="0.35">
      <c r="A114" s="139" t="s">
        <v>202</v>
      </c>
      <c r="B114" s="139"/>
      <c r="C114" s="173">
        <f>COUNT(D131:D133)+COUNT(D135:D139)*4</f>
        <v>23</v>
      </c>
      <c r="D114" s="173"/>
      <c r="E114" s="134">
        <f>SUM(D131:D133)+SUM(D135:D139)*4</f>
        <v>9442.3960799999968</v>
      </c>
      <c r="F114" s="134"/>
      <c r="G114" s="134">
        <f>SUM(F131:F133)+SUM(F135:F139)*4</f>
        <v>15345</v>
      </c>
      <c r="H114" s="134"/>
      <c r="J114" s="35" t="s">
        <v>212</v>
      </c>
      <c r="K114" s="35" t="s">
        <v>213</v>
      </c>
      <c r="L114" s="35" t="s">
        <v>214</v>
      </c>
    </row>
    <row r="115" spans="1:14" s="35" customFormat="1" x14ac:dyDescent="0.35">
      <c r="A115" s="139" t="s">
        <v>203</v>
      </c>
      <c r="B115" s="139"/>
      <c r="C115" s="173">
        <f>COUNT(D142:D143)+COUNT(D145:D148)*3</f>
        <v>14</v>
      </c>
      <c r="D115" s="173"/>
      <c r="E115" s="134">
        <f>SUM(D142:D143)+SUM(D145:D148)*3</f>
        <v>5030.2324800000006</v>
      </c>
      <c r="F115" s="134"/>
      <c r="G115" s="134">
        <f>SUM(F142:F143)+SUM(F145:F148)*3</f>
        <v>8190</v>
      </c>
      <c r="H115" s="134"/>
      <c r="J115" s="58">
        <v>3000</v>
      </c>
      <c r="K115" s="57">
        <f>1755000/522</f>
        <v>3362.0689655172414</v>
      </c>
      <c r="L115" s="57">
        <f>1755000/585</f>
        <v>3000</v>
      </c>
    </row>
    <row r="116" spans="1:14" s="35" customFormat="1" x14ac:dyDescent="0.35">
      <c r="A116" s="196" t="s">
        <v>162</v>
      </c>
      <c r="B116" s="196"/>
      <c r="C116" s="198">
        <f>SUM(C114:C115)</f>
        <v>37</v>
      </c>
      <c r="D116" s="198"/>
      <c r="E116" s="197">
        <f>SUM(E114:E115)</f>
        <v>14472.628559999997</v>
      </c>
      <c r="F116" s="197"/>
      <c r="G116" s="105">
        <f>SUM(G114:G115)</f>
        <v>23535</v>
      </c>
      <c r="H116" s="105"/>
      <c r="K116" s="57">
        <f>1830000/545</f>
        <v>3357.7981651376149</v>
      </c>
      <c r="L116" s="57">
        <f>1830000/610</f>
        <v>3000</v>
      </c>
    </row>
    <row r="117" spans="1:14" s="34" customFormat="1" x14ac:dyDescent="0.35">
      <c r="A117" s="112" t="s">
        <v>59</v>
      </c>
      <c r="B117" s="112"/>
      <c r="C117" s="112"/>
      <c r="D117" s="112"/>
      <c r="E117" s="112"/>
      <c r="F117" s="112"/>
      <c r="G117" s="112"/>
      <c r="H117" s="112"/>
      <c r="J117" s="60"/>
      <c r="K117" s="61">
        <f>2370000/704</f>
        <v>3366.4772727272725</v>
      </c>
      <c r="L117" s="62">
        <f>2370000/790</f>
        <v>3000</v>
      </c>
    </row>
    <row r="118" spans="1:14" x14ac:dyDescent="0.35">
      <c r="A118" s="112" t="s">
        <v>60</v>
      </c>
      <c r="B118" s="112"/>
      <c r="C118" s="112"/>
      <c r="D118" s="112"/>
      <c r="E118" s="112"/>
      <c r="F118" s="112"/>
      <c r="G118" s="112"/>
      <c r="H118" s="112"/>
      <c r="J118" s="63"/>
      <c r="K118" s="64">
        <f>AVERAGE(K115:K117)</f>
        <v>3362.1148011273763</v>
      </c>
      <c r="L118" s="63"/>
    </row>
    <row r="119" spans="1:14" ht="47.25" hidden="1" customHeight="1" x14ac:dyDescent="0.35">
      <c r="A119" s="178" t="s">
        <v>128</v>
      </c>
      <c r="B119" s="178" t="s">
        <v>127</v>
      </c>
      <c r="C119" s="178" t="s">
        <v>61</v>
      </c>
      <c r="D119" s="178" t="s">
        <v>62</v>
      </c>
      <c r="E119" s="181" t="s">
        <v>168</v>
      </c>
      <c r="F119" s="43" t="s">
        <v>160</v>
      </c>
      <c r="G119" s="106" t="s">
        <v>64</v>
      </c>
      <c r="H119" s="107"/>
    </row>
    <row r="120" spans="1:14" s="37" customFormat="1" hidden="1" x14ac:dyDescent="0.35">
      <c r="A120" s="179"/>
      <c r="B120" s="179"/>
      <c r="C120" s="179"/>
      <c r="D120" s="179"/>
      <c r="E120" s="182"/>
      <c r="F120" s="13">
        <v>0.6</v>
      </c>
      <c r="G120" s="183"/>
      <c r="H120" s="184"/>
    </row>
    <row r="121" spans="1:14" s="37" customFormat="1" hidden="1" x14ac:dyDescent="0.35">
      <c r="A121" s="131" t="s">
        <v>125</v>
      </c>
      <c r="B121" s="132"/>
      <c r="C121" s="132"/>
      <c r="D121" s="132"/>
      <c r="E121" s="132"/>
      <c r="F121" s="132"/>
      <c r="G121" s="132"/>
      <c r="H121" s="133"/>
      <c r="J121" s="36"/>
    </row>
    <row r="122" spans="1:14" s="37" customFormat="1" hidden="1" x14ac:dyDescent="0.35">
      <c r="A122" s="102">
        <v>1</v>
      </c>
      <c r="B122" s="103"/>
      <c r="C122" s="42"/>
      <c r="D122" s="42"/>
      <c r="E122" s="42">
        <v>0</v>
      </c>
      <c r="F122" s="42">
        <f>(D122+E122)*(($F$120)+1)</f>
        <v>0</v>
      </c>
      <c r="G122" s="102" t="str">
        <f>A121</f>
        <v>Ground Floor</v>
      </c>
      <c r="H122" s="103"/>
      <c r="I122" s="36"/>
      <c r="L122" s="70"/>
      <c r="M122" s="70"/>
      <c r="N122" s="36"/>
    </row>
    <row r="123" spans="1:14" s="37" customFormat="1" hidden="1" x14ac:dyDescent="0.35">
      <c r="A123" s="102">
        <f t="shared" ref="A123:A125" si="0">A122+1</f>
        <v>2</v>
      </c>
      <c r="B123" s="103"/>
      <c r="C123" s="42"/>
      <c r="D123" s="42"/>
      <c r="E123" s="42">
        <v>0</v>
      </c>
      <c r="F123" s="42">
        <f t="shared" ref="F123:F125" si="1">(D123+E123)*(($F$120)+1)</f>
        <v>0</v>
      </c>
      <c r="G123" s="102" t="str">
        <f t="shared" ref="G123:G125" si="2">G122</f>
        <v>Ground Floor</v>
      </c>
      <c r="H123" s="103"/>
      <c r="I123" s="36"/>
      <c r="L123" s="70"/>
      <c r="M123" s="70"/>
      <c r="N123" s="36"/>
    </row>
    <row r="124" spans="1:14" s="37" customFormat="1" hidden="1" x14ac:dyDescent="0.35">
      <c r="A124" s="102">
        <f t="shared" si="0"/>
        <v>3</v>
      </c>
      <c r="B124" s="103"/>
      <c r="C124" s="42"/>
      <c r="D124" s="42"/>
      <c r="E124" s="42">
        <v>0</v>
      </c>
      <c r="F124" s="42">
        <f t="shared" si="1"/>
        <v>0</v>
      </c>
      <c r="G124" s="102" t="str">
        <f t="shared" si="2"/>
        <v>Ground Floor</v>
      </c>
      <c r="H124" s="103"/>
      <c r="I124" s="36"/>
      <c r="L124" s="70"/>
      <c r="M124" s="70"/>
      <c r="N124" s="36"/>
    </row>
    <row r="125" spans="1:14" s="37" customFormat="1" hidden="1" x14ac:dyDescent="0.35">
      <c r="A125" s="102">
        <f t="shared" si="0"/>
        <v>4</v>
      </c>
      <c r="B125" s="103"/>
      <c r="C125" s="42"/>
      <c r="D125" s="42"/>
      <c r="E125" s="42">
        <v>0</v>
      </c>
      <c r="F125" s="42">
        <f t="shared" si="1"/>
        <v>0</v>
      </c>
      <c r="G125" s="102" t="str">
        <f t="shared" si="2"/>
        <v>Ground Floor</v>
      </c>
      <c r="H125" s="103"/>
      <c r="I125" s="36"/>
      <c r="L125" s="70"/>
      <c r="M125" s="70"/>
      <c r="N125" s="36"/>
    </row>
    <row r="126" spans="1:14" s="37" customFormat="1" hidden="1" x14ac:dyDescent="0.35">
      <c r="A126" s="102"/>
      <c r="B126" s="180"/>
      <c r="C126" s="180"/>
      <c r="D126" s="180"/>
      <c r="E126" s="180"/>
      <c r="F126" s="180"/>
      <c r="G126" s="180"/>
      <c r="H126" s="103"/>
      <c r="I126" s="36"/>
      <c r="N126" s="36"/>
    </row>
    <row r="127" spans="1:14" ht="47.25" customHeight="1" x14ac:dyDescent="0.35">
      <c r="A127" s="54" t="s">
        <v>129</v>
      </c>
      <c r="B127" s="54" t="s">
        <v>130</v>
      </c>
      <c r="C127" s="43" t="s">
        <v>61</v>
      </c>
      <c r="D127" s="43" t="s">
        <v>62</v>
      </c>
      <c r="E127" s="55" t="s">
        <v>63</v>
      </c>
      <c r="F127" s="43" t="s">
        <v>215</v>
      </c>
      <c r="G127" s="106" t="s">
        <v>64</v>
      </c>
      <c r="H127" s="107"/>
      <c r="I127" s="36"/>
    </row>
    <row r="128" spans="1:14" s="37" customFormat="1" x14ac:dyDescent="0.35">
      <c r="A128" s="131" t="s">
        <v>219</v>
      </c>
      <c r="B128" s="132"/>
      <c r="C128" s="132"/>
      <c r="D128" s="132"/>
      <c r="E128" s="132"/>
      <c r="F128" s="132"/>
      <c r="G128" s="132"/>
      <c r="H128" s="133"/>
      <c r="J128" s="36"/>
    </row>
    <row r="129" spans="1:14" s="37" customFormat="1" x14ac:dyDescent="0.35">
      <c r="A129" s="131" t="s">
        <v>202</v>
      </c>
      <c r="B129" s="132"/>
      <c r="C129" s="132"/>
      <c r="D129" s="132"/>
      <c r="E129" s="132"/>
      <c r="F129" s="132"/>
      <c r="G129" s="132"/>
      <c r="H129" s="133"/>
      <c r="J129" s="36"/>
    </row>
    <row r="130" spans="1:14" s="37" customFormat="1" x14ac:dyDescent="0.35">
      <c r="A130" s="131" t="s">
        <v>204</v>
      </c>
      <c r="B130" s="132"/>
      <c r="C130" s="132"/>
      <c r="D130" s="132"/>
      <c r="E130" s="132"/>
      <c r="F130" s="132"/>
      <c r="G130" s="132"/>
      <c r="H130" s="133"/>
      <c r="J130" s="56">
        <f>10.764</f>
        <v>10.763999999999999</v>
      </c>
    </row>
    <row r="131" spans="1:14" s="37" customFormat="1" ht="15.75" customHeight="1" x14ac:dyDescent="0.35">
      <c r="A131" s="102">
        <v>1</v>
      </c>
      <c r="B131" s="103"/>
      <c r="C131" s="53">
        <v>1</v>
      </c>
      <c r="D131" s="56">
        <f>(34.91)*(10.764)</f>
        <v>375.77123999999992</v>
      </c>
      <c r="E131" s="42">
        <v>0</v>
      </c>
      <c r="F131" s="42">
        <v>610</v>
      </c>
      <c r="G131" s="174" t="str">
        <f>A130</f>
        <v>Ground Floor For Part Residential &amp; Parking</v>
      </c>
      <c r="H131" s="175"/>
      <c r="I131" s="36"/>
      <c r="J131" s="37">
        <f>4.55*2.75+2.4*2.4+3.45*2.75+1.25*1.2+2.25*1.2+2.4*0.9</f>
        <v>34.120000000000005</v>
      </c>
      <c r="L131" s="70"/>
      <c r="M131" s="70"/>
      <c r="N131" s="36"/>
    </row>
    <row r="132" spans="1:14" s="37" customFormat="1" ht="15.75" customHeight="1" x14ac:dyDescent="0.35">
      <c r="A132" s="102">
        <f t="shared" ref="A132:A133" si="3">A131+1</f>
        <v>2</v>
      </c>
      <c r="B132" s="103"/>
      <c r="C132" s="53">
        <v>1</v>
      </c>
      <c r="D132" s="56">
        <f>(33.4)*(10.764)</f>
        <v>359.51759999999996</v>
      </c>
      <c r="E132" s="42">
        <v>0</v>
      </c>
      <c r="F132" s="42">
        <v>585</v>
      </c>
      <c r="G132" s="176"/>
      <c r="H132" s="177"/>
      <c r="I132" s="36"/>
      <c r="L132" s="70"/>
      <c r="M132" s="70"/>
      <c r="N132" s="36"/>
    </row>
    <row r="133" spans="1:14" s="37" customFormat="1" ht="15.75" customHeight="1" x14ac:dyDescent="0.35">
      <c r="A133" s="102">
        <f t="shared" si="3"/>
        <v>3</v>
      </c>
      <c r="B133" s="103"/>
      <c r="C133" s="53">
        <v>1</v>
      </c>
      <c r="D133" s="56">
        <f>(34.91)*(10.764)</f>
        <v>375.77123999999992</v>
      </c>
      <c r="E133" s="42">
        <v>0</v>
      </c>
      <c r="F133" s="42">
        <v>610</v>
      </c>
      <c r="G133" s="176"/>
      <c r="H133" s="177"/>
      <c r="I133" s="36"/>
      <c r="L133" s="70"/>
      <c r="M133" s="70"/>
      <c r="N133" s="36"/>
    </row>
    <row r="134" spans="1:14" s="37" customFormat="1" x14ac:dyDescent="0.35">
      <c r="A134" s="131" t="s">
        <v>205</v>
      </c>
      <c r="B134" s="132"/>
      <c r="C134" s="132"/>
      <c r="D134" s="132"/>
      <c r="E134" s="132"/>
      <c r="F134" s="132"/>
      <c r="G134" s="132"/>
      <c r="H134" s="133"/>
      <c r="J134" s="36"/>
    </row>
    <row r="135" spans="1:14" s="37" customFormat="1" x14ac:dyDescent="0.35">
      <c r="A135" s="102">
        <v>1</v>
      </c>
      <c r="B135" s="103"/>
      <c r="C135" s="53">
        <v>2</v>
      </c>
      <c r="D135" s="56">
        <f>(45.14)*(10.764)</f>
        <v>485.88695999999999</v>
      </c>
      <c r="E135" s="42">
        <v>0</v>
      </c>
      <c r="F135" s="42">
        <v>790</v>
      </c>
      <c r="G135" s="102" t="str">
        <f>A134</f>
        <v>1st to 4th Floor</v>
      </c>
      <c r="H135" s="103"/>
      <c r="I135" s="36"/>
      <c r="J135" s="37">
        <f>4.55*2.75+2.4*2.4+3.45*2.75+1.25*1.2+2.25*1.2+2.4*0.9+3.4*2.75</f>
        <v>43.470000000000006</v>
      </c>
      <c r="K135" s="59">
        <f>585/D137</f>
        <v>1.6271804217651655</v>
      </c>
      <c r="L135" s="70"/>
      <c r="M135" s="70"/>
      <c r="N135" s="36"/>
    </row>
    <row r="136" spans="1:14" s="37" customFormat="1" x14ac:dyDescent="0.35">
      <c r="A136" s="102">
        <f t="shared" ref="A136:A139" si="4">A135+1</f>
        <v>2</v>
      </c>
      <c r="B136" s="103"/>
      <c r="C136" s="53">
        <v>1</v>
      </c>
      <c r="D136" s="56">
        <f>(34.91)*(10.764)</f>
        <v>375.77123999999992</v>
      </c>
      <c r="E136" s="42">
        <v>0</v>
      </c>
      <c r="F136" s="42">
        <v>610</v>
      </c>
      <c r="G136" s="102" t="str">
        <f t="shared" ref="G136:G139" si="5">G135</f>
        <v>1st to 4th Floor</v>
      </c>
      <c r="H136" s="103"/>
      <c r="I136" s="36"/>
      <c r="K136" s="59">
        <f>610/D137</f>
        <v>1.6967180466269247</v>
      </c>
      <c r="L136" s="70"/>
      <c r="M136" s="70"/>
      <c r="N136" s="36"/>
    </row>
    <row r="137" spans="1:14" s="37" customFormat="1" x14ac:dyDescent="0.35">
      <c r="A137" s="102">
        <f t="shared" si="4"/>
        <v>3</v>
      </c>
      <c r="B137" s="103"/>
      <c r="C137" s="53">
        <v>1</v>
      </c>
      <c r="D137" s="56">
        <f>(33.4)*(10.764)</f>
        <v>359.51759999999996</v>
      </c>
      <c r="E137" s="42">
        <v>0</v>
      </c>
      <c r="F137" s="42">
        <v>585</v>
      </c>
      <c r="G137" s="102" t="str">
        <f t="shared" si="5"/>
        <v>1st to 4th Floor</v>
      </c>
      <c r="H137" s="103"/>
      <c r="I137" s="36"/>
      <c r="K137" s="59">
        <f>790/D139</f>
        <v>1.6258925738612124</v>
      </c>
      <c r="L137" s="70"/>
      <c r="M137" s="70"/>
      <c r="N137" s="36"/>
    </row>
    <row r="138" spans="1:14" s="37" customFormat="1" x14ac:dyDescent="0.35">
      <c r="A138" s="102">
        <f t="shared" si="4"/>
        <v>4</v>
      </c>
      <c r="B138" s="103"/>
      <c r="C138" s="53">
        <v>1</v>
      </c>
      <c r="D138" s="56">
        <f>(34.91)*(10.764)</f>
        <v>375.77123999999992</v>
      </c>
      <c r="E138" s="42">
        <v>0</v>
      </c>
      <c r="F138" s="42">
        <v>610</v>
      </c>
      <c r="G138" s="102" t="str">
        <f t="shared" si="5"/>
        <v>1st to 4th Floor</v>
      </c>
      <c r="H138" s="103"/>
      <c r="I138" s="36"/>
      <c r="J138" s="37">
        <f>3.5*2.75+2.4*2.4+2.45*2.75+2.25*1.2+1.25*1.2+0.9*1.2+1*(2.75+2.75)</f>
        <v>32.902500000000003</v>
      </c>
      <c r="K138" s="59"/>
      <c r="L138" s="70"/>
      <c r="M138" s="70"/>
      <c r="N138" s="36"/>
    </row>
    <row r="139" spans="1:14" s="37" customFormat="1" x14ac:dyDescent="0.35">
      <c r="A139" s="102">
        <f t="shared" si="4"/>
        <v>5</v>
      </c>
      <c r="B139" s="103"/>
      <c r="C139" s="53">
        <v>2</v>
      </c>
      <c r="D139" s="56">
        <f>(45.14)*(10.764)</f>
        <v>485.88695999999999</v>
      </c>
      <c r="E139" s="42">
        <v>0</v>
      </c>
      <c r="F139" s="42">
        <v>790</v>
      </c>
      <c r="G139" s="102" t="str">
        <f t="shared" si="5"/>
        <v>1st to 4th Floor</v>
      </c>
      <c r="H139" s="103"/>
      <c r="I139" s="36"/>
      <c r="L139" s="70"/>
      <c r="M139" s="70"/>
      <c r="N139" s="36"/>
    </row>
    <row r="140" spans="1:14" s="37" customFormat="1" x14ac:dyDescent="0.35">
      <c r="A140" s="131" t="s">
        <v>203</v>
      </c>
      <c r="B140" s="132"/>
      <c r="C140" s="132"/>
      <c r="D140" s="132"/>
      <c r="E140" s="132"/>
      <c r="F140" s="132"/>
      <c r="G140" s="132"/>
      <c r="H140" s="133"/>
      <c r="J140" s="36"/>
      <c r="K140" s="37">
        <f>3200*F136</f>
        <v>1952000</v>
      </c>
    </row>
    <row r="141" spans="1:14" s="37" customFormat="1" ht="15.75" customHeight="1" x14ac:dyDescent="0.35">
      <c r="A141" s="131" t="s">
        <v>204</v>
      </c>
      <c r="B141" s="132"/>
      <c r="C141" s="132"/>
      <c r="D141" s="132"/>
      <c r="E141" s="132"/>
      <c r="F141" s="132"/>
      <c r="G141" s="132"/>
      <c r="H141" s="133"/>
      <c r="J141" s="36"/>
    </row>
    <row r="142" spans="1:14" s="37" customFormat="1" x14ac:dyDescent="0.35">
      <c r="A142" s="102">
        <v>1</v>
      </c>
      <c r="B142" s="103"/>
      <c r="C142" s="53">
        <v>1</v>
      </c>
      <c r="D142" s="56">
        <f>(33.38)*(10.764)</f>
        <v>359.30232000000001</v>
      </c>
      <c r="E142" s="42">
        <v>0</v>
      </c>
      <c r="F142" s="42">
        <v>585</v>
      </c>
      <c r="G142" s="102" t="str">
        <f>A141</f>
        <v>Ground Floor For Part Residential &amp; Parking</v>
      </c>
      <c r="H142" s="103"/>
      <c r="I142" s="36"/>
      <c r="J142" s="37">
        <f>4.5*2.75+2.45*2.25+3.5*2.75+0.9*1.2+1.55*1.2+2.25*0.9</f>
        <v>32.477499999999999</v>
      </c>
      <c r="L142" s="70"/>
      <c r="M142" s="70"/>
      <c r="N142" s="36"/>
    </row>
    <row r="143" spans="1:14" s="37" customFormat="1" x14ac:dyDescent="0.35">
      <c r="A143" s="102">
        <f t="shared" ref="A143" si="6">A142+1</f>
        <v>2</v>
      </c>
      <c r="B143" s="103"/>
      <c r="C143" s="53">
        <v>1</v>
      </c>
      <c r="D143" s="56">
        <f>(33.38)*(10.764)</f>
        <v>359.30232000000001</v>
      </c>
      <c r="E143" s="42">
        <v>0</v>
      </c>
      <c r="F143" s="42">
        <v>585</v>
      </c>
      <c r="G143" s="102" t="str">
        <f t="shared" ref="G143" si="7">G142</f>
        <v>Ground Floor For Part Residential &amp; Parking</v>
      </c>
      <c r="H143" s="103"/>
      <c r="I143" s="36"/>
      <c r="L143" s="70"/>
      <c r="M143" s="70"/>
      <c r="N143" s="36"/>
    </row>
    <row r="144" spans="1:14" s="37" customFormat="1" x14ac:dyDescent="0.35">
      <c r="A144" s="131" t="s">
        <v>206</v>
      </c>
      <c r="B144" s="132"/>
      <c r="C144" s="132"/>
      <c r="D144" s="132"/>
      <c r="E144" s="132"/>
      <c r="F144" s="132"/>
      <c r="G144" s="132"/>
      <c r="H144" s="133"/>
      <c r="J144" s="36"/>
    </row>
    <row r="145" spans="1:14" s="37" customFormat="1" x14ac:dyDescent="0.35">
      <c r="A145" s="102">
        <v>1</v>
      </c>
      <c r="B145" s="103"/>
      <c r="C145" s="53">
        <v>1</v>
      </c>
      <c r="D145" s="56">
        <f>(33.38)*(10.764)</f>
        <v>359.30232000000001</v>
      </c>
      <c r="E145" s="42">
        <v>0</v>
      </c>
      <c r="F145" s="42">
        <v>585</v>
      </c>
      <c r="G145" s="102" t="str">
        <f>A144</f>
        <v>1st to 3rd Floor</v>
      </c>
      <c r="H145" s="103"/>
      <c r="I145" s="36"/>
      <c r="L145" s="70"/>
      <c r="M145" s="70"/>
      <c r="N145" s="36"/>
    </row>
    <row r="146" spans="1:14" s="37" customFormat="1" x14ac:dyDescent="0.35">
      <c r="A146" s="102">
        <f t="shared" ref="A146:A148" si="8">A145+1</f>
        <v>2</v>
      </c>
      <c r="B146" s="103"/>
      <c r="C146" s="53">
        <v>1</v>
      </c>
      <c r="D146" s="56">
        <f>(33.38)*(10.764)</f>
        <v>359.30232000000001</v>
      </c>
      <c r="E146" s="42">
        <v>0</v>
      </c>
      <c r="F146" s="42">
        <v>585</v>
      </c>
      <c r="G146" s="102" t="str">
        <f t="shared" ref="G146:G148" si="9">G145</f>
        <v>1st to 3rd Floor</v>
      </c>
      <c r="H146" s="103"/>
      <c r="I146" s="36"/>
      <c r="L146" s="70"/>
      <c r="M146" s="70"/>
      <c r="N146" s="36"/>
    </row>
    <row r="147" spans="1:14" s="37" customFormat="1" x14ac:dyDescent="0.35">
      <c r="A147" s="102">
        <f t="shared" si="8"/>
        <v>3</v>
      </c>
      <c r="B147" s="103"/>
      <c r="C147" s="53">
        <v>1</v>
      </c>
      <c r="D147" s="56">
        <f>(33.38)*(10.764)</f>
        <v>359.30232000000001</v>
      </c>
      <c r="E147" s="42">
        <v>0</v>
      </c>
      <c r="F147" s="42">
        <v>585</v>
      </c>
      <c r="G147" s="102" t="str">
        <f t="shared" si="9"/>
        <v>1st to 3rd Floor</v>
      </c>
      <c r="H147" s="103"/>
      <c r="I147" s="36"/>
      <c r="L147" s="70"/>
      <c r="M147" s="70"/>
      <c r="N147" s="36"/>
    </row>
    <row r="148" spans="1:14" s="37" customFormat="1" x14ac:dyDescent="0.35">
      <c r="A148" s="102">
        <f t="shared" si="8"/>
        <v>4</v>
      </c>
      <c r="B148" s="103"/>
      <c r="C148" s="53">
        <v>1</v>
      </c>
      <c r="D148" s="56">
        <f>(33.38)*(10.764)</f>
        <v>359.30232000000001</v>
      </c>
      <c r="E148" s="42">
        <v>0</v>
      </c>
      <c r="F148" s="42">
        <v>585</v>
      </c>
      <c r="G148" s="102" t="str">
        <f t="shared" si="9"/>
        <v>1st to 3rd Floor</v>
      </c>
      <c r="H148" s="103"/>
      <c r="I148" s="36"/>
      <c r="L148" s="70"/>
      <c r="M148" s="70"/>
      <c r="N148" s="36"/>
    </row>
    <row r="149" spans="1:14" s="37" customFormat="1" hidden="1" x14ac:dyDescent="0.35">
      <c r="A149" s="131" t="s">
        <v>125</v>
      </c>
      <c r="B149" s="132"/>
      <c r="C149" s="132"/>
      <c r="D149" s="132"/>
      <c r="E149" s="132"/>
      <c r="F149" s="132"/>
      <c r="G149" s="132"/>
      <c r="H149" s="133"/>
      <c r="J149" s="36"/>
    </row>
    <row r="150" spans="1:14" s="37" customFormat="1" hidden="1" x14ac:dyDescent="0.35">
      <c r="A150" s="102">
        <v>1</v>
      </c>
      <c r="B150" s="103"/>
      <c r="C150" s="53"/>
      <c r="D150" s="42"/>
      <c r="E150" s="42">
        <v>0</v>
      </c>
      <c r="F150" s="42" t="e">
        <f>D150*((#REF!)+1)+(IF(E150&lt;101,E150,IF(E150&lt;201,E150/2,IF(E150&lt;=301,E150/3,E150/4))))</f>
        <v>#REF!</v>
      </c>
      <c r="G150" s="102" t="str">
        <f>A149</f>
        <v>Ground Floor</v>
      </c>
      <c r="H150" s="103"/>
      <c r="I150" s="36"/>
      <c r="L150" s="70"/>
      <c r="M150" s="70"/>
      <c r="N150" s="36"/>
    </row>
    <row r="151" spans="1:14" s="37" customFormat="1" hidden="1" x14ac:dyDescent="0.35">
      <c r="A151" s="102">
        <f t="shared" ref="A151:A154" si="10">A150+1</f>
        <v>2</v>
      </c>
      <c r="B151" s="103"/>
      <c r="C151" s="53"/>
      <c r="D151" s="42"/>
      <c r="E151" s="42">
        <v>0</v>
      </c>
      <c r="F151" s="42" t="e">
        <f>D151*((#REF!)+1)+(IF(E151&lt;101,E151,IF(E151&lt;201,E151/2,IF(E151&lt;=301,E151/3,E151/4))))</f>
        <v>#REF!</v>
      </c>
      <c r="G151" s="102" t="str">
        <f t="shared" ref="G151:G154" si="11">G150</f>
        <v>Ground Floor</v>
      </c>
      <c r="H151" s="103"/>
      <c r="I151" s="36"/>
      <c r="L151" s="70"/>
      <c r="M151" s="70"/>
      <c r="N151" s="36"/>
    </row>
    <row r="152" spans="1:14" s="37" customFormat="1" hidden="1" x14ac:dyDescent="0.35">
      <c r="A152" s="102">
        <f t="shared" si="10"/>
        <v>3</v>
      </c>
      <c r="B152" s="103"/>
      <c r="C152" s="53"/>
      <c r="D152" s="42"/>
      <c r="E152" s="42">
        <v>0</v>
      </c>
      <c r="F152" s="42" t="e">
        <f>D152*((#REF!)+1)+(IF(E152&lt;101,E152,IF(E152&lt;201,E152/2,IF(E152&lt;=301,E152/3,E152/4))))</f>
        <v>#REF!</v>
      </c>
      <c r="G152" s="102" t="str">
        <f t="shared" si="11"/>
        <v>Ground Floor</v>
      </c>
      <c r="H152" s="103"/>
      <c r="I152" s="36"/>
      <c r="L152" s="70"/>
      <c r="M152" s="70"/>
      <c r="N152" s="36"/>
    </row>
    <row r="153" spans="1:14" s="37" customFormat="1" hidden="1" x14ac:dyDescent="0.35">
      <c r="A153" s="102">
        <f t="shared" si="10"/>
        <v>4</v>
      </c>
      <c r="B153" s="103"/>
      <c r="C153" s="53"/>
      <c r="D153" s="42"/>
      <c r="E153" s="42">
        <v>0</v>
      </c>
      <c r="F153" s="42" t="e">
        <f>D153*((#REF!)+1)+(IF(E153&lt;101,E153,IF(E153&lt;201,E153/2,IF(E153&lt;=301,E153/3,E153/4))))</f>
        <v>#REF!</v>
      </c>
      <c r="G153" s="102" t="str">
        <f t="shared" si="11"/>
        <v>Ground Floor</v>
      </c>
      <c r="H153" s="103"/>
      <c r="I153" s="36"/>
      <c r="L153" s="70"/>
      <c r="M153" s="70"/>
      <c r="N153" s="36"/>
    </row>
    <row r="154" spans="1:14" s="37" customFormat="1" hidden="1" x14ac:dyDescent="0.35">
      <c r="A154" s="102">
        <f t="shared" si="10"/>
        <v>5</v>
      </c>
      <c r="B154" s="103"/>
      <c r="C154" s="53"/>
      <c r="D154" s="42"/>
      <c r="E154" s="42">
        <v>0</v>
      </c>
      <c r="F154" s="42" t="e">
        <f>D154*((#REF!)+1)+(IF(E154&lt;101,E154,IF(E154&lt;201,E154/2,IF(E154&lt;=301,E154/3,E154/4))))</f>
        <v>#REF!</v>
      </c>
      <c r="G154" s="102" t="str">
        <f t="shared" si="11"/>
        <v>Ground Floor</v>
      </c>
      <c r="H154" s="103"/>
      <c r="I154" s="36"/>
      <c r="L154" s="70"/>
      <c r="M154" s="70"/>
      <c r="N154" s="36"/>
    </row>
    <row r="155" spans="1:14" s="37" customFormat="1" hidden="1" x14ac:dyDescent="0.35">
      <c r="A155" s="138" t="s">
        <v>126</v>
      </c>
      <c r="B155" s="138"/>
      <c r="C155" s="138"/>
      <c r="D155" s="138"/>
      <c r="E155" s="138"/>
      <c r="F155" s="138"/>
      <c r="G155" s="138"/>
      <c r="H155" s="138"/>
      <c r="I155" s="36"/>
      <c r="L155" s="70"/>
      <c r="M155" s="70"/>
    </row>
    <row r="156" spans="1:14" s="37" customFormat="1" hidden="1" x14ac:dyDescent="0.35">
      <c r="A156" s="104">
        <f>LEFT(A155,SUM(LEN(A155)-LEN(SUBSTITUTE(A155,{"0","1","2","3","4","5","6","7","8","9"},""))))*100+1</f>
        <v>201</v>
      </c>
      <c r="B156" s="104"/>
      <c r="C156" s="53"/>
      <c r="D156" s="42"/>
      <c r="E156" s="42">
        <v>0</v>
      </c>
      <c r="F156" s="42" t="e">
        <f>D156*((#REF!)+1)+(IF(E156&lt;101,E156,IF(E156&lt;201,E156/2,IF(E156&lt;=301,E156/3,E156/4))))</f>
        <v>#REF!</v>
      </c>
      <c r="G156" s="104" t="str">
        <f>A155</f>
        <v>2nd Floor</v>
      </c>
      <c r="H156" s="104"/>
      <c r="I156" s="36"/>
      <c r="N156" s="36"/>
    </row>
    <row r="157" spans="1:14" s="37" customFormat="1" hidden="1" x14ac:dyDescent="0.35">
      <c r="A157" s="104">
        <f>A156+1</f>
        <v>202</v>
      </c>
      <c r="B157" s="104"/>
      <c r="C157" s="53"/>
      <c r="D157" s="42"/>
      <c r="E157" s="42">
        <v>0</v>
      </c>
      <c r="F157" s="42" t="e">
        <f>D157*((#REF!)+1)+(IF(E157&lt;101,E157,IF(E157&lt;201,E157/2,IF(E157&lt;=301,E157/3,E157/4))))</f>
        <v>#REF!</v>
      </c>
      <c r="G157" s="104" t="str">
        <f>G156</f>
        <v>2nd Floor</v>
      </c>
      <c r="H157" s="104"/>
      <c r="I157" s="36"/>
      <c r="N157" s="36"/>
    </row>
    <row r="158" spans="1:14" s="37" customFormat="1" hidden="1" x14ac:dyDescent="0.35">
      <c r="A158" s="104">
        <f>A157+1</f>
        <v>203</v>
      </c>
      <c r="B158" s="104"/>
      <c r="C158" s="53"/>
      <c r="D158" s="42"/>
      <c r="E158" s="42">
        <v>0</v>
      </c>
      <c r="F158" s="42" t="e">
        <f>D158*((#REF!)+1)+(IF(E158&lt;101,E158,IF(E158&lt;201,E158/2,IF(E158&lt;=301,E158/3,E158/4))))</f>
        <v>#REF!</v>
      </c>
      <c r="G158" s="104" t="str">
        <f>G157</f>
        <v>2nd Floor</v>
      </c>
      <c r="H158" s="104"/>
      <c r="I158" s="36"/>
      <c r="N158" s="36"/>
    </row>
    <row r="159" spans="1:14" s="37" customFormat="1" hidden="1" x14ac:dyDescent="0.35">
      <c r="A159" s="104">
        <f>A158+1</f>
        <v>204</v>
      </c>
      <c r="B159" s="104"/>
      <c r="C159" s="53"/>
      <c r="D159" s="42"/>
      <c r="E159" s="42">
        <v>0</v>
      </c>
      <c r="F159" s="42" t="e">
        <f>D159*((#REF!)+1)+(IF(E159&lt;101,E159,IF(E159&lt;201,E159/2,IF(E159&lt;=301,E159/3,E159/4))))</f>
        <v>#REF!</v>
      </c>
      <c r="G159" s="104" t="str">
        <f>G158</f>
        <v>2nd Floor</v>
      </c>
      <c r="H159" s="104"/>
      <c r="I159" s="36"/>
      <c r="N159" s="36"/>
    </row>
    <row r="160" spans="1:14" s="37" customFormat="1" hidden="1" x14ac:dyDescent="0.35">
      <c r="A160" s="104">
        <f>A159+1</f>
        <v>205</v>
      </c>
      <c r="B160" s="104"/>
      <c r="C160" s="53"/>
      <c r="D160" s="42"/>
      <c r="E160" s="42">
        <v>0</v>
      </c>
      <c r="F160" s="42" t="e">
        <f>D160*((#REF!)+1)+(IF(E160&lt;101,E160,IF(E160&lt;201,E160/2,IF(E160&lt;=301,E160/3,E160/4))))</f>
        <v>#REF!</v>
      </c>
      <c r="G160" s="104" t="str">
        <f>G159</f>
        <v>2nd Floor</v>
      </c>
      <c r="H160" s="104"/>
      <c r="I160" s="36"/>
      <c r="N160" s="36"/>
    </row>
    <row r="161" spans="1:9" s="37" customFormat="1" ht="15.75" hidden="1" customHeight="1" x14ac:dyDescent="0.35">
      <c r="A161" s="131" t="s">
        <v>161</v>
      </c>
      <c r="B161" s="132"/>
      <c r="C161" s="132"/>
      <c r="D161" s="132"/>
      <c r="E161" s="132"/>
      <c r="F161" s="132"/>
      <c r="G161" s="132"/>
      <c r="H161" s="133"/>
      <c r="I161" s="36"/>
    </row>
    <row r="162" spans="1:9" s="37" customFormat="1" hidden="1" x14ac:dyDescent="0.35">
      <c r="A162" s="102" t="str">
        <f ca="1">(SUMPRODUCT(MID(0&amp;(LEFT(A161,SUM(LEN(A161)-LEN(SUBSTITUTE(A161,{"0","1","2"},""))))), LARGE(INDEX(ISNUMBER(--MID((LEFT(A161,SUM(LEN(A161)-LEN(SUBSTITUTE(A161,{"0","1","2"},""))))), ROW(INDIRECT("1:"&amp;LEN((LEFT(A161,SUM(LEN(A161)-LEN(SUBSTITUTE(A161,{"0","1","2"},"")))))))), 1)) * ROW(INDIRECT("1:"&amp;LEN((LEFT(A161,SUM(LEN(A161)-LEN(SUBSTITUTE(A161,{"0","1","2"},"")))))))), 0), ROW(INDIRECT("1:"&amp;LEN((LEFT(A161,SUM(LEN(A161)-LEN(SUBSTITUTE(A161,{"0","1","2"},"")))))))))+1, 1) * 10^ROW(INDIRECT("1:"&amp;LEN((LEFT(A161,SUM(LEN(A161)-LEN(SUBSTITUTE(A161,{"0","1","2"},""))))))))/10))*100+1&amp;""&amp;" ,.., "&amp;""&amp;(SUMPRODUCT(MID(0&amp;(--TRIM(RIGHT(SUBSTITUTE(LEFT(A161,_xlfn.AGGREGATE(16,6,FIND({0,1,2,3,4,5,6,7,8,9},A161,ROW(INDIRECT("1:"&amp;LEN(A161)))),1))," ",REPT(" ",LEN(A161))),LEN(A161)))), LARGE(INDEX(ISNUMBER(--MID((--TRIM(RIGHT(SUBSTITUTE(LEFT(A161,_xlfn.AGGREGATE(16,6,FIND({0,1,2,3,4,5,6,7,8,9},A161,ROW(INDIRECT("1:"&amp;LEN(A161)))),1))," ",REPT(" ",LEN(A161))),LEN(A161)))), ROW(INDIRECT("1:"&amp;LEN((--TRIM(RIGHT(SUBSTITUTE(LEFT(A161,_xlfn.AGGREGATE(16,6,FIND({0,1,2,3,4,5,6,7,8,9},A161,ROW(INDIRECT("1:"&amp;LEN(A161)))),1))," ",REPT(" ",LEN(A161))),LEN(A161))))))), 1)) * ROW(INDIRECT("1:"&amp;LEN((--TRIM(RIGHT(SUBSTITUTE(LEFT(A161,_xlfn.AGGREGATE(16,6,FIND({0,1,2,3,4,5,6,7,8,9},A161,ROW(INDIRECT("1:"&amp;LEN(A161)))),1))," ",REPT(" ",LEN(A161))),LEN(A161))))))), 0), ROW(INDIRECT("1:"&amp;LEN((--TRIM(RIGHT(SUBSTITUTE(LEFT(A161,_xlfn.AGGREGATE(16,6,FIND({0,1,2,3,4,5,6,7,8,9},A161,ROW(INDIRECT("1:"&amp;LEN(A161)))),1))," ",REPT(" ",LEN(A161))),LEN(A161))))))))+1, 1) * 10^ROW(INDIRECT("1:"&amp;LEN((--TRIM(RIGHT(SUBSTITUTE(LEFT(A161,_xlfn.AGGREGATE(16,6,FIND({0,1,2,3,4,5,6,7,8,9},A161,ROW(INDIRECT("1:"&amp;LEN(A161)))),1))," ",REPT(" ",LEN(A161))),LEN(A161)))))))/10))*100+1</f>
        <v>301 ,.., 1501</v>
      </c>
      <c r="B162" s="103"/>
      <c r="C162" s="53"/>
      <c r="D162" s="42"/>
      <c r="E162" s="42">
        <v>0</v>
      </c>
      <c r="F162" s="42" t="e">
        <f>D162*((#REF!)+1)+(IF(E162&lt;101,E162,IF(E162&lt;201,E162/2,IF(E162&lt;=301,E162/3,E162/4))))</f>
        <v>#REF!</v>
      </c>
      <c r="G162" s="102" t="str">
        <f>A161</f>
        <v>3rd, 5th, 7th, 9th, 11th, 13th, 15th Floor</v>
      </c>
      <c r="H162" s="103"/>
      <c r="I162" s="36"/>
    </row>
    <row r="163" spans="1:9" s="37" customFormat="1" hidden="1" x14ac:dyDescent="0.35">
      <c r="A163" s="102" t="str">
        <f ca="1">(SUMPRODUCT(MID(0&amp;(LEFT(A162,SUM(LEN(A162)-LEN(SUBSTITUTE(A162,{"0","1","2"},""))))), LARGE(INDEX(ISNUMBER(--MID((LEFT(A162,SUM(LEN(A162)-LEN(SUBSTITUTE(A162,{"0","1","2"},""))))), ROW(INDIRECT("1:"&amp;LEN((LEFT(A162,SUM(LEN(A162)-LEN(SUBSTITUTE(A162,{"0","1","2"},"")))))))), 1)) * ROW(INDIRECT("1:"&amp;LEN((LEFT(A162,SUM(LEN(A162)-LEN(SUBSTITUTE(A162,{"0","1","2"},"")))))))), 0), ROW(INDIRECT("1:"&amp;LEN((LEFT(A162,SUM(LEN(A162)-LEN(SUBSTITUTE(A162,{"0","1","2"},"")))))))))+1, 1) * 10^ROW(INDIRECT("1:"&amp;LEN((LEFT(A162,SUM(LEN(A162)-LEN(SUBSTITUTE(A162,{"0","1","2"},""))))))))/10))*1+1&amp;""&amp;" ,.., "&amp;""&amp;(SUMPRODUCT(MID(0&amp;(--TRIM(RIGHT(SUBSTITUTE(LEFT(A162,_xlfn.AGGREGATE(16,6,FIND({0,1,2,3,4,5,6,7,8,9},A162,ROW(INDIRECT("1:"&amp;LEN(A162)))),1))," ",REPT(" ",LEN(A162))),LEN(A162)))), LARGE(INDEX(ISNUMBER(--MID((--TRIM(RIGHT(SUBSTITUTE(LEFT(A162,_xlfn.AGGREGATE(16,6,FIND({0,1,2,3,4,5,6,7,8,9},A162,ROW(INDIRECT("1:"&amp;LEN(A162)))),1))," ",REPT(" ",LEN(A162))),LEN(A162)))), ROW(INDIRECT("1:"&amp;LEN((--TRIM(RIGHT(SUBSTITUTE(LEFT(A162,_xlfn.AGGREGATE(16,6,FIND({0,1,2,3,4,5,6,7,8,9},A162,ROW(INDIRECT("1:"&amp;LEN(A162)))),1))," ",REPT(" ",LEN(A162))),LEN(A162))))))), 1)) * ROW(INDIRECT("1:"&amp;LEN((--TRIM(RIGHT(SUBSTITUTE(LEFT(A162,_xlfn.AGGREGATE(16,6,FIND({0,1,2,3,4,5,6,7,8,9},A162,ROW(INDIRECT("1:"&amp;LEN(A162)))),1))," ",REPT(" ",LEN(A162))),LEN(A162))))))), 0), ROW(INDIRECT("1:"&amp;LEN((--TRIM(RIGHT(SUBSTITUTE(LEFT(A162,_xlfn.AGGREGATE(16,6,FIND({0,1,2,3,4,5,6,7,8,9},A162,ROW(INDIRECT("1:"&amp;LEN(A162)))),1))," ",REPT(" ",LEN(A162))),LEN(A162))))))))+1, 1) * 10^ROW(INDIRECT("1:"&amp;LEN((--TRIM(RIGHT(SUBSTITUTE(LEFT(A162,_xlfn.AGGREGATE(16,6,FIND({0,1,2,3,4,5,6,7,8,9},A162,ROW(INDIRECT("1:"&amp;LEN(A162)))),1))," ",REPT(" ",LEN(A162))),LEN(A162)))))))/10))*1+1</f>
        <v>302 ,.., 1502</v>
      </c>
      <c r="B163" s="103"/>
      <c r="C163" s="53"/>
      <c r="D163" s="42"/>
      <c r="E163" s="42">
        <v>0</v>
      </c>
      <c r="F163" s="42" t="e">
        <f>D163*((#REF!)+1)+(IF(E163&lt;101,E163,IF(E163&lt;201,E163/2,IF(E163&lt;=301,E163/3,E163/4))))</f>
        <v>#REF!</v>
      </c>
      <c r="G163" s="102" t="str">
        <f>G162</f>
        <v>3rd, 5th, 7th, 9th, 11th, 13th, 15th Floor</v>
      </c>
      <c r="H163" s="103"/>
      <c r="I163" s="36"/>
    </row>
    <row r="164" spans="1:9" s="37" customFormat="1" ht="15.75" hidden="1" customHeight="1" x14ac:dyDescent="0.35">
      <c r="A164" s="102" t="str">
        <f ca="1">(SUMPRODUCT(MID(0&amp;(LEFT(A163,SUM(LEN(A163)-LEN(SUBSTITUTE(A163,{"0","1","2"},""))))), LARGE(INDEX(ISNUMBER(--MID((LEFT(A163,SUM(LEN(A163)-LEN(SUBSTITUTE(A163,{"0","1","2"},""))))), ROW(INDIRECT("1:"&amp;LEN((LEFT(A163,SUM(LEN(A163)-LEN(SUBSTITUTE(A163,{"0","1","2"},"")))))))), 1)) * ROW(INDIRECT("1:"&amp;LEN((LEFT(A163,SUM(LEN(A163)-LEN(SUBSTITUTE(A163,{"0","1","2"},"")))))))), 0), ROW(INDIRECT("1:"&amp;LEN((LEFT(A163,SUM(LEN(A163)-LEN(SUBSTITUTE(A163,{"0","1","2"},"")))))))))+1, 1) * 10^ROW(INDIRECT("1:"&amp;LEN((LEFT(A163,SUM(LEN(A163)-LEN(SUBSTITUTE(A163,{"0","1","2"},""))))))))/10))*1+1&amp;""&amp;" ,.., "&amp;""&amp;(SUMPRODUCT(MID(0&amp;(--TRIM(RIGHT(SUBSTITUTE(LEFT(A163,_xlfn.AGGREGATE(16,6,FIND({0,1,2,3,4,5,6,7,8,9},A163,ROW(INDIRECT("1:"&amp;LEN(A163)))),1))," ",REPT(" ",LEN(A163))),LEN(A163)))), LARGE(INDEX(ISNUMBER(--MID((--TRIM(RIGHT(SUBSTITUTE(LEFT(A163,_xlfn.AGGREGATE(16,6,FIND({0,1,2,3,4,5,6,7,8,9},A163,ROW(INDIRECT("1:"&amp;LEN(A163)))),1))," ",REPT(" ",LEN(A163))),LEN(A163)))), ROW(INDIRECT("1:"&amp;LEN((--TRIM(RIGHT(SUBSTITUTE(LEFT(A163,_xlfn.AGGREGATE(16,6,FIND({0,1,2,3,4,5,6,7,8,9},A163,ROW(INDIRECT("1:"&amp;LEN(A163)))),1))," ",REPT(" ",LEN(A163))),LEN(A163))))))), 1)) * ROW(INDIRECT("1:"&amp;LEN((--TRIM(RIGHT(SUBSTITUTE(LEFT(A163,_xlfn.AGGREGATE(16,6,FIND({0,1,2,3,4,5,6,7,8,9},A163,ROW(INDIRECT("1:"&amp;LEN(A163)))),1))," ",REPT(" ",LEN(A163))),LEN(A163))))))), 0), ROW(INDIRECT("1:"&amp;LEN((--TRIM(RIGHT(SUBSTITUTE(LEFT(A163,_xlfn.AGGREGATE(16,6,FIND({0,1,2,3,4,5,6,7,8,9},A163,ROW(INDIRECT("1:"&amp;LEN(A163)))),1))," ",REPT(" ",LEN(A163))),LEN(A163))))))))+1, 1) * 10^ROW(INDIRECT("1:"&amp;LEN((--TRIM(RIGHT(SUBSTITUTE(LEFT(A163,_xlfn.AGGREGATE(16,6,FIND({0,1,2,3,4,5,6,7,8,9},A163,ROW(INDIRECT("1:"&amp;LEN(A163)))),1))," ",REPT(" ",LEN(A163))),LEN(A163)))))))/10))*1+1</f>
        <v>303 ,.., 1503</v>
      </c>
      <c r="B164" s="103"/>
      <c r="C164" s="53"/>
      <c r="D164" s="42"/>
      <c r="E164" s="42">
        <v>0</v>
      </c>
      <c r="F164" s="42" t="e">
        <f>D164*((#REF!)+1)+(IF(E164&lt;101,E164,IF(E164&lt;201,E164/2,IF(E164&lt;=301,E164/3,E164/4))))</f>
        <v>#REF!</v>
      </c>
      <c r="G164" s="102" t="str">
        <f>G163</f>
        <v>3rd, 5th, 7th, 9th, 11th, 13th, 15th Floor</v>
      </c>
      <c r="H164" s="103"/>
      <c r="I164" s="36"/>
    </row>
    <row r="165" spans="1:9" s="37" customFormat="1" ht="15.75" hidden="1" customHeight="1" x14ac:dyDescent="0.35">
      <c r="A165" s="102" t="str">
        <f ca="1">(SUMPRODUCT(MID(0&amp;(LEFT(A164,SUM(LEN(A164)-LEN(SUBSTITUTE(A164,{"0","1","2"},""))))), LARGE(INDEX(ISNUMBER(--MID((LEFT(A164,SUM(LEN(A164)-LEN(SUBSTITUTE(A164,{"0","1","2"},""))))), ROW(INDIRECT("1:"&amp;LEN((LEFT(A164,SUM(LEN(A164)-LEN(SUBSTITUTE(A164,{"0","1","2"},"")))))))), 1)) * ROW(INDIRECT("1:"&amp;LEN((LEFT(A164,SUM(LEN(A164)-LEN(SUBSTITUTE(A164,{"0","1","2"},"")))))))), 0), ROW(INDIRECT("1:"&amp;LEN((LEFT(A164,SUM(LEN(A164)-LEN(SUBSTITUTE(A164,{"0","1","2"},"")))))))))+1, 1) * 10^ROW(INDIRECT("1:"&amp;LEN((LEFT(A164,SUM(LEN(A164)-LEN(SUBSTITUTE(A164,{"0","1","2"},""))))))))/10))*1+1&amp;""&amp;" ,.., "&amp;""&amp;(SUMPRODUCT(MID(0&amp;(--TRIM(RIGHT(SUBSTITUTE(LEFT(A164,_xlfn.AGGREGATE(16,6,FIND({0,1,2,3,4,5,6,7,8,9},A164,ROW(INDIRECT("1:"&amp;LEN(A164)))),1))," ",REPT(" ",LEN(A164))),LEN(A164)))), LARGE(INDEX(ISNUMBER(--MID((--TRIM(RIGHT(SUBSTITUTE(LEFT(A164,_xlfn.AGGREGATE(16,6,FIND({0,1,2,3,4,5,6,7,8,9},A164,ROW(INDIRECT("1:"&amp;LEN(A164)))),1))," ",REPT(" ",LEN(A164))),LEN(A164)))), ROW(INDIRECT("1:"&amp;LEN((--TRIM(RIGHT(SUBSTITUTE(LEFT(A164,_xlfn.AGGREGATE(16,6,FIND({0,1,2,3,4,5,6,7,8,9},A164,ROW(INDIRECT("1:"&amp;LEN(A164)))),1))," ",REPT(" ",LEN(A164))),LEN(A164))))))), 1)) * ROW(INDIRECT("1:"&amp;LEN((--TRIM(RIGHT(SUBSTITUTE(LEFT(A164,_xlfn.AGGREGATE(16,6,FIND({0,1,2,3,4,5,6,7,8,9},A164,ROW(INDIRECT("1:"&amp;LEN(A164)))),1))," ",REPT(" ",LEN(A164))),LEN(A164))))))), 0), ROW(INDIRECT("1:"&amp;LEN((--TRIM(RIGHT(SUBSTITUTE(LEFT(A164,_xlfn.AGGREGATE(16,6,FIND({0,1,2,3,4,5,6,7,8,9},A164,ROW(INDIRECT("1:"&amp;LEN(A164)))),1))," ",REPT(" ",LEN(A164))),LEN(A164))))))))+1, 1) * 10^ROW(INDIRECT("1:"&amp;LEN((--TRIM(RIGHT(SUBSTITUTE(LEFT(A164,_xlfn.AGGREGATE(16,6,FIND({0,1,2,3,4,5,6,7,8,9},A164,ROW(INDIRECT("1:"&amp;LEN(A164)))),1))," ",REPT(" ",LEN(A164))),LEN(A164)))))))/10))*1+1</f>
        <v>304 ,.., 1504</v>
      </c>
      <c r="B165" s="103"/>
      <c r="C165" s="53"/>
      <c r="D165" s="42"/>
      <c r="E165" s="42">
        <v>0</v>
      </c>
      <c r="F165" s="42" t="e">
        <f>D165*((#REF!)+1)+(IF(E165&lt;101,E165,IF(E165&lt;201,E165/2,IF(E165&lt;=301,E165/3,E165/4))))</f>
        <v>#REF!</v>
      </c>
      <c r="G165" s="102" t="str">
        <f>G164</f>
        <v>3rd, 5th, 7th, 9th, 11th, 13th, 15th Floor</v>
      </c>
      <c r="H165" s="103"/>
      <c r="I165" s="36"/>
    </row>
    <row r="166" spans="1:9" s="37" customFormat="1" ht="15.75" hidden="1" customHeight="1" x14ac:dyDescent="0.35">
      <c r="A166" s="102" t="str">
        <f ca="1">(SUMPRODUCT(MID(0&amp;(LEFT(A165,SUM(LEN(A165)-LEN(SUBSTITUTE(A165,{"0","1","2"},""))))), LARGE(INDEX(ISNUMBER(--MID((LEFT(A165,SUM(LEN(A165)-LEN(SUBSTITUTE(A165,{"0","1","2"},""))))), ROW(INDIRECT("1:"&amp;LEN((LEFT(A165,SUM(LEN(A165)-LEN(SUBSTITUTE(A165,{"0","1","2"},"")))))))), 1)) * ROW(INDIRECT("1:"&amp;LEN((LEFT(A165,SUM(LEN(A165)-LEN(SUBSTITUTE(A165,{"0","1","2"},"")))))))), 0), ROW(INDIRECT("1:"&amp;LEN((LEFT(A165,SUM(LEN(A165)-LEN(SUBSTITUTE(A165,{"0","1","2"},"")))))))))+1, 1) * 10^ROW(INDIRECT("1:"&amp;LEN((LEFT(A165,SUM(LEN(A165)-LEN(SUBSTITUTE(A165,{"0","1","2"},""))))))))/10))*1+1&amp;""&amp;" ,.., "&amp;""&amp;(SUMPRODUCT(MID(0&amp;(--TRIM(RIGHT(SUBSTITUTE(LEFT(A165,_xlfn.AGGREGATE(16,6,FIND({0,1,2,3,4,5,6,7,8,9},A165,ROW(INDIRECT("1:"&amp;LEN(A165)))),1))," ",REPT(" ",LEN(A165))),LEN(A165)))), LARGE(INDEX(ISNUMBER(--MID((--TRIM(RIGHT(SUBSTITUTE(LEFT(A165,_xlfn.AGGREGATE(16,6,FIND({0,1,2,3,4,5,6,7,8,9},A165,ROW(INDIRECT("1:"&amp;LEN(A165)))),1))," ",REPT(" ",LEN(A165))),LEN(A165)))), ROW(INDIRECT("1:"&amp;LEN((--TRIM(RIGHT(SUBSTITUTE(LEFT(A165,_xlfn.AGGREGATE(16,6,FIND({0,1,2,3,4,5,6,7,8,9},A165,ROW(INDIRECT("1:"&amp;LEN(A165)))),1))," ",REPT(" ",LEN(A165))),LEN(A165))))))), 1)) * ROW(INDIRECT("1:"&amp;LEN((--TRIM(RIGHT(SUBSTITUTE(LEFT(A165,_xlfn.AGGREGATE(16,6,FIND({0,1,2,3,4,5,6,7,8,9},A165,ROW(INDIRECT("1:"&amp;LEN(A165)))),1))," ",REPT(" ",LEN(A165))),LEN(A165))))))), 0), ROW(INDIRECT("1:"&amp;LEN((--TRIM(RIGHT(SUBSTITUTE(LEFT(A165,_xlfn.AGGREGATE(16,6,FIND({0,1,2,3,4,5,6,7,8,9},A165,ROW(INDIRECT("1:"&amp;LEN(A165)))),1))," ",REPT(" ",LEN(A165))),LEN(A165))))))))+1, 1) * 10^ROW(INDIRECT("1:"&amp;LEN((--TRIM(RIGHT(SUBSTITUTE(LEFT(A165,_xlfn.AGGREGATE(16,6,FIND({0,1,2,3,4,5,6,7,8,9},A165,ROW(INDIRECT("1:"&amp;LEN(A165)))),1))," ",REPT(" ",LEN(A165))),LEN(A165)))))))/10))*1+1</f>
        <v>305 ,.., 1505</v>
      </c>
      <c r="B166" s="103"/>
      <c r="C166" s="53"/>
      <c r="D166" s="42"/>
      <c r="E166" s="42">
        <v>0</v>
      </c>
      <c r="F166" s="42" t="e">
        <f>D166*((#REF!)+1)+(IF(E166&lt;101,E166,IF(E166&lt;201,E166/2,IF(E166&lt;=301,E166/3,E166/4))))</f>
        <v>#REF!</v>
      </c>
      <c r="G166" s="102" t="str">
        <f>G165</f>
        <v>3rd, 5th, 7th, 9th, 11th, 13th, 15th Floor</v>
      </c>
      <c r="H166" s="103"/>
      <c r="I166" s="36"/>
    </row>
    <row r="167" spans="1:9" s="37" customFormat="1" hidden="1" x14ac:dyDescent="0.35">
      <c r="A167" s="131" t="s">
        <v>155</v>
      </c>
      <c r="B167" s="132"/>
      <c r="C167" s="132"/>
      <c r="D167" s="132"/>
      <c r="E167" s="132"/>
      <c r="F167" s="132"/>
      <c r="G167" s="132"/>
      <c r="H167" s="133"/>
      <c r="I167" s="36"/>
    </row>
    <row r="168" spans="1:9" s="37" customFormat="1" hidden="1" x14ac:dyDescent="0.35">
      <c r="A168" s="102" t="str">
        <f ca="1">(SUMPRODUCT(MID(0&amp;(LEFT(A167,SUM(LEN(A167)-LEN(SUBSTITUTE(A167,{"0","1","2"},""))))), LARGE(INDEX(ISNUMBER(--MID((LEFT(A167,SUM(LEN(A167)-LEN(SUBSTITUTE(A167,{"0","1","2"},""))))), ROW(INDIRECT("1:"&amp;LEN((LEFT(A167,SUM(LEN(A167)-LEN(SUBSTITUTE(A167,{"0","1","2"},"")))))))), 1)) * ROW(INDIRECT("1:"&amp;LEN((LEFT(A167,SUM(LEN(A167)-LEN(SUBSTITUTE(A167,{"0","1","2"},"")))))))), 0), ROW(INDIRECT("1:"&amp;LEN((LEFT(A167,SUM(LEN(A167)-LEN(SUBSTITUTE(A167,{"0","1","2"},"")))))))))+1, 1) * 10^ROW(INDIRECT("1:"&amp;LEN((LEFT(A167,SUM(LEN(A167)-LEN(SUBSTITUTE(A167,{"0","1","2"},""))))))))/10))*100+1&amp;""&amp;" to "&amp;""&amp;(SUMPRODUCT(MID(0&amp;(--TRIM(RIGHT(SUBSTITUTE(LEFT(A167,_xlfn.AGGREGATE(16,6,FIND({0,1,2,3,4,5,6,7,8,9},A167,ROW(INDIRECT("1:"&amp;LEN(A167)))),1))," ",REPT(" ",LEN(A167))),LEN(A167)))), LARGE(INDEX(ISNUMBER(--MID((--TRIM(RIGHT(SUBSTITUTE(LEFT(A167,_xlfn.AGGREGATE(16,6,FIND({0,1,2,3,4,5,6,7,8,9},A167,ROW(INDIRECT("1:"&amp;LEN(A167)))),1))," ",REPT(" ",LEN(A167))),LEN(A167)))), ROW(INDIRECT("1:"&amp;LEN((--TRIM(RIGHT(SUBSTITUTE(LEFT(A167,_xlfn.AGGREGATE(16,6,FIND({0,1,2,3,4,5,6,7,8,9},A167,ROW(INDIRECT("1:"&amp;LEN(A167)))),1))," ",REPT(" ",LEN(A167))),LEN(A167))))))), 1)) * ROW(INDIRECT("1:"&amp;LEN((--TRIM(RIGHT(SUBSTITUTE(LEFT(A167,_xlfn.AGGREGATE(16,6,FIND({0,1,2,3,4,5,6,7,8,9},A167,ROW(INDIRECT("1:"&amp;LEN(A167)))),1))," ",REPT(" ",LEN(A167))),LEN(A167))))))), 0), ROW(INDIRECT("1:"&amp;LEN((--TRIM(RIGHT(SUBSTITUTE(LEFT(A167,_xlfn.AGGREGATE(16,6,FIND({0,1,2,3,4,5,6,7,8,9},A167,ROW(INDIRECT("1:"&amp;LEN(A167)))),1))," ",REPT(" ",LEN(A167))),LEN(A167))))))))+1, 1) * 10^ROW(INDIRECT("1:"&amp;LEN((--TRIM(RIGHT(SUBSTITUTE(LEFT(A167,_xlfn.AGGREGATE(16,6,FIND({0,1,2,3,4,5,6,7,8,9},A167,ROW(INDIRECT("1:"&amp;LEN(A167)))),1))," ",REPT(" ",LEN(A167))),LEN(A167)))))))/10))*100+1</f>
        <v>201 to 501</v>
      </c>
      <c r="B168" s="103"/>
      <c r="C168" s="53"/>
      <c r="D168" s="42"/>
      <c r="E168" s="42">
        <v>0</v>
      </c>
      <c r="F168" s="42" t="e">
        <f>D168*((#REF!)+1)+(IF(E168&lt;101,E168,IF(E168&lt;201,E168/2,IF(E168&lt;=301,E168/3,E168/4))))</f>
        <v>#REF!</v>
      </c>
      <c r="G168" s="102" t="str">
        <f>A167</f>
        <v>2nd to 5th Floor</v>
      </c>
      <c r="H168" s="103"/>
      <c r="I168" s="36"/>
    </row>
    <row r="169" spans="1:9" s="37" customFormat="1" hidden="1" x14ac:dyDescent="0.35">
      <c r="A169" s="102" t="str">
        <f ca="1">(SUMPRODUCT(MID(0&amp;(LEFT(A168,SUM(LEN(A168)-LEN(SUBSTITUTE(A168,{"0","1","2"},""))))), LARGE(INDEX(ISNUMBER(--MID((LEFT(A168,SUM(LEN(A168)-LEN(SUBSTITUTE(A168,{"0","1","2"},""))))), ROW(INDIRECT("1:"&amp;LEN((LEFT(A168,SUM(LEN(A168)-LEN(SUBSTITUTE(A168,{"0","1","2"},"")))))))), 1)) * ROW(INDIRECT("1:"&amp;LEN((LEFT(A168,SUM(LEN(A168)-LEN(SUBSTITUTE(A168,{"0","1","2"},"")))))))), 0), ROW(INDIRECT("1:"&amp;LEN((LEFT(A168,SUM(LEN(A168)-LEN(SUBSTITUTE(A168,{"0","1","2"},"")))))))))+1, 1) * 10^ROW(INDIRECT("1:"&amp;LEN((LEFT(A168,SUM(LEN(A168)-LEN(SUBSTITUTE(A168,{"0","1","2"},""))))))))/10))*1+1&amp;""&amp;" to "&amp;""&amp;(SUMPRODUCT(MID(0&amp;(--TRIM(RIGHT(SUBSTITUTE(LEFT(A168,_xlfn.AGGREGATE(16,6,FIND({0,1,2,3,4,5,6,7,8,9},A168,ROW(INDIRECT("1:"&amp;LEN(A168)))),1))," ",REPT(" ",LEN(A168))),LEN(A168)))), LARGE(INDEX(ISNUMBER(--MID((--TRIM(RIGHT(SUBSTITUTE(LEFT(A168,_xlfn.AGGREGATE(16,6,FIND({0,1,2,3,4,5,6,7,8,9},A168,ROW(INDIRECT("1:"&amp;LEN(A168)))),1))," ",REPT(" ",LEN(A168))),LEN(A168)))), ROW(INDIRECT("1:"&amp;LEN((--TRIM(RIGHT(SUBSTITUTE(LEFT(A168,_xlfn.AGGREGATE(16,6,FIND({0,1,2,3,4,5,6,7,8,9},A168,ROW(INDIRECT("1:"&amp;LEN(A168)))),1))," ",REPT(" ",LEN(A168))),LEN(A168))))))), 1)) * ROW(INDIRECT("1:"&amp;LEN((--TRIM(RIGHT(SUBSTITUTE(LEFT(A168,_xlfn.AGGREGATE(16,6,FIND({0,1,2,3,4,5,6,7,8,9},A168,ROW(INDIRECT("1:"&amp;LEN(A168)))),1))," ",REPT(" ",LEN(A168))),LEN(A168))))))), 0), ROW(INDIRECT("1:"&amp;LEN((--TRIM(RIGHT(SUBSTITUTE(LEFT(A168,_xlfn.AGGREGATE(16,6,FIND({0,1,2,3,4,5,6,7,8,9},A168,ROW(INDIRECT("1:"&amp;LEN(A168)))),1))," ",REPT(" ",LEN(A168))),LEN(A168))))))))+1, 1) * 10^ROW(INDIRECT("1:"&amp;LEN((--TRIM(RIGHT(SUBSTITUTE(LEFT(A168,_xlfn.AGGREGATE(16,6,FIND({0,1,2,3,4,5,6,7,8,9},A168,ROW(INDIRECT("1:"&amp;LEN(A168)))),1))," ",REPT(" ",LEN(A168))),LEN(A168)))))))/10))*1+1</f>
        <v>202 to 502</v>
      </c>
      <c r="B169" s="103"/>
      <c r="C169" s="53"/>
      <c r="D169" s="42"/>
      <c r="E169" s="42">
        <v>0</v>
      </c>
      <c r="F169" s="42" t="e">
        <f>D169*((#REF!)+1)+(IF(E169&lt;101,E169,IF(E169&lt;201,E169/2,IF(E169&lt;=301,E169/3,E169/4))))</f>
        <v>#REF!</v>
      </c>
      <c r="G169" s="102" t="str">
        <f>G168</f>
        <v>2nd to 5th Floor</v>
      </c>
      <c r="H169" s="103"/>
      <c r="I169" s="36"/>
    </row>
    <row r="170" spans="1:9" s="37" customFormat="1" hidden="1" x14ac:dyDescent="0.35">
      <c r="A170" s="102" t="str">
        <f ca="1">(SUMPRODUCT(MID(0&amp;(LEFT(A169,SUM(LEN(A169)-LEN(SUBSTITUTE(A169,{"0","1","2"},""))))), LARGE(INDEX(ISNUMBER(--MID((LEFT(A169,SUM(LEN(A169)-LEN(SUBSTITUTE(A169,{"0","1","2"},""))))), ROW(INDIRECT("1:"&amp;LEN((LEFT(A169,SUM(LEN(A169)-LEN(SUBSTITUTE(A169,{"0","1","2"},"")))))))), 1)) * ROW(INDIRECT("1:"&amp;LEN((LEFT(A169,SUM(LEN(A169)-LEN(SUBSTITUTE(A169,{"0","1","2"},"")))))))), 0), ROW(INDIRECT("1:"&amp;LEN((LEFT(A169,SUM(LEN(A169)-LEN(SUBSTITUTE(A169,{"0","1","2"},"")))))))))+1, 1) * 10^ROW(INDIRECT("1:"&amp;LEN((LEFT(A169,SUM(LEN(A169)-LEN(SUBSTITUTE(A169,{"0","1","2"},""))))))))/10))*1+1&amp;""&amp;" to "&amp;""&amp;(SUMPRODUCT(MID(0&amp;(--TRIM(RIGHT(SUBSTITUTE(LEFT(A169,_xlfn.AGGREGATE(16,6,FIND({0,1,2,3,4,5,6,7,8,9},A169,ROW(INDIRECT("1:"&amp;LEN(A169)))),1))," ",REPT(" ",LEN(A169))),LEN(A169)))), LARGE(INDEX(ISNUMBER(--MID((--TRIM(RIGHT(SUBSTITUTE(LEFT(A169,_xlfn.AGGREGATE(16,6,FIND({0,1,2,3,4,5,6,7,8,9},A169,ROW(INDIRECT("1:"&amp;LEN(A169)))),1))," ",REPT(" ",LEN(A169))),LEN(A169)))), ROW(INDIRECT("1:"&amp;LEN((--TRIM(RIGHT(SUBSTITUTE(LEFT(A169,_xlfn.AGGREGATE(16,6,FIND({0,1,2,3,4,5,6,7,8,9},A169,ROW(INDIRECT("1:"&amp;LEN(A169)))),1))," ",REPT(" ",LEN(A169))),LEN(A169))))))), 1)) * ROW(INDIRECT("1:"&amp;LEN((--TRIM(RIGHT(SUBSTITUTE(LEFT(A169,_xlfn.AGGREGATE(16,6,FIND({0,1,2,3,4,5,6,7,8,9},A169,ROW(INDIRECT("1:"&amp;LEN(A169)))),1))," ",REPT(" ",LEN(A169))),LEN(A169))))))), 0), ROW(INDIRECT("1:"&amp;LEN((--TRIM(RIGHT(SUBSTITUTE(LEFT(A169,_xlfn.AGGREGATE(16,6,FIND({0,1,2,3,4,5,6,7,8,9},A169,ROW(INDIRECT("1:"&amp;LEN(A169)))),1))," ",REPT(" ",LEN(A169))),LEN(A169))))))))+1, 1) * 10^ROW(INDIRECT("1:"&amp;LEN((--TRIM(RIGHT(SUBSTITUTE(LEFT(A169,_xlfn.AGGREGATE(16,6,FIND({0,1,2,3,4,5,6,7,8,9},A169,ROW(INDIRECT("1:"&amp;LEN(A169)))),1))," ",REPT(" ",LEN(A169))),LEN(A169)))))))/10))*1+1</f>
        <v>203 to 503</v>
      </c>
      <c r="B170" s="103"/>
      <c r="C170" s="53"/>
      <c r="D170" s="42"/>
      <c r="E170" s="42">
        <v>0</v>
      </c>
      <c r="F170" s="42" t="e">
        <f>D170*((#REF!)+1)+(IF(E170&lt;101,E170,IF(E170&lt;201,E170/2,IF(E170&lt;=301,E170/3,E170/4))))</f>
        <v>#REF!</v>
      </c>
      <c r="G170" s="102" t="str">
        <f>G169</f>
        <v>2nd to 5th Floor</v>
      </c>
      <c r="H170" s="103"/>
      <c r="I170" s="36"/>
    </row>
    <row r="171" spans="1:9" s="37" customFormat="1" hidden="1" x14ac:dyDescent="0.35">
      <c r="A171" s="102" t="str">
        <f ca="1">(SUMPRODUCT(MID(0&amp;(LEFT(A170,SUM(LEN(A170)-LEN(SUBSTITUTE(A170,{"0","1","2"},""))))), LARGE(INDEX(ISNUMBER(--MID((LEFT(A170,SUM(LEN(A170)-LEN(SUBSTITUTE(A170,{"0","1","2"},""))))), ROW(INDIRECT("1:"&amp;LEN((LEFT(A170,SUM(LEN(A170)-LEN(SUBSTITUTE(A170,{"0","1","2"},"")))))))), 1)) * ROW(INDIRECT("1:"&amp;LEN((LEFT(A170,SUM(LEN(A170)-LEN(SUBSTITUTE(A170,{"0","1","2"},"")))))))), 0), ROW(INDIRECT("1:"&amp;LEN((LEFT(A170,SUM(LEN(A170)-LEN(SUBSTITUTE(A170,{"0","1","2"},"")))))))))+1, 1) * 10^ROW(INDIRECT("1:"&amp;LEN((LEFT(A170,SUM(LEN(A170)-LEN(SUBSTITUTE(A170,{"0","1","2"},""))))))))/10))*1+1&amp;""&amp;" to "&amp;""&amp;(SUMPRODUCT(MID(0&amp;(--TRIM(RIGHT(SUBSTITUTE(LEFT(A170,_xlfn.AGGREGATE(16,6,FIND({0,1,2,3,4,5,6,7,8,9},A170,ROW(INDIRECT("1:"&amp;LEN(A170)))),1))," ",REPT(" ",LEN(A170))),LEN(A170)))), LARGE(INDEX(ISNUMBER(--MID((--TRIM(RIGHT(SUBSTITUTE(LEFT(A170,_xlfn.AGGREGATE(16,6,FIND({0,1,2,3,4,5,6,7,8,9},A170,ROW(INDIRECT("1:"&amp;LEN(A170)))),1))," ",REPT(" ",LEN(A170))),LEN(A170)))), ROW(INDIRECT("1:"&amp;LEN((--TRIM(RIGHT(SUBSTITUTE(LEFT(A170,_xlfn.AGGREGATE(16,6,FIND({0,1,2,3,4,5,6,7,8,9},A170,ROW(INDIRECT("1:"&amp;LEN(A170)))),1))," ",REPT(" ",LEN(A170))),LEN(A170))))))), 1)) * ROW(INDIRECT("1:"&amp;LEN((--TRIM(RIGHT(SUBSTITUTE(LEFT(A170,_xlfn.AGGREGATE(16,6,FIND({0,1,2,3,4,5,6,7,8,9},A170,ROW(INDIRECT("1:"&amp;LEN(A170)))),1))," ",REPT(" ",LEN(A170))),LEN(A170))))))), 0), ROW(INDIRECT("1:"&amp;LEN((--TRIM(RIGHT(SUBSTITUTE(LEFT(A170,_xlfn.AGGREGATE(16,6,FIND({0,1,2,3,4,5,6,7,8,9},A170,ROW(INDIRECT("1:"&amp;LEN(A170)))),1))," ",REPT(" ",LEN(A170))),LEN(A170))))))))+1, 1) * 10^ROW(INDIRECT("1:"&amp;LEN((--TRIM(RIGHT(SUBSTITUTE(LEFT(A170,_xlfn.AGGREGATE(16,6,FIND({0,1,2,3,4,5,6,7,8,9},A170,ROW(INDIRECT("1:"&amp;LEN(A170)))),1))," ",REPT(" ",LEN(A170))),LEN(A170)))))))/10))*1+1</f>
        <v>204 to 504</v>
      </c>
      <c r="B171" s="103"/>
      <c r="C171" s="53"/>
      <c r="D171" s="42"/>
      <c r="E171" s="42">
        <v>0</v>
      </c>
      <c r="F171" s="42" t="e">
        <f>D171*((#REF!)+1)+(IF(E171&lt;101,E171,IF(E171&lt;201,E171/2,IF(E171&lt;=301,E171/3,E171/4))))</f>
        <v>#REF!</v>
      </c>
      <c r="G171" s="102" t="str">
        <f>G170</f>
        <v>2nd to 5th Floor</v>
      </c>
      <c r="H171" s="103"/>
      <c r="I171" s="36"/>
    </row>
    <row r="172" spans="1:9" s="37" customFormat="1" hidden="1" x14ac:dyDescent="0.35">
      <c r="A172" s="102" t="str">
        <f ca="1">(SUMPRODUCT(MID(0&amp;(LEFT(A171,SUM(LEN(A171)-LEN(SUBSTITUTE(A171,{"0","1","2"},""))))), LARGE(INDEX(ISNUMBER(--MID((LEFT(A171,SUM(LEN(A171)-LEN(SUBSTITUTE(A171,{"0","1","2"},""))))), ROW(INDIRECT("1:"&amp;LEN((LEFT(A171,SUM(LEN(A171)-LEN(SUBSTITUTE(A171,{"0","1","2"},"")))))))), 1)) * ROW(INDIRECT("1:"&amp;LEN((LEFT(A171,SUM(LEN(A171)-LEN(SUBSTITUTE(A171,{"0","1","2"},"")))))))), 0), ROW(INDIRECT("1:"&amp;LEN((LEFT(A171,SUM(LEN(A171)-LEN(SUBSTITUTE(A171,{"0","1","2"},"")))))))))+1, 1) * 10^ROW(INDIRECT("1:"&amp;LEN((LEFT(A171,SUM(LEN(A171)-LEN(SUBSTITUTE(A171,{"0","1","2"},""))))))))/10))*1+1&amp;""&amp;" to "&amp;""&amp;(SUMPRODUCT(MID(0&amp;(--TRIM(RIGHT(SUBSTITUTE(LEFT(A171,_xlfn.AGGREGATE(16,6,FIND({0,1,2,3,4,5,6,7,8,9},A171,ROW(INDIRECT("1:"&amp;LEN(A171)))),1))," ",REPT(" ",LEN(A171))),LEN(A171)))), LARGE(INDEX(ISNUMBER(--MID((--TRIM(RIGHT(SUBSTITUTE(LEFT(A171,_xlfn.AGGREGATE(16,6,FIND({0,1,2,3,4,5,6,7,8,9},A171,ROW(INDIRECT("1:"&amp;LEN(A171)))),1))," ",REPT(" ",LEN(A171))),LEN(A171)))), ROW(INDIRECT("1:"&amp;LEN((--TRIM(RIGHT(SUBSTITUTE(LEFT(A171,_xlfn.AGGREGATE(16,6,FIND({0,1,2,3,4,5,6,7,8,9},A171,ROW(INDIRECT("1:"&amp;LEN(A171)))),1))," ",REPT(" ",LEN(A171))),LEN(A171))))))), 1)) * ROW(INDIRECT("1:"&amp;LEN((--TRIM(RIGHT(SUBSTITUTE(LEFT(A171,_xlfn.AGGREGATE(16,6,FIND({0,1,2,3,4,5,6,7,8,9},A171,ROW(INDIRECT("1:"&amp;LEN(A171)))),1))," ",REPT(" ",LEN(A171))),LEN(A171))))))), 0), ROW(INDIRECT("1:"&amp;LEN((--TRIM(RIGHT(SUBSTITUTE(LEFT(A171,_xlfn.AGGREGATE(16,6,FIND({0,1,2,3,4,5,6,7,8,9},A171,ROW(INDIRECT("1:"&amp;LEN(A171)))),1))," ",REPT(" ",LEN(A171))),LEN(A171))))))))+1, 1) * 10^ROW(INDIRECT("1:"&amp;LEN((--TRIM(RIGHT(SUBSTITUTE(LEFT(A171,_xlfn.AGGREGATE(16,6,FIND({0,1,2,3,4,5,6,7,8,9},A171,ROW(INDIRECT("1:"&amp;LEN(A171)))),1))," ",REPT(" ",LEN(A171))),LEN(A171)))))))/10))*1+1</f>
        <v>205 to 505</v>
      </c>
      <c r="B172" s="103"/>
      <c r="C172" s="53"/>
      <c r="D172" s="42"/>
      <c r="E172" s="42">
        <v>0</v>
      </c>
      <c r="F172" s="42" t="e">
        <f>D172*((#REF!)+1)+(IF(E172&lt;101,E172,IF(E172&lt;201,E172/2,IF(E172&lt;=301,E172/3,E172/4))))</f>
        <v>#REF!</v>
      </c>
      <c r="G172" s="102" t="str">
        <f>G171</f>
        <v>2nd to 5th Floor</v>
      </c>
      <c r="H172" s="103"/>
      <c r="I172" s="36"/>
    </row>
    <row r="173" spans="1:9" s="37" customFormat="1" hidden="1" x14ac:dyDescent="0.35">
      <c r="A173" s="131" t="s">
        <v>156</v>
      </c>
      <c r="B173" s="132"/>
      <c r="C173" s="132"/>
      <c r="D173" s="132"/>
      <c r="E173" s="132"/>
      <c r="F173" s="132"/>
      <c r="G173" s="132"/>
      <c r="H173" s="133"/>
      <c r="I173" s="36"/>
    </row>
    <row r="174" spans="1:9" s="37" customFormat="1" hidden="1" x14ac:dyDescent="0.35">
      <c r="A174" s="102" t="str">
        <f ca="1">(SUMPRODUCT(MID(0&amp;(LEFT(A173,SUM(LEN(A173)-LEN(SUBSTITUTE(A173,{"0","1","2"},""))))), LARGE(INDEX(ISNUMBER(--MID((LEFT(A173,SUM(LEN(A173)-LEN(SUBSTITUTE(A173,{"0","1","2"},""))))), ROW(INDIRECT("1:"&amp;LEN((LEFT(A173,SUM(LEN(A173)-LEN(SUBSTITUTE(A173,{"0","1","2"},"")))))))), 1)) * ROW(INDIRECT("1:"&amp;LEN((LEFT(A173,SUM(LEN(A173)-LEN(SUBSTITUTE(A173,{"0","1","2"},"")))))))), 0), ROW(INDIRECT("1:"&amp;LEN((LEFT(A173,SUM(LEN(A173)-LEN(SUBSTITUTE(A173,{"0","1","2"},"")))))))))+1, 1) * 10^ROW(INDIRECT("1:"&amp;LEN((LEFT(A173,SUM(LEN(A173)-LEN(SUBSTITUTE(A173,{"0","1","2"},""))))))))/10))*100+1&amp;""&amp;" &amp; "&amp;""&amp;(SUMPRODUCT(MID(0&amp;(--TRIM(RIGHT(SUBSTITUTE(LEFT(A173,_xlfn.AGGREGATE(16,6,FIND({0,1,2,3,4,5,6,7,8,9},A173,ROW(INDIRECT("1:"&amp;LEN(A173)))),1))," ",REPT(" ",LEN(A173))),LEN(A173)))), LARGE(INDEX(ISNUMBER(--MID((--TRIM(RIGHT(SUBSTITUTE(LEFT(A173,_xlfn.AGGREGATE(16,6,FIND({0,1,2,3,4,5,6,7,8,9},A173,ROW(INDIRECT("1:"&amp;LEN(A173)))),1))," ",REPT(" ",LEN(A173))),LEN(A173)))), ROW(INDIRECT("1:"&amp;LEN((--TRIM(RIGHT(SUBSTITUTE(LEFT(A173,_xlfn.AGGREGATE(16,6,FIND({0,1,2,3,4,5,6,7,8,9},A173,ROW(INDIRECT("1:"&amp;LEN(A173)))),1))," ",REPT(" ",LEN(A173))),LEN(A173))))))), 1)) * ROW(INDIRECT("1:"&amp;LEN((--TRIM(RIGHT(SUBSTITUTE(LEFT(A173,_xlfn.AGGREGATE(16,6,FIND({0,1,2,3,4,5,6,7,8,9},A173,ROW(INDIRECT("1:"&amp;LEN(A173)))),1))," ",REPT(" ",LEN(A173))),LEN(A173))))))), 0), ROW(INDIRECT("1:"&amp;LEN((--TRIM(RIGHT(SUBSTITUTE(LEFT(A173,_xlfn.AGGREGATE(16,6,FIND({0,1,2,3,4,5,6,7,8,9},A173,ROW(INDIRECT("1:"&amp;LEN(A173)))),1))," ",REPT(" ",LEN(A173))),LEN(A173))))))))+1, 1) * 10^ROW(INDIRECT("1:"&amp;LEN((--TRIM(RIGHT(SUBSTITUTE(LEFT(A173,_xlfn.AGGREGATE(16,6,FIND({0,1,2,3,4,5,6,7,8,9},A173,ROW(INDIRECT("1:"&amp;LEN(A173)))),1))," ",REPT(" ",LEN(A173))),LEN(A173)))))))/10))*100+1</f>
        <v>201 &amp; 501</v>
      </c>
      <c r="B174" s="103"/>
      <c r="C174" s="53"/>
      <c r="D174" s="42"/>
      <c r="E174" s="42">
        <v>0</v>
      </c>
      <c r="F174" s="42" t="e">
        <f>D174*((#REF!)+1)+(IF(E174&lt;101,E174,IF(E174&lt;201,E174/2,IF(E174&lt;=301,E174/3,E174/4))))</f>
        <v>#REF!</v>
      </c>
      <c r="G174" s="102" t="str">
        <f>A173</f>
        <v>2nd &amp; 5th Floor</v>
      </c>
      <c r="H174" s="103"/>
      <c r="I174" s="36"/>
    </row>
    <row r="175" spans="1:9" s="37" customFormat="1" hidden="1" x14ac:dyDescent="0.35">
      <c r="A175" s="102" t="str">
        <f ca="1">(SUMPRODUCT(MID(0&amp;(LEFT(A174,SUM(LEN(A174)-LEN(SUBSTITUTE(A174,{"0","1","2"},""))))), LARGE(INDEX(ISNUMBER(--MID((LEFT(A174,SUM(LEN(A174)-LEN(SUBSTITUTE(A174,{"0","1","2"},""))))), ROW(INDIRECT("1:"&amp;LEN((LEFT(A174,SUM(LEN(A174)-LEN(SUBSTITUTE(A174,{"0","1","2"},"")))))))), 1)) * ROW(INDIRECT("1:"&amp;LEN((LEFT(A174,SUM(LEN(A174)-LEN(SUBSTITUTE(A174,{"0","1","2"},"")))))))), 0), ROW(INDIRECT("1:"&amp;LEN((LEFT(A174,SUM(LEN(A174)-LEN(SUBSTITUTE(A174,{"0","1","2"},"")))))))))+1, 1) * 10^ROW(INDIRECT("1:"&amp;LEN((LEFT(A174,SUM(LEN(A174)-LEN(SUBSTITUTE(A174,{"0","1","2"},""))))))))/10))*1+1&amp;""&amp;" &amp; "&amp;""&amp;(SUMPRODUCT(MID(0&amp;(--TRIM(RIGHT(SUBSTITUTE(LEFT(A174,_xlfn.AGGREGATE(16,6,FIND({0,1,2,3,4,5,6,7,8,9},A174,ROW(INDIRECT("1:"&amp;LEN(A174)))),1))," ",REPT(" ",LEN(A174))),LEN(A174)))), LARGE(INDEX(ISNUMBER(--MID((--TRIM(RIGHT(SUBSTITUTE(LEFT(A174,_xlfn.AGGREGATE(16,6,FIND({0,1,2,3,4,5,6,7,8,9},A174,ROW(INDIRECT("1:"&amp;LEN(A174)))),1))," ",REPT(" ",LEN(A174))),LEN(A174)))), ROW(INDIRECT("1:"&amp;LEN((--TRIM(RIGHT(SUBSTITUTE(LEFT(A174,_xlfn.AGGREGATE(16,6,FIND({0,1,2,3,4,5,6,7,8,9},A174,ROW(INDIRECT("1:"&amp;LEN(A174)))),1))," ",REPT(" ",LEN(A174))),LEN(A174))))))), 1)) * ROW(INDIRECT("1:"&amp;LEN((--TRIM(RIGHT(SUBSTITUTE(LEFT(A174,_xlfn.AGGREGATE(16,6,FIND({0,1,2,3,4,5,6,7,8,9},A174,ROW(INDIRECT("1:"&amp;LEN(A174)))),1))," ",REPT(" ",LEN(A174))),LEN(A174))))))), 0), ROW(INDIRECT("1:"&amp;LEN((--TRIM(RIGHT(SUBSTITUTE(LEFT(A174,_xlfn.AGGREGATE(16,6,FIND({0,1,2,3,4,5,6,7,8,9},A174,ROW(INDIRECT("1:"&amp;LEN(A174)))),1))," ",REPT(" ",LEN(A174))),LEN(A174))))))))+1, 1) * 10^ROW(INDIRECT("1:"&amp;LEN((--TRIM(RIGHT(SUBSTITUTE(LEFT(A174,_xlfn.AGGREGATE(16,6,FIND({0,1,2,3,4,5,6,7,8,9},A174,ROW(INDIRECT("1:"&amp;LEN(A174)))),1))," ",REPT(" ",LEN(A174))),LEN(A174)))))))/10))*1+1</f>
        <v>202 &amp; 502</v>
      </c>
      <c r="B175" s="103"/>
      <c r="C175" s="53"/>
      <c r="D175" s="42"/>
      <c r="E175" s="42">
        <v>0</v>
      </c>
      <c r="F175" s="42" t="e">
        <f>D175*((#REF!)+1)+(IF(E175&lt;101,E175,IF(E175&lt;201,E175/2,IF(E175&lt;=301,E175/3,E175/4))))</f>
        <v>#REF!</v>
      </c>
      <c r="G175" s="102" t="str">
        <f t="shared" ref="G175:G178" si="12">G174</f>
        <v>2nd &amp; 5th Floor</v>
      </c>
      <c r="H175" s="103"/>
      <c r="I175" s="36"/>
    </row>
    <row r="176" spans="1:9" s="37" customFormat="1" hidden="1" x14ac:dyDescent="0.35">
      <c r="A176" s="102" t="str">
        <f ca="1">(SUMPRODUCT(MID(0&amp;(LEFT(A175,SUM(LEN(A175)-LEN(SUBSTITUTE(A175,{"0","1","2"},""))))), LARGE(INDEX(ISNUMBER(--MID((LEFT(A175,SUM(LEN(A175)-LEN(SUBSTITUTE(A175,{"0","1","2"},""))))), ROW(INDIRECT("1:"&amp;LEN((LEFT(A175,SUM(LEN(A175)-LEN(SUBSTITUTE(A175,{"0","1","2"},"")))))))), 1)) * ROW(INDIRECT("1:"&amp;LEN((LEFT(A175,SUM(LEN(A175)-LEN(SUBSTITUTE(A175,{"0","1","2"},"")))))))), 0), ROW(INDIRECT("1:"&amp;LEN((LEFT(A175,SUM(LEN(A175)-LEN(SUBSTITUTE(A175,{"0","1","2"},"")))))))))+1, 1) * 10^ROW(INDIRECT("1:"&amp;LEN((LEFT(A175,SUM(LEN(A175)-LEN(SUBSTITUTE(A175,{"0","1","2"},""))))))))/10))*1+1&amp;""&amp;" &amp; "&amp;""&amp;(SUMPRODUCT(MID(0&amp;(--TRIM(RIGHT(SUBSTITUTE(LEFT(A175,_xlfn.AGGREGATE(16,6,FIND({0,1,2,3,4,5,6,7,8,9},A175,ROW(INDIRECT("1:"&amp;LEN(A175)))),1))," ",REPT(" ",LEN(A175))),LEN(A175)))), LARGE(INDEX(ISNUMBER(--MID((--TRIM(RIGHT(SUBSTITUTE(LEFT(A175,_xlfn.AGGREGATE(16,6,FIND({0,1,2,3,4,5,6,7,8,9},A175,ROW(INDIRECT("1:"&amp;LEN(A175)))),1))," ",REPT(" ",LEN(A175))),LEN(A175)))), ROW(INDIRECT("1:"&amp;LEN((--TRIM(RIGHT(SUBSTITUTE(LEFT(A175,_xlfn.AGGREGATE(16,6,FIND({0,1,2,3,4,5,6,7,8,9},A175,ROW(INDIRECT("1:"&amp;LEN(A175)))),1))," ",REPT(" ",LEN(A175))),LEN(A175))))))), 1)) * ROW(INDIRECT("1:"&amp;LEN((--TRIM(RIGHT(SUBSTITUTE(LEFT(A175,_xlfn.AGGREGATE(16,6,FIND({0,1,2,3,4,5,6,7,8,9},A175,ROW(INDIRECT("1:"&amp;LEN(A175)))),1))," ",REPT(" ",LEN(A175))),LEN(A175))))))), 0), ROW(INDIRECT("1:"&amp;LEN((--TRIM(RIGHT(SUBSTITUTE(LEFT(A175,_xlfn.AGGREGATE(16,6,FIND({0,1,2,3,4,5,6,7,8,9},A175,ROW(INDIRECT("1:"&amp;LEN(A175)))),1))," ",REPT(" ",LEN(A175))),LEN(A175))))))))+1, 1) * 10^ROW(INDIRECT("1:"&amp;LEN((--TRIM(RIGHT(SUBSTITUTE(LEFT(A175,_xlfn.AGGREGATE(16,6,FIND({0,1,2,3,4,5,6,7,8,9},A175,ROW(INDIRECT("1:"&amp;LEN(A175)))),1))," ",REPT(" ",LEN(A175))),LEN(A175)))))))/10))*1+1</f>
        <v>203 &amp; 503</v>
      </c>
      <c r="B176" s="103"/>
      <c r="C176" s="53"/>
      <c r="D176" s="42"/>
      <c r="E176" s="42">
        <v>0</v>
      </c>
      <c r="F176" s="42" t="e">
        <f>D176*((#REF!)+1)+(IF(E176&lt;101,E176,IF(E176&lt;201,E176/2,IF(E176&lt;=301,E176/3,E176/4))))</f>
        <v>#REF!</v>
      </c>
      <c r="G176" s="102" t="str">
        <f t="shared" si="12"/>
        <v>2nd &amp; 5th Floor</v>
      </c>
      <c r="H176" s="103"/>
      <c r="I176" s="36"/>
    </row>
    <row r="177" spans="1:9" s="37" customFormat="1" hidden="1" x14ac:dyDescent="0.35">
      <c r="A177" s="102" t="str">
        <f ca="1">(SUMPRODUCT(MID(0&amp;(LEFT(A176,SUM(LEN(A176)-LEN(SUBSTITUTE(A176,{"0","1","2"},""))))), LARGE(INDEX(ISNUMBER(--MID((LEFT(A176,SUM(LEN(A176)-LEN(SUBSTITUTE(A176,{"0","1","2"},""))))), ROW(INDIRECT("1:"&amp;LEN((LEFT(A176,SUM(LEN(A176)-LEN(SUBSTITUTE(A176,{"0","1","2"},"")))))))), 1)) * ROW(INDIRECT("1:"&amp;LEN((LEFT(A176,SUM(LEN(A176)-LEN(SUBSTITUTE(A176,{"0","1","2"},"")))))))), 0), ROW(INDIRECT("1:"&amp;LEN((LEFT(A176,SUM(LEN(A176)-LEN(SUBSTITUTE(A176,{"0","1","2"},"")))))))))+1, 1) * 10^ROW(INDIRECT("1:"&amp;LEN((LEFT(A176,SUM(LEN(A176)-LEN(SUBSTITUTE(A176,{"0","1","2"},""))))))))/10))*1+1&amp;""&amp;" &amp; "&amp;""&amp;(SUMPRODUCT(MID(0&amp;(--TRIM(RIGHT(SUBSTITUTE(LEFT(A176,_xlfn.AGGREGATE(16,6,FIND({0,1,2,3,4,5,6,7,8,9},A176,ROW(INDIRECT("1:"&amp;LEN(A176)))),1))," ",REPT(" ",LEN(A176))),LEN(A176)))), LARGE(INDEX(ISNUMBER(--MID((--TRIM(RIGHT(SUBSTITUTE(LEFT(A176,_xlfn.AGGREGATE(16,6,FIND({0,1,2,3,4,5,6,7,8,9},A176,ROW(INDIRECT("1:"&amp;LEN(A176)))),1))," ",REPT(" ",LEN(A176))),LEN(A176)))), ROW(INDIRECT("1:"&amp;LEN((--TRIM(RIGHT(SUBSTITUTE(LEFT(A176,_xlfn.AGGREGATE(16,6,FIND({0,1,2,3,4,5,6,7,8,9},A176,ROW(INDIRECT("1:"&amp;LEN(A176)))),1))," ",REPT(" ",LEN(A176))),LEN(A176))))))), 1)) * ROW(INDIRECT("1:"&amp;LEN((--TRIM(RIGHT(SUBSTITUTE(LEFT(A176,_xlfn.AGGREGATE(16,6,FIND({0,1,2,3,4,5,6,7,8,9},A176,ROW(INDIRECT("1:"&amp;LEN(A176)))),1))," ",REPT(" ",LEN(A176))),LEN(A176))))))), 0), ROW(INDIRECT("1:"&amp;LEN((--TRIM(RIGHT(SUBSTITUTE(LEFT(A176,_xlfn.AGGREGATE(16,6,FIND({0,1,2,3,4,5,6,7,8,9},A176,ROW(INDIRECT("1:"&amp;LEN(A176)))),1))," ",REPT(" ",LEN(A176))),LEN(A176))))))))+1, 1) * 10^ROW(INDIRECT("1:"&amp;LEN((--TRIM(RIGHT(SUBSTITUTE(LEFT(A176,_xlfn.AGGREGATE(16,6,FIND({0,1,2,3,4,5,6,7,8,9},A176,ROW(INDIRECT("1:"&amp;LEN(A176)))),1))," ",REPT(" ",LEN(A176))),LEN(A176)))))))/10))*1+1</f>
        <v>204 &amp; 504</v>
      </c>
      <c r="B177" s="103"/>
      <c r="C177" s="53"/>
      <c r="D177" s="42"/>
      <c r="E177" s="42">
        <v>0</v>
      </c>
      <c r="F177" s="42" t="e">
        <f>D177*((#REF!)+1)+(IF(E177&lt;101,E177,IF(E177&lt;201,E177/2,IF(E177&lt;=301,E177/3,E177/4))))</f>
        <v>#REF!</v>
      </c>
      <c r="G177" s="102" t="str">
        <f t="shared" si="12"/>
        <v>2nd &amp; 5th Floor</v>
      </c>
      <c r="H177" s="103"/>
      <c r="I177" s="36"/>
    </row>
    <row r="178" spans="1:9" s="37" customFormat="1" hidden="1" x14ac:dyDescent="0.35">
      <c r="A178" s="102" t="str">
        <f ca="1">(SUMPRODUCT(MID(0&amp;(LEFT(A177,SUM(LEN(A177)-LEN(SUBSTITUTE(A177,{"0","1","2"},""))))), LARGE(INDEX(ISNUMBER(--MID((LEFT(A177,SUM(LEN(A177)-LEN(SUBSTITUTE(A177,{"0","1","2"},""))))), ROW(INDIRECT("1:"&amp;LEN((LEFT(A177,SUM(LEN(A177)-LEN(SUBSTITUTE(A177,{"0","1","2"},"")))))))), 1)) * ROW(INDIRECT("1:"&amp;LEN((LEFT(A177,SUM(LEN(A177)-LEN(SUBSTITUTE(A177,{"0","1","2"},"")))))))), 0), ROW(INDIRECT("1:"&amp;LEN((LEFT(A177,SUM(LEN(A177)-LEN(SUBSTITUTE(A177,{"0","1","2"},"")))))))))+1, 1) * 10^ROW(INDIRECT("1:"&amp;LEN((LEFT(A177,SUM(LEN(A177)-LEN(SUBSTITUTE(A177,{"0","1","2"},""))))))))/10))*1+1&amp;""&amp;" &amp; "&amp;""&amp;(SUMPRODUCT(MID(0&amp;(--TRIM(RIGHT(SUBSTITUTE(LEFT(A177,_xlfn.AGGREGATE(16,6,FIND({0,1,2,3,4,5,6,7,8,9},A177,ROW(INDIRECT("1:"&amp;LEN(A177)))),1))," ",REPT(" ",LEN(A177))),LEN(A177)))), LARGE(INDEX(ISNUMBER(--MID((--TRIM(RIGHT(SUBSTITUTE(LEFT(A177,_xlfn.AGGREGATE(16,6,FIND({0,1,2,3,4,5,6,7,8,9},A177,ROW(INDIRECT("1:"&amp;LEN(A177)))),1))," ",REPT(" ",LEN(A177))),LEN(A177)))), ROW(INDIRECT("1:"&amp;LEN((--TRIM(RIGHT(SUBSTITUTE(LEFT(A177,_xlfn.AGGREGATE(16,6,FIND({0,1,2,3,4,5,6,7,8,9},A177,ROW(INDIRECT("1:"&amp;LEN(A177)))),1))," ",REPT(" ",LEN(A177))),LEN(A177))))))), 1)) * ROW(INDIRECT("1:"&amp;LEN((--TRIM(RIGHT(SUBSTITUTE(LEFT(A177,_xlfn.AGGREGATE(16,6,FIND({0,1,2,3,4,5,6,7,8,9},A177,ROW(INDIRECT("1:"&amp;LEN(A177)))),1))," ",REPT(" ",LEN(A177))),LEN(A177))))))), 0), ROW(INDIRECT("1:"&amp;LEN((--TRIM(RIGHT(SUBSTITUTE(LEFT(A177,_xlfn.AGGREGATE(16,6,FIND({0,1,2,3,4,5,6,7,8,9},A177,ROW(INDIRECT("1:"&amp;LEN(A177)))),1))," ",REPT(" ",LEN(A177))),LEN(A177))))))))+1, 1) * 10^ROW(INDIRECT("1:"&amp;LEN((--TRIM(RIGHT(SUBSTITUTE(LEFT(A177,_xlfn.AGGREGATE(16,6,FIND({0,1,2,3,4,5,6,7,8,9},A177,ROW(INDIRECT("1:"&amp;LEN(A177)))),1))," ",REPT(" ",LEN(A177))),LEN(A177)))))))/10))*1+1</f>
        <v>205 &amp; 505</v>
      </c>
      <c r="B178" s="103"/>
      <c r="C178" s="53"/>
      <c r="D178" s="42"/>
      <c r="E178" s="42">
        <v>0</v>
      </c>
      <c r="F178" s="42" t="e">
        <f>D178*((#REF!)+1)+(IF(E178&lt;101,E178,IF(E178&lt;201,E178/2,IF(E178&lt;=301,E178/3,E178/4))))</f>
        <v>#REF!</v>
      </c>
      <c r="G178" s="102" t="str">
        <f t="shared" si="12"/>
        <v>2nd &amp; 5th Floor</v>
      </c>
      <c r="H178" s="103"/>
      <c r="I178" s="36"/>
    </row>
    <row r="179" spans="1:9" s="35" customFormat="1" x14ac:dyDescent="0.35">
      <c r="A179" s="141" t="s">
        <v>72</v>
      </c>
      <c r="B179" s="141"/>
      <c r="C179" s="141"/>
      <c r="D179" s="141"/>
      <c r="E179" s="141"/>
      <c r="F179" s="141"/>
      <c r="G179" s="141"/>
      <c r="H179" s="141"/>
    </row>
    <row r="180" spans="1:9" s="35" customFormat="1" ht="36" customHeight="1" x14ac:dyDescent="0.35">
      <c r="A180" s="47" t="s">
        <v>165</v>
      </c>
      <c r="B180" s="128" t="s">
        <v>230</v>
      </c>
      <c r="C180" s="129"/>
      <c r="D180" s="129"/>
      <c r="E180" s="129"/>
      <c r="F180" s="129"/>
      <c r="G180" s="129"/>
      <c r="H180" s="130"/>
    </row>
    <row r="181" spans="1:9" s="35" customFormat="1" x14ac:dyDescent="0.35">
      <c r="A181" s="47" t="s">
        <v>165</v>
      </c>
      <c r="B181" s="128" t="str">
        <f>(IF(F127="Saleable area Loading :","We have considered Saleable area of Flats as per our Calculation.","We considered Saleable area of Flat as per Builder area Sheet."))</f>
        <v>We considered Saleable area of Flat as per Builder area Sheet.</v>
      </c>
      <c r="C181" s="129"/>
      <c r="D181" s="129"/>
      <c r="E181" s="129"/>
      <c r="F181" s="129"/>
      <c r="G181" s="129"/>
      <c r="H181" s="130"/>
    </row>
    <row r="182" spans="1:9" s="35" customFormat="1" hidden="1" x14ac:dyDescent="0.35">
      <c r="A182" s="47" t="s">
        <v>165</v>
      </c>
      <c r="B182" s="128" t="str">
        <f>(IF(F119="Saleable area Loading :","We have considered Saleable area of Commercial as per our Calculation.","We considered Saleable area of Commercial as per Builder area Sheet."))</f>
        <v>We have considered Saleable area of Commercial as per our Calculation.</v>
      </c>
      <c r="C182" s="129"/>
      <c r="D182" s="129"/>
      <c r="E182" s="129"/>
      <c r="F182" s="129"/>
      <c r="G182" s="129"/>
      <c r="H182" s="130"/>
    </row>
    <row r="183" spans="1:9" s="35" customFormat="1" x14ac:dyDescent="0.35">
      <c r="A183" s="47" t="s">
        <v>165</v>
      </c>
      <c r="B183" s="125" t="s">
        <v>132</v>
      </c>
      <c r="C183" s="126"/>
      <c r="D183" s="126"/>
      <c r="E183" s="126"/>
      <c r="F183" s="126"/>
      <c r="G183" s="126"/>
      <c r="H183" s="127"/>
    </row>
    <row r="184" spans="1:9" s="35" customFormat="1" x14ac:dyDescent="0.35">
      <c r="A184" s="47" t="s">
        <v>165</v>
      </c>
      <c r="B184" s="125" t="s">
        <v>207</v>
      </c>
      <c r="C184" s="126"/>
      <c r="D184" s="126"/>
      <c r="E184" s="126"/>
      <c r="F184" s="126"/>
      <c r="G184" s="126"/>
      <c r="H184" s="127"/>
    </row>
    <row r="185" spans="1:9" s="35" customFormat="1" x14ac:dyDescent="0.35">
      <c r="A185" s="47" t="s">
        <v>165</v>
      </c>
      <c r="B185" s="125" t="s">
        <v>164</v>
      </c>
      <c r="C185" s="126"/>
      <c r="D185" s="126"/>
      <c r="E185" s="126"/>
      <c r="F185" s="126"/>
      <c r="G185" s="126"/>
      <c r="H185" s="127"/>
    </row>
    <row r="186" spans="1:9" s="35" customFormat="1" x14ac:dyDescent="0.35">
      <c r="A186" s="47" t="s">
        <v>165</v>
      </c>
      <c r="B186" s="125" t="s">
        <v>133</v>
      </c>
      <c r="C186" s="126"/>
      <c r="D186" s="126"/>
      <c r="E186" s="126"/>
      <c r="F186" s="126"/>
      <c r="G186" s="126"/>
      <c r="H186" s="127"/>
    </row>
    <row r="187" spans="1:9" s="35" customFormat="1" ht="34.5" customHeight="1" x14ac:dyDescent="0.35">
      <c r="A187" s="47" t="s">
        <v>165</v>
      </c>
      <c r="B187" s="125" t="s">
        <v>166</v>
      </c>
      <c r="C187" s="126"/>
      <c r="D187" s="126"/>
      <c r="E187" s="126"/>
      <c r="F187" s="126"/>
      <c r="G187" s="126"/>
      <c r="H187" s="127"/>
    </row>
    <row r="188" spans="1:9" s="35" customFormat="1" x14ac:dyDescent="0.35">
      <c r="A188" s="47" t="s">
        <v>165</v>
      </c>
      <c r="B188" s="125" t="s">
        <v>134</v>
      </c>
      <c r="C188" s="126"/>
      <c r="D188" s="126"/>
      <c r="E188" s="126"/>
      <c r="F188" s="126"/>
      <c r="G188" s="126"/>
      <c r="H188" s="127"/>
    </row>
    <row r="189" spans="1:9" s="35" customFormat="1" ht="31.5" customHeight="1" x14ac:dyDescent="0.35">
      <c r="A189" s="47" t="s">
        <v>165</v>
      </c>
      <c r="B189" s="125" t="s">
        <v>224</v>
      </c>
      <c r="C189" s="126"/>
      <c r="D189" s="126"/>
      <c r="E189" s="126"/>
      <c r="F189" s="126"/>
      <c r="G189" s="126"/>
      <c r="H189" s="127"/>
    </row>
    <row r="190" spans="1:9" x14ac:dyDescent="0.35">
      <c r="A190" s="98" t="s">
        <v>65</v>
      </c>
      <c r="B190" s="98"/>
      <c r="C190" s="98"/>
      <c r="D190" s="98"/>
      <c r="E190" s="98"/>
      <c r="F190" s="98"/>
      <c r="G190" s="98"/>
      <c r="H190" s="98"/>
    </row>
    <row r="191" spans="1:9" x14ac:dyDescent="0.35">
      <c r="A191" s="73" t="s">
        <v>66</v>
      </c>
      <c r="B191" s="73"/>
      <c r="C191" s="73"/>
      <c r="D191" s="73"/>
      <c r="E191" s="73"/>
      <c r="F191" s="73"/>
      <c r="G191" s="73"/>
      <c r="H191" s="73"/>
    </row>
    <row r="192" spans="1:9" ht="15.75" customHeight="1" x14ac:dyDescent="0.35">
      <c r="A192" s="101" t="s">
        <v>67</v>
      </c>
      <c r="B192" s="101"/>
      <c r="C192" s="101"/>
      <c r="D192" s="101"/>
      <c r="E192" s="101"/>
      <c r="F192" s="101"/>
      <c r="G192" s="101"/>
      <c r="H192" s="101"/>
    </row>
    <row r="193" spans="1:8" x14ac:dyDescent="0.35">
      <c r="A193" s="73" t="s">
        <v>68</v>
      </c>
      <c r="B193" s="73"/>
      <c r="C193" s="73"/>
      <c r="D193" s="73"/>
      <c r="E193" s="73"/>
      <c r="F193" s="73"/>
      <c r="G193" s="73"/>
      <c r="H193" s="73"/>
    </row>
    <row r="194" spans="1:8" x14ac:dyDescent="0.35">
      <c r="A194" s="73" t="s">
        <v>69</v>
      </c>
      <c r="B194" s="73"/>
      <c r="C194" s="73"/>
      <c r="D194" s="73"/>
      <c r="E194" s="73"/>
      <c r="F194" s="73"/>
      <c r="G194" s="73"/>
      <c r="H194" s="73"/>
    </row>
    <row r="195" spans="1:8" x14ac:dyDescent="0.35">
      <c r="A195" s="73" t="s">
        <v>135</v>
      </c>
      <c r="B195" s="73"/>
      <c r="C195" s="73"/>
      <c r="D195" s="73"/>
      <c r="E195" s="73"/>
      <c r="F195" s="73"/>
      <c r="G195" s="73"/>
      <c r="H195" s="73"/>
    </row>
    <row r="196" spans="1:8" ht="31.5" customHeight="1" x14ac:dyDescent="0.35">
      <c r="A196" s="99" t="s">
        <v>136</v>
      </c>
      <c r="B196" s="99"/>
      <c r="C196" s="99"/>
      <c r="D196" s="99"/>
      <c r="E196" s="99"/>
      <c r="F196" s="99"/>
      <c r="G196" s="99"/>
      <c r="H196" s="99"/>
    </row>
    <row r="197" spans="1:8" x14ac:dyDescent="0.35">
      <c r="A197" s="136" t="s">
        <v>82</v>
      </c>
      <c r="B197" s="136"/>
      <c r="C197" s="136" t="s">
        <v>229</v>
      </c>
      <c r="D197" s="136"/>
      <c r="E197" s="136" t="s">
        <v>112</v>
      </c>
      <c r="F197" s="136"/>
      <c r="G197" s="136" t="s">
        <v>228</v>
      </c>
      <c r="H197" s="136"/>
    </row>
    <row r="198" spans="1:8" x14ac:dyDescent="0.35">
      <c r="A198" s="135" t="s">
        <v>84</v>
      </c>
      <c r="B198" s="135"/>
      <c r="C198" s="135"/>
      <c r="D198" s="135"/>
      <c r="E198" s="135"/>
      <c r="F198" s="135"/>
      <c r="G198" s="135"/>
      <c r="H198" s="135"/>
    </row>
    <row r="199" spans="1:8" x14ac:dyDescent="0.35">
      <c r="A199" s="135"/>
      <c r="B199" s="135"/>
      <c r="C199" s="135"/>
      <c r="D199" s="135"/>
      <c r="E199" s="135"/>
      <c r="F199" s="135"/>
      <c r="G199" s="135"/>
      <c r="H199" s="135"/>
    </row>
    <row r="200" spans="1:8" x14ac:dyDescent="0.35">
      <c r="A200" s="135"/>
      <c r="B200" s="135"/>
      <c r="C200" s="135"/>
      <c r="D200" s="135"/>
      <c r="E200" s="135"/>
      <c r="F200" s="135"/>
      <c r="G200" s="135"/>
      <c r="H200" s="135"/>
    </row>
    <row r="201" spans="1:8" x14ac:dyDescent="0.35">
      <c r="A201" s="135"/>
      <c r="B201" s="135"/>
      <c r="C201" s="135"/>
      <c r="D201" s="135"/>
      <c r="E201" s="135"/>
      <c r="F201" s="135"/>
      <c r="G201" s="135"/>
      <c r="H201" s="135"/>
    </row>
    <row r="202" spans="1:8" x14ac:dyDescent="0.35">
      <c r="A202" s="38" t="s">
        <v>70</v>
      </c>
      <c r="B202" s="39"/>
      <c r="C202" s="39"/>
      <c r="D202" s="38" t="str">
        <f>E8</f>
        <v>Ideal Park Building No.2</v>
      </c>
      <c r="F202" s="39"/>
      <c r="G202" s="39"/>
      <c r="H202" s="39"/>
    </row>
    <row r="203" spans="1:8" x14ac:dyDescent="0.35">
      <c r="A203" s="39"/>
      <c r="B203" s="39"/>
      <c r="C203" s="39"/>
      <c r="D203" s="39"/>
      <c r="E203" s="39"/>
      <c r="F203" s="39"/>
      <c r="G203" s="39"/>
      <c r="H203" s="39"/>
    </row>
    <row r="204" spans="1:8" x14ac:dyDescent="0.35">
      <c r="A204" s="39"/>
      <c r="B204" s="39"/>
      <c r="C204" s="39"/>
      <c r="D204" s="39"/>
      <c r="E204" s="39"/>
      <c r="F204" s="39"/>
      <c r="G204" s="39"/>
      <c r="H204" s="39"/>
    </row>
    <row r="205" spans="1:8" ht="15" customHeight="1" x14ac:dyDescent="0.35"/>
    <row r="245" spans="1:1" x14ac:dyDescent="0.35">
      <c r="A245" s="41" t="s">
        <v>179</v>
      </c>
    </row>
    <row r="277" spans="1:1" x14ac:dyDescent="0.35">
      <c r="A277" s="41" t="s">
        <v>71</v>
      </c>
    </row>
  </sheetData>
  <mergeCells count="391">
    <mergeCell ref="C38:H38"/>
    <mergeCell ref="B187:H187"/>
    <mergeCell ref="A47:B47"/>
    <mergeCell ref="C47:H47"/>
    <mergeCell ref="B185:H185"/>
    <mergeCell ref="G84:H93"/>
    <mergeCell ref="A85:B85"/>
    <mergeCell ref="A86:B86"/>
    <mergeCell ref="A87:B87"/>
    <mergeCell ref="F96:H96"/>
    <mergeCell ref="A96:E96"/>
    <mergeCell ref="G163:H163"/>
    <mergeCell ref="G159:H159"/>
    <mergeCell ref="G156:H156"/>
    <mergeCell ref="D119:D120"/>
    <mergeCell ref="A98:E98"/>
    <mergeCell ref="A116:B116"/>
    <mergeCell ref="E116:F116"/>
    <mergeCell ref="C116:D116"/>
    <mergeCell ref="A110:B110"/>
    <mergeCell ref="A167:H167"/>
    <mergeCell ref="A161:H161"/>
    <mergeCell ref="A153:B153"/>
    <mergeCell ref="G164:H164"/>
    <mergeCell ref="B189:H189"/>
    <mergeCell ref="A104:E104"/>
    <mergeCell ref="A102:E102"/>
    <mergeCell ref="F97:H97"/>
    <mergeCell ref="A101:E101"/>
    <mergeCell ref="F103:H103"/>
    <mergeCell ref="E108:F108"/>
    <mergeCell ref="A108:B108"/>
    <mergeCell ref="C110:D110"/>
    <mergeCell ref="E110:F110"/>
    <mergeCell ref="G110:H110"/>
    <mergeCell ref="A111:B111"/>
    <mergeCell ref="C111:D111"/>
    <mergeCell ref="E111:F111"/>
    <mergeCell ref="G111:H111"/>
    <mergeCell ref="A115:B115"/>
    <mergeCell ref="C115:D115"/>
    <mergeCell ref="E115:F115"/>
    <mergeCell ref="G115:H115"/>
    <mergeCell ref="C113:D113"/>
    <mergeCell ref="G113:H113"/>
    <mergeCell ref="A172:B172"/>
    <mergeCell ref="G170:H170"/>
    <mergeCell ref="C119:C120"/>
    <mergeCell ref="A154:B154"/>
    <mergeCell ref="G154:H154"/>
    <mergeCell ref="A148:B148"/>
    <mergeCell ref="B119:B120"/>
    <mergeCell ref="A119:A120"/>
    <mergeCell ref="A135:B135"/>
    <mergeCell ref="G135:H135"/>
    <mergeCell ref="A139:B139"/>
    <mergeCell ref="G139:H139"/>
    <mergeCell ref="A124:B124"/>
    <mergeCell ref="A125:B125"/>
    <mergeCell ref="A123:B123"/>
    <mergeCell ref="A122:B122"/>
    <mergeCell ref="G147:H147"/>
    <mergeCell ref="A126:H126"/>
    <mergeCell ref="A121:H121"/>
    <mergeCell ref="E119:E120"/>
    <mergeCell ref="G119:H120"/>
    <mergeCell ref="A160:B160"/>
    <mergeCell ref="A157:B157"/>
    <mergeCell ref="A158:B158"/>
    <mergeCell ref="A149:H149"/>
    <mergeCell ref="L125:M125"/>
    <mergeCell ref="L124:M124"/>
    <mergeCell ref="L123:M123"/>
    <mergeCell ref="A142:B142"/>
    <mergeCell ref="G142:H142"/>
    <mergeCell ref="L142:M142"/>
    <mergeCell ref="A143:B143"/>
    <mergeCell ref="G143:H143"/>
    <mergeCell ref="L148:M148"/>
    <mergeCell ref="L143:M143"/>
    <mergeCell ref="A144:H144"/>
    <mergeCell ref="A145:B145"/>
    <mergeCell ref="G145:H145"/>
    <mergeCell ref="L145:M145"/>
    <mergeCell ref="A146:B146"/>
    <mergeCell ref="G146:H146"/>
    <mergeCell ref="L146:M146"/>
    <mergeCell ref="A147:B147"/>
    <mergeCell ref="A129:H129"/>
    <mergeCell ref="A128:H128"/>
    <mergeCell ref="L122:M122"/>
    <mergeCell ref="L131:M131"/>
    <mergeCell ref="A132:B132"/>
    <mergeCell ref="L132:M132"/>
    <mergeCell ref="A133:B133"/>
    <mergeCell ref="L133:M133"/>
    <mergeCell ref="G131:H133"/>
    <mergeCell ref="A134:H134"/>
    <mergeCell ref="A150:B150"/>
    <mergeCell ref="A130:H130"/>
    <mergeCell ref="A131:B131"/>
    <mergeCell ref="L135:M135"/>
    <mergeCell ref="A136:B136"/>
    <mergeCell ref="G136:H136"/>
    <mergeCell ref="L136:M136"/>
    <mergeCell ref="A137:B137"/>
    <mergeCell ref="G137:H137"/>
    <mergeCell ref="L137:M137"/>
    <mergeCell ref="A138:B138"/>
    <mergeCell ref="G138:H138"/>
    <mergeCell ref="L138:M138"/>
    <mergeCell ref="L139:M139"/>
    <mergeCell ref="A140:H140"/>
    <mergeCell ref="A141:H141"/>
    <mergeCell ref="A168:B168"/>
    <mergeCell ref="A169:B169"/>
    <mergeCell ref="A170:B170"/>
    <mergeCell ref="A159:B159"/>
    <mergeCell ref="G160:H160"/>
    <mergeCell ref="G166:H166"/>
    <mergeCell ref="G165:H165"/>
    <mergeCell ref="L153:M153"/>
    <mergeCell ref="G150:H150"/>
    <mergeCell ref="L150:M150"/>
    <mergeCell ref="A151:B151"/>
    <mergeCell ref="G151:H151"/>
    <mergeCell ref="L151:M151"/>
    <mergeCell ref="A152:B152"/>
    <mergeCell ref="G152:H152"/>
    <mergeCell ref="L152:M152"/>
    <mergeCell ref="G168:H168"/>
    <mergeCell ref="A166:B166"/>
    <mergeCell ref="L154:M154"/>
    <mergeCell ref="A165:B165"/>
    <mergeCell ref="A162:B162"/>
    <mergeCell ref="G153:H153"/>
    <mergeCell ref="G162:H162"/>
    <mergeCell ref="L155:M155"/>
    <mergeCell ref="E84:F93"/>
    <mergeCell ref="A91:B91"/>
    <mergeCell ref="A92:B92"/>
    <mergeCell ref="A93:B93"/>
    <mergeCell ref="F94:H94"/>
    <mergeCell ref="F99:H99"/>
    <mergeCell ref="G116:H116"/>
    <mergeCell ref="C114:D114"/>
    <mergeCell ref="E114:F114"/>
    <mergeCell ref="A40:D40"/>
    <mergeCell ref="E40:H40"/>
    <mergeCell ref="F32:H32"/>
    <mergeCell ref="F33:H33"/>
    <mergeCell ref="A39:H39"/>
    <mergeCell ref="A59:C59"/>
    <mergeCell ref="A60:C60"/>
    <mergeCell ref="D59:H59"/>
    <mergeCell ref="E70:F79"/>
    <mergeCell ref="G70:H79"/>
    <mergeCell ref="A78:B78"/>
    <mergeCell ref="A79:B79"/>
    <mergeCell ref="D60:H60"/>
    <mergeCell ref="A42:D42"/>
    <mergeCell ref="E42:H42"/>
    <mergeCell ref="E43:H43"/>
    <mergeCell ref="E44:H44"/>
    <mergeCell ref="E45:H45"/>
    <mergeCell ref="A43:D43"/>
    <mergeCell ref="F35:H35"/>
    <mergeCell ref="A37:B37"/>
    <mergeCell ref="E37:F37"/>
    <mergeCell ref="C37:D37"/>
    <mergeCell ref="A38:B38"/>
    <mergeCell ref="G37:H37"/>
    <mergeCell ref="F31:H31"/>
    <mergeCell ref="A32:B32"/>
    <mergeCell ref="A31:B31"/>
    <mergeCell ref="C32:E32"/>
    <mergeCell ref="A33:B33"/>
    <mergeCell ref="C33:E33"/>
    <mergeCell ref="A36:H36"/>
    <mergeCell ref="A35:B35"/>
    <mergeCell ref="C35:E35"/>
    <mergeCell ref="E25:H25"/>
    <mergeCell ref="A27:D27"/>
    <mergeCell ref="E27:H27"/>
    <mergeCell ref="A24:D24"/>
    <mergeCell ref="E24:H24"/>
    <mergeCell ref="A28:D28"/>
    <mergeCell ref="E28:H28"/>
    <mergeCell ref="A25:D25"/>
    <mergeCell ref="A34:B34"/>
    <mergeCell ref="C34:E34"/>
    <mergeCell ref="A29:D29"/>
    <mergeCell ref="E29:H29"/>
    <mergeCell ref="A30:D30"/>
    <mergeCell ref="E30:H30"/>
    <mergeCell ref="A26:D26"/>
    <mergeCell ref="E26:H26"/>
    <mergeCell ref="C31:E31"/>
    <mergeCell ref="F34:H34"/>
    <mergeCell ref="A21:D22"/>
    <mergeCell ref="E21:H22"/>
    <mergeCell ref="E13:H13"/>
    <mergeCell ref="A14:B14"/>
    <mergeCell ref="C14:H14"/>
    <mergeCell ref="C15:H15"/>
    <mergeCell ref="A23:D23"/>
    <mergeCell ref="E23:H23"/>
    <mergeCell ref="A17:B17"/>
    <mergeCell ref="C17:D17"/>
    <mergeCell ref="E17:F17"/>
    <mergeCell ref="G17:H17"/>
    <mergeCell ref="A18:B18"/>
    <mergeCell ref="C18:D18"/>
    <mergeCell ref="E18:F18"/>
    <mergeCell ref="G18:H18"/>
    <mergeCell ref="A19:B19"/>
    <mergeCell ref="C19:D19"/>
    <mergeCell ref="E19:F19"/>
    <mergeCell ref="G19:H19"/>
    <mergeCell ref="A20:B20"/>
    <mergeCell ref="C20:D20"/>
    <mergeCell ref="E20:F20"/>
    <mergeCell ref="G20:H20"/>
    <mergeCell ref="A11:D11"/>
    <mergeCell ref="E11:H11"/>
    <mergeCell ref="A5:D5"/>
    <mergeCell ref="E5:H5"/>
    <mergeCell ref="A6:D6"/>
    <mergeCell ref="E6:H6"/>
    <mergeCell ref="A7:D7"/>
    <mergeCell ref="E7:H7"/>
    <mergeCell ref="A15:B15"/>
    <mergeCell ref="A12:D12"/>
    <mergeCell ref="E12:H12"/>
    <mergeCell ref="A13:D13"/>
    <mergeCell ref="A10:D10"/>
    <mergeCell ref="E10:H10"/>
    <mergeCell ref="A1:H1"/>
    <mergeCell ref="A2:H2"/>
    <mergeCell ref="A3:D3"/>
    <mergeCell ref="E3:H3"/>
    <mergeCell ref="A4:D4"/>
    <mergeCell ref="A8:D8"/>
    <mergeCell ref="E8:H8"/>
    <mergeCell ref="A9:D9"/>
    <mergeCell ref="E9:H9"/>
    <mergeCell ref="E4:H4"/>
    <mergeCell ref="A44:D44"/>
    <mergeCell ref="A45:D45"/>
    <mergeCell ref="A46:H46"/>
    <mergeCell ref="D56:H56"/>
    <mergeCell ref="A56:C56"/>
    <mergeCell ref="G49:H49"/>
    <mergeCell ref="A50:B51"/>
    <mergeCell ref="A76:B76"/>
    <mergeCell ref="A69:B69"/>
    <mergeCell ref="A72:B72"/>
    <mergeCell ref="A68:B68"/>
    <mergeCell ref="A66:B66"/>
    <mergeCell ref="C66:H66"/>
    <mergeCell ref="A74:B74"/>
    <mergeCell ref="A61:C61"/>
    <mergeCell ref="D61:H61"/>
    <mergeCell ref="C68:H68"/>
    <mergeCell ref="A71:B71"/>
    <mergeCell ref="A73:B73"/>
    <mergeCell ref="E69:F69"/>
    <mergeCell ref="A62:C62"/>
    <mergeCell ref="D62:H62"/>
    <mergeCell ref="A65:C65"/>
    <mergeCell ref="D65:H65"/>
    <mergeCell ref="A198:H201"/>
    <mergeCell ref="A197:B197"/>
    <mergeCell ref="E197:F197"/>
    <mergeCell ref="C197:D197"/>
    <mergeCell ref="G197:H197"/>
    <mergeCell ref="A107:H107"/>
    <mergeCell ref="A105:E105"/>
    <mergeCell ref="F105:H105"/>
    <mergeCell ref="A106:E106"/>
    <mergeCell ref="F106:H106"/>
    <mergeCell ref="A155:H155"/>
    <mergeCell ref="A114:B114"/>
    <mergeCell ref="A164:B164"/>
    <mergeCell ref="A109:B109"/>
    <mergeCell ref="A193:H193"/>
    <mergeCell ref="A112:H112"/>
    <mergeCell ref="A196:H196"/>
    <mergeCell ref="A194:H194"/>
    <mergeCell ref="B183:H183"/>
    <mergeCell ref="B184:H184"/>
    <mergeCell ref="G174:H174"/>
    <mergeCell ref="G172:H172"/>
    <mergeCell ref="A179:H179"/>
    <mergeCell ref="A171:B171"/>
    <mergeCell ref="A191:H191"/>
    <mergeCell ref="E113:F113"/>
    <mergeCell ref="B188:H188"/>
    <mergeCell ref="G124:H124"/>
    <mergeCell ref="G122:H122"/>
    <mergeCell ref="G123:H123"/>
    <mergeCell ref="G125:H125"/>
    <mergeCell ref="B186:H186"/>
    <mergeCell ref="B182:H182"/>
    <mergeCell ref="A176:B176"/>
    <mergeCell ref="G176:H176"/>
    <mergeCell ref="G175:H175"/>
    <mergeCell ref="A173:H173"/>
    <mergeCell ref="A174:B174"/>
    <mergeCell ref="A175:B175"/>
    <mergeCell ref="A178:B178"/>
    <mergeCell ref="G178:H178"/>
    <mergeCell ref="A177:B177"/>
    <mergeCell ref="A117:H117"/>
    <mergeCell ref="G158:H158"/>
    <mergeCell ref="G177:H177"/>
    <mergeCell ref="B180:H180"/>
    <mergeCell ref="B181:H181"/>
    <mergeCell ref="G114:H114"/>
    <mergeCell ref="G52:H52"/>
    <mergeCell ref="C51:H51"/>
    <mergeCell ref="F101:H101"/>
    <mergeCell ref="A63:C63"/>
    <mergeCell ref="D63:H63"/>
    <mergeCell ref="A64:C64"/>
    <mergeCell ref="D64:H64"/>
    <mergeCell ref="A70:B70"/>
    <mergeCell ref="G69:H69"/>
    <mergeCell ref="G83:H83"/>
    <mergeCell ref="A100:E100"/>
    <mergeCell ref="F100:H100"/>
    <mergeCell ref="A97:E97"/>
    <mergeCell ref="A94:E94"/>
    <mergeCell ref="F98:H98"/>
    <mergeCell ref="A99:E99"/>
    <mergeCell ref="A77:B77"/>
    <mergeCell ref="A82:B82"/>
    <mergeCell ref="C82:H82"/>
    <mergeCell ref="A83:B83"/>
    <mergeCell ref="E83:F83"/>
    <mergeCell ref="D55:H55"/>
    <mergeCell ref="A95:E95"/>
    <mergeCell ref="A84:B84"/>
    <mergeCell ref="A195:H195"/>
    <mergeCell ref="A192:H192"/>
    <mergeCell ref="G171:H171"/>
    <mergeCell ref="A156:B156"/>
    <mergeCell ref="A113:B113"/>
    <mergeCell ref="G127:H127"/>
    <mergeCell ref="A88:B88"/>
    <mergeCell ref="A89:B89"/>
    <mergeCell ref="A90:B90"/>
    <mergeCell ref="F95:H95"/>
    <mergeCell ref="G109:H109"/>
    <mergeCell ref="C108:D108"/>
    <mergeCell ref="G169:H169"/>
    <mergeCell ref="F104:H104"/>
    <mergeCell ref="F102:H102"/>
    <mergeCell ref="A163:B163"/>
    <mergeCell ref="A118:H118"/>
    <mergeCell ref="G108:H108"/>
    <mergeCell ref="A103:E103"/>
    <mergeCell ref="C109:D109"/>
    <mergeCell ref="E109:F109"/>
    <mergeCell ref="G157:H157"/>
    <mergeCell ref="G148:H148"/>
    <mergeCell ref="A190:H190"/>
    <mergeCell ref="L147:M147"/>
    <mergeCell ref="A16:B16"/>
    <mergeCell ref="C16:H16"/>
    <mergeCell ref="E41:H41"/>
    <mergeCell ref="A41:D41"/>
    <mergeCell ref="A80:B80"/>
    <mergeCell ref="C80:H80"/>
    <mergeCell ref="A75:B75"/>
    <mergeCell ref="A48:B48"/>
    <mergeCell ref="C48:E48"/>
    <mergeCell ref="G48:H48"/>
    <mergeCell ref="G50:H50"/>
    <mergeCell ref="D54:H54"/>
    <mergeCell ref="C50:E50"/>
    <mergeCell ref="A57:C58"/>
    <mergeCell ref="D57:H57"/>
    <mergeCell ref="D58:H58"/>
    <mergeCell ref="C49:E49"/>
    <mergeCell ref="A52:B52"/>
    <mergeCell ref="C52:E52"/>
    <mergeCell ref="A49:B49"/>
    <mergeCell ref="A53:H53"/>
    <mergeCell ref="A54:C54"/>
    <mergeCell ref="A55:C55"/>
  </mergeCells>
  <hyperlinks>
    <hyperlink ref="I112" r:id="rId1"/>
    <hyperlink ref="I113" r:id="rId2"/>
    <hyperlink ref="C38" r:id="rId3"/>
  </hyperlinks>
  <printOptions horizontalCentered="1"/>
  <pageMargins left="0.39370078740157499" right="0.39370078740157499" top="0.82677165354330695" bottom="0.78740157480314998" header="0.15748031496063" footer="0.196850393700787"/>
  <pageSetup paperSize="2" fitToHeight="0" orientation="portrait" r:id="rId4"/>
  <headerFooter>
    <oddHeader>&amp;C&amp;G</oddHeader>
    <oddFooter>&amp;L&amp;"Times New Roman,Bold"&amp;12Ref No: &amp;F&amp;C&amp;G&amp;R&amp;"Times New Roman,Bold"&amp;12&amp;P</oddFooter>
  </headerFooter>
  <rowBreaks count="4" manualBreakCount="4">
    <brk id="65" max="16383" man="1"/>
    <brk id="201" max="16383" man="1"/>
    <brk id="244" max="16383" man="1"/>
    <brk id="276" max="16383" man="1"/>
  </rowBreaks>
  <drawing r:id="rId5"/>
  <legacyDrawingHF r:id="rId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I16"/>
  <sheetViews>
    <sheetView zoomScale="85" zoomScaleNormal="85" workbookViewId="0">
      <selection activeCell="C20" sqref="C20"/>
    </sheetView>
  </sheetViews>
  <sheetFormatPr defaultColWidth="8.7265625" defaultRowHeight="14.5" x14ac:dyDescent="0.35"/>
  <cols>
    <col min="1" max="1" width="8.7265625" style="1"/>
    <col min="2" max="2" width="22.1796875" style="1" customWidth="1"/>
    <col min="3" max="3" width="37" style="1" customWidth="1"/>
    <col min="4" max="5" width="11.453125" style="1" customWidth="1"/>
    <col min="6" max="6" width="14" style="1" customWidth="1"/>
    <col min="7" max="7" width="20" style="1" customWidth="1"/>
    <col min="8" max="8" width="16.453125" style="1" customWidth="1"/>
    <col min="9" max="16384" width="8.7265625" style="1"/>
  </cols>
  <sheetData>
    <row r="1" spans="1:9" ht="15" customHeight="1" x14ac:dyDescent="0.35"/>
    <row r="2" spans="1:9" ht="15" customHeight="1" x14ac:dyDescent="0.35">
      <c r="A2" s="2"/>
      <c r="B2" s="2"/>
      <c r="C2" s="2"/>
      <c r="D2" s="2"/>
      <c r="E2" s="2"/>
      <c r="F2" s="2"/>
      <c r="G2" s="2"/>
      <c r="H2" s="2"/>
    </row>
    <row r="3" spans="1:9" ht="15.75" customHeight="1" x14ac:dyDescent="0.35">
      <c r="A3" s="2"/>
      <c r="B3" s="199" t="s">
        <v>113</v>
      </c>
      <c r="C3" s="199"/>
      <c r="D3" s="199"/>
      <c r="E3" s="199"/>
      <c r="F3" s="199"/>
      <c r="G3" s="199"/>
      <c r="H3" s="199"/>
    </row>
    <row r="4" spans="1:9" x14ac:dyDescent="0.35">
      <c r="A4" s="2"/>
      <c r="B4" s="3" t="s">
        <v>114</v>
      </c>
      <c r="C4" s="3" t="s">
        <v>115</v>
      </c>
      <c r="D4" s="3" t="s">
        <v>73</v>
      </c>
      <c r="E4" s="3" t="s">
        <v>116</v>
      </c>
      <c r="F4" s="3" t="s">
        <v>122</v>
      </c>
      <c r="G4" s="3" t="s">
        <v>123</v>
      </c>
      <c r="H4" s="3" t="s">
        <v>117</v>
      </c>
    </row>
    <row r="5" spans="1:9" ht="15" customHeight="1" x14ac:dyDescent="0.35">
      <c r="A5" s="2"/>
      <c r="B5" s="5" t="s">
        <v>118</v>
      </c>
      <c r="C5" s="6"/>
      <c r="D5" s="5"/>
      <c r="E5" s="5"/>
      <c r="F5" s="7">
        <f>E5*1.6</f>
        <v>0</v>
      </c>
      <c r="G5" s="7" t="e">
        <f>H5/F5</f>
        <v>#DIV/0!</v>
      </c>
      <c r="H5" s="8"/>
    </row>
    <row r="6" spans="1:9" x14ac:dyDescent="0.35">
      <c r="A6" s="2"/>
      <c r="B6" s="5" t="s">
        <v>118</v>
      </c>
      <c r="C6" s="9"/>
      <c r="D6" s="5"/>
      <c r="E6" s="5"/>
      <c r="F6" s="7">
        <f t="shared" ref="F6:F11" si="0">E6*1.6</f>
        <v>0</v>
      </c>
      <c r="G6" s="7" t="e">
        <f t="shared" ref="G6:G11" si="1">H6/F6</f>
        <v>#DIV/0!</v>
      </c>
      <c r="H6" s="8"/>
    </row>
    <row r="7" spans="1:9" ht="15" customHeight="1" x14ac:dyDescent="0.35">
      <c r="A7" s="2"/>
      <c r="B7" s="5" t="s">
        <v>118</v>
      </c>
      <c r="C7" s="6"/>
      <c r="D7" s="5"/>
      <c r="E7" s="5"/>
      <c r="F7" s="7">
        <f t="shared" si="0"/>
        <v>0</v>
      </c>
      <c r="G7" s="7" t="e">
        <f t="shared" si="1"/>
        <v>#DIV/0!</v>
      </c>
      <c r="H7" s="8"/>
    </row>
    <row r="8" spans="1:9" x14ac:dyDescent="0.35">
      <c r="A8" s="2"/>
      <c r="B8" s="5" t="s">
        <v>118</v>
      </c>
      <c r="C8" s="9"/>
      <c r="D8" s="5"/>
      <c r="E8" s="5"/>
      <c r="F8" s="7">
        <f t="shared" si="0"/>
        <v>0</v>
      </c>
      <c r="G8" s="7" t="e">
        <f t="shared" si="1"/>
        <v>#DIV/0!</v>
      </c>
      <c r="H8" s="8"/>
    </row>
    <row r="9" spans="1:9" ht="15" customHeight="1" x14ac:dyDescent="0.35">
      <c r="A9" s="2"/>
      <c r="B9" s="5" t="s">
        <v>118</v>
      </c>
      <c r="C9" s="9"/>
      <c r="D9" s="5"/>
      <c r="E9" s="5"/>
      <c r="F9" s="7">
        <f t="shared" si="0"/>
        <v>0</v>
      </c>
      <c r="G9" s="7" t="e">
        <f t="shared" si="1"/>
        <v>#DIV/0!</v>
      </c>
      <c r="H9" s="8"/>
    </row>
    <row r="10" spans="1:9" ht="15" customHeight="1" x14ac:dyDescent="0.35">
      <c r="A10" s="2"/>
      <c r="B10" s="5" t="s">
        <v>119</v>
      </c>
      <c r="C10" s="6"/>
      <c r="D10" s="5"/>
      <c r="E10" s="5"/>
      <c r="F10" s="7">
        <f t="shared" si="0"/>
        <v>0</v>
      </c>
      <c r="G10" s="7" t="e">
        <f t="shared" si="1"/>
        <v>#DIV/0!</v>
      </c>
      <c r="H10" s="8"/>
    </row>
    <row r="11" spans="1:9" ht="15" customHeight="1" x14ac:dyDescent="0.35">
      <c r="A11" s="2"/>
      <c r="B11" s="5" t="s">
        <v>119</v>
      </c>
      <c r="C11" s="6"/>
      <c r="D11" s="5"/>
      <c r="E11" s="5"/>
      <c r="F11" s="7">
        <f t="shared" si="0"/>
        <v>0</v>
      </c>
      <c r="G11" s="7" t="e">
        <f t="shared" si="1"/>
        <v>#DIV/0!</v>
      </c>
      <c r="H11" s="8"/>
    </row>
    <row r="12" spans="1:9" ht="15" customHeight="1" x14ac:dyDescent="0.35">
      <c r="A12" s="2"/>
      <c r="B12" s="10" t="s">
        <v>120</v>
      </c>
      <c r="C12" s="5"/>
      <c r="D12" s="5"/>
      <c r="E12" s="5"/>
      <c r="F12" s="5"/>
      <c r="G12" s="11" t="e">
        <f>AVERAGE(G5:G11)</f>
        <v>#DIV/0!</v>
      </c>
      <c r="H12" s="5"/>
    </row>
    <row r="13" spans="1:9" ht="15" customHeight="1" x14ac:dyDescent="0.35">
      <c r="B13" s="10" t="s">
        <v>121</v>
      </c>
      <c r="C13" s="5"/>
      <c r="D13" s="5"/>
      <c r="E13" s="5"/>
      <c r="F13" s="12"/>
      <c r="G13" s="10"/>
      <c r="H13" s="10"/>
      <c r="I13" s="4"/>
    </row>
    <row r="14" spans="1:9" ht="15" customHeight="1" x14ac:dyDescent="0.35"/>
    <row r="15" spans="1:9" ht="15" customHeight="1" x14ac:dyDescent="0.35"/>
    <row r="16" spans="1:9" ht="15" customHeight="1" x14ac:dyDescent="0.35"/>
  </sheetData>
  <mergeCells count="1">
    <mergeCell ref="B3:H3"/>
  </mergeCells>
  <pageMargins left="0.7" right="0.7" top="0.75" bottom="0.75" header="0.3" footer="0.3"/>
  <pageSetup orientation="portrait" horizontalDpi="300" verticalDpi="3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"/>
  <sheetViews>
    <sheetView zoomScale="70" zoomScaleNormal="70" workbookViewId="0">
      <selection activeCell="E24" sqref="E24"/>
    </sheetView>
  </sheetViews>
  <sheetFormatPr defaultRowHeight="14.5" x14ac:dyDescent="0.3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3</vt:i4>
      </vt:variant>
      <vt:variant>
        <vt:lpstr>Named Ranges</vt:lpstr>
      </vt:variant>
      <vt:variant>
        <vt:i4>1</vt:i4>
      </vt:variant>
    </vt:vector>
  </HeadingPairs>
  <TitlesOfParts>
    <vt:vector size="4" baseType="lpstr">
      <vt:lpstr>Report</vt:lpstr>
      <vt:lpstr>valuation</vt:lpstr>
      <vt:lpstr>Note</vt:lpstr>
      <vt:lpstr>Report!Print_Area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Windows User</dc:creator>
  <cp:lastModifiedBy>Hp Elitebook 840 G6</cp:lastModifiedBy>
  <cp:lastPrinted>2025-08-18T07:01:49Z</cp:lastPrinted>
  <dcterms:created xsi:type="dcterms:W3CDTF">2019-07-16T09:29:46Z</dcterms:created>
  <dcterms:modified xsi:type="dcterms:W3CDTF">2025-08-18T07:04:20Z</dcterms:modified>
</cp:coreProperties>
</file>