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C14" i="1" l="1"/>
  <c r="D54" i="1"/>
  <c r="D167" i="1"/>
  <c r="F167" i="1" s="1"/>
  <c r="D166" i="1"/>
  <c r="F166" i="1" s="1"/>
  <c r="D164" i="1"/>
  <c r="F164" i="1" s="1"/>
  <c r="D163" i="1"/>
  <c r="F163" i="1" s="1"/>
  <c r="D160" i="1"/>
  <c r="D161" i="1"/>
  <c r="D158" i="1"/>
  <c r="D159" i="1"/>
  <c r="D157" i="1"/>
  <c r="D153" i="1"/>
  <c r="F153" i="1" s="1"/>
  <c r="D152" i="1"/>
  <c r="D150" i="1"/>
  <c r="D149" i="1"/>
  <c r="D147" i="1"/>
  <c r="F147" i="1" s="1"/>
  <c r="J147" i="1"/>
  <c r="D146" i="1"/>
  <c r="D145" i="1"/>
  <c r="D144" i="1"/>
  <c r="D143" i="1"/>
  <c r="G50" i="1"/>
  <c r="G49" i="1"/>
  <c r="C49" i="1"/>
  <c r="E43" i="1"/>
  <c r="E42" i="1" s="1"/>
  <c r="E3" i="1"/>
  <c r="K7" i="1"/>
  <c r="E116" i="1" l="1"/>
  <c r="C117" i="1"/>
  <c r="E117" i="1"/>
  <c r="C116" i="1"/>
  <c r="G149" i="1"/>
  <c r="K48" i="1"/>
  <c r="E118" i="1" l="1"/>
  <c r="C118" i="1"/>
  <c r="I157" i="1"/>
  <c r="C82" i="1"/>
  <c r="F161" i="1" l="1"/>
  <c r="F160" i="1"/>
  <c r="F159" i="1"/>
  <c r="F158" i="1"/>
  <c r="F152" i="1"/>
  <c r="F150" i="1"/>
  <c r="G163" i="1"/>
  <c r="G157" i="1"/>
  <c r="G143" i="1"/>
  <c r="A150" i="1"/>
  <c r="A151" i="1" s="1"/>
  <c r="A152" i="1" s="1"/>
  <c r="F149" i="1" l="1"/>
  <c r="F157" i="1"/>
  <c r="G117" i="1" s="1"/>
  <c r="J93" i="1" l="1"/>
  <c r="J92" i="1"/>
  <c r="J91" i="1"/>
  <c r="J90" i="1"/>
  <c r="F146" i="1" l="1"/>
  <c r="F145" i="1"/>
  <c r="F143" i="1"/>
  <c r="F136" i="1"/>
  <c r="F135" i="1"/>
  <c r="F134" i="1"/>
  <c r="F133" i="1"/>
  <c r="F132" i="1"/>
  <c r="F131" i="1"/>
  <c r="F130" i="1"/>
  <c r="F129" i="1"/>
  <c r="F128" i="1"/>
  <c r="F144" i="1" l="1"/>
  <c r="G116" i="1" s="1"/>
  <c r="G118" i="1" s="1"/>
  <c r="E113" i="1"/>
  <c r="C113" i="1" l="1"/>
  <c r="E29" i="1"/>
  <c r="F108" i="1" l="1"/>
  <c r="F125" i="1" l="1"/>
  <c r="F126" i="1"/>
  <c r="F127" i="1"/>
  <c r="F124" i="1"/>
  <c r="G113" i="1" l="1"/>
  <c r="B17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2" i="1"/>
  <c r="G124" i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J77" i="1"/>
  <c r="E26" i="1"/>
  <c r="E24" i="1"/>
  <c r="E7" i="1"/>
  <c r="H67" i="1"/>
  <c r="D79" i="1" l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4" i="1" s="1"/>
  <c r="J75" i="1" s="1"/>
  <c r="J76" i="1" s="1"/>
  <c r="D72" i="1"/>
  <c r="J68" i="1"/>
  <c r="D70" i="1"/>
  <c r="H83" i="1"/>
  <c r="D90" i="1" l="1"/>
  <c r="D91" i="1"/>
  <c r="J85" i="1"/>
  <c r="D95" i="1"/>
  <c r="D89" i="1"/>
  <c r="J87" i="1"/>
  <c r="C86" i="1" s="1"/>
  <c r="J88" i="1"/>
  <c r="D94" i="1"/>
  <c r="D88" i="1"/>
  <c r="D93" i="1"/>
  <c r="J86" i="1"/>
  <c r="J82" i="1"/>
  <c r="J84" i="1" s="1"/>
  <c r="D92" i="1"/>
  <c r="J78" i="1"/>
  <c r="J79" i="1" s="1"/>
  <c r="C71" i="1" s="1"/>
  <c r="D71" i="1" s="1"/>
  <c r="I67" i="1" s="1"/>
  <c r="J67" i="1" l="1"/>
  <c r="G70" i="1"/>
  <c r="D64" i="1" s="1"/>
  <c r="F65" i="1" s="1"/>
  <c r="E70" i="1"/>
  <c r="D86" i="1"/>
  <c r="J89" i="1"/>
  <c r="J94" i="1" s="1"/>
  <c r="J95" i="1" s="1"/>
  <c r="C87" i="1" s="1"/>
  <c r="D87" i="1" s="1"/>
  <c r="I68" i="1"/>
  <c r="G86" i="1" l="1"/>
  <c r="I83" i="1"/>
  <c r="I84" i="1" s="1"/>
  <c r="D65" i="1"/>
  <c r="I66" i="1"/>
  <c r="C68" i="1" s="1"/>
  <c r="E86" i="1"/>
  <c r="J83" i="1"/>
  <c r="I82" i="1" l="1"/>
  <c r="C84" i="1" s="1"/>
</calcChain>
</file>

<file path=xl/sharedStrings.xml><?xml version="1.0" encoding="utf-8"?>
<sst xmlns="http://schemas.openxmlformats.org/spreadsheetml/2006/main" count="361" uniqueCount="240">
  <si>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</si>
  <si>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</si>
  <si>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</si>
  <si>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</si>
  <si>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</si>
  <si>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</si>
  <si>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</si>
  <si>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</si>
  <si>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</si>
  <si>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</si>
  <si>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</si>
  <si>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</si>
  <si>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</si>
  <si>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</si>
  <si>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</si>
  <si>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</si>
  <si>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</si>
  <si>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</si>
  <si>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</si>
  <si>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</si>
  <si>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</si>
  <si>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</si>
  <si>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</si>
  <si>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</si>
  <si>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</si>
  <si>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</si>
  <si>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</si>
  <si>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</si>
  <si>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</si>
  <si>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</si>
  <si>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</si>
  <si>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</si>
  <si>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</si>
  <si>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</si>
  <si>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</si>
  <si>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</si>
  <si>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</si>
  <si>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</si>
  <si>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</si>
  <si>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</si>
  <si>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</si>
  <si>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</si>
  <si>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</si>
  <si>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</si>
  <si>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</si>
  <si>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</si>
  <si>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</si>
  <si>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</si>
  <si>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</si>
  <si>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</si>
  <si>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</si>
  <si>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</si>
  <si>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</si>
  <si>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</si>
  <si>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</si>
  <si>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</si>
  <si>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</si>
  <si>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</si>
  <si>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</si>
  <si>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</si>
  <si>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</si>
  <si>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</si>
  <si>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</si>
  <si>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</si>
  <si>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</si>
  <si>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</si>
  <si>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</si>
  <si>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</si>
  <si>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</si>
  <si>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</si>
  <si>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</si>
  <si>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</si>
  <si>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</si>
  <si>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</si>
  <si>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</si>
  <si>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</si>
  <si>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</si>
  <si>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</si>
  <si>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</si>
  <si>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</si>
  <si>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</si>
  <si>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</si>
  <si>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</si>
  <si>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</si>
  <si>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</si>
  <si>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</si>
  <si>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</si>
  <si>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</si>
  <si>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</si>
  <si>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</si>
  <si>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</si>
  <si>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</si>
  <si>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</si>
  <si>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</si>
  <si>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</si>
  <si>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</si>
  <si>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</si>
  <si>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</si>
  <si>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</si>
  <si>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</si>
  <si>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</si>
  <si>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</si>
  <si>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</si>
  <si>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</si>
  <si>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</si>
  <si>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</si>
  <si>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</si>
  <si>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</si>
  <si>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</si>
  <si>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</si>
  <si>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</si>
  <si>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</si>
  <si>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</si>
  <si>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</si>
  <si>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</si>
  <si>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</si>
  <si>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</si>
  <si>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</si>
  <si>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</si>
  <si>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</si>
  <si>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</si>
  <si>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</si>
  <si>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</si>
  <si>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</si>
  <si>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</si>
  <si>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</si>
  <si>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</si>
  <si>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</si>
  <si>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</si>
  <si>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</si>
  <si>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</si>
  <si>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</si>
  <si>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</si>
  <si>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</si>
  <si>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</si>
  <si>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</si>
  <si>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</si>
  <si>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</si>
  <si>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</si>
  <si>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</si>
  <si>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</si>
  <si>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</si>
  <si>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</si>
  <si>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</si>
  <si>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</si>
  <si>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</si>
  <si>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</si>
  <si>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</si>
  <si>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</si>
  <si>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</si>
  <si>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</si>
  <si>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</si>
  <si>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</si>
  <si>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</si>
  <si>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</si>
  <si>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</si>
  <si>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</si>
  <si>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</si>
  <si>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</si>
  <si>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</si>
  <si>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</si>
  <si>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</si>
  <si>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</si>
  <si>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</si>
  <si>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</si>
  <si>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</si>
  <si>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</si>
  <si>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</si>
  <si>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</si>
  <si>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Axis Goregaon</t>
  </si>
  <si>
    <t>Bolinj</t>
  </si>
  <si>
    <t>Vasai</t>
  </si>
  <si>
    <t>Palghar</t>
  </si>
  <si>
    <t>Intarnal Road</t>
  </si>
  <si>
    <t>Virar West</t>
  </si>
  <si>
    <t>1.6KM from Virar Railway Station</t>
  </si>
  <si>
    <t>Vasai Virar City Municipal Corporation</t>
  </si>
  <si>
    <t>Navnath Bhatkar</t>
  </si>
  <si>
    <t>Shop</t>
  </si>
  <si>
    <t>1BHK</t>
  </si>
  <si>
    <t>2BHK</t>
  </si>
  <si>
    <t>165, Hissa No. 1/A, 1/B, 2,3,4,5,6,7,8,9,10;165/11/12/13 and others New Survey No. 165/B/1, 165/B/2, 165/B/3, 165/B/4 and others.</t>
  </si>
  <si>
    <t>Ground Floor For Commercial</t>
  </si>
  <si>
    <t>Approved Plans, CC, Sale Plans.</t>
  </si>
  <si>
    <t>5200 to 5800</t>
  </si>
  <si>
    <t>Rakesh</t>
  </si>
  <si>
    <t>Cost Sheet</t>
  </si>
  <si>
    <t>Development Charges, Society Formation Charges, Legal Charges, Water, Electricity, Drainages, Sewerage Connection</t>
  </si>
  <si>
    <t xml:space="preserve">Building No. 7A = P99000045609
Building No. 7B = P99000031046
</t>
  </si>
  <si>
    <t>Provided Contact Details ( Name &amp; Contact No.)</t>
  </si>
  <si>
    <t>https://goo.gl/maps/EfmZVtcoE8oPKt4n8</t>
  </si>
  <si>
    <t>Vinay Unique Residency Building No 2 &amp; 5</t>
  </si>
  <si>
    <t xml:space="preserve">Building No. 7A &amp; 7B
</t>
  </si>
  <si>
    <t>02 Buildings</t>
  </si>
  <si>
    <t>Building No. 7A</t>
  </si>
  <si>
    <t>Chajja is not Taken</t>
  </si>
  <si>
    <t>Refuge Area</t>
  </si>
  <si>
    <t>8th &amp; 12th Floor (Part Refuge Area)</t>
  </si>
  <si>
    <t>Building No. 7B</t>
  </si>
  <si>
    <t>Layout :</t>
  </si>
  <si>
    <t>MHADA</t>
  </si>
  <si>
    <t>Sale</t>
  </si>
  <si>
    <t>-</t>
  </si>
  <si>
    <t>Office No. 1031, Wing J, Akshar Business Park, Plot No. 03 Sector 25, Near APMC Market, 
Vashi, Navi Mumbai, Maharashtra 400703 TEL: 022-46090378/79/8
E mail : vsjcapf@gmail.com. Web site : www.vsjadon.com</t>
  </si>
  <si>
    <t>Old Survey No</t>
  </si>
  <si>
    <t>M/s. Jasamrit Estates Pvt Ltd</t>
  </si>
  <si>
    <t>As per Layout</t>
  </si>
  <si>
    <t>VVCMC/TP/AMEND/VP/0607/631/2022-23</t>
  </si>
  <si>
    <t>VVCMC/TP/RDP/VP-0607/631/2022-23</t>
  </si>
  <si>
    <t xml:space="preserve">Building No. 7A &amp; 7B = Stilt +1st to 17th Floor
</t>
  </si>
  <si>
    <t>Building No. 7B = Stilt + 1st to 17th Floor</t>
  </si>
  <si>
    <t>Building No. 7A = Stilt + 1st to 17th Floor</t>
  </si>
  <si>
    <t>Building No. 7A &amp; 7B = Stilt + 1st to 17th Floor</t>
  </si>
  <si>
    <t>Vitrified tiles flooring, Kitchen Platform, Decorative Entrance, Etc.</t>
  </si>
  <si>
    <t xml:space="preserve">Details of Residential in Building   </t>
  </si>
  <si>
    <t>Ground Floor For Parking, Society Office, Entrance Lobby &amp; Meter Room</t>
  </si>
  <si>
    <t>1st to 7th, 9th to 11th, 13th to 17th Floor For Residential</t>
  </si>
  <si>
    <t>Flats = 166</t>
  </si>
  <si>
    <t>Nalla</t>
  </si>
  <si>
    <t>Building No. 9</t>
  </si>
  <si>
    <t>Building No. 2</t>
  </si>
  <si>
    <t>Vinay Unique Building No. 2</t>
  </si>
  <si>
    <t>Rd/Vinay Unique Building No. 9</t>
  </si>
  <si>
    <t>Vinay Unique Residency Building No. 7A &amp; 7B</t>
  </si>
  <si>
    <t>We have updated approved layout plan, floor plan &amp; CC (on 28/08/2023).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</si>
  <si>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</si>
  <si>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We considered Gross carpet area = Net carpet + Enclosed Balcony </t>
  </si>
  <si>
    <t>Nalla is on west &amp; North side of the project.</t>
  </si>
  <si>
    <t>5800 to 5850 &amp;1.5L charges+</t>
  </si>
  <si>
    <t>nikhil</t>
  </si>
  <si>
    <t>costsheet</t>
  </si>
  <si>
    <t>As per RERA : 
Building No. 7A = Completed
Building No. 7B = Completed</t>
  </si>
  <si>
    <t>Building No.7A &amp; 7B = All work Completed. Please provide OC.</t>
  </si>
  <si>
    <t xml:space="preserve">5850 to 6500 </t>
  </si>
  <si>
    <t>by trupti matching other report rate on 11/12/2024.</t>
  </si>
  <si>
    <t>6500 to 6700 by trupti on 17/12/2024</t>
  </si>
  <si>
    <t>Recommended Rates/Other Charges of the Property have been revised on 11/12/2024 &amp; 17/12/2024.</t>
  </si>
  <si>
    <t>Salim 7507605070</t>
  </si>
  <si>
    <t>Mr. Vivek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</si>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</sst>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7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6" xfId="1" applyFont="1" applyFill="1" applyBorder="1"/>
    <xf numFmtId="0" fontId="17" fillId="0" borderId="6" xfId="0" applyNumberFormat="1" applyFont="1" applyFill="1" applyBorder="1" applyProtection="1">
      <protection hidden="1"/>
    </xf>
    <xf numFmtId="1" fontId="0" fillId="0" borderId="6" xfId="0" applyNumberFormat="1" applyFill="1" applyBorder="1"/>
    <xf numFmtId="1" fontId="0" fillId="0" borderId="6" xfId="0" applyNumberFormat="1" applyFill="1" applyBorder="1" applyAlignment="1">
      <alignment horizontal="right"/>
    </xf>
    <xf numFmtId="1" fontId="0" fillId="0" borderId="8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0" xfId="1" applyFont="1" applyFill="1" applyAlignment="1">
      <alignment horizontal="center" vertical="center"/>
    </xf>
    <xf numFmtId="0" fontId="25" fillId="0" borderId="19" xfId="0" applyFont="1" applyFill="1" applyBorder="1"/>
    <xf numFmtId="0" fontId="25" fillId="0" borderId="3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vertical="top"/>
    </xf>
    <xf numFmtId="0" fontId="7" fillId="0" borderId="0" xfId="1" applyFont="1" applyFill="1" applyAlignment="1">
      <alignment horizontal="center" vertical="center"/>
    </xf>
    <xf numFmtId="0" fontId="16" fillId="2" borderId="0" xfId="1" applyFont="1" applyFill="1"/>
    <xf numFmtId="14" fontId="16" fillId="2" borderId="0" xfId="1" applyNumberFormat="1" applyFont="1" applyFill="1"/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24" fillId="2" borderId="9" xfId="0" applyFont="1" applyFill="1" applyBorder="1"/>
    <xf numFmtId="0" fontId="25" fillId="0" borderId="5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15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 vertical="top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0" xfId="1" applyNumberFormat="1" applyFont="1" applyFill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0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0" xfId="1" applyFont="1" applyFill="1" applyBorder="1" applyAlignment="1" applyProtection="1">
      <alignment horizontal="left" vertical="top"/>
      <protection locked="0"/>
    </xf>
    <xf numFmtId="2" fontId="6" fillId="0" borderId="10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14" fontId="6" fillId="0" borderId="4" xfId="1" applyNumberFormat="1" applyFont="1" applyFill="1" applyBorder="1" applyAlignment="1" applyProtection="1">
      <alignment horizontal="left" vertical="top" wrapText="1"/>
      <protection locked="0"/>
    </xf>
    <xf numFmtId="0" fontId="6" fillId="0" borderId="11" xfId="1" applyFont="1" applyFill="1" applyBorder="1" applyAlignment="1" applyProtection="1">
      <alignment horizontal="left" vertical="top" wrapText="1"/>
      <protection locked="0"/>
    </xf>
    <xf numFmtId="0" fontId="6" fillId="0" borderId="12" xfId="1" applyFont="1" applyFill="1" applyBorder="1" applyAlignment="1" applyProtection="1">
      <alignment horizontal="left" vertical="top" wrapText="1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4" xfId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15" xfId="1" applyFont="1" applyFill="1" applyBorder="1" applyAlignment="1" applyProtection="1">
      <alignment horizontal="left" vertical="top"/>
      <protection locked="0"/>
    </xf>
    <xf numFmtId="0" fontId="10" fillId="0" borderId="5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10" fillId="0" borderId="4" xfId="0" applyNumberFormat="1" applyFont="1" applyFill="1" applyBorder="1" applyAlignment="1" applyProtection="1">
      <alignment vertical="top" wrapText="1"/>
      <protection locked="0"/>
    </xf>
    <xf numFmtId="1" fontId="10" fillId="0" borderId="15" xfId="0" applyNumberFormat="1" applyFont="1" applyFill="1" applyBorder="1" applyAlignment="1" applyProtection="1">
      <alignment vertical="top" wrapText="1"/>
      <protection locked="0"/>
    </xf>
    <xf numFmtId="1" fontId="10" fillId="0" borderId="5" xfId="0" applyNumberFormat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vertical="top"/>
      <protection locked="0"/>
    </xf>
    <xf numFmtId="0" fontId="8" fillId="0" borderId="15" xfId="1" applyFont="1" applyFill="1" applyBorder="1" applyAlignment="1" applyProtection="1">
      <alignment vertical="top"/>
      <protection locked="0"/>
    </xf>
    <xf numFmtId="0" fontId="8" fillId="0" borderId="5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1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273</xdr:row>
      <xdr:rowOff>43962</xdr:rowOff>
    </xdr:from>
    <xdr:to>
      <xdr:col>7</xdr:col>
      <xdr:colOff>301689</xdr:colOff>
      <xdr:row>291</xdr:row>
      <xdr:rowOff>44380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53530500"/>
          <a:ext cx="5409287" cy="35613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600075</xdr:colOff>
      <xdr:row>291</xdr:row>
      <xdr:rowOff>198767</xdr:rowOff>
    </xdr:from>
    <xdr:to>
      <xdr:col>7</xdr:col>
      <xdr:colOff>301689</xdr:colOff>
      <xdr:row>310</xdr:row>
      <xdr:rowOff>490</xdr:rowOff>
    </xdr:to>
    <xdr:pic>
      <xdr:nvPicPr>
        <xdr:cNvPr id="30" name="Picture 29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62548296"/>
          <a:ext cx="5831232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414937</xdr:colOff>
      <xdr:row>299</xdr:row>
      <xdr:rowOff>175798</xdr:rowOff>
    </xdr:from>
    <xdr:to>
      <xdr:col>2</xdr:col>
      <xdr:colOff>904806</xdr:colOff>
      <xdr:row>300</xdr:row>
      <xdr:rowOff>197570</xdr:rowOff>
    </xdr:to>
    <xdr:sp macro="" textlink="">
      <xdr:nvSpPr>
        <xdr:cNvPr id="2" name="Rectangle 1"/>
        <xdr:cNvSpPr/>
      </xdr:nvSpPr>
      <xdr:spPr>
        <a:xfrm rot="18984823">
          <a:off x="2096780" y="64047727"/>
          <a:ext cx="489869" cy="22315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219648</xdr:colOff>
      <xdr:row>301</xdr:row>
      <xdr:rowOff>23971</xdr:rowOff>
    </xdr:from>
    <xdr:to>
      <xdr:col>2</xdr:col>
      <xdr:colOff>442805</xdr:colOff>
      <xdr:row>303</xdr:row>
      <xdr:rowOff>34740</xdr:rowOff>
    </xdr:to>
    <xdr:sp macro="" textlink="">
      <xdr:nvSpPr>
        <xdr:cNvPr id="31" name="Rectangle 30"/>
        <xdr:cNvSpPr/>
      </xdr:nvSpPr>
      <xdr:spPr>
        <a:xfrm rot="17391323">
          <a:off x="1806300" y="64393862"/>
          <a:ext cx="413540" cy="22315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605118</xdr:colOff>
      <xdr:row>293</xdr:row>
      <xdr:rowOff>123265</xdr:rowOff>
    </xdr:from>
    <xdr:to>
      <xdr:col>6</xdr:col>
      <xdr:colOff>179295</xdr:colOff>
      <xdr:row>303</xdr:row>
      <xdr:rowOff>168090</xdr:rowOff>
    </xdr:to>
    <xdr:sp macro="" textlink="">
      <xdr:nvSpPr>
        <xdr:cNvPr id="6" name="Freeform 5"/>
        <xdr:cNvSpPr/>
      </xdr:nvSpPr>
      <xdr:spPr>
        <a:xfrm>
          <a:off x="1423147" y="62876206"/>
          <a:ext cx="4045324" cy="2061884"/>
        </a:xfrm>
        <a:custGeom>
          <a:avLst/>
          <a:gdLst>
            <a:gd name="connsiteX0" fmla="*/ 4000500 w 4000500"/>
            <a:gd name="connsiteY0" fmla="*/ 0 h 1994647"/>
            <a:gd name="connsiteX1" fmla="*/ 2532529 w 4000500"/>
            <a:gd name="connsiteY1" fmla="*/ 425824 h 1994647"/>
            <a:gd name="connsiteX2" fmla="*/ 1703294 w 4000500"/>
            <a:gd name="connsiteY2" fmla="*/ 403412 h 1994647"/>
            <a:gd name="connsiteX3" fmla="*/ 549088 w 4000500"/>
            <a:gd name="connsiteY3" fmla="*/ 1019735 h 1994647"/>
            <a:gd name="connsiteX4" fmla="*/ 0 w 4000500"/>
            <a:gd name="connsiteY4" fmla="*/ 1994647 h 19946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000500" h="1994647">
              <a:moveTo>
                <a:pt x="4000500" y="0"/>
              </a:moveTo>
              <a:cubicBezTo>
                <a:pt x="3457948" y="179294"/>
                <a:pt x="2915397" y="358589"/>
                <a:pt x="2532529" y="425824"/>
              </a:cubicBezTo>
              <a:cubicBezTo>
                <a:pt x="2149661" y="493059"/>
                <a:pt x="2033867" y="304427"/>
                <a:pt x="1703294" y="403412"/>
              </a:cubicBezTo>
              <a:cubicBezTo>
                <a:pt x="1372721" y="502397"/>
                <a:pt x="832970" y="754529"/>
                <a:pt x="549088" y="1019735"/>
              </a:cubicBezTo>
              <a:cubicBezTo>
                <a:pt x="265206" y="1284941"/>
                <a:pt x="72838" y="1834029"/>
                <a:pt x="0" y="1994647"/>
              </a:cubicBezTo>
            </a:path>
          </a:pathLst>
        </a:cu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638735</xdr:colOff>
      <xdr:row>292</xdr:row>
      <xdr:rowOff>112059</xdr:rowOff>
    </xdr:from>
    <xdr:to>
      <xdr:col>5</xdr:col>
      <xdr:colOff>806824</xdr:colOff>
      <xdr:row>299</xdr:row>
      <xdr:rowOff>82768</xdr:rowOff>
    </xdr:to>
    <xdr:sp macro="" textlink="">
      <xdr:nvSpPr>
        <xdr:cNvPr id="7" name="Freeform 6"/>
        <xdr:cNvSpPr/>
      </xdr:nvSpPr>
      <xdr:spPr>
        <a:xfrm>
          <a:off x="638735" y="62663294"/>
          <a:ext cx="4616824" cy="1382650"/>
        </a:xfrm>
        <a:custGeom>
          <a:avLst/>
          <a:gdLst>
            <a:gd name="connsiteX0" fmla="*/ 4773706 w 4773706"/>
            <a:gd name="connsiteY0" fmla="*/ 0 h 1405062"/>
            <a:gd name="connsiteX1" fmla="*/ 3350559 w 4773706"/>
            <a:gd name="connsiteY1" fmla="*/ 448236 h 1405062"/>
            <a:gd name="connsiteX2" fmla="*/ 2442883 w 4773706"/>
            <a:gd name="connsiteY2" fmla="*/ 448236 h 1405062"/>
            <a:gd name="connsiteX3" fmla="*/ 952500 w 4773706"/>
            <a:gd name="connsiteY3" fmla="*/ 1367118 h 1405062"/>
            <a:gd name="connsiteX4" fmla="*/ 717177 w 4773706"/>
            <a:gd name="connsiteY4" fmla="*/ 1210236 h 1405062"/>
            <a:gd name="connsiteX5" fmla="*/ 549089 w 4773706"/>
            <a:gd name="connsiteY5" fmla="*/ 1030942 h 1405062"/>
            <a:gd name="connsiteX6" fmla="*/ 0 w 4773706"/>
            <a:gd name="connsiteY6" fmla="*/ 997324 h 14050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773706" h="1405062">
              <a:moveTo>
                <a:pt x="4773706" y="0"/>
              </a:moveTo>
              <a:cubicBezTo>
                <a:pt x="4256367" y="186765"/>
                <a:pt x="3739029" y="373530"/>
                <a:pt x="3350559" y="448236"/>
              </a:cubicBezTo>
              <a:cubicBezTo>
                <a:pt x="2962089" y="522942"/>
                <a:pt x="2842559" y="295089"/>
                <a:pt x="2442883" y="448236"/>
              </a:cubicBezTo>
              <a:cubicBezTo>
                <a:pt x="2043207" y="601383"/>
                <a:pt x="1240118" y="1240118"/>
                <a:pt x="952500" y="1367118"/>
              </a:cubicBezTo>
              <a:cubicBezTo>
                <a:pt x="664882" y="1494118"/>
                <a:pt x="784412" y="1266265"/>
                <a:pt x="717177" y="1210236"/>
              </a:cubicBezTo>
              <a:cubicBezTo>
                <a:pt x="649942" y="1154207"/>
                <a:pt x="668618" y="1066427"/>
                <a:pt x="549089" y="1030942"/>
              </a:cubicBezTo>
              <a:cubicBezTo>
                <a:pt x="429559" y="995457"/>
                <a:pt x="209176" y="1197162"/>
                <a:pt x="0" y="997324"/>
              </a:cubicBezTo>
            </a:path>
          </a:pathLst>
        </a:cu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268942</xdr:colOff>
      <xdr:row>304</xdr:row>
      <xdr:rowOff>11206</xdr:rowOff>
    </xdr:from>
    <xdr:to>
      <xdr:col>1</xdr:col>
      <xdr:colOff>649942</xdr:colOff>
      <xdr:row>310</xdr:row>
      <xdr:rowOff>22412</xdr:rowOff>
    </xdr:to>
    <xdr:sp macro="" textlink="">
      <xdr:nvSpPr>
        <xdr:cNvPr id="10" name="Freeform 9"/>
        <xdr:cNvSpPr/>
      </xdr:nvSpPr>
      <xdr:spPr>
        <a:xfrm>
          <a:off x="1086971" y="64982912"/>
          <a:ext cx="381000" cy="1221441"/>
        </a:xfrm>
        <a:custGeom>
          <a:avLst/>
          <a:gdLst>
            <a:gd name="connsiteX0" fmla="*/ 428287 w 428287"/>
            <a:gd name="connsiteY0" fmla="*/ 0 h 1187823"/>
            <a:gd name="connsiteX1" fmla="*/ 47287 w 428287"/>
            <a:gd name="connsiteY1" fmla="*/ 1187823 h 1187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8287" h="1187823">
              <a:moveTo>
                <a:pt x="428287" y="0"/>
              </a:moveTo>
              <a:cubicBezTo>
                <a:pt x="158412" y="491191"/>
                <a:pt x="-111463" y="982382"/>
                <a:pt x="47287" y="1187823"/>
              </a:cubicBezTo>
            </a:path>
          </a:pathLst>
        </a:cu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6724</xdr:colOff>
      <xdr:row>303</xdr:row>
      <xdr:rowOff>107577</xdr:rowOff>
    </xdr:from>
    <xdr:to>
      <xdr:col>1</xdr:col>
      <xdr:colOff>387724</xdr:colOff>
      <xdr:row>310</xdr:row>
      <xdr:rowOff>29136</xdr:rowOff>
    </xdr:to>
    <xdr:sp macro="" textlink="">
      <xdr:nvSpPr>
        <xdr:cNvPr id="33" name="Freeform 32"/>
        <xdr:cNvSpPr/>
      </xdr:nvSpPr>
      <xdr:spPr>
        <a:xfrm>
          <a:off x="824753" y="64877577"/>
          <a:ext cx="381000" cy="1333500"/>
        </a:xfrm>
        <a:custGeom>
          <a:avLst/>
          <a:gdLst>
            <a:gd name="connsiteX0" fmla="*/ 428287 w 428287"/>
            <a:gd name="connsiteY0" fmla="*/ 0 h 1187823"/>
            <a:gd name="connsiteX1" fmla="*/ 47287 w 428287"/>
            <a:gd name="connsiteY1" fmla="*/ 1187823 h 1187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8287" h="1187823">
              <a:moveTo>
                <a:pt x="428287" y="0"/>
              </a:moveTo>
              <a:cubicBezTo>
                <a:pt x="158412" y="491191"/>
                <a:pt x="-111463" y="982382"/>
                <a:pt x="47287" y="1187823"/>
              </a:cubicBezTo>
            </a:path>
          </a:pathLst>
        </a:cu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605118</xdr:colOff>
      <xdr:row>298</xdr:row>
      <xdr:rowOff>50388</xdr:rowOff>
    </xdr:from>
    <xdr:to>
      <xdr:col>1</xdr:col>
      <xdr:colOff>536908</xdr:colOff>
      <xdr:row>303</xdr:row>
      <xdr:rowOff>67235</xdr:rowOff>
    </xdr:to>
    <xdr:sp macro="" textlink="">
      <xdr:nvSpPr>
        <xdr:cNvPr id="34" name="Freeform 33"/>
        <xdr:cNvSpPr/>
      </xdr:nvSpPr>
      <xdr:spPr>
        <a:xfrm>
          <a:off x="605118" y="63811859"/>
          <a:ext cx="749819" cy="1025376"/>
        </a:xfrm>
        <a:custGeom>
          <a:avLst/>
          <a:gdLst>
            <a:gd name="connsiteX0" fmla="*/ 0 w 749819"/>
            <a:gd name="connsiteY0" fmla="*/ 16847 h 1025376"/>
            <a:gd name="connsiteX1" fmla="*/ 369794 w 749819"/>
            <a:gd name="connsiteY1" fmla="*/ 5641 h 1025376"/>
            <a:gd name="connsiteX2" fmla="*/ 582706 w 749819"/>
            <a:gd name="connsiteY2" fmla="*/ 95288 h 1025376"/>
            <a:gd name="connsiteX3" fmla="*/ 728382 w 749819"/>
            <a:gd name="connsiteY3" fmla="*/ 543523 h 1025376"/>
            <a:gd name="connsiteX4" fmla="*/ 616323 w 749819"/>
            <a:gd name="connsiteY4" fmla="*/ 1025376 h 10253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49819" h="1025376">
              <a:moveTo>
                <a:pt x="0" y="16847"/>
              </a:moveTo>
              <a:cubicBezTo>
                <a:pt x="136338" y="4707"/>
                <a:pt x="272676" y="-7432"/>
                <a:pt x="369794" y="5641"/>
              </a:cubicBezTo>
              <a:cubicBezTo>
                <a:pt x="466912" y="18714"/>
                <a:pt x="522941" y="5641"/>
                <a:pt x="582706" y="95288"/>
              </a:cubicBezTo>
              <a:cubicBezTo>
                <a:pt x="642471" y="184935"/>
                <a:pt x="722779" y="388508"/>
                <a:pt x="728382" y="543523"/>
              </a:cubicBezTo>
              <a:cubicBezTo>
                <a:pt x="733985" y="698538"/>
                <a:pt x="816161" y="913317"/>
                <a:pt x="616323" y="1025376"/>
              </a:cubicBezTo>
            </a:path>
          </a:pathLst>
        </a:cu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380999</xdr:colOff>
      <xdr:row>305</xdr:row>
      <xdr:rowOff>100852</xdr:rowOff>
    </xdr:from>
    <xdr:to>
      <xdr:col>4</xdr:col>
      <xdr:colOff>78440</xdr:colOff>
      <xdr:row>310</xdr:row>
      <xdr:rowOff>100852</xdr:rowOff>
    </xdr:to>
    <xdr:sp macro="" textlink="">
      <xdr:nvSpPr>
        <xdr:cNvPr id="40" name="Rectangle 39"/>
        <xdr:cNvSpPr/>
      </xdr:nvSpPr>
      <xdr:spPr>
        <a:xfrm>
          <a:off x="1199028" y="65274264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BLDG 7A</a:t>
          </a:r>
        </a:p>
      </xdr:txBody>
    </xdr:sp>
    <xdr:clientData/>
  </xdr:twoCellAnchor>
  <xdr:twoCellAnchor>
    <xdr:from>
      <xdr:col>1</xdr:col>
      <xdr:colOff>679076</xdr:colOff>
      <xdr:row>294</xdr:row>
      <xdr:rowOff>85164</xdr:rowOff>
    </xdr:from>
    <xdr:to>
      <xdr:col>4</xdr:col>
      <xdr:colOff>376517</xdr:colOff>
      <xdr:row>299</xdr:row>
      <xdr:rowOff>85164</xdr:rowOff>
    </xdr:to>
    <xdr:sp macro="" textlink="">
      <xdr:nvSpPr>
        <xdr:cNvPr id="41" name="Rectangle 40"/>
        <xdr:cNvSpPr/>
      </xdr:nvSpPr>
      <xdr:spPr>
        <a:xfrm>
          <a:off x="1497105" y="63039811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BLDG 7B</a:t>
          </a:r>
        </a:p>
      </xdr:txBody>
    </xdr:sp>
    <xdr:clientData/>
  </xdr:twoCellAnchor>
  <xdr:twoCellAnchor>
    <xdr:from>
      <xdr:col>2</xdr:col>
      <xdr:colOff>313765</xdr:colOff>
      <xdr:row>295</xdr:row>
      <xdr:rowOff>134471</xdr:rowOff>
    </xdr:from>
    <xdr:to>
      <xdr:col>2</xdr:col>
      <xdr:colOff>582834</xdr:colOff>
      <xdr:row>300</xdr:row>
      <xdr:rowOff>4894</xdr:rowOff>
    </xdr:to>
    <xdr:cxnSp macro="">
      <xdr:nvCxnSpPr>
        <xdr:cNvPr id="43" name="Straight Arrow Connector 42"/>
        <xdr:cNvCxnSpPr>
          <a:endCxn id="2" idx="0"/>
        </xdr:cNvCxnSpPr>
      </xdr:nvCxnSpPr>
      <xdr:spPr>
        <a:xfrm>
          <a:off x="1994647" y="63290824"/>
          <a:ext cx="269069" cy="878952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100853</xdr:colOff>
      <xdr:row>302</xdr:row>
      <xdr:rowOff>179294</xdr:rowOff>
    </xdr:from>
    <xdr:to>
      <xdr:col>2</xdr:col>
      <xdr:colOff>257736</xdr:colOff>
      <xdr:row>306</xdr:row>
      <xdr:rowOff>67235</xdr:rowOff>
    </xdr:to>
    <xdr:cxnSp macro="">
      <xdr:nvCxnSpPr>
        <xdr:cNvPr id="45" name="Straight Arrow Connector 44"/>
        <xdr:cNvCxnSpPr/>
      </xdr:nvCxnSpPr>
      <xdr:spPr>
        <a:xfrm flipV="1">
          <a:off x="1781735" y="64747588"/>
          <a:ext cx="156883" cy="69476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156884</xdr:colOff>
      <xdr:row>292</xdr:row>
      <xdr:rowOff>190498</xdr:rowOff>
    </xdr:from>
    <xdr:to>
      <xdr:col>7</xdr:col>
      <xdr:colOff>123266</xdr:colOff>
      <xdr:row>297</xdr:row>
      <xdr:rowOff>190497</xdr:rowOff>
    </xdr:to>
    <xdr:sp macro="" textlink="">
      <xdr:nvSpPr>
        <xdr:cNvPr id="46" name="Rectangle 45"/>
        <xdr:cNvSpPr/>
      </xdr:nvSpPr>
      <xdr:spPr>
        <a:xfrm rot="20740132">
          <a:off x="3765178" y="62741733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NALA</a:t>
          </a:r>
        </a:p>
      </xdr:txBody>
    </xdr:sp>
    <xdr:clientData/>
  </xdr:twoCellAnchor>
  <xdr:twoCellAnchor>
    <xdr:from>
      <xdr:col>1</xdr:col>
      <xdr:colOff>387726</xdr:colOff>
      <xdr:row>295</xdr:row>
      <xdr:rowOff>174805</xdr:rowOff>
    </xdr:from>
    <xdr:to>
      <xdr:col>4</xdr:col>
      <xdr:colOff>85167</xdr:colOff>
      <xdr:row>300</xdr:row>
      <xdr:rowOff>174805</xdr:rowOff>
    </xdr:to>
    <xdr:sp macro="" textlink="">
      <xdr:nvSpPr>
        <xdr:cNvPr id="47" name="Rectangle 46"/>
        <xdr:cNvSpPr/>
      </xdr:nvSpPr>
      <xdr:spPr>
        <a:xfrm rot="19081761">
          <a:off x="1205755" y="63331158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NALA</a:t>
          </a:r>
        </a:p>
      </xdr:txBody>
    </xdr:sp>
    <xdr:clientData/>
  </xdr:twoCellAnchor>
  <xdr:twoCellAnchor>
    <xdr:from>
      <xdr:col>1</xdr:col>
      <xdr:colOff>112059</xdr:colOff>
      <xdr:row>297</xdr:row>
      <xdr:rowOff>156882</xdr:rowOff>
    </xdr:from>
    <xdr:to>
      <xdr:col>2</xdr:col>
      <xdr:colOff>257735</xdr:colOff>
      <xdr:row>310</xdr:row>
      <xdr:rowOff>22412</xdr:rowOff>
    </xdr:to>
    <xdr:sp macro="" textlink="">
      <xdr:nvSpPr>
        <xdr:cNvPr id="48" name="Rectangle 47"/>
        <xdr:cNvSpPr/>
      </xdr:nvSpPr>
      <xdr:spPr>
        <a:xfrm rot="16704873">
          <a:off x="190500" y="64456235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NALA</a:t>
          </a:r>
        </a:p>
      </xdr:txBody>
    </xdr:sp>
    <xdr:clientData/>
  </xdr:twoCellAnchor>
  <xdr:twoCellAnchor editAs="oneCell">
    <xdr:from>
      <xdr:col>0</xdr:col>
      <xdr:colOff>280150</xdr:colOff>
      <xdr:row>237</xdr:row>
      <xdr:rowOff>33616</xdr:rowOff>
    </xdr:from>
    <xdr:to>
      <xdr:col>7</xdr:col>
      <xdr:colOff>567924</xdr:colOff>
      <xdr:row>255</xdr:row>
      <xdr:rowOff>2910</xdr:rowOff>
    </xdr:to>
    <xdr:pic>
      <xdr:nvPicPr>
        <xdr:cNvPr id="32" name="Picture 31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150" y="50079087"/>
          <a:ext cx="641739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487881</xdr:colOff>
      <xdr:row>244</xdr:row>
      <xdr:rowOff>40757</xdr:rowOff>
    </xdr:from>
    <xdr:to>
      <xdr:col>2</xdr:col>
      <xdr:colOff>430923</xdr:colOff>
      <xdr:row>245</xdr:row>
      <xdr:rowOff>178988</xdr:rowOff>
    </xdr:to>
    <xdr:sp macro="" textlink="">
      <xdr:nvSpPr>
        <xdr:cNvPr id="42" name="Rectangle 41"/>
        <xdr:cNvSpPr/>
      </xdr:nvSpPr>
      <xdr:spPr>
        <a:xfrm rot="18984823">
          <a:off x="1305910" y="51296463"/>
          <a:ext cx="805895" cy="33993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297276</xdr:colOff>
      <xdr:row>246</xdr:row>
      <xdr:rowOff>46997</xdr:rowOff>
    </xdr:from>
    <xdr:to>
      <xdr:col>1</xdr:col>
      <xdr:colOff>585583</xdr:colOff>
      <xdr:row>248</xdr:row>
      <xdr:rowOff>183130</xdr:rowOff>
    </xdr:to>
    <xdr:sp macro="" textlink="">
      <xdr:nvSpPr>
        <xdr:cNvPr id="44" name="Rectangle 43"/>
        <xdr:cNvSpPr/>
      </xdr:nvSpPr>
      <xdr:spPr>
        <a:xfrm rot="17391323">
          <a:off x="989687" y="51831733"/>
          <a:ext cx="539544" cy="28830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437029</xdr:colOff>
      <xdr:row>250</xdr:row>
      <xdr:rowOff>116542</xdr:rowOff>
    </xdr:from>
    <xdr:to>
      <xdr:col>3</xdr:col>
      <xdr:colOff>324970</xdr:colOff>
      <xdr:row>255</xdr:row>
      <xdr:rowOff>116541</xdr:rowOff>
    </xdr:to>
    <xdr:sp macro="" textlink="">
      <xdr:nvSpPr>
        <xdr:cNvPr id="49" name="Rectangle 48"/>
        <xdr:cNvSpPr/>
      </xdr:nvSpPr>
      <xdr:spPr>
        <a:xfrm>
          <a:off x="437029" y="52582483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0000"/>
              </a:solidFill>
            </a:rPr>
            <a:t>BLDG 7A</a:t>
          </a:r>
        </a:p>
      </xdr:txBody>
    </xdr:sp>
    <xdr:clientData/>
  </xdr:twoCellAnchor>
  <xdr:twoCellAnchor>
    <xdr:from>
      <xdr:col>0</xdr:col>
      <xdr:colOff>735106</xdr:colOff>
      <xdr:row>239</xdr:row>
      <xdr:rowOff>100854</xdr:rowOff>
    </xdr:from>
    <xdr:to>
      <xdr:col>3</xdr:col>
      <xdr:colOff>623047</xdr:colOff>
      <xdr:row>244</xdr:row>
      <xdr:rowOff>100853</xdr:rowOff>
    </xdr:to>
    <xdr:sp macro="" textlink="">
      <xdr:nvSpPr>
        <xdr:cNvPr id="50" name="Rectangle 49"/>
        <xdr:cNvSpPr/>
      </xdr:nvSpPr>
      <xdr:spPr>
        <a:xfrm>
          <a:off x="735106" y="50348030"/>
          <a:ext cx="2487706" cy="1008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0000"/>
              </a:solidFill>
            </a:rPr>
            <a:t>BLDG 7B</a:t>
          </a:r>
        </a:p>
      </xdr:txBody>
    </xdr:sp>
    <xdr:clientData/>
  </xdr:twoCellAnchor>
  <xdr:twoCellAnchor>
    <xdr:from>
      <xdr:col>1</xdr:col>
      <xdr:colOff>414619</xdr:colOff>
      <xdr:row>240</xdr:row>
      <xdr:rowOff>150161</xdr:rowOff>
    </xdr:from>
    <xdr:to>
      <xdr:col>1</xdr:col>
      <xdr:colOff>773645</xdr:colOff>
      <xdr:row>244</xdr:row>
      <xdr:rowOff>87611</xdr:rowOff>
    </xdr:to>
    <xdr:cxnSp macro="">
      <xdr:nvCxnSpPr>
        <xdr:cNvPr id="51" name="Straight Arrow Connector 50"/>
        <xdr:cNvCxnSpPr>
          <a:endCxn id="42" idx="0"/>
        </xdr:cNvCxnSpPr>
      </xdr:nvCxnSpPr>
      <xdr:spPr>
        <a:xfrm>
          <a:off x="1232648" y="50599043"/>
          <a:ext cx="359026" cy="744274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201707</xdr:colOff>
      <xdr:row>248</xdr:row>
      <xdr:rowOff>167093</xdr:rowOff>
    </xdr:from>
    <xdr:to>
      <xdr:col>1</xdr:col>
      <xdr:colOff>349803</xdr:colOff>
      <xdr:row>251</xdr:row>
      <xdr:rowOff>82926</xdr:rowOff>
    </xdr:to>
    <xdr:cxnSp macro="">
      <xdr:nvCxnSpPr>
        <xdr:cNvPr id="52" name="Straight Arrow Connector 51"/>
        <xdr:cNvCxnSpPr>
          <a:endCxn id="44" idx="1"/>
        </xdr:cNvCxnSpPr>
      </xdr:nvCxnSpPr>
      <xdr:spPr>
        <a:xfrm flipV="1">
          <a:off x="1019736" y="52229622"/>
          <a:ext cx="148096" cy="520951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672353</xdr:colOff>
      <xdr:row>252</xdr:row>
      <xdr:rowOff>78441</xdr:rowOff>
    </xdr:from>
    <xdr:to>
      <xdr:col>6</xdr:col>
      <xdr:colOff>694765</xdr:colOff>
      <xdr:row>254</xdr:row>
      <xdr:rowOff>190501</xdr:rowOff>
    </xdr:to>
    <xdr:cxnSp macro="">
      <xdr:nvCxnSpPr>
        <xdr:cNvPr id="17" name="Straight Arrow Connector 16"/>
        <xdr:cNvCxnSpPr/>
      </xdr:nvCxnSpPr>
      <xdr:spPr>
        <a:xfrm flipH="1" flipV="1">
          <a:off x="5961529" y="53149500"/>
          <a:ext cx="22412" cy="515472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493060</xdr:colOff>
      <xdr:row>250</xdr:row>
      <xdr:rowOff>127748</xdr:rowOff>
    </xdr:from>
    <xdr:to>
      <xdr:col>9</xdr:col>
      <xdr:colOff>11207</xdr:colOff>
      <xdr:row>255</xdr:row>
      <xdr:rowOff>127747</xdr:rowOff>
    </xdr:to>
    <xdr:sp macro="" textlink="">
      <xdr:nvSpPr>
        <xdr:cNvPr id="53" name="Rectangle 52"/>
        <xdr:cNvSpPr/>
      </xdr:nvSpPr>
      <xdr:spPr>
        <a:xfrm>
          <a:off x="5782236" y="52795395"/>
          <a:ext cx="2487706" cy="10085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0000"/>
              </a:solidFill>
            </a:rPr>
            <a:t>N</a:t>
          </a:r>
        </a:p>
      </xdr:txBody>
    </xdr:sp>
    <xdr:clientData/>
  </xdr:twoCellAnchor>
  <xdr:twoCellAnchor>
    <xdr:from>
      <xdr:col>8</xdr:col>
      <xdr:colOff>323850</xdr:colOff>
      <xdr:row>191</xdr:row>
      <xdr:rowOff>142875</xdr:rowOff>
    </xdr:from>
    <xdr:to>
      <xdr:col>15</xdr:col>
      <xdr:colOff>189278</xdr:colOff>
      <xdr:row>234</xdr:row>
      <xdr:rowOff>49677</xdr:rowOff>
    </xdr:to>
    <xdr:grpSp>
      <xdr:nvGrpSpPr>
        <xdr:cNvPr id="4" name="Group 3"/>
        <xdr:cNvGrpSpPr/>
      </xdr:nvGrpSpPr>
      <xdr:grpSpPr>
        <a:xfrm>
          <a:off x="7169150" y="31232475"/>
          <a:ext cx="5796328" cy="7183902"/>
          <a:chOff x="438150" y="36461700"/>
          <a:chExt cx="5532803" cy="8498352"/>
        </a:xfrm>
      </xdr:grpSpPr>
      <xdr:pic>
        <xdr:nvPicPr>
          <xdr:cNvPr id="59" name="Picture 58" descr="insp-207698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3766" y="42800052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insp-207698-84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47306" y="40157724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insp-207698-85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50" y="364617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3" descr="insp-207698-86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3766" y="4017555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insp-207698-86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3766" y="3647106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insp-207698-94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17025" y="42800052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330201</xdr:colOff>
      <xdr:row>192</xdr:row>
      <xdr:rowOff>95250</xdr:rowOff>
    </xdr:from>
    <xdr:to>
      <xdr:col>7</xdr:col>
      <xdr:colOff>69850</xdr:colOff>
      <xdr:row>226</xdr:row>
      <xdr:rowOff>32996</xdr:rowOff>
    </xdr:to>
    <xdr:grpSp>
      <xdr:nvGrpSpPr>
        <xdr:cNvPr id="8" name="Group 7"/>
        <xdr:cNvGrpSpPr/>
      </xdr:nvGrpSpPr>
      <xdr:grpSpPr>
        <a:xfrm>
          <a:off x="330201" y="31381700"/>
          <a:ext cx="5714999" cy="6624296"/>
          <a:chOff x="330201" y="31381700"/>
          <a:chExt cx="5714999" cy="6624296"/>
        </a:xfrm>
      </xdr:grpSpPr>
      <xdr:pic>
        <xdr:nvPicPr>
          <xdr:cNvPr id="54" name="Picture 53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422041" y="35485996"/>
            <a:ext cx="199387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09075" y="35485996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16287" r="11586"/>
          <a:stretch/>
        </xdr:blipFill>
        <xdr:spPr>
          <a:xfrm>
            <a:off x="3422650" y="31381700"/>
            <a:ext cx="262255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10964" b="260"/>
          <a:stretch/>
        </xdr:blipFill>
        <xdr:spPr>
          <a:xfrm>
            <a:off x="330201" y="31381700"/>
            <a:ext cx="2952750" cy="39497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fmZVtcoE8oPKt4n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2"/>
  <sheetViews>
    <sheetView tabSelected="1" view="pageBreakPreview" topLeftCell="A182" zoomScaleNormal="100" zoomScaleSheetLayoutView="100" zoomScalePageLayoutView="85" workbookViewId="0">
      <selection activeCell="I218" sqref="I218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1.26953125" style="20" bestFit="1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1" ht="46.5" customHeight="1" x14ac:dyDescent="0.35">
      <c r="A1" s="152" t="s">
        <v>203</v>
      </c>
      <c r="B1" s="152"/>
      <c r="C1" s="152"/>
      <c r="D1" s="152"/>
      <c r="E1" s="152"/>
      <c r="F1" s="152"/>
      <c r="G1" s="152"/>
      <c r="H1" s="152"/>
    </row>
    <row r="2" spans="1:11" ht="16.5" customHeight="1" x14ac:dyDescent="0.35">
      <c r="A2" s="110" t="s">
        <v>0</v>
      </c>
      <c r="B2" s="110"/>
      <c r="C2" s="110"/>
      <c r="D2" s="110"/>
      <c r="E2" s="110"/>
      <c r="F2" s="110"/>
      <c r="G2" s="110"/>
      <c r="H2" s="110"/>
    </row>
    <row r="3" spans="1:11" x14ac:dyDescent="0.35">
      <c r="A3" s="138" t="s">
        <v>1</v>
      </c>
      <c r="B3" s="138"/>
      <c r="C3" s="138"/>
      <c r="D3" s="138"/>
      <c r="E3" s="138" t="str">
        <f ca="1">TEXT(TODAY(),"DD/MM/YYYY")</f>
        <v>16/08/2025</v>
      </c>
      <c r="F3" s="138"/>
      <c r="G3" s="138"/>
      <c r="H3" s="138"/>
    </row>
    <row r="4" spans="1:11" ht="15" customHeight="1" x14ac:dyDescent="0.35">
      <c r="A4" s="138" t="s">
        <v>2</v>
      </c>
      <c r="B4" s="138"/>
      <c r="C4" s="138"/>
      <c r="D4" s="138"/>
      <c r="E4" s="138" t="s">
        <v>169</v>
      </c>
      <c r="F4" s="138"/>
      <c r="G4" s="138"/>
      <c r="H4" s="138"/>
    </row>
    <row r="5" spans="1:11" x14ac:dyDescent="0.35">
      <c r="A5" s="138" t="s">
        <v>3</v>
      </c>
      <c r="B5" s="138"/>
      <c r="C5" s="138"/>
      <c r="D5" s="138"/>
      <c r="E5" s="151">
        <v>45877</v>
      </c>
      <c r="F5" s="138"/>
      <c r="G5" s="138"/>
      <c r="H5" s="138"/>
    </row>
    <row r="6" spans="1:11" ht="16.5" customHeight="1" x14ac:dyDescent="0.35">
      <c r="A6" s="138" t="s">
        <v>4</v>
      </c>
      <c r="B6" s="138"/>
      <c r="C6" s="138"/>
      <c r="D6" s="138"/>
      <c r="E6" s="119" t="s">
        <v>205</v>
      </c>
      <c r="F6" s="138"/>
      <c r="G6" s="138"/>
      <c r="H6" s="138"/>
    </row>
    <row r="7" spans="1:11" ht="15" customHeight="1" x14ac:dyDescent="0.35">
      <c r="A7" s="138" t="s">
        <v>5</v>
      </c>
      <c r="B7" s="138"/>
      <c r="C7" s="138"/>
      <c r="D7" s="138"/>
      <c r="E7" s="138" t="str">
        <f>E6</f>
        <v>M/s. Jasamrit Estates Pvt Ltd</v>
      </c>
      <c r="F7" s="138"/>
      <c r="G7" s="138"/>
      <c r="H7" s="138"/>
      <c r="K7" s="20" t="str">
        <f ca="1">TEXT(TODAY(),"DD/MM/YYYY")</f>
        <v>16/08/2025</v>
      </c>
    </row>
    <row r="8" spans="1:11" x14ac:dyDescent="0.35">
      <c r="A8" s="138" t="s">
        <v>6</v>
      </c>
      <c r="B8" s="138"/>
      <c r="C8" s="138"/>
      <c r="D8" s="138"/>
      <c r="E8" s="153" t="s">
        <v>223</v>
      </c>
      <c r="F8" s="153"/>
      <c r="G8" s="153"/>
      <c r="H8" s="153"/>
    </row>
    <row r="9" spans="1:11" x14ac:dyDescent="0.35">
      <c r="A9" s="138" t="s">
        <v>189</v>
      </c>
      <c r="B9" s="138"/>
      <c r="C9" s="138"/>
      <c r="D9" s="138"/>
      <c r="E9" s="138">
        <v>9322812242</v>
      </c>
      <c r="F9" s="138"/>
      <c r="G9" s="138"/>
      <c r="H9" s="138"/>
    </row>
    <row r="10" spans="1:11" x14ac:dyDescent="0.35">
      <c r="A10" s="138" t="s">
        <v>125</v>
      </c>
      <c r="B10" s="138"/>
      <c r="C10" s="138"/>
      <c r="D10" s="138"/>
      <c r="E10" s="138" t="s">
        <v>238</v>
      </c>
      <c r="F10" s="138"/>
      <c r="G10" s="138"/>
      <c r="H10" s="138"/>
      <c r="I10" s="20" t="s">
        <v>237</v>
      </c>
    </row>
    <row r="11" spans="1:11" x14ac:dyDescent="0.35">
      <c r="A11" s="138" t="s">
        <v>7</v>
      </c>
      <c r="B11" s="138"/>
      <c r="C11" s="138"/>
      <c r="D11" s="138"/>
      <c r="E11" s="119" t="s">
        <v>192</v>
      </c>
      <c r="F11" s="138"/>
      <c r="G11" s="138"/>
      <c r="H11" s="138"/>
    </row>
    <row r="12" spans="1:11" x14ac:dyDescent="0.35">
      <c r="A12" s="72" t="s">
        <v>8</v>
      </c>
      <c r="B12" s="72"/>
      <c r="C12" s="72"/>
      <c r="D12" s="72"/>
      <c r="E12" s="150" t="s">
        <v>183</v>
      </c>
      <c r="F12" s="150"/>
      <c r="G12" s="150"/>
      <c r="H12" s="150"/>
    </row>
    <row r="13" spans="1:11" ht="31.5" customHeight="1" x14ac:dyDescent="0.35">
      <c r="A13" s="72" t="s">
        <v>9</v>
      </c>
      <c r="B13" s="72"/>
      <c r="C13" s="72"/>
      <c r="D13" s="72"/>
      <c r="E13" s="150" t="s">
        <v>188</v>
      </c>
      <c r="F13" s="124"/>
      <c r="G13" s="124"/>
      <c r="H13" s="124"/>
    </row>
    <row r="14" spans="1:11" ht="65.25" customHeight="1" x14ac:dyDescent="0.35">
      <c r="A14" s="137" t="s">
        <v>10</v>
      </c>
      <c r="B14" s="137"/>
      <c r="C14" s="13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Vinay Unique Residency Building No. 7A &amp; 7B, Old Survey No.165, Hissa No. 1/A, 1/B, 2,3,4,5,6,7,8,9,10;165/11/12/13 and others New Survey No. 165/B/1, 165/B/2, 165/B/3, 165/B/4 and others., near Vinay Unique Residency Building No 2 &amp; 5, Intarnal Road, Bolinj, Bolinj, Virar West, Vasai, Palghar - 401303.</v>
      </c>
      <c r="D14" s="137"/>
      <c r="E14" s="137"/>
      <c r="F14" s="137"/>
      <c r="G14" s="137"/>
      <c r="H14" s="137"/>
    </row>
    <row r="15" spans="1:11" ht="34.5" customHeight="1" x14ac:dyDescent="0.35">
      <c r="A15" s="150" t="s">
        <v>204</v>
      </c>
      <c r="B15" s="150"/>
      <c r="C15" s="150" t="s">
        <v>181</v>
      </c>
      <c r="D15" s="150"/>
      <c r="E15" s="150"/>
      <c r="F15" s="150"/>
      <c r="G15" s="150"/>
      <c r="H15" s="150"/>
    </row>
    <row r="16" spans="1:11" ht="15.75" customHeight="1" x14ac:dyDescent="0.35">
      <c r="A16" s="119" t="s">
        <v>168</v>
      </c>
      <c r="B16" s="119"/>
      <c r="C16" s="119" t="s">
        <v>170</v>
      </c>
      <c r="D16" s="119"/>
      <c r="E16" s="119"/>
      <c r="F16" s="119"/>
      <c r="G16" s="119"/>
      <c r="H16" s="119"/>
    </row>
    <row r="17" spans="1:8" ht="15.75" customHeight="1" x14ac:dyDescent="0.35">
      <c r="A17" s="137" t="s">
        <v>11</v>
      </c>
      <c r="B17" s="137"/>
      <c r="C17" s="138" t="s">
        <v>173</v>
      </c>
      <c r="D17" s="138"/>
      <c r="E17" s="137" t="s">
        <v>75</v>
      </c>
      <c r="F17" s="137"/>
      <c r="G17" s="119" t="s">
        <v>170</v>
      </c>
      <c r="H17" s="119"/>
    </row>
    <row r="18" spans="1:8" x14ac:dyDescent="0.35">
      <c r="A18" s="72" t="s">
        <v>13</v>
      </c>
      <c r="B18" s="72"/>
      <c r="C18" s="119" t="s">
        <v>174</v>
      </c>
      <c r="D18" s="119"/>
      <c r="E18" s="137" t="s">
        <v>12</v>
      </c>
      <c r="F18" s="137"/>
      <c r="G18" s="165" t="s">
        <v>172</v>
      </c>
      <c r="H18" s="165"/>
    </row>
    <row r="19" spans="1:8" x14ac:dyDescent="0.35">
      <c r="A19" s="72" t="s">
        <v>76</v>
      </c>
      <c r="B19" s="72"/>
      <c r="C19" s="119" t="s">
        <v>171</v>
      </c>
      <c r="D19" s="119"/>
      <c r="E19" s="137" t="s">
        <v>14</v>
      </c>
      <c r="F19" s="137"/>
      <c r="G19" s="119">
        <v>401303</v>
      </c>
      <c r="H19" s="119"/>
    </row>
    <row r="20" spans="1:8" ht="32.25" customHeight="1" x14ac:dyDescent="0.35">
      <c r="A20" s="72" t="s">
        <v>126</v>
      </c>
      <c r="B20" s="72"/>
      <c r="C20" s="119" t="s">
        <v>191</v>
      </c>
      <c r="D20" s="119"/>
      <c r="E20" s="137" t="s">
        <v>15</v>
      </c>
      <c r="F20" s="137"/>
      <c r="G20" s="150" t="s">
        <v>175</v>
      </c>
      <c r="H20" s="150"/>
    </row>
    <row r="21" spans="1:8" ht="15" customHeight="1" x14ac:dyDescent="0.35">
      <c r="A21" s="137" t="s">
        <v>78</v>
      </c>
      <c r="B21" s="137"/>
      <c r="C21" s="137"/>
      <c r="D21" s="137"/>
      <c r="E21" s="138" t="s">
        <v>16</v>
      </c>
      <c r="F21" s="138"/>
      <c r="G21" s="138"/>
      <c r="H21" s="138"/>
    </row>
    <row r="22" spans="1:8" ht="18.75" customHeight="1" x14ac:dyDescent="0.35">
      <c r="A22" s="137"/>
      <c r="B22" s="137"/>
      <c r="C22" s="137"/>
      <c r="D22" s="137"/>
      <c r="E22" s="138"/>
      <c r="F22" s="138"/>
      <c r="G22" s="138"/>
      <c r="H22" s="138"/>
    </row>
    <row r="23" spans="1:8" ht="15" customHeight="1" x14ac:dyDescent="0.35">
      <c r="A23" s="137" t="s">
        <v>17</v>
      </c>
      <c r="B23" s="137"/>
      <c r="C23" s="137"/>
      <c r="D23" s="137"/>
      <c r="E23" s="119" t="s">
        <v>18</v>
      </c>
      <c r="F23" s="119"/>
      <c r="G23" s="119"/>
      <c r="H23" s="119"/>
    </row>
    <row r="24" spans="1:8" ht="15" customHeight="1" x14ac:dyDescent="0.35">
      <c r="A24" s="72" t="s">
        <v>19</v>
      </c>
      <c r="B24" s="72"/>
      <c r="C24" s="72"/>
      <c r="D24" s="72"/>
      <c r="E24" s="119" t="str">
        <f>IF(AND(G18="Mumbai"),"Upper Class","Middle Class")</f>
        <v>Middle Class</v>
      </c>
      <c r="F24" s="119"/>
      <c r="G24" s="119"/>
      <c r="H24" s="119"/>
    </row>
    <row r="25" spans="1:8" x14ac:dyDescent="0.35">
      <c r="A25" s="72" t="s">
        <v>20</v>
      </c>
      <c r="B25" s="72"/>
      <c r="C25" s="72"/>
      <c r="D25" s="72"/>
      <c r="E25" s="119" t="s">
        <v>21</v>
      </c>
      <c r="F25" s="119"/>
      <c r="G25" s="119"/>
      <c r="H25" s="119"/>
    </row>
    <row r="26" spans="1:8" ht="15.75" customHeight="1" x14ac:dyDescent="0.35">
      <c r="A26" s="72" t="s">
        <v>22</v>
      </c>
      <c r="B26" s="72"/>
      <c r="C26" s="72"/>
      <c r="D26" s="72"/>
      <c r="E26" s="119" t="str">
        <f>IF(AND(G18="Mumbai"),"Developed","Developing")</f>
        <v>Developing</v>
      </c>
      <c r="F26" s="119"/>
      <c r="G26" s="119"/>
      <c r="H26" s="119"/>
    </row>
    <row r="27" spans="1:8" x14ac:dyDescent="0.35">
      <c r="A27" s="72" t="s">
        <v>23</v>
      </c>
      <c r="B27" s="72"/>
      <c r="C27" s="72"/>
      <c r="D27" s="72"/>
      <c r="E27" s="119" t="s">
        <v>24</v>
      </c>
      <c r="F27" s="119"/>
      <c r="G27" s="119"/>
      <c r="H27" s="119"/>
    </row>
    <row r="28" spans="1:8" ht="15.75" customHeight="1" x14ac:dyDescent="0.35">
      <c r="A28" s="72" t="s">
        <v>83</v>
      </c>
      <c r="B28" s="72"/>
      <c r="C28" s="72"/>
      <c r="D28" s="72"/>
      <c r="E28" s="119" t="s">
        <v>84</v>
      </c>
      <c r="F28" s="119"/>
      <c r="G28" s="119"/>
      <c r="H28" s="119"/>
    </row>
    <row r="29" spans="1:8" ht="15" customHeight="1" x14ac:dyDescent="0.35">
      <c r="A29" s="146" t="s">
        <v>34</v>
      </c>
      <c r="B29" s="146"/>
      <c r="C29" s="146"/>
      <c r="D29" s="146"/>
      <c r="E29" s="14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47"/>
      <c r="G29" s="147"/>
      <c r="H29" s="147"/>
    </row>
    <row r="30" spans="1:8" ht="15.75" customHeight="1" x14ac:dyDescent="0.35">
      <c r="A30" s="72" t="s">
        <v>95</v>
      </c>
      <c r="B30" s="72"/>
      <c r="C30" s="72"/>
      <c r="D30" s="72"/>
      <c r="E30" s="119" t="s">
        <v>35</v>
      </c>
      <c r="F30" s="119"/>
      <c r="G30" s="119"/>
      <c r="H30" s="119"/>
    </row>
    <row r="31" spans="1:8" s="21" customFormat="1" x14ac:dyDescent="0.35">
      <c r="A31" s="149" t="s">
        <v>96</v>
      </c>
      <c r="B31" s="149"/>
      <c r="C31" s="148" t="s">
        <v>206</v>
      </c>
      <c r="D31" s="148"/>
      <c r="E31" s="148"/>
      <c r="F31" s="148" t="s">
        <v>30</v>
      </c>
      <c r="G31" s="148"/>
      <c r="H31" s="148"/>
    </row>
    <row r="32" spans="1:8" s="21" customFormat="1" x14ac:dyDescent="0.35">
      <c r="A32" s="114" t="s">
        <v>25</v>
      </c>
      <c r="B32" s="114" t="s">
        <v>29</v>
      </c>
      <c r="C32" s="115" t="s">
        <v>220</v>
      </c>
      <c r="D32" s="115"/>
      <c r="E32" s="115"/>
      <c r="F32" s="115" t="s">
        <v>221</v>
      </c>
      <c r="G32" s="115"/>
      <c r="H32" s="115"/>
    </row>
    <row r="33" spans="1:11" x14ac:dyDescent="0.35">
      <c r="A33" s="114" t="s">
        <v>26</v>
      </c>
      <c r="B33" s="114" t="s">
        <v>29</v>
      </c>
      <c r="C33" s="145" t="s">
        <v>218</v>
      </c>
      <c r="D33" s="145"/>
      <c r="E33" s="145"/>
      <c r="F33" s="145" t="s">
        <v>218</v>
      </c>
      <c r="G33" s="145"/>
      <c r="H33" s="145"/>
    </row>
    <row r="34" spans="1:11" s="21" customFormat="1" x14ac:dyDescent="0.35">
      <c r="A34" s="114" t="s">
        <v>28</v>
      </c>
      <c r="B34" s="114" t="s">
        <v>29</v>
      </c>
      <c r="C34" s="145" t="s">
        <v>218</v>
      </c>
      <c r="D34" s="145"/>
      <c r="E34" s="145"/>
      <c r="F34" s="145" t="s">
        <v>218</v>
      </c>
      <c r="G34" s="145"/>
      <c r="H34" s="145"/>
    </row>
    <row r="35" spans="1:11" x14ac:dyDescent="0.35">
      <c r="A35" s="114" t="s">
        <v>27</v>
      </c>
      <c r="B35" s="114" t="s">
        <v>29</v>
      </c>
      <c r="C35" s="115" t="s">
        <v>219</v>
      </c>
      <c r="D35" s="115"/>
      <c r="E35" s="115"/>
      <c r="F35" s="115" t="s">
        <v>222</v>
      </c>
      <c r="G35" s="115"/>
      <c r="H35" s="115"/>
    </row>
    <row r="36" spans="1:11" x14ac:dyDescent="0.35">
      <c r="A36" s="72" t="s">
        <v>31</v>
      </c>
      <c r="B36" s="72"/>
      <c r="C36" s="72"/>
      <c r="D36" s="72"/>
      <c r="E36" s="72"/>
      <c r="F36" s="72"/>
      <c r="G36" s="72"/>
      <c r="H36" s="72"/>
    </row>
    <row r="37" spans="1:11" ht="15.75" customHeight="1" x14ac:dyDescent="0.35">
      <c r="A37" s="110" t="s">
        <v>32</v>
      </c>
      <c r="B37" s="110"/>
      <c r="C37" s="121">
        <v>19.451842299999999</v>
      </c>
      <c r="D37" s="121"/>
      <c r="E37" s="110" t="s">
        <v>33</v>
      </c>
      <c r="F37" s="110"/>
      <c r="G37" s="122">
        <v>72.795138800000004</v>
      </c>
      <c r="H37" s="122"/>
    </row>
    <row r="38" spans="1:11" x14ac:dyDescent="0.35">
      <c r="A38" s="110" t="s">
        <v>167</v>
      </c>
      <c r="B38" s="110"/>
      <c r="C38" s="118" t="s">
        <v>190</v>
      </c>
      <c r="D38" s="119"/>
      <c r="E38" s="119"/>
      <c r="F38" s="119"/>
      <c r="G38" s="119"/>
      <c r="H38" s="119"/>
    </row>
    <row r="39" spans="1:11" x14ac:dyDescent="0.35">
      <c r="A39" s="120" t="s">
        <v>36</v>
      </c>
      <c r="B39" s="120"/>
      <c r="C39" s="120"/>
      <c r="D39" s="120"/>
      <c r="E39" s="120"/>
      <c r="F39" s="120"/>
      <c r="G39" s="120"/>
      <c r="H39" s="120"/>
    </row>
    <row r="40" spans="1:11" x14ac:dyDescent="0.35">
      <c r="A40" s="116" t="s">
        <v>37</v>
      </c>
      <c r="B40" s="116"/>
      <c r="C40" s="116"/>
      <c r="D40" s="116"/>
      <c r="E40" s="117">
        <v>34685.49</v>
      </c>
      <c r="F40" s="117"/>
      <c r="G40" s="117"/>
      <c r="H40" s="117"/>
    </row>
    <row r="41" spans="1:11" x14ac:dyDescent="0.35">
      <c r="A41" s="72" t="s">
        <v>38</v>
      </c>
      <c r="B41" s="72"/>
      <c r="C41" s="72"/>
      <c r="D41" s="72"/>
      <c r="E41" s="123">
        <v>1.1000000000000001</v>
      </c>
      <c r="F41" s="123"/>
      <c r="G41" s="123"/>
      <c r="H41" s="123"/>
    </row>
    <row r="42" spans="1:11" x14ac:dyDescent="0.35">
      <c r="A42" s="72" t="s">
        <v>39</v>
      </c>
      <c r="B42" s="72"/>
      <c r="C42" s="72"/>
      <c r="D42" s="72"/>
      <c r="E42" s="123">
        <f>E43-E41</f>
        <v>1.6374616878700574</v>
      </c>
      <c r="F42" s="123"/>
      <c r="G42" s="123"/>
      <c r="H42" s="123"/>
    </row>
    <row r="43" spans="1:11" x14ac:dyDescent="0.35">
      <c r="A43" s="72" t="s">
        <v>40</v>
      </c>
      <c r="B43" s="72"/>
      <c r="C43" s="72"/>
      <c r="D43" s="72"/>
      <c r="E43" s="123">
        <f>E44/E40</f>
        <v>2.7374616878700575</v>
      </c>
      <c r="F43" s="123"/>
      <c r="G43" s="123"/>
      <c r="H43" s="123"/>
    </row>
    <row r="44" spans="1:11" x14ac:dyDescent="0.35">
      <c r="A44" s="72" t="s">
        <v>94</v>
      </c>
      <c r="B44" s="72"/>
      <c r="C44" s="72"/>
      <c r="D44" s="72"/>
      <c r="E44" s="135">
        <v>94950.2</v>
      </c>
      <c r="F44" s="135"/>
      <c r="G44" s="135"/>
      <c r="H44" s="135"/>
    </row>
    <row r="45" spans="1:11" x14ac:dyDescent="0.35">
      <c r="A45" s="124" t="s">
        <v>41</v>
      </c>
      <c r="B45" s="124"/>
      <c r="C45" s="124"/>
      <c r="D45" s="124"/>
      <c r="E45" s="124" t="s">
        <v>193</v>
      </c>
      <c r="F45" s="124"/>
      <c r="G45" s="124"/>
      <c r="H45" s="124"/>
    </row>
    <row r="46" spans="1:11" x14ac:dyDescent="0.35">
      <c r="A46" s="120" t="s">
        <v>42</v>
      </c>
      <c r="B46" s="120"/>
      <c r="C46" s="120"/>
      <c r="D46" s="120"/>
      <c r="E46" s="120"/>
      <c r="F46" s="120"/>
      <c r="G46" s="120"/>
      <c r="H46" s="120"/>
    </row>
    <row r="47" spans="1:11" ht="33" customHeight="1" x14ac:dyDescent="0.35">
      <c r="A47" s="80" t="s">
        <v>155</v>
      </c>
      <c r="B47" s="141"/>
      <c r="C47" s="142" t="s">
        <v>176</v>
      </c>
      <c r="D47" s="143"/>
      <c r="E47" s="143"/>
      <c r="F47" s="143"/>
      <c r="G47" s="143"/>
      <c r="H47" s="144"/>
    </row>
    <row r="48" spans="1:11" ht="31.5" customHeight="1" x14ac:dyDescent="0.35">
      <c r="A48" s="75" t="s">
        <v>43</v>
      </c>
      <c r="B48" s="77"/>
      <c r="C48" s="75" t="s">
        <v>207</v>
      </c>
      <c r="D48" s="76"/>
      <c r="E48" s="77"/>
      <c r="F48" s="18" t="s">
        <v>44</v>
      </c>
      <c r="G48" s="127">
        <v>45016</v>
      </c>
      <c r="H48" s="77"/>
      <c r="K48" s="20">
        <f>74*2</f>
        <v>148</v>
      </c>
    </row>
    <row r="49" spans="1:14" ht="31.5" customHeight="1" x14ac:dyDescent="0.35">
      <c r="A49" s="75" t="s">
        <v>45</v>
      </c>
      <c r="B49" s="77"/>
      <c r="C49" s="75" t="str">
        <f>C48</f>
        <v>VVCMC/TP/AMEND/VP/0607/631/2022-23</v>
      </c>
      <c r="D49" s="76"/>
      <c r="E49" s="77"/>
      <c r="F49" s="18" t="s">
        <v>44</v>
      </c>
      <c r="G49" s="127">
        <f>G48</f>
        <v>45016</v>
      </c>
      <c r="H49" s="77"/>
    </row>
    <row r="50" spans="1:14" s="22" customFormat="1" x14ac:dyDescent="0.35">
      <c r="A50" s="128" t="s">
        <v>159</v>
      </c>
      <c r="B50" s="129"/>
      <c r="C50" s="75" t="s">
        <v>208</v>
      </c>
      <c r="D50" s="76"/>
      <c r="E50" s="77"/>
      <c r="F50" s="18" t="s">
        <v>44</v>
      </c>
      <c r="G50" s="127">
        <f>G48</f>
        <v>45016</v>
      </c>
      <c r="H50" s="77"/>
    </row>
    <row r="51" spans="1:14" s="22" customFormat="1" x14ac:dyDescent="0.35">
      <c r="A51" s="130"/>
      <c r="B51" s="131"/>
      <c r="C51" s="75" t="s">
        <v>209</v>
      </c>
      <c r="D51" s="76"/>
      <c r="E51" s="76"/>
      <c r="F51" s="76"/>
      <c r="G51" s="76"/>
      <c r="H51" s="77"/>
    </row>
    <row r="52" spans="1:14" x14ac:dyDescent="0.35">
      <c r="A52" s="132" t="s">
        <v>46</v>
      </c>
      <c r="B52" s="133"/>
      <c r="C52" s="132" t="s">
        <v>107</v>
      </c>
      <c r="D52" s="134"/>
      <c r="E52" s="133"/>
      <c r="F52" s="43" t="s">
        <v>44</v>
      </c>
      <c r="G52" s="139" t="s">
        <v>29</v>
      </c>
      <c r="H52" s="140"/>
    </row>
    <row r="53" spans="1:14" x14ac:dyDescent="0.35">
      <c r="A53" s="136" t="s">
        <v>48</v>
      </c>
      <c r="B53" s="136"/>
      <c r="C53" s="136"/>
      <c r="D53" s="136"/>
      <c r="E53" s="136"/>
      <c r="F53" s="136"/>
      <c r="G53" s="136"/>
      <c r="H53" s="136"/>
    </row>
    <row r="54" spans="1:14" x14ac:dyDescent="0.35">
      <c r="A54" s="137" t="s">
        <v>93</v>
      </c>
      <c r="B54" s="137"/>
      <c r="C54" s="137"/>
      <c r="D54" s="72">
        <f>5541.06+5425.96</f>
        <v>10967.02</v>
      </c>
      <c r="E54" s="72"/>
      <c r="F54" s="72"/>
      <c r="G54" s="72"/>
      <c r="H54" s="72"/>
    </row>
    <row r="55" spans="1:14" x14ac:dyDescent="0.35">
      <c r="A55" s="119" t="s">
        <v>49</v>
      </c>
      <c r="B55" s="138"/>
      <c r="C55" s="138"/>
      <c r="D55" s="138" t="s">
        <v>217</v>
      </c>
      <c r="E55" s="138"/>
      <c r="F55" s="138"/>
      <c r="G55" s="138"/>
      <c r="H55" s="138"/>
      <c r="I55" s="23"/>
    </row>
    <row r="56" spans="1:14" x14ac:dyDescent="0.35">
      <c r="A56" s="83" t="s">
        <v>50</v>
      </c>
      <c r="B56" s="84"/>
      <c r="C56" s="85"/>
      <c r="D56" s="125" t="s">
        <v>212</v>
      </c>
      <c r="E56" s="126"/>
      <c r="F56" s="126"/>
      <c r="G56" s="126"/>
      <c r="H56" s="126"/>
      <c r="I56" s="24"/>
    </row>
    <row r="57" spans="1:14" ht="15.75" customHeight="1" x14ac:dyDescent="0.35">
      <c r="A57" s="83" t="s">
        <v>91</v>
      </c>
      <c r="B57" s="84"/>
      <c r="C57" s="85"/>
      <c r="D57" s="80" t="s">
        <v>211</v>
      </c>
      <c r="E57" s="81"/>
      <c r="F57" s="81"/>
      <c r="G57" s="81"/>
      <c r="H57" s="82"/>
      <c r="I57" s="24"/>
    </row>
    <row r="58" spans="1:14" ht="15.75" customHeight="1" x14ac:dyDescent="0.35">
      <c r="A58" s="86"/>
      <c r="B58" s="87"/>
      <c r="C58" s="88"/>
      <c r="D58" s="80" t="s">
        <v>210</v>
      </c>
      <c r="E58" s="81"/>
      <c r="F58" s="81"/>
      <c r="G58" s="81"/>
      <c r="H58" s="82"/>
      <c r="I58" s="24"/>
    </row>
    <row r="59" spans="1:14" ht="48" customHeight="1" x14ac:dyDescent="0.35">
      <c r="A59" s="72" t="s">
        <v>47</v>
      </c>
      <c r="B59" s="72"/>
      <c r="C59" s="72"/>
      <c r="D59" s="173" t="s">
        <v>231</v>
      </c>
      <c r="E59" s="173"/>
      <c r="F59" s="173"/>
      <c r="G59" s="173"/>
      <c r="H59" s="173"/>
      <c r="J59" s="25"/>
      <c r="K59" s="23"/>
      <c r="N59" s="23"/>
    </row>
    <row r="60" spans="1:14" ht="15.75" customHeight="1" x14ac:dyDescent="0.35">
      <c r="A60" s="72" t="s">
        <v>89</v>
      </c>
      <c r="B60" s="72"/>
      <c r="C60" s="72"/>
      <c r="D60" s="174" t="str">
        <f>(IF(G52="NA","60 Years",IF(G52&lt;&gt;"NA",""&amp;60-ROUNDDOWN((E3-G52)/360,0)&amp;" Years"," ")))</f>
        <v>60 Years</v>
      </c>
      <c r="E60" s="174"/>
      <c r="F60" s="174"/>
      <c r="G60" s="174"/>
      <c r="H60" s="174"/>
      <c r="M60" s="62"/>
      <c r="N60" s="23"/>
    </row>
    <row r="61" spans="1:14" ht="15.75" customHeight="1" x14ac:dyDescent="0.35">
      <c r="A61" s="72" t="s">
        <v>90</v>
      </c>
      <c r="B61" s="72"/>
      <c r="C61" s="72"/>
      <c r="D61" s="137" t="s">
        <v>24</v>
      </c>
      <c r="E61" s="137"/>
      <c r="F61" s="137"/>
      <c r="G61" s="137"/>
      <c r="H61" s="137"/>
      <c r="J61" s="26"/>
      <c r="K61" s="26"/>
      <c r="M61" s="62"/>
    </row>
    <row r="62" spans="1:14" ht="15" customHeight="1" x14ac:dyDescent="0.35">
      <c r="A62" s="138" t="s">
        <v>225</v>
      </c>
      <c r="B62" s="138"/>
      <c r="C62" s="138"/>
      <c r="D62" s="119" t="s">
        <v>213</v>
      </c>
      <c r="E62" s="119"/>
      <c r="F62" s="119"/>
      <c r="G62" s="119"/>
      <c r="H62" s="119"/>
    </row>
    <row r="63" spans="1:14" x14ac:dyDescent="0.35">
      <c r="A63" s="137" t="s">
        <v>152</v>
      </c>
      <c r="B63" s="137"/>
      <c r="C63" s="137"/>
      <c r="D63" s="137" t="s">
        <v>29</v>
      </c>
      <c r="E63" s="137"/>
      <c r="F63" s="137"/>
      <c r="G63" s="137"/>
      <c r="H63" s="137"/>
      <c r="I63" s="27"/>
      <c r="J63" s="27"/>
      <c r="K63" s="27"/>
      <c r="L63" s="27"/>
      <c r="M63" s="27"/>
      <c r="N63" s="27"/>
    </row>
    <row r="64" spans="1:14" ht="15.75" customHeight="1" x14ac:dyDescent="0.35">
      <c r="A64" s="146" t="s">
        <v>88</v>
      </c>
      <c r="B64" s="146"/>
      <c r="C64" s="146"/>
      <c r="D64" s="147" t="str">
        <f ca="1">(IF(G70&gt;95%,"Nothing",IF(G70&gt;0%,"Cement, Aggregate, Steel, etc",IF(G70=0%,"Work not yet Started"))))</f>
        <v>Nothing</v>
      </c>
      <c r="E64" s="147"/>
      <c r="F64" s="147"/>
      <c r="G64" s="147"/>
      <c r="H64" s="147"/>
      <c r="J64" s="26"/>
      <c r="L64" s="61"/>
    </row>
    <row r="65" spans="1:11" ht="33.75" customHeight="1" thickBot="1" x14ac:dyDescent="0.4">
      <c r="A65" s="137" t="s">
        <v>120</v>
      </c>
      <c r="B65" s="137"/>
      <c r="C65" s="137"/>
      <c r="D65" s="119" t="str">
        <f ca="1">(IF(D64="Nothing","Yes",IF(D64="Cement, Aggregate, Steel, etc","Under Construction",IF(D64="Work not yet Started","Work not yet Started"))))</f>
        <v>Yes</v>
      </c>
      <c r="E65" s="119"/>
      <c r="F65" s="119" t="str">
        <f ca="1">(IF(D64="Nothing","Yes",IF(D64="Cement, Aggregate, Steel, etc","Under Construction",IF(D64="Work not yet Started","Work not yet Started"))))</f>
        <v>Yes</v>
      </c>
      <c r="G65" s="119"/>
      <c r="H65" s="119"/>
    </row>
    <row r="66" spans="1:11" ht="15.75" customHeight="1" x14ac:dyDescent="0.35">
      <c r="A66" s="169" t="s">
        <v>144</v>
      </c>
      <c r="B66" s="169"/>
      <c r="C66" s="169" t="s">
        <v>212</v>
      </c>
      <c r="D66" s="169"/>
      <c r="E66" s="169"/>
      <c r="F66" s="169"/>
      <c r="G66" s="169"/>
      <c r="H66" s="169"/>
      <c r="I66" s="69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1" x14ac:dyDescent="0.35">
      <c r="A67" s="51" t="s">
        <v>146</v>
      </c>
      <c r="B67" s="51">
        <v>1</v>
      </c>
      <c r="C67" s="51" t="s">
        <v>74</v>
      </c>
      <c r="D67" s="51">
        <v>1</v>
      </c>
      <c r="E67" s="51" t="s">
        <v>73</v>
      </c>
      <c r="F67" s="51">
        <v>0</v>
      </c>
      <c r="G67" s="51" t="s">
        <v>82</v>
      </c>
      <c r="H67" s="51">
        <f ca="1">--TRIM(RIGHT(SUBSTITUTE(LEFT(C66,_xlfn.AGGREGATE(16,6,FIND({0,1,2,3,4,5,6,7,8,9},C66,ROW(INDIRECT("1:"&amp;LEN(C66)))),1))," ",REPT(" ",LEN(C66))),LEN(C66)))</f>
        <v>17</v>
      </c>
      <c r="I67" s="7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18.5" customHeight="1" x14ac:dyDescent="0.35">
      <c r="A68" s="175" t="s">
        <v>92</v>
      </c>
      <c r="B68" s="175"/>
      <c r="C68" s="169" t="str">
        <f ca="1">(IF($G$52="NA",I66,"All work Completed. OC Received."))</f>
        <v>All work Completed. Possession granted to the Building.</v>
      </c>
      <c r="D68" s="169"/>
      <c r="E68" s="169"/>
      <c r="F68" s="169"/>
      <c r="G68" s="169"/>
      <c r="H68" s="169"/>
      <c r="I68" s="70" t="str">
        <f ca="1">IF(I67&lt;&gt;""," Completed","")</f>
        <v xml:space="preserve"> Completed</v>
      </c>
      <c r="J68" s="46" t="str">
        <f ca="1">IF(J66&lt;&gt;"","Completed","")</f>
        <v/>
      </c>
    </row>
    <row r="69" spans="1:11" ht="15.75" hidden="1" customHeight="1" x14ac:dyDescent="0.35">
      <c r="A69" s="100" t="s">
        <v>51</v>
      </c>
      <c r="B69" s="100"/>
      <c r="C69" s="68" t="s">
        <v>143</v>
      </c>
      <c r="D69" s="68" t="s">
        <v>85</v>
      </c>
      <c r="E69" s="100" t="s">
        <v>87</v>
      </c>
      <c r="F69" s="100"/>
      <c r="G69" s="100" t="s">
        <v>86</v>
      </c>
      <c r="H69" s="100"/>
      <c r="I69" s="16" t="s">
        <v>145</v>
      </c>
      <c r="J69" s="28">
        <f ca="1">H67*25%</f>
        <v>4.25</v>
      </c>
    </row>
    <row r="70" spans="1:11" hidden="1" x14ac:dyDescent="0.35">
      <c r="A70" s="100" t="s">
        <v>132</v>
      </c>
      <c r="B70" s="100"/>
      <c r="C70" s="68">
        <f ca="1">J71</f>
        <v>17</v>
      </c>
      <c r="D70" s="19">
        <f ca="1">((100/H67)*C70)/100</f>
        <v>1</v>
      </c>
      <c r="E70" s="157">
        <f ca="1">(((C71/H67*10)+(40/(D67+F67+H67)*C72)+(7.5/(H67)*C73)+(7.5/(H67)*C74)+(10/H67*C75)+(10/H67*C76)+(5/H67*C77)+(5/H67*C78)+(5/H67*C79))/100)</f>
        <v>1</v>
      </c>
      <c r="F70" s="157"/>
      <c r="G70" s="157">
        <f ca="1">((((C70/H67)*20)+((C71/H67)*25)+(30/(H67+F67+D67)*C72)+(5/H67*C73)+(5/H67*C74)+(5/H67*C75)+(5/H67*C76)+(0/H67*C77)+(0/H67*C78)+(5/H67*C79))/100)</f>
        <v>1</v>
      </c>
      <c r="H70" s="157"/>
      <c r="I70" s="16" t="s">
        <v>102</v>
      </c>
      <c r="J70" s="29">
        <f ca="1">H67*50%</f>
        <v>8.5</v>
      </c>
    </row>
    <row r="71" spans="1:11" hidden="1" x14ac:dyDescent="0.35">
      <c r="A71" s="100" t="s">
        <v>52</v>
      </c>
      <c r="B71" s="100"/>
      <c r="C71" s="49">
        <f ca="1">J79</f>
        <v>17</v>
      </c>
      <c r="D71" s="19">
        <f ca="1">((100/H67)*C71)/100</f>
        <v>1</v>
      </c>
      <c r="E71" s="157"/>
      <c r="F71" s="157"/>
      <c r="G71" s="157"/>
      <c r="H71" s="157"/>
      <c r="I71" s="16" t="s">
        <v>103</v>
      </c>
      <c r="J71" s="29">
        <f ca="1">H67</f>
        <v>17</v>
      </c>
    </row>
    <row r="72" spans="1:11" ht="15.75" hidden="1" customHeight="1" x14ac:dyDescent="0.35">
      <c r="A72" s="100" t="s">
        <v>133</v>
      </c>
      <c r="B72" s="100"/>
      <c r="C72" s="68">
        <v>18</v>
      </c>
      <c r="D72" s="19">
        <f ca="1">((100/(D67+F67+H67))*C72)/100</f>
        <v>1</v>
      </c>
      <c r="E72" s="157"/>
      <c r="F72" s="157"/>
      <c r="G72" s="157"/>
      <c r="H72" s="157"/>
      <c r="I72" s="16" t="s">
        <v>104</v>
      </c>
      <c r="J72" s="30">
        <f ca="1">(IF(B67&gt;1,(H67/(B67+2)),H67/4))</f>
        <v>4.25</v>
      </c>
    </row>
    <row r="73" spans="1:11" ht="15.75" hidden="1" customHeight="1" x14ac:dyDescent="0.35">
      <c r="A73" s="100" t="s">
        <v>140</v>
      </c>
      <c r="B73" s="100" t="s">
        <v>134</v>
      </c>
      <c r="C73" s="68">
        <v>17</v>
      </c>
      <c r="D73" s="19">
        <f ca="1">((100/H67)*C73)/100</f>
        <v>1</v>
      </c>
      <c r="E73" s="157"/>
      <c r="F73" s="157"/>
      <c r="G73" s="157"/>
      <c r="H73" s="157"/>
      <c r="I73" s="16" t="s">
        <v>105</v>
      </c>
      <c r="J73" s="30">
        <f ca="1">(IF(B67&gt;1,(H67/(B67+2)+J72),H67/4+J72))</f>
        <v>8.5</v>
      </c>
    </row>
    <row r="74" spans="1:11" ht="15.75" hidden="1" customHeight="1" x14ac:dyDescent="0.35">
      <c r="A74" s="100" t="s">
        <v>141</v>
      </c>
      <c r="B74" s="100" t="s">
        <v>134</v>
      </c>
      <c r="C74" s="68">
        <v>17</v>
      </c>
      <c r="D74" s="19">
        <f ca="1">((100/H67)*C74)/100</f>
        <v>1</v>
      </c>
      <c r="E74" s="157"/>
      <c r="F74" s="157"/>
      <c r="G74" s="157"/>
      <c r="H74" s="157"/>
      <c r="I74" s="16" t="s">
        <v>150</v>
      </c>
      <c r="J74" s="30">
        <f>(IF(B67&gt;1,(H67/(B67+2)+J73),0))</f>
        <v>0</v>
      </c>
    </row>
    <row r="75" spans="1:11" ht="15" hidden="1" customHeight="1" x14ac:dyDescent="0.35">
      <c r="A75" s="100" t="s">
        <v>139</v>
      </c>
      <c r="B75" s="100" t="s">
        <v>136</v>
      </c>
      <c r="C75" s="68">
        <v>17</v>
      </c>
      <c r="D75" s="19">
        <f ca="1">((100/(H67))*C75)/100</f>
        <v>1</v>
      </c>
      <c r="E75" s="157"/>
      <c r="F75" s="157"/>
      <c r="G75" s="157"/>
      <c r="H75" s="157"/>
      <c r="I75" s="16" t="s">
        <v>147</v>
      </c>
      <c r="J75" s="30">
        <f>(IF(B67&gt;2,(H67/(B67+2)+J74),0))</f>
        <v>0</v>
      </c>
    </row>
    <row r="76" spans="1:11" ht="15.75" hidden="1" customHeight="1" x14ac:dyDescent="0.35">
      <c r="A76" s="100" t="s">
        <v>135</v>
      </c>
      <c r="B76" s="100" t="s">
        <v>135</v>
      </c>
      <c r="C76" s="68">
        <v>17</v>
      </c>
      <c r="D76" s="19">
        <f ca="1">((100/H67)*C76)/100</f>
        <v>1</v>
      </c>
      <c r="E76" s="157"/>
      <c r="F76" s="157"/>
      <c r="G76" s="157"/>
      <c r="H76" s="157"/>
      <c r="I76" s="16" t="s">
        <v>148</v>
      </c>
      <c r="J76" s="31">
        <f>(IF(B67&gt;3,(H67/(B67+2)+J75),0))</f>
        <v>0</v>
      </c>
    </row>
    <row r="77" spans="1:11" ht="15.75" hidden="1" customHeight="1" x14ac:dyDescent="0.35">
      <c r="A77" s="100" t="s">
        <v>142</v>
      </c>
      <c r="B77" s="100"/>
      <c r="C77" s="68">
        <v>17</v>
      </c>
      <c r="D77" s="19">
        <f ca="1">((100/H67)*C77)/100</f>
        <v>1</v>
      </c>
      <c r="E77" s="157"/>
      <c r="F77" s="157"/>
      <c r="G77" s="157"/>
      <c r="H77" s="157"/>
      <c r="I77" s="16" t="s">
        <v>149</v>
      </c>
      <c r="J77" s="30">
        <f>(IF(B67&gt;4,(H67/(B67+2)+J76),0))</f>
        <v>0</v>
      </c>
    </row>
    <row r="78" spans="1:11" ht="15.75" hidden="1" customHeight="1" x14ac:dyDescent="0.35">
      <c r="A78" s="100" t="s">
        <v>137</v>
      </c>
      <c r="B78" s="100" t="s">
        <v>137</v>
      </c>
      <c r="C78" s="68">
        <v>17</v>
      </c>
      <c r="D78" s="19">
        <f ca="1">((100/(H67))*C78)/100</f>
        <v>1</v>
      </c>
      <c r="E78" s="157"/>
      <c r="F78" s="157"/>
      <c r="G78" s="157"/>
      <c r="H78" s="157"/>
      <c r="I78" s="16" t="s">
        <v>151</v>
      </c>
      <c r="J78" s="30">
        <f ca="1">(IF(B67=1,(H67/(B67+3)+J73),IF(B67=0,(H67/4+J73),IF(B67&gt;1,0))))</f>
        <v>12.75</v>
      </c>
    </row>
    <row r="79" spans="1:11" ht="16" hidden="1" thickBot="1" x14ac:dyDescent="0.4">
      <c r="A79" s="100" t="s">
        <v>138</v>
      </c>
      <c r="B79" s="100"/>
      <c r="C79" s="68">
        <v>17</v>
      </c>
      <c r="D79" s="19">
        <f ca="1">((100/(H67))*C79)/100</f>
        <v>1</v>
      </c>
      <c r="E79" s="157"/>
      <c r="F79" s="157"/>
      <c r="G79" s="157"/>
      <c r="H79" s="157"/>
      <c r="I79" s="17" t="s">
        <v>106</v>
      </c>
      <c r="J79" s="32">
        <f ca="1">(IF(B67&gt;1.5,(H67/(B67+2)+J73+MAX(0,J74-J73)+MAX(0,J75-J74)+MAX(0,J76-J75)+MAX(0,J77-J76)+MAX(0,J78-J77)),IF(B67=1,(H67/(B67+3)+J78),IF(B67=0,H67/4+J78))))</f>
        <v>17</v>
      </c>
    </row>
    <row r="80" spans="1:11" s="66" customFormat="1" ht="15.75" customHeight="1" x14ac:dyDescent="0.35">
      <c r="A80" s="170" t="s">
        <v>87</v>
      </c>
      <c r="B80" s="170"/>
      <c r="C80" s="171">
        <v>1</v>
      </c>
      <c r="D80" s="171"/>
      <c r="E80" s="172" t="s">
        <v>86</v>
      </c>
      <c r="F80" s="172"/>
      <c r="G80" s="171">
        <v>1</v>
      </c>
      <c r="H80" s="172"/>
      <c r="K80" s="67"/>
    </row>
    <row r="81" spans="1:12" s="66" customFormat="1" x14ac:dyDescent="0.35">
      <c r="A81" s="170"/>
      <c r="B81" s="170"/>
      <c r="C81" s="171"/>
      <c r="D81" s="171"/>
      <c r="E81" s="172"/>
      <c r="F81" s="172"/>
      <c r="G81" s="172"/>
      <c r="H81" s="172"/>
      <c r="K81" s="67"/>
    </row>
    <row r="82" spans="1:12" ht="15.75" hidden="1" customHeight="1" x14ac:dyDescent="0.35">
      <c r="A82" s="169" t="s">
        <v>144</v>
      </c>
      <c r="B82" s="169"/>
      <c r="C82" s="169" t="str">
        <f>D58</f>
        <v>Building No. 7B = Stilt + 1st to 17th Floor</v>
      </c>
      <c r="D82" s="169"/>
      <c r="E82" s="169"/>
      <c r="F82" s="169"/>
      <c r="G82" s="169"/>
      <c r="H82" s="169"/>
      <c r="I82" s="69" t="str">
        <f ca="1">IF(D95=100%,"All work Completed. Possession granted to the Building.",IF(D94=100%,"All work Completed, Waiting for OC",I83&amp;""&amp;I84&amp;""&amp;J83&amp;""&amp;J82&amp;" "&amp;J84))</f>
        <v>All work Completed. Possession granted to the Building.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2" hidden="1" x14ac:dyDescent="0.35">
      <c r="A83" s="51" t="s">
        <v>146</v>
      </c>
      <c r="B83" s="51">
        <v>1</v>
      </c>
      <c r="C83" s="51" t="s">
        <v>74</v>
      </c>
      <c r="D83" s="51">
        <v>1</v>
      </c>
      <c r="E83" s="51" t="s">
        <v>73</v>
      </c>
      <c r="F83" s="51">
        <v>0</v>
      </c>
      <c r="G83" s="51" t="s">
        <v>82</v>
      </c>
      <c r="H83" s="51">
        <f ca="1">--TRIM(RIGHT(SUBSTITUTE(LEFT(C82,_xlfn.AGGREGATE(16,6,FIND({0,1,2,3,4,5,6,7,8,9},C82,ROW(INDIRECT("1:"&amp;LEN(C82)))),1))," ",REPT(" ",LEN(C82))),LEN(C82)))</f>
        <v>17</v>
      </c>
      <c r="I83" s="70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Painting, Building common Amenities</v>
      </c>
      <c r="J83" s="46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2" hidden="1" x14ac:dyDescent="0.35">
      <c r="A84" s="175" t="s">
        <v>92</v>
      </c>
      <c r="B84" s="175"/>
      <c r="C84" s="169" t="str">
        <f ca="1">(IF($G$52="NA",I82,"All work Completed. OC Received."))</f>
        <v>All work Completed. Possession granted to the Building.</v>
      </c>
      <c r="D84" s="169"/>
      <c r="E84" s="169"/>
      <c r="F84" s="169"/>
      <c r="G84" s="169"/>
      <c r="H84" s="169"/>
      <c r="I84" s="70" t="str">
        <f ca="1">IF(I83&lt;&gt;""," Completed","")</f>
        <v xml:space="preserve"> Completed</v>
      </c>
      <c r="J84" s="46" t="str">
        <f ca="1">IF(J82&lt;&gt;"","Completed","")</f>
        <v/>
      </c>
    </row>
    <row r="85" spans="1:12" ht="15.75" hidden="1" customHeight="1" x14ac:dyDescent="0.35">
      <c r="A85" s="100" t="s">
        <v>51</v>
      </c>
      <c r="B85" s="100"/>
      <c r="C85" s="68" t="s">
        <v>143</v>
      </c>
      <c r="D85" s="68" t="s">
        <v>85</v>
      </c>
      <c r="E85" s="100" t="s">
        <v>87</v>
      </c>
      <c r="F85" s="100"/>
      <c r="G85" s="100" t="s">
        <v>86</v>
      </c>
      <c r="H85" s="100"/>
      <c r="I85" s="16" t="s">
        <v>145</v>
      </c>
      <c r="J85" s="28">
        <f ca="1">H83*25%</f>
        <v>4.25</v>
      </c>
    </row>
    <row r="86" spans="1:12" hidden="1" x14ac:dyDescent="0.35">
      <c r="A86" s="100" t="s">
        <v>132</v>
      </c>
      <c r="B86" s="100"/>
      <c r="C86" s="68">
        <f ca="1">J87</f>
        <v>17</v>
      </c>
      <c r="D86" s="19">
        <f ca="1">((100/H83)*C86)/100</f>
        <v>1</v>
      </c>
      <c r="E86" s="157">
        <f ca="1">(((C87/H83*10)+(40/(D83+F83+H83)*C88)+(7.5/(H83)*C89)+(7.5/(H83)*C90)+(10/H83*C91)+(10/H83*C92)+(5/H83*C93)+(5/H83*C94)+(5/H83*C95))/100)</f>
        <v>1</v>
      </c>
      <c r="F86" s="157"/>
      <c r="G86" s="157">
        <f ca="1">((((C86/H83)*20)+((C87/H83)*25)+(30/(H83+F83+D83)*C88)+(5/H83*C89)+(5/H83*C90)+(5/H83*C91)+(5/H83*C92)+(0/H83*C93)+(0/H83*C94)+(5/H83*C95))/100)</f>
        <v>1</v>
      </c>
      <c r="H86" s="157"/>
      <c r="I86" s="16" t="s">
        <v>102</v>
      </c>
      <c r="J86" s="29">
        <f ca="1">H83*50%</f>
        <v>8.5</v>
      </c>
    </row>
    <row r="87" spans="1:12" hidden="1" x14ac:dyDescent="0.35">
      <c r="A87" s="100" t="s">
        <v>52</v>
      </c>
      <c r="B87" s="100"/>
      <c r="C87" s="49">
        <f ca="1">J95</f>
        <v>17</v>
      </c>
      <c r="D87" s="19">
        <f ca="1">((100/H83)*C87)/100</f>
        <v>1</v>
      </c>
      <c r="E87" s="157"/>
      <c r="F87" s="157"/>
      <c r="G87" s="157"/>
      <c r="H87" s="157"/>
      <c r="I87" s="16" t="s">
        <v>103</v>
      </c>
      <c r="J87" s="29">
        <f ca="1">H83</f>
        <v>17</v>
      </c>
    </row>
    <row r="88" spans="1:12" ht="15.75" hidden="1" customHeight="1" x14ac:dyDescent="0.35">
      <c r="A88" s="100" t="s">
        <v>133</v>
      </c>
      <c r="B88" s="100"/>
      <c r="C88" s="68">
        <v>18</v>
      </c>
      <c r="D88" s="19">
        <f ca="1">((100/(D83+F83+H83))*C88)/100</f>
        <v>1</v>
      </c>
      <c r="E88" s="157"/>
      <c r="F88" s="157"/>
      <c r="G88" s="157"/>
      <c r="H88" s="157"/>
      <c r="I88" s="16" t="s">
        <v>104</v>
      </c>
      <c r="J88" s="30">
        <f ca="1">(IF(B83&gt;1,(H83/(B83+2)),H83/4))</f>
        <v>4.25</v>
      </c>
    </row>
    <row r="89" spans="1:12" ht="15.75" hidden="1" customHeight="1" x14ac:dyDescent="0.35">
      <c r="A89" s="100" t="s">
        <v>140</v>
      </c>
      <c r="B89" s="100" t="s">
        <v>134</v>
      </c>
      <c r="C89" s="68">
        <v>17</v>
      </c>
      <c r="D89" s="19">
        <f ca="1">((100/H83)*C89)/100</f>
        <v>1</v>
      </c>
      <c r="E89" s="157"/>
      <c r="F89" s="157"/>
      <c r="G89" s="157"/>
      <c r="H89" s="157"/>
      <c r="I89" s="16" t="s">
        <v>105</v>
      </c>
      <c r="J89" s="30">
        <f ca="1">(IF(B83&gt;1,(H83/(B83+2)+J88),H83/4+J88))</f>
        <v>8.5</v>
      </c>
    </row>
    <row r="90" spans="1:12" ht="15.75" hidden="1" customHeight="1" x14ac:dyDescent="0.35">
      <c r="A90" s="100" t="s">
        <v>141</v>
      </c>
      <c r="B90" s="100" t="s">
        <v>134</v>
      </c>
      <c r="C90" s="68">
        <v>17</v>
      </c>
      <c r="D90" s="19">
        <f ca="1">((100/H83)*C90)/100</f>
        <v>1</v>
      </c>
      <c r="E90" s="157"/>
      <c r="F90" s="157"/>
      <c r="G90" s="157"/>
      <c r="H90" s="157"/>
      <c r="I90" s="16" t="s">
        <v>150</v>
      </c>
      <c r="J90" s="30">
        <f>(IF(B83&gt;1,(H83/(B83+2)+J89),0))</f>
        <v>0</v>
      </c>
    </row>
    <row r="91" spans="1:12" ht="15" hidden="1" customHeight="1" x14ac:dyDescent="0.35">
      <c r="A91" s="100" t="s">
        <v>139</v>
      </c>
      <c r="B91" s="100" t="s">
        <v>136</v>
      </c>
      <c r="C91" s="68">
        <v>17</v>
      </c>
      <c r="D91" s="19">
        <f ca="1">((100/(H83))*C91)/100</f>
        <v>1</v>
      </c>
      <c r="E91" s="157"/>
      <c r="F91" s="157"/>
      <c r="G91" s="157"/>
      <c r="H91" s="157"/>
      <c r="I91" s="16" t="s">
        <v>147</v>
      </c>
      <c r="J91" s="30">
        <f>(IF(B83&gt;2,(H83/(B83+2)+J90),0))</f>
        <v>0</v>
      </c>
    </row>
    <row r="92" spans="1:12" ht="15.75" hidden="1" customHeight="1" x14ac:dyDescent="0.35">
      <c r="A92" s="100" t="s">
        <v>135</v>
      </c>
      <c r="B92" s="100" t="s">
        <v>135</v>
      </c>
      <c r="C92" s="68">
        <v>17</v>
      </c>
      <c r="D92" s="19">
        <f ca="1">((100/H83)*C92)/100</f>
        <v>1</v>
      </c>
      <c r="E92" s="157"/>
      <c r="F92" s="157"/>
      <c r="G92" s="157"/>
      <c r="H92" s="157"/>
      <c r="I92" s="16" t="s">
        <v>148</v>
      </c>
      <c r="J92" s="31">
        <f>(IF(B83&gt;3,(H83/(B83+2)+J91),0))</f>
        <v>0</v>
      </c>
    </row>
    <row r="93" spans="1:12" ht="15.75" hidden="1" customHeight="1" x14ac:dyDescent="0.35">
      <c r="A93" s="100" t="s">
        <v>142</v>
      </c>
      <c r="B93" s="100"/>
      <c r="C93" s="68">
        <v>17</v>
      </c>
      <c r="D93" s="19">
        <f ca="1">((100/H83)*C93)/100</f>
        <v>1</v>
      </c>
      <c r="E93" s="157"/>
      <c r="F93" s="157"/>
      <c r="G93" s="157"/>
      <c r="H93" s="157"/>
      <c r="I93" s="16" t="s">
        <v>149</v>
      </c>
      <c r="J93" s="30">
        <f>(IF(B83&gt;4,(H83/(B83+2)+J92),0))</f>
        <v>0</v>
      </c>
    </row>
    <row r="94" spans="1:12" ht="15.75" hidden="1" customHeight="1" x14ac:dyDescent="0.35">
      <c r="A94" s="100" t="s">
        <v>137</v>
      </c>
      <c r="B94" s="100" t="s">
        <v>137</v>
      </c>
      <c r="C94" s="68">
        <v>17</v>
      </c>
      <c r="D94" s="19">
        <f ca="1">((100/(H83))*C94)/100</f>
        <v>1</v>
      </c>
      <c r="E94" s="157"/>
      <c r="F94" s="157"/>
      <c r="G94" s="157"/>
      <c r="H94" s="157"/>
      <c r="I94" s="16" t="s">
        <v>151</v>
      </c>
      <c r="J94" s="30">
        <f ca="1">(IF(B83=1,(H83/(B83+3)+J89),IF(B83=0,(H83/4+J89),IF(B83&gt;1,0))))</f>
        <v>12.75</v>
      </c>
    </row>
    <row r="95" spans="1:12" ht="16" hidden="1" thickBot="1" x14ac:dyDescent="0.4">
      <c r="A95" s="100" t="s">
        <v>138</v>
      </c>
      <c r="B95" s="100"/>
      <c r="C95" s="68">
        <v>17</v>
      </c>
      <c r="D95" s="19">
        <f ca="1">((100/(H83))*C95)/100</f>
        <v>1</v>
      </c>
      <c r="E95" s="157"/>
      <c r="F95" s="157"/>
      <c r="G95" s="157"/>
      <c r="H95" s="157"/>
      <c r="I95" s="17" t="s">
        <v>106</v>
      </c>
      <c r="J95" s="32">
        <f ca="1">(IF(B83&gt;1.5,(H83/(B83+2)+J89+MAX(0,J90-J89)+MAX(0,J91-J90)+MAX(0,J92-J91)+MAX(0,J93-J92)+MAX(0,J94-J93)),IF(B83=1,(H83/(B83+3)+J94),IF(B83=0,H83/4+J94))))</f>
        <v>17</v>
      </c>
    </row>
    <row r="96" spans="1:12" x14ac:dyDescent="0.35">
      <c r="A96" s="113" t="s">
        <v>161</v>
      </c>
      <c r="B96" s="113"/>
      <c r="C96" s="113"/>
      <c r="D96" s="113"/>
      <c r="E96" s="113"/>
      <c r="F96" s="110" t="s">
        <v>165</v>
      </c>
      <c r="G96" s="110"/>
      <c r="H96" s="110"/>
      <c r="I96" s="53" t="s">
        <v>184</v>
      </c>
      <c r="J96" s="53" t="s">
        <v>185</v>
      </c>
      <c r="K96" s="53" t="s">
        <v>186</v>
      </c>
      <c r="L96" s="54">
        <v>44870</v>
      </c>
    </row>
    <row r="97" spans="1:12" x14ac:dyDescent="0.35">
      <c r="A97" s="72" t="s">
        <v>164</v>
      </c>
      <c r="B97" s="72"/>
      <c r="C97" s="72"/>
      <c r="D97" s="72"/>
      <c r="E97" s="72"/>
      <c r="F97" s="73">
        <v>6700</v>
      </c>
      <c r="G97" s="73"/>
      <c r="H97" s="73"/>
      <c r="I97" s="20" t="s">
        <v>233</v>
      </c>
      <c r="J97" s="20" t="s">
        <v>234</v>
      </c>
    </row>
    <row r="98" spans="1:12" hidden="1" x14ac:dyDescent="0.35">
      <c r="A98" s="72" t="s">
        <v>163</v>
      </c>
      <c r="B98" s="72"/>
      <c r="C98" s="72"/>
      <c r="D98" s="72"/>
      <c r="E98" s="72"/>
      <c r="F98" s="73">
        <v>9000</v>
      </c>
      <c r="G98" s="73"/>
      <c r="H98" s="73"/>
    </row>
    <row r="99" spans="1:12" s="33" customFormat="1" hidden="1" x14ac:dyDescent="0.3">
      <c r="A99" s="72" t="s">
        <v>162</v>
      </c>
      <c r="B99" s="72"/>
      <c r="C99" s="72"/>
      <c r="D99" s="72"/>
      <c r="E99" s="72"/>
      <c r="F99" s="73"/>
      <c r="G99" s="73"/>
      <c r="H99" s="73"/>
    </row>
    <row r="100" spans="1:12" s="33" customFormat="1" hidden="1" x14ac:dyDescent="0.3">
      <c r="A100" s="72" t="s">
        <v>97</v>
      </c>
      <c r="B100" s="72"/>
      <c r="C100" s="72"/>
      <c r="D100" s="72"/>
      <c r="E100" s="72"/>
      <c r="F100" s="73"/>
      <c r="G100" s="73"/>
      <c r="H100" s="73"/>
    </row>
    <row r="101" spans="1:12" s="33" customFormat="1" hidden="1" x14ac:dyDescent="0.3">
      <c r="A101" s="72" t="s">
        <v>98</v>
      </c>
      <c r="B101" s="72"/>
      <c r="C101" s="72"/>
      <c r="D101" s="72"/>
      <c r="E101" s="72"/>
      <c r="F101" s="73"/>
      <c r="G101" s="73"/>
      <c r="H101" s="73"/>
    </row>
    <row r="102" spans="1:12" s="33" customFormat="1" hidden="1" x14ac:dyDescent="0.3">
      <c r="A102" s="72" t="s">
        <v>166</v>
      </c>
      <c r="B102" s="72"/>
      <c r="C102" s="72"/>
      <c r="D102" s="72"/>
      <c r="E102" s="72"/>
      <c r="F102" s="73"/>
      <c r="G102" s="73"/>
      <c r="H102" s="73"/>
    </row>
    <row r="103" spans="1:12" s="33" customFormat="1" hidden="1" x14ac:dyDescent="0.3">
      <c r="A103" s="72" t="s">
        <v>99</v>
      </c>
      <c r="B103" s="72"/>
      <c r="C103" s="72"/>
      <c r="D103" s="72"/>
      <c r="E103" s="72"/>
      <c r="F103" s="73"/>
      <c r="G103" s="73"/>
      <c r="H103" s="73"/>
    </row>
    <row r="104" spans="1:12" s="33" customFormat="1" ht="35.25" customHeight="1" x14ac:dyDescent="0.3">
      <c r="A104" s="137" t="s">
        <v>187</v>
      </c>
      <c r="B104" s="137"/>
      <c r="C104" s="137"/>
      <c r="D104" s="137"/>
      <c r="E104" s="137"/>
      <c r="F104" s="73">
        <v>200000</v>
      </c>
      <c r="G104" s="73"/>
      <c r="H104" s="73"/>
      <c r="I104" s="64" t="s">
        <v>228</v>
      </c>
      <c r="J104" s="65">
        <v>45174</v>
      </c>
      <c r="K104" s="64" t="s">
        <v>229</v>
      </c>
      <c r="L104" s="64" t="s">
        <v>230</v>
      </c>
    </row>
    <row r="105" spans="1:12" s="33" customFormat="1" hidden="1" x14ac:dyDescent="0.3">
      <c r="A105" s="72" t="s">
        <v>100</v>
      </c>
      <c r="B105" s="72"/>
      <c r="C105" s="72"/>
      <c r="D105" s="72"/>
      <c r="E105" s="72"/>
      <c r="F105" s="73"/>
      <c r="G105" s="73"/>
      <c r="H105" s="73"/>
    </row>
    <row r="106" spans="1:12" s="33" customFormat="1" x14ac:dyDescent="0.3">
      <c r="A106" s="72" t="s">
        <v>101</v>
      </c>
      <c r="B106" s="72"/>
      <c r="C106" s="72"/>
      <c r="D106" s="72"/>
      <c r="E106" s="72"/>
      <c r="F106" s="73">
        <v>150000</v>
      </c>
      <c r="G106" s="73"/>
      <c r="H106" s="73"/>
      <c r="I106" s="33" t="s">
        <v>235</v>
      </c>
    </row>
    <row r="107" spans="1:12" x14ac:dyDescent="0.35">
      <c r="A107" s="72" t="s">
        <v>53</v>
      </c>
      <c r="B107" s="72"/>
      <c r="C107" s="72"/>
      <c r="D107" s="72"/>
      <c r="E107" s="72"/>
      <c r="F107" s="73">
        <v>250000</v>
      </c>
      <c r="G107" s="73"/>
      <c r="H107" s="73"/>
    </row>
    <row r="108" spans="1:12" s="34" customFormat="1" x14ac:dyDescent="0.35">
      <c r="A108" s="113" t="s">
        <v>54</v>
      </c>
      <c r="B108" s="113"/>
      <c r="C108" s="113"/>
      <c r="D108" s="113"/>
      <c r="E108" s="113"/>
      <c r="F108" s="73">
        <f>F97*0.8</f>
        <v>5360</v>
      </c>
      <c r="G108" s="73"/>
      <c r="H108" s="73"/>
    </row>
    <row r="109" spans="1:12" s="35" customFormat="1" ht="15.75" hidden="1" customHeight="1" x14ac:dyDescent="0.35">
      <c r="A109" s="94" t="s">
        <v>77</v>
      </c>
      <c r="B109" s="94"/>
      <c r="C109" s="94"/>
      <c r="D109" s="94"/>
      <c r="E109" s="94"/>
      <c r="F109" s="94"/>
      <c r="G109" s="94"/>
      <c r="H109" s="94"/>
    </row>
    <row r="110" spans="1:12" s="35" customFormat="1" ht="15.75" hidden="1" customHeight="1" x14ac:dyDescent="0.35">
      <c r="A110" s="89" t="s">
        <v>55</v>
      </c>
      <c r="B110" s="89"/>
      <c r="C110" s="96" t="s">
        <v>80</v>
      </c>
      <c r="D110" s="96"/>
      <c r="E110" s="98" t="s">
        <v>56</v>
      </c>
      <c r="F110" s="98"/>
      <c r="G110" s="89" t="s">
        <v>57</v>
      </c>
      <c r="H110" s="89"/>
    </row>
    <row r="111" spans="1:12" s="35" customFormat="1" hidden="1" x14ac:dyDescent="0.35">
      <c r="A111" s="74"/>
      <c r="B111" s="74"/>
      <c r="C111" s="90"/>
      <c r="D111" s="91"/>
      <c r="E111" s="92"/>
      <c r="F111" s="93"/>
      <c r="G111" s="92"/>
      <c r="H111" s="93"/>
    </row>
    <row r="112" spans="1:12" s="35" customFormat="1" hidden="1" x14ac:dyDescent="0.35">
      <c r="A112" s="74"/>
      <c r="B112" s="74"/>
      <c r="C112" s="90"/>
      <c r="D112" s="91"/>
      <c r="E112" s="92"/>
      <c r="F112" s="93"/>
      <c r="G112" s="92"/>
      <c r="H112" s="93"/>
    </row>
    <row r="113" spans="1:14" s="35" customFormat="1" hidden="1" x14ac:dyDescent="0.35">
      <c r="A113" s="94" t="s">
        <v>154</v>
      </c>
      <c r="B113" s="94"/>
      <c r="C113" s="95">
        <f>SUM(C111:C112)</f>
        <v>0</v>
      </c>
      <c r="D113" s="96"/>
      <c r="E113" s="97">
        <f>SUM(E111:E112)</f>
        <v>0</v>
      </c>
      <c r="F113" s="98"/>
      <c r="G113" s="89">
        <f>SUM(G111:G112)</f>
        <v>0</v>
      </c>
      <c r="H113" s="89"/>
    </row>
    <row r="114" spans="1:14" s="35" customFormat="1" x14ac:dyDescent="0.35">
      <c r="A114" s="94" t="s">
        <v>72</v>
      </c>
      <c r="B114" s="94"/>
      <c r="C114" s="94"/>
      <c r="D114" s="94"/>
      <c r="E114" s="94"/>
      <c r="F114" s="94"/>
      <c r="G114" s="94"/>
      <c r="H114" s="94"/>
    </row>
    <row r="115" spans="1:14" s="35" customFormat="1" ht="15.75" customHeight="1" x14ac:dyDescent="0.35">
      <c r="A115" s="89" t="s">
        <v>55</v>
      </c>
      <c r="B115" s="89"/>
      <c r="C115" s="96" t="s">
        <v>80</v>
      </c>
      <c r="D115" s="96"/>
      <c r="E115" s="98" t="s">
        <v>56</v>
      </c>
      <c r="F115" s="98"/>
      <c r="G115" s="89" t="s">
        <v>57</v>
      </c>
      <c r="H115" s="89"/>
    </row>
    <row r="116" spans="1:14" s="35" customFormat="1" x14ac:dyDescent="0.35">
      <c r="A116" s="74" t="s">
        <v>194</v>
      </c>
      <c r="B116" s="74"/>
      <c r="C116" s="92">
        <f>COUNT(D143:D147)*15+COUNT(D149:D150,D152:D153)*2</f>
        <v>83</v>
      </c>
      <c r="D116" s="92"/>
      <c r="E116" s="92">
        <f>SUM(D143:D147)*15+SUM(D149:D150,D152:D153)*2</f>
        <v>38560.523039999993</v>
      </c>
      <c r="F116" s="92"/>
      <c r="G116" s="92">
        <f>SUM(F143:F147)*15+SUM(F149:F150,F152:F153)*2</f>
        <v>59768.810711999991</v>
      </c>
      <c r="H116" s="92"/>
    </row>
    <row r="117" spans="1:14" s="35" customFormat="1" ht="15.75" customHeight="1" x14ac:dyDescent="0.35">
      <c r="A117" s="74" t="s">
        <v>198</v>
      </c>
      <c r="B117" s="74"/>
      <c r="C117" s="92">
        <f>COUNT(D157:D161)*15+COUNT(D163:D164,D166:D167)*2</f>
        <v>83</v>
      </c>
      <c r="D117" s="92"/>
      <c r="E117" s="92">
        <f>SUM(D157:D161)*15+SUM(D163:D164,D166:D167)*2</f>
        <v>39003.353999999992</v>
      </c>
      <c r="F117" s="92"/>
      <c r="G117" s="92">
        <f>SUM(F157:F161)*15+SUM(F163:F164,F166:F167)*2</f>
        <v>60455.198699999986</v>
      </c>
      <c r="H117" s="92"/>
    </row>
    <row r="118" spans="1:14" s="35" customFormat="1" x14ac:dyDescent="0.35">
      <c r="A118" s="94" t="s">
        <v>154</v>
      </c>
      <c r="B118" s="94"/>
      <c r="C118" s="95">
        <f>SUM(C116:C117)</f>
        <v>166</v>
      </c>
      <c r="D118" s="96"/>
      <c r="E118" s="97">
        <f>SUM(E116:E117)</f>
        <v>77563.877039999992</v>
      </c>
      <c r="F118" s="98"/>
      <c r="G118" s="89">
        <f>SUM(G116:G117)</f>
        <v>120224.00941199998</v>
      </c>
      <c r="H118" s="89"/>
    </row>
    <row r="119" spans="1:14" s="34" customFormat="1" x14ac:dyDescent="0.35">
      <c r="A119" s="110" t="s">
        <v>58</v>
      </c>
      <c r="B119" s="110"/>
      <c r="C119" s="110"/>
      <c r="D119" s="110"/>
      <c r="E119" s="110"/>
      <c r="F119" s="110"/>
      <c r="G119" s="110"/>
      <c r="H119" s="110"/>
    </row>
    <row r="120" spans="1:14" x14ac:dyDescent="0.35">
      <c r="A120" s="110" t="s">
        <v>214</v>
      </c>
      <c r="B120" s="110"/>
      <c r="C120" s="110"/>
      <c r="D120" s="110"/>
      <c r="E120" s="110"/>
      <c r="F120" s="110"/>
      <c r="G120" s="110"/>
      <c r="H120" s="110"/>
    </row>
    <row r="121" spans="1:14" ht="47.25" hidden="1" customHeight="1" x14ac:dyDescent="0.35">
      <c r="A121" s="111" t="s">
        <v>122</v>
      </c>
      <c r="B121" s="111" t="s">
        <v>121</v>
      </c>
      <c r="C121" s="111" t="s">
        <v>59</v>
      </c>
      <c r="D121" s="111" t="s">
        <v>60</v>
      </c>
      <c r="E121" s="104" t="s">
        <v>160</v>
      </c>
      <c r="F121" s="42" t="s">
        <v>153</v>
      </c>
      <c r="G121" s="106" t="s">
        <v>62</v>
      </c>
      <c r="H121" s="107"/>
    </row>
    <row r="122" spans="1:14" s="44" customFormat="1" hidden="1" x14ac:dyDescent="0.35">
      <c r="A122" s="112"/>
      <c r="B122" s="112"/>
      <c r="C122" s="112"/>
      <c r="D122" s="112"/>
      <c r="E122" s="105"/>
      <c r="F122" s="15">
        <v>0.6</v>
      </c>
      <c r="G122" s="108"/>
      <c r="H122" s="109"/>
    </row>
    <row r="123" spans="1:14" s="44" customFormat="1" hidden="1" x14ac:dyDescent="0.35">
      <c r="A123" s="101" t="s">
        <v>182</v>
      </c>
      <c r="B123" s="102"/>
      <c r="C123" s="102"/>
      <c r="D123" s="102"/>
      <c r="E123" s="102"/>
      <c r="F123" s="102"/>
      <c r="G123" s="102"/>
      <c r="H123" s="103"/>
      <c r="J123" s="36"/>
    </row>
    <row r="124" spans="1:14" s="44" customFormat="1" hidden="1" x14ac:dyDescent="0.35">
      <c r="A124" s="78">
        <v>7</v>
      </c>
      <c r="B124" s="79"/>
      <c r="C124" s="41" t="s">
        <v>178</v>
      </c>
      <c r="D124" s="41"/>
      <c r="E124" s="41">
        <v>0</v>
      </c>
      <c r="F124" s="41">
        <f>(D124+E124)*(($F$122)+1)</f>
        <v>0</v>
      </c>
      <c r="G124" s="78" t="str">
        <f>A123</f>
        <v>Ground Floor For Commercial</v>
      </c>
      <c r="H124" s="79"/>
      <c r="I124" s="36"/>
      <c r="L124" s="99"/>
      <c r="M124" s="99"/>
      <c r="N124" s="36"/>
    </row>
    <row r="125" spans="1:14" s="44" customFormat="1" hidden="1" x14ac:dyDescent="0.35">
      <c r="A125" s="78">
        <v>8</v>
      </c>
      <c r="B125" s="79"/>
      <c r="C125" s="47" t="s">
        <v>178</v>
      </c>
      <c r="D125" s="41"/>
      <c r="E125" s="41">
        <v>0</v>
      </c>
      <c r="F125" s="41">
        <f t="shared" ref="F125:F127" si="0">(D125+E125)*(($F$122)+1)</f>
        <v>0</v>
      </c>
      <c r="G125" s="78" t="str">
        <f t="shared" ref="G125:G136" si="1">G124</f>
        <v>Ground Floor For Commercial</v>
      </c>
      <c r="H125" s="79"/>
      <c r="I125" s="36"/>
      <c r="L125" s="99"/>
      <c r="M125" s="99"/>
      <c r="N125" s="36"/>
    </row>
    <row r="126" spans="1:14" s="44" customFormat="1" hidden="1" x14ac:dyDescent="0.35">
      <c r="A126" s="78">
        <v>9</v>
      </c>
      <c r="B126" s="79"/>
      <c r="C126" s="47" t="s">
        <v>178</v>
      </c>
      <c r="D126" s="47"/>
      <c r="E126" s="41">
        <v>0</v>
      </c>
      <c r="F126" s="41">
        <f t="shared" si="0"/>
        <v>0</v>
      </c>
      <c r="G126" s="78" t="str">
        <f t="shared" si="1"/>
        <v>Ground Floor For Commercial</v>
      </c>
      <c r="H126" s="79"/>
      <c r="I126" s="36"/>
      <c r="L126" s="99"/>
      <c r="M126" s="99"/>
      <c r="N126" s="36"/>
    </row>
    <row r="127" spans="1:14" s="44" customFormat="1" hidden="1" x14ac:dyDescent="0.35">
      <c r="A127" s="78">
        <v>10</v>
      </c>
      <c r="B127" s="79"/>
      <c r="C127" s="47" t="s">
        <v>178</v>
      </c>
      <c r="D127" s="47"/>
      <c r="E127" s="41">
        <v>0</v>
      </c>
      <c r="F127" s="41">
        <f t="shared" si="0"/>
        <v>0</v>
      </c>
      <c r="G127" s="78" t="str">
        <f t="shared" si="1"/>
        <v>Ground Floor For Commercial</v>
      </c>
      <c r="H127" s="79"/>
      <c r="I127" s="36"/>
      <c r="L127" s="99"/>
      <c r="M127" s="99"/>
      <c r="N127" s="36"/>
    </row>
    <row r="128" spans="1:14" s="48" customFormat="1" hidden="1" x14ac:dyDescent="0.35">
      <c r="A128" s="78">
        <v>11</v>
      </c>
      <c r="B128" s="79"/>
      <c r="C128" s="47" t="s">
        <v>178</v>
      </c>
      <c r="D128" s="47"/>
      <c r="E128" s="47">
        <v>0</v>
      </c>
      <c r="F128" s="47">
        <f>(D128+E128)*(($F$122)+1)</f>
        <v>0</v>
      </c>
      <c r="G128" s="78" t="str">
        <f t="shared" si="1"/>
        <v>Ground Floor For Commercial</v>
      </c>
      <c r="H128" s="79"/>
      <c r="I128" s="36"/>
      <c r="L128" s="99"/>
      <c r="M128" s="99"/>
      <c r="N128" s="36"/>
    </row>
    <row r="129" spans="1:14" s="48" customFormat="1" hidden="1" x14ac:dyDescent="0.35">
      <c r="A129" s="78">
        <v>12</v>
      </c>
      <c r="B129" s="79"/>
      <c r="C129" s="47" t="s">
        <v>178</v>
      </c>
      <c r="D129" s="47"/>
      <c r="E129" s="47">
        <v>0</v>
      </c>
      <c r="F129" s="47">
        <f t="shared" ref="F129:F131" si="2">(D129+E129)*(($F$122)+1)</f>
        <v>0</v>
      </c>
      <c r="G129" s="78" t="str">
        <f t="shared" si="1"/>
        <v>Ground Floor For Commercial</v>
      </c>
      <c r="H129" s="79"/>
      <c r="I129" s="36"/>
      <c r="L129" s="99"/>
      <c r="M129" s="99"/>
      <c r="N129" s="36"/>
    </row>
    <row r="130" spans="1:14" s="48" customFormat="1" hidden="1" x14ac:dyDescent="0.35">
      <c r="A130" s="78">
        <v>13</v>
      </c>
      <c r="B130" s="79"/>
      <c r="C130" s="47" t="s">
        <v>178</v>
      </c>
      <c r="D130" s="47"/>
      <c r="E130" s="47">
        <v>0</v>
      </c>
      <c r="F130" s="47">
        <f t="shared" si="2"/>
        <v>0</v>
      </c>
      <c r="G130" s="78" t="str">
        <f t="shared" si="1"/>
        <v>Ground Floor For Commercial</v>
      </c>
      <c r="H130" s="79"/>
      <c r="I130" s="36"/>
      <c r="L130" s="99"/>
      <c r="M130" s="99"/>
      <c r="N130" s="36"/>
    </row>
    <row r="131" spans="1:14" s="48" customFormat="1" hidden="1" x14ac:dyDescent="0.35">
      <c r="A131" s="78">
        <v>14</v>
      </c>
      <c r="B131" s="79"/>
      <c r="C131" s="47" t="s">
        <v>178</v>
      </c>
      <c r="D131" s="47"/>
      <c r="E131" s="47">
        <v>0</v>
      </c>
      <c r="F131" s="47">
        <f t="shared" si="2"/>
        <v>0</v>
      </c>
      <c r="G131" s="78" t="str">
        <f t="shared" si="1"/>
        <v>Ground Floor For Commercial</v>
      </c>
      <c r="H131" s="79"/>
      <c r="I131" s="36"/>
      <c r="L131" s="99"/>
      <c r="M131" s="99"/>
      <c r="N131" s="36"/>
    </row>
    <row r="132" spans="1:14" s="48" customFormat="1" hidden="1" x14ac:dyDescent="0.35">
      <c r="A132" s="78">
        <v>15</v>
      </c>
      <c r="B132" s="79"/>
      <c r="C132" s="47" t="s">
        <v>178</v>
      </c>
      <c r="D132" s="47"/>
      <c r="E132" s="47">
        <v>0</v>
      </c>
      <c r="F132" s="47">
        <f>(D132+E132)*(($F$122)+1)</f>
        <v>0</v>
      </c>
      <c r="G132" s="78" t="str">
        <f t="shared" si="1"/>
        <v>Ground Floor For Commercial</v>
      </c>
      <c r="H132" s="79"/>
      <c r="I132" s="36"/>
      <c r="L132" s="99"/>
      <c r="M132" s="99"/>
      <c r="N132" s="36"/>
    </row>
    <row r="133" spans="1:14" s="48" customFormat="1" hidden="1" x14ac:dyDescent="0.35">
      <c r="A133" s="78">
        <v>16</v>
      </c>
      <c r="B133" s="79"/>
      <c r="C133" s="47" t="s">
        <v>178</v>
      </c>
      <c r="D133" s="47"/>
      <c r="E133" s="47">
        <v>0</v>
      </c>
      <c r="F133" s="47">
        <f t="shared" ref="F133:F135" si="3">(D133+E133)*(($F$122)+1)</f>
        <v>0</v>
      </c>
      <c r="G133" s="78" t="str">
        <f t="shared" si="1"/>
        <v>Ground Floor For Commercial</v>
      </c>
      <c r="H133" s="79"/>
      <c r="I133" s="36"/>
      <c r="L133" s="99"/>
      <c r="M133" s="99"/>
      <c r="N133" s="36"/>
    </row>
    <row r="134" spans="1:14" s="48" customFormat="1" hidden="1" x14ac:dyDescent="0.35">
      <c r="A134" s="78">
        <v>17</v>
      </c>
      <c r="B134" s="79"/>
      <c r="C134" s="47" t="s">
        <v>178</v>
      </c>
      <c r="D134" s="47"/>
      <c r="E134" s="47">
        <v>0</v>
      </c>
      <c r="F134" s="47">
        <f t="shared" si="3"/>
        <v>0</v>
      </c>
      <c r="G134" s="78" t="str">
        <f t="shared" si="1"/>
        <v>Ground Floor For Commercial</v>
      </c>
      <c r="H134" s="79"/>
      <c r="I134" s="36"/>
      <c r="L134" s="99"/>
      <c r="M134" s="99"/>
      <c r="N134" s="36"/>
    </row>
    <row r="135" spans="1:14" s="48" customFormat="1" hidden="1" x14ac:dyDescent="0.35">
      <c r="A135" s="78">
        <v>18</v>
      </c>
      <c r="B135" s="79"/>
      <c r="C135" s="47" t="s">
        <v>178</v>
      </c>
      <c r="D135" s="47"/>
      <c r="E135" s="47">
        <v>0</v>
      </c>
      <c r="F135" s="47">
        <f t="shared" si="3"/>
        <v>0</v>
      </c>
      <c r="G135" s="78" t="str">
        <f t="shared" si="1"/>
        <v>Ground Floor For Commercial</v>
      </c>
      <c r="H135" s="79"/>
      <c r="I135" s="36"/>
      <c r="L135" s="99"/>
      <c r="M135" s="99"/>
      <c r="N135" s="36"/>
    </row>
    <row r="136" spans="1:14" s="48" customFormat="1" hidden="1" x14ac:dyDescent="0.35">
      <c r="A136" s="78">
        <v>19</v>
      </c>
      <c r="B136" s="79"/>
      <c r="C136" s="47" t="s">
        <v>178</v>
      </c>
      <c r="D136" s="47"/>
      <c r="E136" s="47">
        <v>0</v>
      </c>
      <c r="F136" s="47">
        <f t="shared" ref="F136" si="4">(D136+E136)*(($F$122)+1)</f>
        <v>0</v>
      </c>
      <c r="G136" s="78" t="str">
        <f t="shared" si="1"/>
        <v>Ground Floor For Commercial</v>
      </c>
      <c r="H136" s="79"/>
      <c r="I136" s="36"/>
      <c r="L136" s="99"/>
      <c r="M136" s="99"/>
      <c r="N136" s="36"/>
    </row>
    <row r="137" spans="1:14" s="44" customFormat="1" hidden="1" x14ac:dyDescent="0.35">
      <c r="A137" s="78"/>
      <c r="B137" s="159"/>
      <c r="C137" s="159"/>
      <c r="D137" s="159"/>
      <c r="E137" s="159"/>
      <c r="F137" s="159"/>
      <c r="G137" s="159"/>
      <c r="H137" s="79"/>
      <c r="I137" s="36"/>
      <c r="N137" s="36"/>
    </row>
    <row r="138" spans="1:14" ht="47.25" customHeight="1" x14ac:dyDescent="0.35">
      <c r="A138" s="106" t="s">
        <v>123</v>
      </c>
      <c r="B138" s="106" t="s">
        <v>124</v>
      </c>
      <c r="C138" s="111" t="s">
        <v>59</v>
      </c>
      <c r="D138" s="111" t="s">
        <v>60</v>
      </c>
      <c r="E138" s="104" t="s">
        <v>61</v>
      </c>
      <c r="F138" s="42" t="s">
        <v>153</v>
      </c>
      <c r="G138" s="106" t="s">
        <v>62</v>
      </c>
      <c r="H138" s="107"/>
      <c r="I138" s="36"/>
    </row>
    <row r="139" spans="1:14" s="44" customFormat="1" x14ac:dyDescent="0.35">
      <c r="A139" s="108"/>
      <c r="B139" s="108"/>
      <c r="C139" s="112"/>
      <c r="D139" s="112"/>
      <c r="E139" s="105"/>
      <c r="F139" s="15">
        <v>0.55000000000000004</v>
      </c>
      <c r="G139" s="108"/>
      <c r="H139" s="109"/>
      <c r="I139" s="36"/>
    </row>
    <row r="140" spans="1:14" s="50" customFormat="1" x14ac:dyDescent="0.35">
      <c r="A140" s="101" t="s">
        <v>194</v>
      </c>
      <c r="B140" s="102"/>
      <c r="C140" s="102"/>
      <c r="D140" s="102"/>
      <c r="E140" s="102"/>
      <c r="F140" s="102"/>
      <c r="G140" s="102"/>
      <c r="H140" s="103"/>
      <c r="J140" s="59">
        <v>10.763999999999999</v>
      </c>
    </row>
    <row r="141" spans="1:14" s="56" customFormat="1" x14ac:dyDescent="0.35">
      <c r="A141" s="101" t="s">
        <v>215</v>
      </c>
      <c r="B141" s="102"/>
      <c r="C141" s="102"/>
      <c r="D141" s="102"/>
      <c r="E141" s="102"/>
      <c r="F141" s="102"/>
      <c r="G141" s="102"/>
      <c r="H141" s="103"/>
      <c r="J141" s="36"/>
    </row>
    <row r="142" spans="1:14" s="48" customFormat="1" x14ac:dyDescent="0.35">
      <c r="A142" s="101" t="s">
        <v>216</v>
      </c>
      <c r="B142" s="102"/>
      <c r="C142" s="102"/>
      <c r="D142" s="102"/>
      <c r="E142" s="102"/>
      <c r="F142" s="102"/>
      <c r="G142" s="102"/>
      <c r="H142" s="103"/>
      <c r="J142" s="36"/>
    </row>
    <row r="143" spans="1:14" s="48" customFormat="1" ht="15.75" customHeight="1" x14ac:dyDescent="0.35">
      <c r="A143" s="78">
        <v>1</v>
      </c>
      <c r="B143" s="79"/>
      <c r="C143" s="47" t="s">
        <v>179</v>
      </c>
      <c r="D143" s="59">
        <f>(5.25*2.9+3.8*2.05+3.8*2.75+1.2*2+1.2*2+(0.5*1.2*0.7))*10.764</f>
        <v>416.40534000000002</v>
      </c>
      <c r="E143" s="47">
        <v>0</v>
      </c>
      <c r="F143" s="47">
        <f>D143*(($F$139)+1)+(IF(E143&lt;101,E143,IF(E143&lt;201,E143/2,IF(E143&lt;=301,E143/3,E143/4))))</f>
        <v>645.42827700000009</v>
      </c>
      <c r="G143" s="176" t="str">
        <f>A142</f>
        <v>1st to 7th, 9th to 11th, 13th to 17th Floor For Residential</v>
      </c>
      <c r="H143" s="177"/>
      <c r="I143" s="58" t="s">
        <v>195</v>
      </c>
      <c r="L143" s="99"/>
      <c r="M143" s="99"/>
      <c r="N143" s="36"/>
    </row>
    <row r="144" spans="1:14" s="48" customFormat="1" ht="15.75" customHeight="1" x14ac:dyDescent="0.35">
      <c r="A144" s="78">
        <v>2</v>
      </c>
      <c r="B144" s="79"/>
      <c r="C144" s="47" t="s">
        <v>179</v>
      </c>
      <c r="D144" s="59">
        <f>(2.9*5.4+2.05*2.6+3.5*3.05+2*1.2+1.2*2+1.2*2.05)*10.764</f>
        <v>418.98869999999994</v>
      </c>
      <c r="E144" s="55">
        <v>0</v>
      </c>
      <c r="F144" s="47">
        <f>D144*(($F$139)+1)+(IF(E144&lt;101,E144,IF(E144&lt;201,E144/2,IF(E144&lt;=301,E144/3,E144/4))))</f>
        <v>649.43248499999993</v>
      </c>
      <c r="G144" s="178"/>
      <c r="H144" s="179"/>
      <c r="I144" s="36"/>
      <c r="L144" s="99"/>
      <c r="M144" s="99"/>
      <c r="N144" s="36"/>
    </row>
    <row r="145" spans="1:14" s="48" customFormat="1" ht="15.75" customHeight="1" x14ac:dyDescent="0.35">
      <c r="A145" s="78">
        <v>3</v>
      </c>
      <c r="B145" s="79"/>
      <c r="C145" s="47" t="s">
        <v>179</v>
      </c>
      <c r="D145" s="59">
        <f>(2.9*5.4+2.05*2.5+2.75*3.8+1.2*2+2*1.2+1.3*2.05)*10.764</f>
        <v>416.56679999999994</v>
      </c>
      <c r="E145" s="55">
        <v>0</v>
      </c>
      <c r="F145" s="47">
        <f>D145*(($F$139)+1)+(IF(E145&lt;101,E145,IF(E145&lt;201,E145/2,IF(E145&lt;=301,E145/3,E145/4))))</f>
        <v>645.67853999999988</v>
      </c>
      <c r="G145" s="178"/>
      <c r="H145" s="179"/>
      <c r="I145" s="36"/>
      <c r="L145" s="99"/>
      <c r="M145" s="99"/>
      <c r="N145" s="36"/>
    </row>
    <row r="146" spans="1:14" s="48" customFormat="1" ht="15.75" customHeight="1" x14ac:dyDescent="0.35">
      <c r="A146" s="78">
        <v>4</v>
      </c>
      <c r="B146" s="79"/>
      <c r="C146" s="47" t="s">
        <v>180</v>
      </c>
      <c r="D146" s="59">
        <f>(2.9*5.4+2.05*2.75+2.75*3.8+2.75*3.8+1.05*2.05+2*1.2+1.2*2)*10.764</f>
        <v>529.05059999999992</v>
      </c>
      <c r="E146" s="55">
        <v>0</v>
      </c>
      <c r="F146" s="47">
        <f>D146*(($F$139)+1)+(IF(E146&lt;101,E146,IF(E146&lt;201,E146/2,IF(E146&lt;=301,E146/3,E146/4))))</f>
        <v>820.02842999999984</v>
      </c>
      <c r="G146" s="178"/>
      <c r="H146" s="179"/>
      <c r="I146" s="36"/>
      <c r="L146" s="99"/>
      <c r="M146" s="99"/>
      <c r="N146" s="36"/>
    </row>
    <row r="147" spans="1:14" s="60" customFormat="1" ht="15.75" customHeight="1" x14ac:dyDescent="0.35">
      <c r="A147" s="78">
        <v>5</v>
      </c>
      <c r="B147" s="79"/>
      <c r="C147" s="55" t="s">
        <v>180</v>
      </c>
      <c r="D147" s="59">
        <f>(2.9*5.4+2.25*2.75+2.6*3.8+2.75*3.8+1.2*2+1.28*2.25+1.05*2.25)*10.764</f>
        <v>536.26247999999987</v>
      </c>
      <c r="E147" s="55">
        <v>0</v>
      </c>
      <c r="F147" s="55">
        <f>D147*(($F$139)+1)+(IF(E147&lt;101,E147,IF(E147&lt;201,E147/2,IF(E147&lt;=301,E147/3,E147/4))))</f>
        <v>831.20684399999982</v>
      </c>
      <c r="G147" s="180"/>
      <c r="H147" s="181"/>
      <c r="I147" s="36"/>
      <c r="J147" s="59">
        <f>(2.9*5.4+2.25*2.75+2.6*3.8+2.75*3.8+1.2*2+1.28*2.25+1.05*2.25)*10.764</f>
        <v>536.26247999999987</v>
      </c>
      <c r="L147" s="99"/>
      <c r="M147" s="99"/>
      <c r="N147" s="36"/>
    </row>
    <row r="148" spans="1:14" s="57" customFormat="1" x14ac:dyDescent="0.35">
      <c r="A148" s="101" t="s">
        <v>197</v>
      </c>
      <c r="B148" s="102"/>
      <c r="C148" s="102"/>
      <c r="D148" s="102"/>
      <c r="E148" s="102"/>
      <c r="F148" s="102"/>
      <c r="G148" s="102"/>
      <c r="H148" s="103"/>
      <c r="J148" s="36"/>
    </row>
    <row r="149" spans="1:14" s="57" customFormat="1" ht="15.75" customHeight="1" x14ac:dyDescent="0.35">
      <c r="A149" s="78">
        <v>1</v>
      </c>
      <c r="B149" s="79"/>
      <c r="C149" s="55" t="s">
        <v>179</v>
      </c>
      <c r="D149" s="59">
        <f>(5.25*2.9+3.8*2.05+3.8*2.75+1.2*2+1.2*2+(0.5*1.2*0.7))*10.764</f>
        <v>416.40534000000002</v>
      </c>
      <c r="E149" s="55">
        <v>0</v>
      </c>
      <c r="F149" s="55">
        <f t="shared" ref="F149:F153" si="5">D149*(($F$139)+1)+(IF(E149&lt;101,E149,IF(E149&lt;201,E149/2,IF(E149&lt;=301,E149/3,E149/4))))</f>
        <v>645.42827700000009</v>
      </c>
      <c r="G149" s="176" t="str">
        <f>A148</f>
        <v>8th &amp; 12th Floor (Part Refuge Area)</v>
      </c>
      <c r="H149" s="177"/>
      <c r="I149" s="36"/>
      <c r="L149" s="99"/>
      <c r="M149" s="99"/>
      <c r="N149" s="36"/>
    </row>
    <row r="150" spans="1:14" s="57" customFormat="1" ht="15.75" customHeight="1" x14ac:dyDescent="0.35">
      <c r="A150" s="78">
        <f t="shared" ref="A150:A152" si="6">A149+1</f>
        <v>2</v>
      </c>
      <c r="B150" s="79"/>
      <c r="C150" s="55" t="s">
        <v>179</v>
      </c>
      <c r="D150" s="59">
        <f>(2.9*5.4+2.05*2.6+3.5*3.05+2*1.2+1.2*2+1.2*2.05)*10.764</f>
        <v>418.98869999999994</v>
      </c>
      <c r="E150" s="55">
        <v>0</v>
      </c>
      <c r="F150" s="55">
        <f t="shared" si="5"/>
        <v>649.43248499999993</v>
      </c>
      <c r="G150" s="178"/>
      <c r="H150" s="179"/>
      <c r="I150" s="36"/>
      <c r="L150" s="99"/>
      <c r="M150" s="99"/>
      <c r="N150" s="36"/>
    </row>
    <row r="151" spans="1:14" s="57" customFormat="1" ht="15.75" customHeight="1" x14ac:dyDescent="0.35">
      <c r="A151" s="78">
        <f t="shared" si="6"/>
        <v>3</v>
      </c>
      <c r="B151" s="79"/>
      <c r="C151" s="78" t="s">
        <v>196</v>
      </c>
      <c r="D151" s="159"/>
      <c r="E151" s="159"/>
      <c r="F151" s="79"/>
      <c r="G151" s="178"/>
      <c r="H151" s="179"/>
      <c r="I151" s="36"/>
      <c r="L151" s="99"/>
      <c r="M151" s="99"/>
      <c r="N151" s="36"/>
    </row>
    <row r="152" spans="1:14" s="57" customFormat="1" ht="15.75" customHeight="1" x14ac:dyDescent="0.35">
      <c r="A152" s="78">
        <f t="shared" si="6"/>
        <v>4</v>
      </c>
      <c r="B152" s="79"/>
      <c r="C152" s="55" t="s">
        <v>180</v>
      </c>
      <c r="D152" s="59">
        <f>(2.9*5.4+2.05*2.75+2.75*3.8+2.75*3.8+1.05*2.05+2*1.2+1.2*2)*10.764</f>
        <v>529.05059999999992</v>
      </c>
      <c r="E152" s="55">
        <v>0</v>
      </c>
      <c r="F152" s="55">
        <f t="shared" si="5"/>
        <v>820.02842999999984</v>
      </c>
      <c r="G152" s="178"/>
      <c r="H152" s="179"/>
      <c r="I152" s="36"/>
      <c r="L152" s="99"/>
      <c r="M152" s="99"/>
      <c r="N152" s="36"/>
    </row>
    <row r="153" spans="1:14" s="60" customFormat="1" ht="15.75" customHeight="1" x14ac:dyDescent="0.35">
      <c r="A153" s="78">
        <v>5</v>
      </c>
      <c r="B153" s="79"/>
      <c r="C153" s="55" t="s">
        <v>180</v>
      </c>
      <c r="D153" s="59">
        <f>(2.9*5.4+2.25*2.75+2.6*3.8+2.75*3.8+1.2*2+1.28*2.25+1.05*2.25)*10.764</f>
        <v>536.26247999999987</v>
      </c>
      <c r="E153" s="55">
        <v>0</v>
      </c>
      <c r="F153" s="55">
        <f t="shared" si="5"/>
        <v>831.20684399999982</v>
      </c>
      <c r="G153" s="180"/>
      <c r="H153" s="181"/>
      <c r="I153" s="36"/>
      <c r="L153" s="99"/>
      <c r="M153" s="99"/>
      <c r="N153" s="36"/>
    </row>
    <row r="154" spans="1:14" s="57" customFormat="1" x14ac:dyDescent="0.35">
      <c r="A154" s="101" t="s">
        <v>198</v>
      </c>
      <c r="B154" s="102"/>
      <c r="C154" s="102"/>
      <c r="D154" s="102"/>
      <c r="E154" s="102"/>
      <c r="F154" s="102"/>
      <c r="G154" s="102"/>
      <c r="H154" s="103"/>
      <c r="J154" s="36"/>
    </row>
    <row r="155" spans="1:14" s="63" customFormat="1" x14ac:dyDescent="0.35">
      <c r="A155" s="101" t="s">
        <v>215</v>
      </c>
      <c r="B155" s="102"/>
      <c r="C155" s="102"/>
      <c r="D155" s="102"/>
      <c r="E155" s="102"/>
      <c r="F155" s="102"/>
      <c r="G155" s="102"/>
      <c r="H155" s="103"/>
      <c r="J155" s="36"/>
    </row>
    <row r="156" spans="1:14" s="63" customFormat="1" x14ac:dyDescent="0.35">
      <c r="A156" s="182" t="s">
        <v>216</v>
      </c>
      <c r="B156" s="182"/>
      <c r="C156" s="182"/>
      <c r="D156" s="182"/>
      <c r="E156" s="182"/>
      <c r="F156" s="182"/>
      <c r="G156" s="182"/>
      <c r="H156" s="182"/>
      <c r="J156" s="36"/>
    </row>
    <row r="157" spans="1:14" s="57" customFormat="1" ht="15.75" customHeight="1" x14ac:dyDescent="0.35">
      <c r="A157" s="161">
        <v>1</v>
      </c>
      <c r="B157" s="161" t="s">
        <v>200</v>
      </c>
      <c r="C157" s="71" t="s">
        <v>179</v>
      </c>
      <c r="D157" s="59">
        <f>(2.9*5.4+2.05*3.8+2.75*3.8+1.2*2+2*1.2)*10.764</f>
        <v>416.56679999999994</v>
      </c>
      <c r="E157" s="71">
        <v>0</v>
      </c>
      <c r="F157" s="71">
        <f t="shared" ref="F157:F161" si="7">D157*(($F$139)+1)+(IF(E157&lt;101,E157,IF(E157&lt;201,E157/2,IF(E157&lt;=301,E157/3,E157/4))))</f>
        <v>645.67853999999988</v>
      </c>
      <c r="G157" s="161" t="str">
        <f>A156</f>
        <v>1st to 7th, 9th to 11th, 13th to 17th Floor For Residential</v>
      </c>
      <c r="H157" s="161"/>
      <c r="I157" s="36">
        <f>D157+D158</f>
        <v>833.13359999999989</v>
      </c>
      <c r="L157" s="99"/>
      <c r="M157" s="99"/>
      <c r="N157" s="36"/>
    </row>
    <row r="158" spans="1:14" s="57" customFormat="1" ht="15.75" customHeight="1" x14ac:dyDescent="0.35">
      <c r="A158" s="161">
        <v>2</v>
      </c>
      <c r="B158" s="161" t="s">
        <v>200</v>
      </c>
      <c r="C158" s="71" t="s">
        <v>179</v>
      </c>
      <c r="D158" s="59">
        <f t="shared" ref="D158:D159" si="8">(2.9*5.4+2.05*3.8+2.75*3.8+1.2*2+2*1.2)*10.764</f>
        <v>416.56679999999994</v>
      </c>
      <c r="E158" s="71">
        <v>0</v>
      </c>
      <c r="F158" s="71">
        <f t="shared" si="7"/>
        <v>645.67853999999988</v>
      </c>
      <c r="G158" s="161"/>
      <c r="H158" s="161"/>
      <c r="I158" s="36"/>
      <c r="L158" s="99"/>
      <c r="M158" s="99"/>
      <c r="N158" s="36"/>
    </row>
    <row r="159" spans="1:14" s="57" customFormat="1" ht="15.75" customHeight="1" x14ac:dyDescent="0.35">
      <c r="A159" s="161">
        <v>3</v>
      </c>
      <c r="B159" s="161" t="s">
        <v>201</v>
      </c>
      <c r="C159" s="71" t="s">
        <v>179</v>
      </c>
      <c r="D159" s="59">
        <f t="shared" si="8"/>
        <v>416.56679999999994</v>
      </c>
      <c r="E159" s="71">
        <v>0</v>
      </c>
      <c r="F159" s="71">
        <f t="shared" si="7"/>
        <v>645.67853999999988</v>
      </c>
      <c r="G159" s="161"/>
      <c r="H159" s="161"/>
      <c r="I159" s="36"/>
      <c r="L159" s="99"/>
      <c r="M159" s="99"/>
      <c r="N159" s="36"/>
    </row>
    <row r="160" spans="1:14" s="57" customFormat="1" ht="15.75" customHeight="1" x14ac:dyDescent="0.35">
      <c r="A160" s="161">
        <v>4</v>
      </c>
      <c r="B160" s="161" t="s">
        <v>201</v>
      </c>
      <c r="C160" s="71" t="s">
        <v>180</v>
      </c>
      <c r="D160" s="59">
        <f>(2.9*5.4+2.05*2.75+3.8*2.75+3.8*2.75+2.05*1.2+2*1.2+0.9*1.2+0.9*2.35)*10.764</f>
        <v>540.91790999999989</v>
      </c>
      <c r="E160" s="71">
        <v>0</v>
      </c>
      <c r="F160" s="71">
        <f t="shared" ref="F160" si="9">D160*(($F$139)+1)+(IF(E160&lt;101,E160,IF(E160&lt;201,E160/2,IF(E160&lt;=301,E160/3,E160/4))))</f>
        <v>838.42276049999987</v>
      </c>
      <c r="G160" s="161"/>
      <c r="H160" s="161"/>
      <c r="I160" s="36"/>
      <c r="L160" s="99"/>
      <c r="M160" s="99"/>
      <c r="N160" s="36"/>
    </row>
    <row r="161" spans="1:14" s="57" customFormat="1" ht="15.75" customHeight="1" x14ac:dyDescent="0.35">
      <c r="A161" s="161">
        <v>5</v>
      </c>
      <c r="B161" s="161" t="s">
        <v>201</v>
      </c>
      <c r="C161" s="71" t="s">
        <v>180</v>
      </c>
      <c r="D161" s="59">
        <f>(2.9*5.4+2.05*3.6+3.75*2.75+3.8*2.75+2*1.2*2+3.05*0.9)*10.764</f>
        <v>552.70448999999985</v>
      </c>
      <c r="E161" s="71">
        <v>0</v>
      </c>
      <c r="F161" s="71">
        <f t="shared" si="7"/>
        <v>856.69195949999983</v>
      </c>
      <c r="G161" s="161"/>
      <c r="H161" s="161"/>
      <c r="I161" s="36"/>
      <c r="L161" s="99"/>
      <c r="M161" s="99"/>
      <c r="N161" s="36"/>
    </row>
    <row r="162" spans="1:14" s="57" customFormat="1" ht="15.75" customHeight="1" x14ac:dyDescent="0.35">
      <c r="A162" s="182" t="s">
        <v>197</v>
      </c>
      <c r="B162" s="182"/>
      <c r="C162" s="182"/>
      <c r="D162" s="182"/>
      <c r="E162" s="182"/>
      <c r="F162" s="182"/>
      <c r="G162" s="182"/>
      <c r="H162" s="182"/>
      <c r="J162" s="36"/>
    </row>
    <row r="163" spans="1:14" s="57" customFormat="1" ht="15.75" customHeight="1" x14ac:dyDescent="0.35">
      <c r="A163" s="161">
        <v>1</v>
      </c>
      <c r="B163" s="161" t="s">
        <v>200</v>
      </c>
      <c r="C163" s="71" t="s">
        <v>179</v>
      </c>
      <c r="D163" s="59">
        <f>(2.9*5.4+2.05*3.8+2.75*3.8+1.2*2+2*1.2)*10.764</f>
        <v>416.56679999999994</v>
      </c>
      <c r="E163" s="71">
        <v>0</v>
      </c>
      <c r="F163" s="71">
        <f>D163*(($F$139)+1)+(IF(E163&lt;101,E163,IF(E163&lt;201,E163/2,IF(E163&lt;=301,E163/3,E163/4))))</f>
        <v>645.67853999999988</v>
      </c>
      <c r="G163" s="161" t="str">
        <f>A162</f>
        <v>8th &amp; 12th Floor (Part Refuge Area)</v>
      </c>
      <c r="H163" s="161"/>
      <c r="I163" s="36"/>
      <c r="L163" s="99"/>
      <c r="M163" s="99"/>
      <c r="N163" s="36"/>
    </row>
    <row r="164" spans="1:14" s="57" customFormat="1" ht="15.75" customHeight="1" x14ac:dyDescent="0.35">
      <c r="A164" s="161">
        <v>2</v>
      </c>
      <c r="B164" s="161" t="s">
        <v>200</v>
      </c>
      <c r="C164" s="71" t="s">
        <v>179</v>
      </c>
      <c r="D164" s="59">
        <f t="shared" ref="D164" si="10">(2.9*5.4+2.05*3.8+2.75*3.8+1.2*2+2*1.2)*10.764</f>
        <v>416.56679999999994</v>
      </c>
      <c r="E164" s="71">
        <v>0</v>
      </c>
      <c r="F164" s="71">
        <f>D164*(($F$139)+1)+(IF(E164&lt;101,E164,IF(E164&lt;201,E164/2,IF(E164&lt;=301,E164/3,E164/4))))</f>
        <v>645.67853999999988</v>
      </c>
      <c r="G164" s="161"/>
      <c r="H164" s="161"/>
      <c r="I164" s="36"/>
      <c r="L164" s="99"/>
      <c r="M164" s="99"/>
      <c r="N164" s="36"/>
    </row>
    <row r="165" spans="1:14" s="57" customFormat="1" ht="15.75" customHeight="1" x14ac:dyDescent="0.35">
      <c r="A165" s="161">
        <v>3</v>
      </c>
      <c r="B165" s="161" t="s">
        <v>201</v>
      </c>
      <c r="C165" s="161" t="s">
        <v>196</v>
      </c>
      <c r="D165" s="161"/>
      <c r="E165" s="161"/>
      <c r="F165" s="161"/>
      <c r="G165" s="161"/>
      <c r="H165" s="161"/>
      <c r="I165" s="36"/>
      <c r="L165" s="99"/>
      <c r="M165" s="99"/>
      <c r="N165" s="36"/>
    </row>
    <row r="166" spans="1:14" s="57" customFormat="1" ht="15.75" customHeight="1" x14ac:dyDescent="0.35">
      <c r="A166" s="161">
        <v>4</v>
      </c>
      <c r="B166" s="161" t="s">
        <v>202</v>
      </c>
      <c r="C166" s="71" t="s">
        <v>180</v>
      </c>
      <c r="D166" s="59">
        <f>(2.9*5.4+2.05*2.75+3.8*2.75+3.8*2.75+2.05*1.2+2*1.2+0.9*1.2+0.9*2.35)*10.764</f>
        <v>540.91790999999989</v>
      </c>
      <c r="E166" s="71">
        <v>0</v>
      </c>
      <c r="F166" s="71">
        <f>D166*(($F$139)+1)+(IF(E166&lt;101,E166,IF(E166&lt;201,E166/2,IF(E166&lt;=301,E166/3,E166/4))))</f>
        <v>838.42276049999987</v>
      </c>
      <c r="G166" s="161"/>
      <c r="H166" s="161"/>
      <c r="I166" s="36"/>
      <c r="L166" s="99"/>
      <c r="M166" s="99"/>
      <c r="N166" s="36"/>
    </row>
    <row r="167" spans="1:14" s="57" customFormat="1" ht="15.75" customHeight="1" x14ac:dyDescent="0.35">
      <c r="A167" s="161">
        <v>5</v>
      </c>
      <c r="B167" s="161" t="s">
        <v>201</v>
      </c>
      <c r="C167" s="71" t="s">
        <v>180</v>
      </c>
      <c r="D167" s="59">
        <f>(2.9*5.4+2.05*3.6+3.75*2.75+3.8*2.75+2*1.2*2+3.05*0.9)*10.764</f>
        <v>552.70448999999985</v>
      </c>
      <c r="E167" s="71">
        <v>0</v>
      </c>
      <c r="F167" s="71">
        <f>D167*(($F$139)+1)+(IF(E167&lt;101,E167,IF(E167&lt;201,E167/2,IF(E167&lt;=301,E167/3,E167/4))))</f>
        <v>856.69195949999983</v>
      </c>
      <c r="G167" s="161"/>
      <c r="H167" s="161"/>
      <c r="I167" s="36"/>
      <c r="L167" s="99"/>
      <c r="M167" s="99"/>
      <c r="N167" s="36"/>
    </row>
    <row r="168" spans="1:14" s="35" customFormat="1" x14ac:dyDescent="0.35">
      <c r="A168" s="158" t="s">
        <v>70</v>
      </c>
      <c r="B168" s="158"/>
      <c r="C168" s="158"/>
      <c r="D168" s="158"/>
      <c r="E168" s="158"/>
      <c r="F168" s="158"/>
      <c r="G168" s="158"/>
      <c r="H168" s="158"/>
    </row>
    <row r="169" spans="1:14" s="35" customFormat="1" x14ac:dyDescent="0.35">
      <c r="A169" s="52" t="s">
        <v>157</v>
      </c>
      <c r="B169" s="160" t="s">
        <v>232</v>
      </c>
      <c r="C169" s="160"/>
      <c r="D169" s="160"/>
      <c r="E169" s="160"/>
      <c r="F169" s="160"/>
      <c r="G169" s="160"/>
      <c r="H169" s="160"/>
    </row>
    <row r="170" spans="1:14" s="35" customFormat="1" x14ac:dyDescent="0.35">
      <c r="A170" s="52" t="s">
        <v>157</v>
      </c>
      <c r="B170" s="154" t="str">
        <f>(IF(F138="Saleable area Loading :","We have considered Saleable area of Flats as per our Calculation.","We considered Saleable area of Flat as per Builder area Sheet."))</f>
        <v>We have considered Saleable area of Flats as per our Calculation.</v>
      </c>
      <c r="C170" s="155"/>
      <c r="D170" s="155"/>
      <c r="E170" s="155"/>
      <c r="F170" s="155"/>
      <c r="G170" s="155"/>
      <c r="H170" s="156"/>
    </row>
    <row r="171" spans="1:14" s="35" customFormat="1" x14ac:dyDescent="0.35">
      <c r="A171" s="52" t="s">
        <v>157</v>
      </c>
      <c r="B171" s="154" t="s">
        <v>127</v>
      </c>
      <c r="C171" s="155"/>
      <c r="D171" s="155"/>
      <c r="E171" s="155"/>
      <c r="F171" s="155"/>
      <c r="G171" s="155"/>
      <c r="H171" s="156"/>
    </row>
    <row r="172" spans="1:14" s="35" customFormat="1" x14ac:dyDescent="0.35">
      <c r="A172" s="52" t="s">
        <v>157</v>
      </c>
      <c r="B172" s="154" t="s">
        <v>226</v>
      </c>
      <c r="C172" s="155"/>
      <c r="D172" s="155"/>
      <c r="E172" s="155"/>
      <c r="F172" s="155"/>
      <c r="G172" s="155"/>
      <c r="H172" s="156"/>
    </row>
    <row r="173" spans="1:14" s="35" customFormat="1" x14ac:dyDescent="0.35">
      <c r="A173" s="52" t="s">
        <v>157</v>
      </c>
      <c r="B173" s="154" t="s">
        <v>156</v>
      </c>
      <c r="C173" s="155"/>
      <c r="D173" s="155"/>
      <c r="E173" s="155"/>
      <c r="F173" s="155"/>
      <c r="G173" s="155"/>
      <c r="H173" s="156"/>
    </row>
    <row r="174" spans="1:14" s="35" customFormat="1" x14ac:dyDescent="0.35">
      <c r="A174" s="52" t="s">
        <v>157</v>
      </c>
      <c r="B174" s="154" t="s">
        <v>128</v>
      </c>
      <c r="C174" s="155"/>
      <c r="D174" s="155"/>
      <c r="E174" s="155"/>
      <c r="F174" s="155"/>
      <c r="G174" s="155"/>
      <c r="H174" s="156"/>
    </row>
    <row r="175" spans="1:14" s="35" customFormat="1" ht="34.5" customHeight="1" x14ac:dyDescent="0.35">
      <c r="A175" s="52" t="s">
        <v>157</v>
      </c>
      <c r="B175" s="154" t="s">
        <v>158</v>
      </c>
      <c r="C175" s="155"/>
      <c r="D175" s="155"/>
      <c r="E175" s="155"/>
      <c r="F175" s="155"/>
      <c r="G175" s="155"/>
      <c r="H175" s="156"/>
    </row>
    <row r="176" spans="1:14" s="35" customFormat="1" x14ac:dyDescent="0.35">
      <c r="A176" s="52" t="s">
        <v>157</v>
      </c>
      <c r="B176" s="154" t="s">
        <v>129</v>
      </c>
      <c r="C176" s="155"/>
      <c r="D176" s="155"/>
      <c r="E176" s="155"/>
      <c r="F176" s="155"/>
      <c r="G176" s="155"/>
      <c r="H176" s="156"/>
    </row>
    <row r="177" spans="1:8" s="35" customFormat="1" x14ac:dyDescent="0.35">
      <c r="A177" s="52" t="s">
        <v>157</v>
      </c>
      <c r="B177" s="154" t="s">
        <v>227</v>
      </c>
      <c r="C177" s="155"/>
      <c r="D177" s="155"/>
      <c r="E177" s="155"/>
      <c r="F177" s="155"/>
      <c r="G177" s="155"/>
      <c r="H177" s="156"/>
    </row>
    <row r="178" spans="1:8" s="35" customFormat="1" x14ac:dyDescent="0.35">
      <c r="A178" s="52" t="s">
        <v>157</v>
      </c>
      <c r="B178" s="154" t="s">
        <v>224</v>
      </c>
      <c r="C178" s="155"/>
      <c r="D178" s="155"/>
      <c r="E178" s="155"/>
      <c r="F178" s="155"/>
      <c r="G178" s="155"/>
      <c r="H178" s="156"/>
    </row>
    <row r="179" spans="1:8" s="35" customFormat="1" ht="33.75" customHeight="1" x14ac:dyDescent="0.35">
      <c r="A179" s="52" t="s">
        <v>157</v>
      </c>
      <c r="B179" s="154" t="s">
        <v>236</v>
      </c>
      <c r="C179" s="155"/>
      <c r="D179" s="155"/>
      <c r="E179" s="155"/>
      <c r="F179" s="155"/>
      <c r="G179" s="155"/>
      <c r="H179" s="156"/>
    </row>
    <row r="180" spans="1:8" x14ac:dyDescent="0.35">
      <c r="A180" s="162" t="s">
        <v>63</v>
      </c>
      <c r="B180" s="163"/>
      <c r="C180" s="163"/>
      <c r="D180" s="163"/>
      <c r="E180" s="163"/>
      <c r="F180" s="163"/>
      <c r="G180" s="163"/>
      <c r="H180" s="164"/>
    </row>
    <row r="181" spans="1:8" x14ac:dyDescent="0.35">
      <c r="A181" s="72" t="s">
        <v>64</v>
      </c>
      <c r="B181" s="72"/>
      <c r="C181" s="72"/>
      <c r="D181" s="72"/>
      <c r="E181" s="72"/>
      <c r="F181" s="72"/>
      <c r="G181" s="72"/>
      <c r="H181" s="72"/>
    </row>
    <row r="182" spans="1:8" ht="15.75" customHeight="1" x14ac:dyDescent="0.35">
      <c r="A182" s="168" t="s">
        <v>65</v>
      </c>
      <c r="B182" s="168"/>
      <c r="C182" s="168"/>
      <c r="D182" s="168"/>
      <c r="E182" s="168"/>
      <c r="F182" s="168"/>
      <c r="G182" s="168"/>
      <c r="H182" s="168"/>
    </row>
    <row r="183" spans="1:8" x14ac:dyDescent="0.35">
      <c r="A183" s="72" t="s">
        <v>66</v>
      </c>
      <c r="B183" s="72"/>
      <c r="C183" s="72"/>
      <c r="D183" s="72"/>
      <c r="E183" s="72"/>
      <c r="F183" s="72"/>
      <c r="G183" s="72"/>
      <c r="H183" s="72"/>
    </row>
    <row r="184" spans="1:8" x14ac:dyDescent="0.35">
      <c r="A184" s="72" t="s">
        <v>67</v>
      </c>
      <c r="B184" s="72"/>
      <c r="C184" s="72"/>
      <c r="D184" s="72"/>
      <c r="E184" s="72"/>
      <c r="F184" s="72"/>
      <c r="G184" s="72"/>
      <c r="H184" s="72"/>
    </row>
    <row r="185" spans="1:8" x14ac:dyDescent="0.35">
      <c r="A185" s="72" t="s">
        <v>130</v>
      </c>
      <c r="B185" s="72"/>
      <c r="C185" s="72"/>
      <c r="D185" s="72"/>
      <c r="E185" s="72"/>
      <c r="F185" s="72"/>
      <c r="G185" s="72"/>
      <c r="H185" s="72"/>
    </row>
    <row r="186" spans="1:8" x14ac:dyDescent="0.35">
      <c r="A186" s="137" t="s">
        <v>131</v>
      </c>
      <c r="B186" s="137"/>
      <c r="C186" s="137"/>
      <c r="D186" s="137"/>
      <c r="E186" s="137"/>
      <c r="F186" s="137"/>
      <c r="G186" s="137"/>
      <c r="H186" s="137"/>
    </row>
    <row r="187" spans="1:8" x14ac:dyDescent="0.35">
      <c r="A187" s="167" t="s">
        <v>79</v>
      </c>
      <c r="B187" s="167"/>
      <c r="C187" s="167" t="s">
        <v>177</v>
      </c>
      <c r="D187" s="167"/>
      <c r="E187" s="167" t="s">
        <v>108</v>
      </c>
      <c r="F187" s="167"/>
      <c r="G187" s="167" t="s">
        <v>239</v>
      </c>
      <c r="H187" s="167"/>
    </row>
    <row r="188" spans="1:8" x14ac:dyDescent="0.35">
      <c r="A188" s="166" t="s">
        <v>81</v>
      </c>
      <c r="B188" s="166"/>
      <c r="C188" s="166"/>
      <c r="D188" s="166"/>
      <c r="E188" s="166"/>
      <c r="F188" s="166"/>
      <c r="G188" s="166"/>
      <c r="H188" s="166"/>
    </row>
    <row r="189" spans="1:8" x14ac:dyDescent="0.35">
      <c r="A189" s="166"/>
      <c r="B189" s="166"/>
      <c r="C189" s="166"/>
      <c r="D189" s="166"/>
      <c r="E189" s="166"/>
      <c r="F189" s="166"/>
      <c r="G189" s="166"/>
      <c r="H189" s="166"/>
    </row>
    <row r="190" spans="1:8" x14ac:dyDescent="0.35">
      <c r="A190" s="166"/>
      <c r="B190" s="166"/>
      <c r="C190" s="166"/>
      <c r="D190" s="166"/>
      <c r="E190" s="166"/>
      <c r="F190" s="166"/>
      <c r="G190" s="166"/>
      <c r="H190" s="166"/>
    </row>
    <row r="191" spans="1:8" x14ac:dyDescent="0.35">
      <c r="A191" s="166"/>
      <c r="B191" s="166"/>
      <c r="C191" s="166"/>
      <c r="D191" s="166"/>
      <c r="E191" s="166"/>
      <c r="F191" s="166"/>
      <c r="G191" s="166"/>
      <c r="H191" s="166"/>
    </row>
    <row r="192" spans="1:8" x14ac:dyDescent="0.35">
      <c r="A192" s="37" t="s">
        <v>68</v>
      </c>
      <c r="B192" s="38"/>
      <c r="C192" s="38"/>
      <c r="D192" s="37" t="str">
        <f>E8</f>
        <v>Vinay Unique Residency Building No. 7A &amp; 7B</v>
      </c>
      <c r="F192" s="38"/>
      <c r="G192" s="38"/>
      <c r="H192" s="38"/>
    </row>
    <row r="193" spans="1:8" x14ac:dyDescent="0.35">
      <c r="A193" s="38"/>
      <c r="B193" s="38"/>
      <c r="C193" s="38"/>
      <c r="D193" s="38"/>
      <c r="E193" s="38"/>
      <c r="F193" s="38"/>
      <c r="G193" s="38"/>
      <c r="H193" s="38"/>
    </row>
    <row r="194" spans="1:8" x14ac:dyDescent="0.35">
      <c r="A194" s="38"/>
      <c r="B194" s="38"/>
      <c r="C194" s="38"/>
      <c r="D194" s="38"/>
      <c r="E194" s="38"/>
      <c r="F194" s="38"/>
      <c r="G194" s="38"/>
      <c r="H194" s="38"/>
    </row>
    <row r="195" spans="1:8" ht="15" customHeight="1" x14ac:dyDescent="0.35"/>
    <row r="229" spans="1:1" hidden="1" x14ac:dyDescent="0.35"/>
    <row r="230" spans="1:1" hidden="1" x14ac:dyDescent="0.35"/>
    <row r="231" spans="1:1" hidden="1" x14ac:dyDescent="0.35"/>
    <row r="232" spans="1:1" hidden="1" x14ac:dyDescent="0.35"/>
    <row r="233" spans="1:1" hidden="1" x14ac:dyDescent="0.35"/>
    <row r="234" spans="1:1" hidden="1" x14ac:dyDescent="0.35"/>
    <row r="236" spans="1:1" x14ac:dyDescent="0.35">
      <c r="A236" s="40" t="s">
        <v>199</v>
      </c>
    </row>
    <row r="264" spans="1:1" hidden="1" x14ac:dyDescent="0.35"/>
    <row r="265" spans="1:1" hidden="1" x14ac:dyDescent="0.35"/>
    <row r="266" spans="1:1" hidden="1" x14ac:dyDescent="0.35"/>
    <row r="267" spans="1:1" hidden="1" x14ac:dyDescent="0.35"/>
    <row r="268" spans="1:1" hidden="1" x14ac:dyDescent="0.35"/>
    <row r="269" spans="1:1" hidden="1" x14ac:dyDescent="0.35"/>
    <row r="270" spans="1:1" hidden="1" x14ac:dyDescent="0.35"/>
    <row r="271" spans="1:1" hidden="1" x14ac:dyDescent="0.35"/>
    <row r="272" spans="1:1" x14ac:dyDescent="0.35">
      <c r="A272" s="40" t="s">
        <v>69</v>
      </c>
    </row>
  </sheetData>
  <mergeCells count="374">
    <mergeCell ref="L153:M153"/>
    <mergeCell ref="A159:B159"/>
    <mergeCell ref="G149:H153"/>
    <mergeCell ref="A162:H162"/>
    <mergeCell ref="G163:H167"/>
    <mergeCell ref="L163:M163"/>
    <mergeCell ref="L164:M164"/>
    <mergeCell ref="L165:M165"/>
    <mergeCell ref="L166:M166"/>
    <mergeCell ref="L167:M167"/>
    <mergeCell ref="G157:H161"/>
    <mergeCell ref="A155:H155"/>
    <mergeCell ref="A157:B157"/>
    <mergeCell ref="A158:B158"/>
    <mergeCell ref="L161:M161"/>
    <mergeCell ref="L160:M160"/>
    <mergeCell ref="A154:H154"/>
    <mergeCell ref="A156:H156"/>
    <mergeCell ref="L157:M157"/>
    <mergeCell ref="L158:M158"/>
    <mergeCell ref="L159:M159"/>
    <mergeCell ref="A93:B93"/>
    <mergeCell ref="A94:B94"/>
    <mergeCell ref="A95:B95"/>
    <mergeCell ref="A151:B151"/>
    <mergeCell ref="L151:M151"/>
    <mergeCell ref="A152:B152"/>
    <mergeCell ref="L152:M152"/>
    <mergeCell ref="C151:F151"/>
    <mergeCell ref="A148:H148"/>
    <mergeCell ref="A149:B149"/>
    <mergeCell ref="L149:M149"/>
    <mergeCell ref="A150:B150"/>
    <mergeCell ref="L150:M150"/>
    <mergeCell ref="A147:B147"/>
    <mergeCell ref="L147:M147"/>
    <mergeCell ref="G143:H147"/>
    <mergeCell ref="L146:M146"/>
    <mergeCell ref="A140:H140"/>
    <mergeCell ref="L144:M144"/>
    <mergeCell ref="A145:B145"/>
    <mergeCell ref="L145:M145"/>
    <mergeCell ref="B138:B139"/>
    <mergeCell ref="L128:M128"/>
    <mergeCell ref="L129:M129"/>
    <mergeCell ref="L131:M131"/>
    <mergeCell ref="L132:M132"/>
    <mergeCell ref="L133:M133"/>
    <mergeCell ref="L134:M134"/>
    <mergeCell ref="L135:M135"/>
    <mergeCell ref="A141:H141"/>
    <mergeCell ref="G136:H136"/>
    <mergeCell ref="L136:M136"/>
    <mergeCell ref="L143:M143"/>
    <mergeCell ref="A142:H142"/>
    <mergeCell ref="A136:B136"/>
    <mergeCell ref="D138:D139"/>
    <mergeCell ref="E138:E139"/>
    <mergeCell ref="G138:H139"/>
    <mergeCell ref="G133:H133"/>
    <mergeCell ref="L130:M130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107:E107"/>
    <mergeCell ref="F107:H107"/>
    <mergeCell ref="A108:E108"/>
    <mergeCell ref="F108:H108"/>
    <mergeCell ref="A111:B111"/>
    <mergeCell ref="A115:B115"/>
    <mergeCell ref="G111:H111"/>
    <mergeCell ref="G128:H128"/>
    <mergeCell ref="A110:B110"/>
    <mergeCell ref="D64:H64"/>
    <mergeCell ref="A70:B70"/>
    <mergeCell ref="G69:H69"/>
    <mergeCell ref="D58:H58"/>
    <mergeCell ref="E69:F69"/>
    <mergeCell ref="A62:C62"/>
    <mergeCell ref="A64:C64"/>
    <mergeCell ref="A82:B82"/>
    <mergeCell ref="C82:H82"/>
    <mergeCell ref="A80:B81"/>
    <mergeCell ref="C80:D81"/>
    <mergeCell ref="E80:F81"/>
    <mergeCell ref="G80:H81"/>
    <mergeCell ref="A60:C60"/>
    <mergeCell ref="D59:H59"/>
    <mergeCell ref="D60:H60"/>
    <mergeCell ref="A69:B69"/>
    <mergeCell ref="A68:B68"/>
    <mergeCell ref="A66:B66"/>
    <mergeCell ref="A59:C59"/>
    <mergeCell ref="C66:H66"/>
    <mergeCell ref="A74:B74"/>
    <mergeCell ref="A61:C61"/>
    <mergeCell ref="D61:H61"/>
    <mergeCell ref="C68:H68"/>
    <mergeCell ref="A71:B71"/>
    <mergeCell ref="A73:B73"/>
    <mergeCell ref="D62:H62"/>
    <mergeCell ref="A65:C65"/>
    <mergeCell ref="D65:H65"/>
    <mergeCell ref="A63:C63"/>
    <mergeCell ref="D63:H63"/>
    <mergeCell ref="A16:B16"/>
    <mergeCell ref="C16:H16"/>
    <mergeCell ref="E41:H41"/>
    <mergeCell ref="A41:D41"/>
    <mergeCell ref="A48:B48"/>
    <mergeCell ref="C48:E48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88:H191"/>
    <mergeCell ref="A187:B187"/>
    <mergeCell ref="E187:F187"/>
    <mergeCell ref="C187:D187"/>
    <mergeCell ref="G187:H187"/>
    <mergeCell ref="A109:H109"/>
    <mergeCell ref="A121:A122"/>
    <mergeCell ref="C138:C139"/>
    <mergeCell ref="C118:D118"/>
    <mergeCell ref="C115:D115"/>
    <mergeCell ref="G115:H115"/>
    <mergeCell ref="A118:B118"/>
    <mergeCell ref="E118:F118"/>
    <mergeCell ref="B175:H175"/>
    <mergeCell ref="A185:H185"/>
    <mergeCell ref="A182:H182"/>
    <mergeCell ref="A186:H186"/>
    <mergeCell ref="A184:H184"/>
    <mergeCell ref="A180:H180"/>
    <mergeCell ref="A181:H181"/>
    <mergeCell ref="E115:F115"/>
    <mergeCell ref="B176:H176"/>
    <mergeCell ref="B177:H177"/>
    <mergeCell ref="G126:H126"/>
    <mergeCell ref="A183:H183"/>
    <mergeCell ref="B179:H179"/>
    <mergeCell ref="B173:H173"/>
    <mergeCell ref="A135:B135"/>
    <mergeCell ref="B178:H178"/>
    <mergeCell ref="A167:B167"/>
    <mergeCell ref="A153:B153"/>
    <mergeCell ref="B172:H172"/>
    <mergeCell ref="A168:H168"/>
    <mergeCell ref="A137:H137"/>
    <mergeCell ref="A138:A139"/>
    <mergeCell ref="C111:D111"/>
    <mergeCell ref="E111:F111"/>
    <mergeCell ref="B121:B122"/>
    <mergeCell ref="B169:H169"/>
    <mergeCell ref="B170:H170"/>
    <mergeCell ref="B171:H171"/>
    <mergeCell ref="G124:H124"/>
    <mergeCell ref="G125:H125"/>
    <mergeCell ref="G127:H127"/>
    <mergeCell ref="A144:B144"/>
    <mergeCell ref="A114:H114"/>
    <mergeCell ref="A160:B160"/>
    <mergeCell ref="A161:B161"/>
    <mergeCell ref="A163:B163"/>
    <mergeCell ref="A164:B164"/>
    <mergeCell ref="A165:B165"/>
    <mergeCell ref="A166:B166"/>
    <mergeCell ref="C165:F165"/>
    <mergeCell ref="D121:D122"/>
    <mergeCell ref="A146:B146"/>
    <mergeCell ref="A75:B75"/>
    <mergeCell ref="F97:H97"/>
    <mergeCell ref="B174:H174"/>
    <mergeCell ref="G129:H129"/>
    <mergeCell ref="G130:H130"/>
    <mergeCell ref="G131:H131"/>
    <mergeCell ref="G132:H132"/>
    <mergeCell ref="G134:H134"/>
    <mergeCell ref="G135:H135"/>
    <mergeCell ref="C117:D117"/>
    <mergeCell ref="E117:F117"/>
    <mergeCell ref="G117:H117"/>
    <mergeCell ref="E70:F79"/>
    <mergeCell ref="G70:H79"/>
    <mergeCell ref="A78:B78"/>
    <mergeCell ref="A79:B79"/>
    <mergeCell ref="A76:B76"/>
    <mergeCell ref="A72:B72"/>
    <mergeCell ref="A130:B130"/>
    <mergeCell ref="A131:B131"/>
    <mergeCell ref="A104:E104"/>
    <mergeCell ref="A143:B143"/>
    <mergeCell ref="A124:B124"/>
    <mergeCell ref="A125:B12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44:D44"/>
    <mergeCell ref="A45:D45"/>
    <mergeCell ref="A46:H46"/>
    <mergeCell ref="D56:H56"/>
    <mergeCell ref="A56:C56"/>
    <mergeCell ref="G49:H49"/>
    <mergeCell ref="A50:B51"/>
    <mergeCell ref="G48:H48"/>
    <mergeCell ref="G50:H50"/>
    <mergeCell ref="D54:H54"/>
    <mergeCell ref="C50:E50"/>
    <mergeCell ref="C49:E49"/>
    <mergeCell ref="A52:B52"/>
    <mergeCell ref="C52:E52"/>
    <mergeCell ref="E44:H44"/>
    <mergeCell ref="E45:H45"/>
    <mergeCell ref="A49:B49"/>
    <mergeCell ref="A53:H53"/>
    <mergeCell ref="A54:C54"/>
    <mergeCell ref="A55:C55"/>
    <mergeCell ref="D55:H55"/>
    <mergeCell ref="G52:H52"/>
    <mergeCell ref="A47:B47"/>
    <mergeCell ref="C47:H47"/>
    <mergeCell ref="A43:D43"/>
    <mergeCell ref="A36:H36"/>
    <mergeCell ref="A35:B35"/>
    <mergeCell ref="C35:E35"/>
    <mergeCell ref="A40:D40"/>
    <mergeCell ref="E40:H40"/>
    <mergeCell ref="A38:B38"/>
    <mergeCell ref="C38:H38"/>
    <mergeCell ref="A39:H39"/>
    <mergeCell ref="F35:H35"/>
    <mergeCell ref="A37:B37"/>
    <mergeCell ref="E37:F37"/>
    <mergeCell ref="C37:D37"/>
    <mergeCell ref="G37:H37"/>
    <mergeCell ref="A42:D42"/>
    <mergeCell ref="E42:H42"/>
    <mergeCell ref="E43:H43"/>
    <mergeCell ref="L127:M127"/>
    <mergeCell ref="L126:M126"/>
    <mergeCell ref="L125:M125"/>
    <mergeCell ref="L124:M124"/>
    <mergeCell ref="A77:B77"/>
    <mergeCell ref="F102:H102"/>
    <mergeCell ref="A97:E97"/>
    <mergeCell ref="A123:H123"/>
    <mergeCell ref="E121:E122"/>
    <mergeCell ref="G121:H122"/>
    <mergeCell ref="F96:H96"/>
    <mergeCell ref="F100:H100"/>
    <mergeCell ref="C121:C122"/>
    <mergeCell ref="A119:H119"/>
    <mergeCell ref="A120:H120"/>
    <mergeCell ref="A96:E96"/>
    <mergeCell ref="F103:H103"/>
    <mergeCell ref="C110:D110"/>
    <mergeCell ref="F106:H106"/>
    <mergeCell ref="F104:H104"/>
    <mergeCell ref="E110:F110"/>
    <mergeCell ref="A101:E101"/>
    <mergeCell ref="F101:H101"/>
    <mergeCell ref="A102:E102"/>
    <mergeCell ref="E113:F113"/>
    <mergeCell ref="G113:H113"/>
    <mergeCell ref="A116:B116"/>
    <mergeCell ref="C116:D116"/>
    <mergeCell ref="E116:F116"/>
    <mergeCell ref="G116:H116"/>
    <mergeCell ref="A117:B117"/>
    <mergeCell ref="F98:H98"/>
    <mergeCell ref="A98:E98"/>
    <mergeCell ref="G110:H110"/>
    <mergeCell ref="A99:E99"/>
    <mergeCell ref="A100:E100"/>
    <mergeCell ref="F99:H99"/>
    <mergeCell ref="F105:H105"/>
    <mergeCell ref="A112:B112"/>
    <mergeCell ref="C51:H51"/>
    <mergeCell ref="A132:B132"/>
    <mergeCell ref="A133:B133"/>
    <mergeCell ref="A134:B134"/>
    <mergeCell ref="D57:H57"/>
    <mergeCell ref="A57:C58"/>
    <mergeCell ref="A126:B126"/>
    <mergeCell ref="A127:B127"/>
    <mergeCell ref="A128:B128"/>
    <mergeCell ref="A129:B129"/>
    <mergeCell ref="A103:E103"/>
    <mergeCell ref="A105:E105"/>
    <mergeCell ref="A106:E106"/>
    <mergeCell ref="G118:H118"/>
    <mergeCell ref="C112:D112"/>
    <mergeCell ref="E112:F112"/>
    <mergeCell ref="G112:H112"/>
    <mergeCell ref="A113:B113"/>
    <mergeCell ref="C113:D11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5" max="16383" man="1"/>
    <brk id="191" max="16383" man="1"/>
    <brk id="235" max="16383" man="1"/>
    <brk id="27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83" t="s">
        <v>109</v>
      </c>
      <c r="C3" s="183"/>
      <c r="D3" s="183"/>
      <c r="E3" s="183"/>
      <c r="F3" s="183"/>
      <c r="G3" s="183"/>
      <c r="H3" s="183"/>
    </row>
    <row r="4" spans="1:9" x14ac:dyDescent="0.35">
      <c r="A4" s="3"/>
      <c r="B4" s="4" t="s">
        <v>110</v>
      </c>
      <c r="C4" s="4" t="s">
        <v>111</v>
      </c>
      <c r="D4" s="4" t="s">
        <v>71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35">
      <c r="A5" s="3"/>
      <c r="B5" s="6" t="s">
        <v>114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2025-08-16T07:16:23Z</cp:lastPrinted>
  <dcterms:created xsi:type="dcterms:W3CDTF">2019-07-16T09:29:46Z</dcterms:created>
  <dcterms:modified xsi:type="dcterms:W3CDTF">2025-08-16T07:18:34Z</dcterms:modified>
</cp:coreProperties>
</file>