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VSJCV\Making\AXIS\2025-26\Axis\APF Dump\Aug 2025\17-08-2025\"/>
    </mc:Choice>
  </mc:AlternateContent>
  <bookViews>
    <workbookView xWindow="0" yWindow="0" windowWidth="19200" windowHeight="6640"/>
  </bookViews>
  <sheets>
    <sheet name="Table 1" sheetId="1" r:id="rId1"/>
    <sheet name="VALUATION" sheetId="6" r:id="rId2"/>
    <sheet name="B" sheetId="7" r:id="rId3"/>
    <sheet name=" H" sheetId="2" r:id="rId4"/>
    <sheet name="C &amp; D" sheetId="3" r:id="rId5"/>
    <sheet name="I" sheetId="4" r:id="rId6"/>
    <sheet name="J" sheetId="5" r:id="rId7"/>
  </sheets>
  <definedNames>
    <definedName name="_xlnm.Print_Area" localSheetId="0">'Table 1'!$A$1:$G$764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96" i="1" l="1"/>
  <c r="C395" i="1"/>
  <c r="I396" i="1" s="1"/>
  <c r="C394" i="1"/>
  <c r="I395" i="1" s="1"/>
  <c r="C393" i="1"/>
  <c r="E393" i="1" s="1"/>
  <c r="H393" i="1" s="1"/>
  <c r="C392" i="1"/>
  <c r="I393" i="1" s="1"/>
  <c r="C391" i="1"/>
  <c r="C390" i="1"/>
  <c r="C389" i="1"/>
  <c r="C388" i="1"/>
  <c r="G387" i="1"/>
  <c r="C387" i="1"/>
  <c r="I394" i="1" l="1"/>
  <c r="I196" i="1"/>
  <c r="I195" i="1"/>
  <c r="I194" i="1"/>
  <c r="I193" i="1"/>
  <c r="I154" i="1"/>
  <c r="I153" i="1"/>
  <c r="I152" i="1"/>
  <c r="I151" i="1"/>
  <c r="I98" i="1"/>
  <c r="I97" i="1"/>
  <c r="I96" i="1"/>
  <c r="I95" i="1"/>
  <c r="G88" i="1"/>
  <c r="G144" i="1"/>
  <c r="G186" i="1"/>
  <c r="I190" i="1" l="1"/>
  <c r="B189" i="1" s="1"/>
  <c r="C189" i="1" s="1"/>
  <c r="I188" i="1"/>
  <c r="C198" i="1"/>
  <c r="C194" i="1"/>
  <c r="C196" i="1"/>
  <c r="I191" i="1"/>
  <c r="I192" i="1" s="1"/>
  <c r="I197" i="1" s="1"/>
  <c r="I198" i="1" s="1"/>
  <c r="B190" i="1" s="1"/>
  <c r="C197" i="1"/>
  <c r="C193" i="1"/>
  <c r="I189" i="1"/>
  <c r="C192" i="1"/>
  <c r="C195" i="1"/>
  <c r="C191" i="1"/>
  <c r="C156" i="1"/>
  <c r="C152" i="1"/>
  <c r="C155" i="1"/>
  <c r="C151" i="1"/>
  <c r="I147" i="1"/>
  <c r="C153" i="1"/>
  <c r="I148" i="1"/>
  <c r="B147" i="1" s="1"/>
  <c r="C147" i="1" s="1"/>
  <c r="I146" i="1"/>
  <c r="C154" i="1"/>
  <c r="C150" i="1"/>
  <c r="I149" i="1"/>
  <c r="I150" i="1" s="1"/>
  <c r="I155" i="1" s="1"/>
  <c r="I156" i="1" s="1"/>
  <c r="B148" i="1" s="1"/>
  <c r="C149" i="1"/>
  <c r="I92" i="1"/>
  <c r="B91" i="1" s="1"/>
  <c r="I90" i="1"/>
  <c r="C100" i="1"/>
  <c r="C96" i="1"/>
  <c r="C99" i="1"/>
  <c r="C95" i="1"/>
  <c r="I91" i="1"/>
  <c r="C94" i="1"/>
  <c r="I93" i="1"/>
  <c r="I94" i="1" s="1"/>
  <c r="I99" i="1" s="1"/>
  <c r="I100" i="1" s="1"/>
  <c r="B92" i="1" s="1"/>
  <c r="C97" i="1"/>
  <c r="C93" i="1"/>
  <c r="C98" i="1"/>
  <c r="I84" i="1"/>
  <c r="I83" i="1"/>
  <c r="I82" i="1"/>
  <c r="I81" i="1"/>
  <c r="G74" i="1"/>
  <c r="D189" i="1" l="1"/>
  <c r="H185" i="1" s="1"/>
  <c r="B187" i="1" s="1"/>
  <c r="C190" i="1"/>
  <c r="F189" i="1"/>
  <c r="D147" i="1"/>
  <c r="H143" i="1" s="1"/>
  <c r="B145" i="1" s="1"/>
  <c r="C148" i="1"/>
  <c r="F147" i="1"/>
  <c r="D91" i="1"/>
  <c r="C92" i="1"/>
  <c r="F91" i="1"/>
  <c r="C91" i="1"/>
  <c r="C81" i="1"/>
  <c r="C84" i="1"/>
  <c r="C80" i="1"/>
  <c r="I79" i="1"/>
  <c r="I80" i="1" s="1"/>
  <c r="I85" i="1" s="1"/>
  <c r="I86" i="1" s="1"/>
  <c r="B78" i="1" s="1"/>
  <c r="C83" i="1"/>
  <c r="I78" i="1"/>
  <c r="B77" i="1" s="1"/>
  <c r="C86" i="1"/>
  <c r="C85" i="1"/>
  <c r="I77" i="1"/>
  <c r="C79" i="1"/>
  <c r="I76" i="1"/>
  <c r="C82" i="1"/>
  <c r="I210" i="1"/>
  <c r="I209" i="1"/>
  <c r="I208" i="1"/>
  <c r="I207" i="1"/>
  <c r="I182" i="1"/>
  <c r="I181" i="1"/>
  <c r="I180" i="1"/>
  <c r="I179" i="1"/>
  <c r="G200" i="1"/>
  <c r="G172" i="1"/>
  <c r="H87" i="1" l="1"/>
  <c r="B89" i="1" s="1"/>
  <c r="D77" i="1"/>
  <c r="C78" i="1"/>
  <c r="F77" i="1"/>
  <c r="C77" i="1"/>
  <c r="I204" i="1"/>
  <c r="B203" i="1" s="1"/>
  <c r="C203" i="1" s="1"/>
  <c r="I202" i="1"/>
  <c r="I205" i="1"/>
  <c r="I206" i="1" s="1"/>
  <c r="I211" i="1" s="1"/>
  <c r="I212" i="1" s="1"/>
  <c r="B204" i="1" s="1"/>
  <c r="C212" i="1"/>
  <c r="C208" i="1"/>
  <c r="C211" i="1"/>
  <c r="C207" i="1"/>
  <c r="I203" i="1"/>
  <c r="C209" i="1"/>
  <c r="C206" i="1"/>
  <c r="C210" i="1"/>
  <c r="C205" i="1"/>
  <c r="C182" i="1"/>
  <c r="C178" i="1"/>
  <c r="I177" i="1"/>
  <c r="I178" i="1" s="1"/>
  <c r="I183" i="1" s="1"/>
  <c r="I184" i="1" s="1"/>
  <c r="B176" i="1" s="1"/>
  <c r="I174" i="1"/>
  <c r="C180" i="1"/>
  <c r="C183" i="1"/>
  <c r="I175" i="1"/>
  <c r="C181" i="1"/>
  <c r="C177" i="1"/>
  <c r="I176" i="1"/>
  <c r="B175" i="1" s="1"/>
  <c r="C184" i="1"/>
  <c r="C179" i="1"/>
  <c r="G309" i="1"/>
  <c r="G509" i="1"/>
  <c r="G534" i="1"/>
  <c r="G552" i="1"/>
  <c r="E238" i="1"/>
  <c r="E237" i="1"/>
  <c r="E235" i="1"/>
  <c r="E234" i="1"/>
  <c r="E233" i="1"/>
  <c r="E232" i="1"/>
  <c r="E231" i="1"/>
  <c r="E230" i="1"/>
  <c r="E229" i="1"/>
  <c r="E227" i="1"/>
  <c r="C555" i="1"/>
  <c r="C554" i="1"/>
  <c r="C553" i="1"/>
  <c r="C552" i="1"/>
  <c r="C550" i="1"/>
  <c r="C549" i="1"/>
  <c r="C548" i="1"/>
  <c r="C547" i="1"/>
  <c r="D550" i="1"/>
  <c r="D549" i="1"/>
  <c r="D548" i="1"/>
  <c r="D547" i="1"/>
  <c r="D539" i="1"/>
  <c r="C543" i="1"/>
  <c r="C542" i="1"/>
  <c r="C541" i="1"/>
  <c r="C540" i="1"/>
  <c r="C539" i="1"/>
  <c r="C538" i="1"/>
  <c r="C537" i="1"/>
  <c r="C536" i="1"/>
  <c r="C535" i="1"/>
  <c r="C534" i="1"/>
  <c r="C532" i="1"/>
  <c r="C531" i="1"/>
  <c r="C530" i="1"/>
  <c r="C529" i="1"/>
  <c r="C528" i="1"/>
  <c r="C527" i="1"/>
  <c r="C526" i="1"/>
  <c r="C525" i="1"/>
  <c r="C524" i="1"/>
  <c r="C523" i="1"/>
  <c r="D528" i="1"/>
  <c r="D527" i="1"/>
  <c r="D526" i="1"/>
  <c r="D525" i="1"/>
  <c r="D524" i="1"/>
  <c r="C519" i="1"/>
  <c r="C518" i="1"/>
  <c r="C517" i="1"/>
  <c r="C516" i="1"/>
  <c r="C515" i="1"/>
  <c r="C514" i="1"/>
  <c r="C513" i="1"/>
  <c r="C512" i="1"/>
  <c r="C511" i="1"/>
  <c r="C510" i="1"/>
  <c r="C509" i="1"/>
  <c r="D506" i="1"/>
  <c r="D505" i="1"/>
  <c r="D504" i="1"/>
  <c r="D503" i="1"/>
  <c r="D501" i="1"/>
  <c r="D500" i="1"/>
  <c r="D499" i="1"/>
  <c r="D498" i="1"/>
  <c r="C507" i="1"/>
  <c r="C506" i="1"/>
  <c r="C505" i="1"/>
  <c r="C504" i="1"/>
  <c r="C503" i="1"/>
  <c r="C502" i="1"/>
  <c r="C501" i="1"/>
  <c r="C500" i="1"/>
  <c r="C499" i="1"/>
  <c r="C498" i="1"/>
  <c r="C497" i="1"/>
  <c r="C495" i="1"/>
  <c r="C494" i="1"/>
  <c r="C493" i="1"/>
  <c r="C492" i="1"/>
  <c r="C491" i="1"/>
  <c r="C490" i="1"/>
  <c r="G490" i="1"/>
  <c r="G376" i="1"/>
  <c r="C385" i="1"/>
  <c r="C384" i="1"/>
  <c r="I385" i="1" s="1"/>
  <c r="C383" i="1"/>
  <c r="I384" i="1" s="1"/>
  <c r="C382" i="1"/>
  <c r="I383" i="1" s="1"/>
  <c r="C381" i="1"/>
  <c r="I382" i="1" s="1"/>
  <c r="C380" i="1"/>
  <c r="C379" i="1"/>
  <c r="C378" i="1"/>
  <c r="C377" i="1"/>
  <c r="C376" i="1"/>
  <c r="C374" i="1"/>
  <c r="C373" i="1"/>
  <c r="C372" i="1"/>
  <c r="C371" i="1"/>
  <c r="C370" i="1"/>
  <c r="C369" i="1"/>
  <c r="C368" i="1"/>
  <c r="C367" i="1"/>
  <c r="C366" i="1"/>
  <c r="C365" i="1"/>
  <c r="D374" i="1"/>
  <c r="D373" i="1"/>
  <c r="D372" i="1"/>
  <c r="D371" i="1"/>
  <c r="D370" i="1"/>
  <c r="D369" i="1"/>
  <c r="D368" i="1"/>
  <c r="D367" i="1"/>
  <c r="D366" i="1"/>
  <c r="D365" i="1"/>
  <c r="C363" i="1"/>
  <c r="C362" i="1"/>
  <c r="C361" i="1"/>
  <c r="C360" i="1"/>
  <c r="C359" i="1"/>
  <c r="C358" i="1"/>
  <c r="C357" i="1"/>
  <c r="C356" i="1"/>
  <c r="C355" i="1"/>
  <c r="C354" i="1"/>
  <c r="G354" i="1"/>
  <c r="C351" i="1"/>
  <c r="C350" i="1"/>
  <c r="C349" i="1"/>
  <c r="C348" i="1"/>
  <c r="C347" i="1"/>
  <c r="C346" i="1"/>
  <c r="C345" i="1"/>
  <c r="C344" i="1"/>
  <c r="C343" i="1"/>
  <c r="C342" i="1"/>
  <c r="C341" i="1"/>
  <c r="G341" i="1"/>
  <c r="D338" i="1"/>
  <c r="D337" i="1"/>
  <c r="D336" i="1"/>
  <c r="D335" i="1"/>
  <c r="D334" i="1"/>
  <c r="D333" i="1"/>
  <c r="D332" i="1"/>
  <c r="D331" i="1"/>
  <c r="D330" i="1"/>
  <c r="D329" i="1"/>
  <c r="C339" i="1"/>
  <c r="C338" i="1"/>
  <c r="C337" i="1"/>
  <c r="C336" i="1"/>
  <c r="C335" i="1"/>
  <c r="C334" i="1"/>
  <c r="C333" i="1"/>
  <c r="C332" i="1"/>
  <c r="C331" i="1"/>
  <c r="C330" i="1"/>
  <c r="C329" i="1"/>
  <c r="C327" i="1"/>
  <c r="C326" i="1"/>
  <c r="C325" i="1"/>
  <c r="C324" i="1"/>
  <c r="C323" i="1"/>
  <c r="C322" i="1"/>
  <c r="G322" i="1"/>
  <c r="G284" i="1"/>
  <c r="C319" i="1"/>
  <c r="C318" i="1"/>
  <c r="C317" i="1"/>
  <c r="C316" i="1"/>
  <c r="C315" i="1"/>
  <c r="C314" i="1"/>
  <c r="C313" i="1"/>
  <c r="C312" i="1"/>
  <c r="C311" i="1"/>
  <c r="C310" i="1"/>
  <c r="C309" i="1"/>
  <c r="D314" i="1"/>
  <c r="D307" i="1"/>
  <c r="D306" i="1"/>
  <c r="D305" i="1"/>
  <c r="D304" i="1"/>
  <c r="D303" i="1"/>
  <c r="D302" i="1"/>
  <c r="D301" i="1"/>
  <c r="D300" i="1"/>
  <c r="D299" i="1"/>
  <c r="D298" i="1"/>
  <c r="C307" i="1"/>
  <c r="C306" i="1"/>
  <c r="C305" i="1"/>
  <c r="C304" i="1"/>
  <c r="C303" i="1"/>
  <c r="C302" i="1"/>
  <c r="C301" i="1"/>
  <c r="C300" i="1"/>
  <c r="C299" i="1"/>
  <c r="C298" i="1"/>
  <c r="C297" i="1"/>
  <c r="D288" i="1"/>
  <c r="C293" i="1"/>
  <c r="C292" i="1"/>
  <c r="C291" i="1"/>
  <c r="C290" i="1"/>
  <c r="C289" i="1"/>
  <c r="C288" i="1"/>
  <c r="C287" i="1"/>
  <c r="C286" i="1"/>
  <c r="C285" i="1"/>
  <c r="C284" i="1"/>
  <c r="D282" i="1"/>
  <c r="D281" i="1"/>
  <c r="D280" i="1"/>
  <c r="D279" i="1"/>
  <c r="D278" i="1"/>
  <c r="D277" i="1"/>
  <c r="D276" i="1"/>
  <c r="D275" i="1"/>
  <c r="D274" i="1"/>
  <c r="D273" i="1"/>
  <c r="C282" i="1"/>
  <c r="C281" i="1"/>
  <c r="C280" i="1"/>
  <c r="C279" i="1"/>
  <c r="C278" i="1"/>
  <c r="C277" i="1"/>
  <c r="C276" i="1"/>
  <c r="C275" i="1"/>
  <c r="C274" i="1"/>
  <c r="C273" i="1"/>
  <c r="I273" i="1" s="1"/>
  <c r="C487" i="1"/>
  <c r="C486" i="1"/>
  <c r="C485" i="1"/>
  <c r="C484" i="1"/>
  <c r="C483" i="1"/>
  <c r="C482" i="1"/>
  <c r="C481" i="1"/>
  <c r="C480" i="1"/>
  <c r="C479" i="1"/>
  <c r="C478" i="1"/>
  <c r="C477" i="1"/>
  <c r="D474" i="1"/>
  <c r="D473" i="1"/>
  <c r="D472" i="1"/>
  <c r="D471" i="1"/>
  <c r="D469" i="1"/>
  <c r="D468" i="1"/>
  <c r="D467" i="1"/>
  <c r="D466" i="1"/>
  <c r="C475" i="1"/>
  <c r="C474" i="1"/>
  <c r="C473" i="1"/>
  <c r="C472" i="1"/>
  <c r="C471" i="1"/>
  <c r="C470" i="1"/>
  <c r="C469" i="1"/>
  <c r="C468" i="1"/>
  <c r="C467" i="1"/>
  <c r="C466" i="1"/>
  <c r="C465" i="1"/>
  <c r="G465" i="1"/>
  <c r="G477" i="1"/>
  <c r="G454" i="1"/>
  <c r="C463" i="1"/>
  <c r="C462" i="1"/>
  <c r="C461" i="1"/>
  <c r="C460" i="1"/>
  <c r="C459" i="1"/>
  <c r="C458" i="1"/>
  <c r="C457" i="1"/>
  <c r="C456" i="1"/>
  <c r="C455" i="1"/>
  <c r="C454" i="1"/>
  <c r="D451" i="1"/>
  <c r="D450" i="1"/>
  <c r="D449" i="1"/>
  <c r="D448" i="1"/>
  <c r="D447" i="1"/>
  <c r="D446" i="1"/>
  <c r="C451" i="1"/>
  <c r="C450" i="1"/>
  <c r="C449" i="1"/>
  <c r="C448" i="1"/>
  <c r="K448" i="1" s="1"/>
  <c r="C447" i="1"/>
  <c r="C446" i="1"/>
  <c r="C444" i="1"/>
  <c r="C443" i="1"/>
  <c r="C442" i="1"/>
  <c r="C441" i="1"/>
  <c r="C440" i="1"/>
  <c r="C439" i="1"/>
  <c r="D437" i="1"/>
  <c r="D436" i="1"/>
  <c r="D435" i="1"/>
  <c r="D434" i="1"/>
  <c r="D433" i="1"/>
  <c r="D432" i="1"/>
  <c r="C437" i="1"/>
  <c r="C436" i="1"/>
  <c r="C435" i="1"/>
  <c r="C434" i="1"/>
  <c r="K434" i="1" s="1"/>
  <c r="C433" i="1"/>
  <c r="C432" i="1"/>
  <c r="C430" i="1"/>
  <c r="C429" i="1"/>
  <c r="C428" i="1"/>
  <c r="C427" i="1"/>
  <c r="K427" i="1" s="1"/>
  <c r="C426" i="1"/>
  <c r="C425" i="1"/>
  <c r="K447" i="1"/>
  <c r="G446" i="1"/>
  <c r="K433" i="1"/>
  <c r="G432" i="1"/>
  <c r="G425" i="1"/>
  <c r="H444" i="1"/>
  <c r="G439" i="1"/>
  <c r="K426" i="1"/>
  <c r="G247" i="1"/>
  <c r="G259" i="1"/>
  <c r="C422" i="1"/>
  <c r="C421" i="1"/>
  <c r="C420" i="1"/>
  <c r="C419" i="1"/>
  <c r="C418" i="1"/>
  <c r="C417" i="1"/>
  <c r="C416" i="1"/>
  <c r="C415" i="1"/>
  <c r="C414" i="1"/>
  <c r="C413" i="1"/>
  <c r="K413" i="1" s="1"/>
  <c r="C412" i="1"/>
  <c r="C411" i="1"/>
  <c r="H411" i="1" s="1"/>
  <c r="K412" i="1"/>
  <c r="G411" i="1"/>
  <c r="G399" i="1"/>
  <c r="C409" i="1"/>
  <c r="C408" i="1"/>
  <c r="C407" i="1"/>
  <c r="C406" i="1"/>
  <c r="C405" i="1"/>
  <c r="C404" i="1"/>
  <c r="C403" i="1"/>
  <c r="C402" i="1"/>
  <c r="C401" i="1"/>
  <c r="K401" i="1" s="1"/>
  <c r="C400" i="1"/>
  <c r="C399" i="1"/>
  <c r="I399" i="1" s="1"/>
  <c r="K400" i="1"/>
  <c r="C269" i="1"/>
  <c r="E269" i="1" s="1"/>
  <c r="C268" i="1"/>
  <c r="E268" i="1" s="1"/>
  <c r="C267" i="1"/>
  <c r="E267" i="1" s="1"/>
  <c r="C266" i="1"/>
  <c r="E266" i="1" s="1"/>
  <c r="C265" i="1"/>
  <c r="E265" i="1" s="1"/>
  <c r="C264" i="1"/>
  <c r="E264" i="1" s="1"/>
  <c r="C263" i="1"/>
  <c r="E263" i="1" s="1"/>
  <c r="C262" i="1"/>
  <c r="E262" i="1" s="1"/>
  <c r="C261" i="1"/>
  <c r="E261" i="1" s="1"/>
  <c r="C260" i="1"/>
  <c r="E260" i="1" s="1"/>
  <c r="C259" i="1"/>
  <c r="K248" i="1"/>
  <c r="D256" i="1"/>
  <c r="D255" i="1"/>
  <c r="D254" i="1"/>
  <c r="D253" i="1"/>
  <c r="D251" i="1"/>
  <c r="D250" i="1"/>
  <c r="D249" i="1"/>
  <c r="D248" i="1"/>
  <c r="C257" i="1"/>
  <c r="C256" i="1"/>
  <c r="C255" i="1"/>
  <c r="C254" i="1"/>
  <c r="C253" i="1"/>
  <c r="C252" i="1"/>
  <c r="C251" i="1"/>
  <c r="C250" i="1"/>
  <c r="C249" i="1"/>
  <c r="K249" i="1" s="1"/>
  <c r="C248" i="1"/>
  <c r="C247" i="1"/>
  <c r="C238" i="1" l="1"/>
  <c r="B226" i="1"/>
  <c r="H73" i="1"/>
  <c r="B75" i="1" s="1"/>
  <c r="D203" i="1"/>
  <c r="H199" i="1" s="1"/>
  <c r="B201" i="1" s="1"/>
  <c r="C204" i="1"/>
  <c r="F203" i="1"/>
  <c r="D175" i="1"/>
  <c r="C176" i="1"/>
  <c r="F175" i="1"/>
  <c r="C175" i="1"/>
  <c r="B231" i="1"/>
  <c r="C232" i="1"/>
  <c r="B234" i="1"/>
  <c r="E226" i="1"/>
  <c r="C234" i="1"/>
  <c r="B235" i="1"/>
  <c r="E239" i="1"/>
  <c r="C229" i="1"/>
  <c r="B230" i="1"/>
  <c r="C228" i="1"/>
  <c r="B227" i="1"/>
  <c r="C233" i="1"/>
  <c r="C226" i="1"/>
  <c r="C230" i="1"/>
  <c r="B228" i="1"/>
  <c r="B232" i="1"/>
  <c r="B237" i="1"/>
  <c r="C227" i="1"/>
  <c r="C231" i="1"/>
  <c r="C235" i="1"/>
  <c r="B229" i="1"/>
  <c r="B233" i="1"/>
  <c r="B238" i="1"/>
  <c r="E306" i="1"/>
  <c r="E228" i="1" s="1"/>
  <c r="C237" i="1"/>
  <c r="C239" i="1" s="1"/>
  <c r="H399" i="1"/>
  <c r="H446" i="1"/>
  <c r="H432" i="1"/>
  <c r="H425" i="1"/>
  <c r="I411" i="1"/>
  <c r="E236" i="1" l="1"/>
  <c r="H171" i="1"/>
  <c r="B173" i="1" s="1"/>
  <c r="B239" i="1"/>
  <c r="B48" i="1"/>
  <c r="B44" i="1"/>
  <c r="F44" i="1"/>
  <c r="I126" i="1" l="1"/>
  <c r="I125" i="1"/>
  <c r="I124" i="1"/>
  <c r="I123" i="1"/>
  <c r="G116" i="1"/>
  <c r="I118" i="1" l="1"/>
  <c r="C128" i="1"/>
  <c r="C122" i="1"/>
  <c r="I121" i="1"/>
  <c r="I122" i="1" s="1"/>
  <c r="I127" i="1" s="1"/>
  <c r="I128" i="1" s="1"/>
  <c r="B120" i="1" s="1"/>
  <c r="C125" i="1"/>
  <c r="I119" i="1"/>
  <c r="C124" i="1"/>
  <c r="C123" i="1"/>
  <c r="C127" i="1"/>
  <c r="C121" i="1"/>
  <c r="I120" i="1"/>
  <c r="B119" i="1" s="1"/>
  <c r="C119" i="1" s="1"/>
  <c r="C126" i="1"/>
  <c r="H247" i="1"/>
  <c r="D119" i="1" l="1"/>
  <c r="H115" i="1" s="1"/>
  <c r="B117" i="1" s="1"/>
  <c r="C120" i="1"/>
  <c r="F119" i="1"/>
  <c r="I168" i="1"/>
  <c r="I167" i="1"/>
  <c r="I166" i="1"/>
  <c r="I165" i="1"/>
  <c r="D3" i="1"/>
  <c r="G158" i="1"/>
  <c r="I162" i="1" l="1"/>
  <c r="B161" i="1" s="1"/>
  <c r="C161" i="1" s="1"/>
  <c r="C170" i="1"/>
  <c r="C168" i="1"/>
  <c r="C166" i="1"/>
  <c r="C164" i="1"/>
  <c r="I160" i="1"/>
  <c r="C169" i="1"/>
  <c r="C167" i="1"/>
  <c r="C165" i="1"/>
  <c r="C163" i="1"/>
  <c r="I163" i="1"/>
  <c r="I164" i="1" s="1"/>
  <c r="I169" i="1" s="1"/>
  <c r="I161" i="1"/>
  <c r="I70" i="1"/>
  <c r="I69" i="1"/>
  <c r="I68" i="1"/>
  <c r="I67" i="1"/>
  <c r="G60" i="1"/>
  <c r="C66" i="1" l="1"/>
  <c r="I170" i="1"/>
  <c r="B162" i="1" s="1"/>
  <c r="C72" i="1"/>
  <c r="C68" i="1"/>
  <c r="C65" i="1"/>
  <c r="I63" i="1"/>
  <c r="C71" i="1"/>
  <c r="C67" i="1"/>
  <c r="C69" i="1"/>
  <c r="C70" i="1"/>
  <c r="I64" i="1"/>
  <c r="B63" i="1" s="1"/>
  <c r="I65" i="1"/>
  <c r="I62" i="1"/>
  <c r="H221" i="1"/>
  <c r="H264" i="1"/>
  <c r="F161" i="1" l="1"/>
  <c r="C162" i="1"/>
  <c r="D161" i="1"/>
  <c r="H157" i="1" s="1"/>
  <c r="B159" i="1" s="1"/>
  <c r="I66" i="1"/>
  <c r="I71" i="1" s="1"/>
  <c r="C63" i="1"/>
  <c r="I72" i="1" l="1"/>
  <c r="F63" i="1"/>
  <c r="I112" i="1"/>
  <c r="I111" i="1"/>
  <c r="I110" i="1"/>
  <c r="I109" i="1"/>
  <c r="I140" i="1"/>
  <c r="I139" i="1"/>
  <c r="I138" i="1"/>
  <c r="I137" i="1"/>
  <c r="G102" i="1"/>
  <c r="G130" i="1"/>
  <c r="C64" i="1" l="1"/>
  <c r="D63" i="1"/>
  <c r="H59" i="1" s="1"/>
  <c r="B61" i="1" s="1"/>
  <c r="C107" i="1"/>
  <c r="I105" i="1"/>
  <c r="C111" i="1"/>
  <c r="C114" i="1"/>
  <c r="C112" i="1"/>
  <c r="C110" i="1"/>
  <c r="C108" i="1"/>
  <c r="I106" i="1"/>
  <c r="B105" i="1" s="1"/>
  <c r="I104" i="1"/>
  <c r="I107" i="1"/>
  <c r="C113" i="1"/>
  <c r="C109" i="1"/>
  <c r="C135" i="1"/>
  <c r="I133" i="1"/>
  <c r="C139" i="1"/>
  <c r="C142" i="1"/>
  <c r="C140" i="1"/>
  <c r="C138" i="1"/>
  <c r="C136" i="1"/>
  <c r="I134" i="1"/>
  <c r="I132" i="1"/>
  <c r="I135" i="1"/>
  <c r="C141" i="1"/>
  <c r="C137" i="1"/>
  <c r="G15" i="7"/>
  <c r="G16" i="7" s="1"/>
  <c r="C15" i="7" s="1"/>
  <c r="B7" i="7"/>
  <c r="H15" i="7" s="1"/>
  <c r="B16" i="7" s="1"/>
  <c r="D6" i="7"/>
  <c r="C5" i="7"/>
  <c r="B12" i="7" s="1"/>
  <c r="B9" i="7" l="1"/>
  <c r="J16" i="7" s="1"/>
  <c r="C18" i="7" s="1"/>
  <c r="B11" i="7"/>
  <c r="L15" i="7" s="1"/>
  <c r="B20" i="7" s="1"/>
  <c r="I136" i="1"/>
  <c r="I141" i="1" s="1"/>
  <c r="B133" i="1"/>
  <c r="I108" i="1"/>
  <c r="C105" i="1"/>
  <c r="B15" i="7"/>
  <c r="D12" i="7"/>
  <c r="M16" i="7"/>
  <c r="C21" i="7" s="1"/>
  <c r="M15" i="7"/>
  <c r="B21" i="7" s="1"/>
  <c r="H16" i="7"/>
  <c r="C16" i="7" s="1"/>
  <c r="L16" i="7"/>
  <c r="C20" i="7" s="1"/>
  <c r="D7" i="7"/>
  <c r="D9" i="7"/>
  <c r="J15" i="7"/>
  <c r="B18" i="7" s="1"/>
  <c r="B8" i="7"/>
  <c r="B10" i="7"/>
  <c r="G7" i="6"/>
  <c r="G6" i="6"/>
  <c r="G5" i="6"/>
  <c r="D11" i="7" l="1"/>
  <c r="I142" i="1"/>
  <c r="B134" i="1" s="1"/>
  <c r="D133" i="1" s="1"/>
  <c r="C133" i="1"/>
  <c r="I113" i="1"/>
  <c r="K16" i="7"/>
  <c r="C19" i="7" s="1"/>
  <c r="D10" i="7"/>
  <c r="K15" i="7"/>
  <c r="B19" i="7" s="1"/>
  <c r="D8" i="7"/>
  <c r="I16" i="7"/>
  <c r="C17" i="7" s="1"/>
  <c r="I15" i="7"/>
  <c r="B17" i="7" s="1"/>
  <c r="G8" i="6"/>
  <c r="G15" i="5"/>
  <c r="G16" i="5" s="1"/>
  <c r="C15" i="5" s="1"/>
  <c r="B7" i="5"/>
  <c r="H15" i="5" s="1"/>
  <c r="B16" i="5" s="1"/>
  <c r="D6" i="5"/>
  <c r="C5" i="5"/>
  <c r="B12" i="5" s="1"/>
  <c r="G15" i="4"/>
  <c r="B15" i="4" s="1"/>
  <c r="B7" i="4"/>
  <c r="H16" i="4" s="1"/>
  <c r="C16" i="4" s="1"/>
  <c r="D6" i="4"/>
  <c r="C5" i="4"/>
  <c r="B11" i="4" s="1"/>
  <c r="G15" i="3"/>
  <c r="B15" i="3" s="1"/>
  <c r="B7" i="3"/>
  <c r="H16" i="3" s="1"/>
  <c r="C16" i="3" s="1"/>
  <c r="D6" i="3"/>
  <c r="C5" i="3"/>
  <c r="B8" i="3" s="1"/>
  <c r="B7" i="2"/>
  <c r="H15" i="2" s="1"/>
  <c r="B16" i="2" s="1"/>
  <c r="G15" i="2"/>
  <c r="G16" i="2" s="1"/>
  <c r="C15" i="2" s="1"/>
  <c r="D6" i="2"/>
  <c r="C5" i="2"/>
  <c r="B12" i="2" s="1"/>
  <c r="C22" i="7" l="1"/>
  <c r="D7" i="2"/>
  <c r="D7" i="3"/>
  <c r="B9" i="2"/>
  <c r="J16" i="2" s="1"/>
  <c r="C18" i="2" s="1"/>
  <c r="F133" i="1"/>
  <c r="C134" i="1"/>
  <c r="H129" i="1"/>
  <c r="B131" i="1" s="1"/>
  <c r="I114" i="1"/>
  <c r="B106" i="1" s="1"/>
  <c r="D105" i="1" s="1"/>
  <c r="H101" i="1" s="1"/>
  <c r="B103" i="1" s="1"/>
  <c r="B15" i="2"/>
  <c r="B22" i="7"/>
  <c r="B9" i="5"/>
  <c r="J16" i="5" s="1"/>
  <c r="C18" i="5" s="1"/>
  <c r="D7" i="4"/>
  <c r="B11" i="2"/>
  <c r="L15" i="2" s="1"/>
  <c r="B20" i="2" s="1"/>
  <c r="B8" i="2"/>
  <c r="B11" i="5"/>
  <c r="L15" i="5" s="1"/>
  <c r="B20" i="5" s="1"/>
  <c r="B15" i="5"/>
  <c r="D12" i="5"/>
  <c r="M16" i="5"/>
  <c r="C21" i="5" s="1"/>
  <c r="M15" i="5"/>
  <c r="B21" i="5" s="1"/>
  <c r="H16" i="5"/>
  <c r="C16" i="5" s="1"/>
  <c r="D7" i="5"/>
  <c r="B8" i="5"/>
  <c r="B10" i="5"/>
  <c r="L16" i="4"/>
  <c r="C20" i="4" s="1"/>
  <c r="L15" i="4"/>
  <c r="B20" i="4" s="1"/>
  <c r="D11" i="4"/>
  <c r="B12" i="4"/>
  <c r="H15" i="4"/>
  <c r="B16" i="4" s="1"/>
  <c r="G16" i="4"/>
  <c r="C15" i="4" s="1"/>
  <c r="B8" i="4"/>
  <c r="B10" i="4"/>
  <c r="B9" i="4"/>
  <c r="I16" i="3"/>
  <c r="C17" i="3" s="1"/>
  <c r="I15" i="3"/>
  <c r="B17" i="3" s="1"/>
  <c r="D8" i="3"/>
  <c r="B12" i="3"/>
  <c r="H15" i="3"/>
  <c r="B16" i="3" s="1"/>
  <c r="G16" i="3"/>
  <c r="C15" i="3" s="1"/>
  <c r="B10" i="3"/>
  <c r="B9" i="3"/>
  <c r="B11" i="3"/>
  <c r="D12" i="2"/>
  <c r="M16" i="2"/>
  <c r="C21" i="2" s="1"/>
  <c r="M15" i="2"/>
  <c r="B21" i="2" s="1"/>
  <c r="H16" i="2"/>
  <c r="C16" i="2" s="1"/>
  <c r="D9" i="2"/>
  <c r="J15" i="2"/>
  <c r="B18" i="2" s="1"/>
  <c r="B10" i="2"/>
  <c r="D11" i="5" l="1"/>
  <c r="D9" i="5"/>
  <c r="J15" i="5"/>
  <c r="B18" i="5" s="1"/>
  <c r="L16" i="5"/>
  <c r="C20" i="5" s="1"/>
  <c r="F105" i="1"/>
  <c r="C106" i="1"/>
  <c r="D11" i="2"/>
  <c r="L16" i="2"/>
  <c r="C20" i="2" s="1"/>
  <c r="K16" i="5"/>
  <c r="C19" i="5" s="1"/>
  <c r="D10" i="5"/>
  <c r="K15" i="5"/>
  <c r="B19" i="5" s="1"/>
  <c r="I15" i="5"/>
  <c r="B17" i="5" s="1"/>
  <c r="D8" i="5"/>
  <c r="I16" i="5"/>
  <c r="C17" i="5" s="1"/>
  <c r="I15" i="4"/>
  <c r="B17" i="4" s="1"/>
  <c r="I16" i="4"/>
  <c r="C17" i="4" s="1"/>
  <c r="D8" i="4"/>
  <c r="K16" i="4"/>
  <c r="C19" i="4" s="1"/>
  <c r="D10" i="4"/>
  <c r="K15" i="4"/>
  <c r="B19" i="4" s="1"/>
  <c r="M15" i="4"/>
  <c r="B21" i="4" s="1"/>
  <c r="D12" i="4"/>
  <c r="M16" i="4"/>
  <c r="C21" i="4" s="1"/>
  <c r="J16" i="4"/>
  <c r="C18" i="4" s="1"/>
  <c r="J15" i="4"/>
  <c r="B18" i="4" s="1"/>
  <c r="D9" i="4"/>
  <c r="J15" i="3"/>
  <c r="B18" i="3" s="1"/>
  <c r="D9" i="3"/>
  <c r="J16" i="3"/>
  <c r="C18" i="3" s="1"/>
  <c r="M16" i="3"/>
  <c r="C21" i="3" s="1"/>
  <c r="C22" i="3" s="1"/>
  <c r="M15" i="3"/>
  <c r="B21" i="3" s="1"/>
  <c r="D12" i="3"/>
  <c r="K16" i="3"/>
  <c r="C19" i="3" s="1"/>
  <c r="D10" i="3"/>
  <c r="K15" i="3"/>
  <c r="B19" i="3" s="1"/>
  <c r="D11" i="3"/>
  <c r="L16" i="3"/>
  <c r="C20" i="3" s="1"/>
  <c r="L15" i="3"/>
  <c r="B20" i="3" s="1"/>
  <c r="K16" i="2"/>
  <c r="C19" i="2" s="1"/>
  <c r="D10" i="2"/>
  <c r="K15" i="2"/>
  <c r="B19" i="2" s="1"/>
  <c r="D8" i="2"/>
  <c r="I16" i="2"/>
  <c r="C17" i="2" s="1"/>
  <c r="I15" i="2"/>
  <c r="B17" i="2" s="1"/>
  <c r="B22" i="5" l="1"/>
  <c r="C22" i="2"/>
  <c r="C22" i="5"/>
  <c r="C22" i="4"/>
  <c r="B22" i="2"/>
  <c r="B22" i="4"/>
  <c r="B22" i="3"/>
  <c r="B236" i="1"/>
  <c r="C236" i="1"/>
  <c r="C240" i="1" s="1"/>
  <c r="B240" i="1" l="1"/>
  <c r="E240" i="1"/>
</calcChain>
</file>

<file path=xl/sharedStrings.xml><?xml version="1.0" encoding="utf-8"?>
<sst xmlns="http://schemas.openxmlformats.org/spreadsheetml/2006/main" count="1444" uniqueCount="290">
  <si>
    <r>
      <rPr>
        <b/>
        <sz val="11.5"/>
        <rFont val="Times New Roman"/>
        <family val="1"/>
      </rPr>
      <t>Valuation Report</t>
    </r>
  </si>
  <si>
    <r>
      <rPr>
        <sz val="11.5"/>
        <rFont val="Times New Roman"/>
        <family val="1"/>
      </rPr>
      <t>Date:</t>
    </r>
  </si>
  <si>
    <r>
      <rPr>
        <sz val="11.5"/>
        <rFont val="Times New Roman"/>
        <family val="1"/>
      </rPr>
      <t>CPC Name:</t>
    </r>
  </si>
  <si>
    <r>
      <rPr>
        <sz val="11.5"/>
        <rFont val="Times New Roman"/>
        <family val="1"/>
      </rPr>
      <t>Axis Sanpada</t>
    </r>
  </si>
  <si>
    <r>
      <rPr>
        <sz val="11.5"/>
        <rFont val="Times New Roman"/>
        <family val="1"/>
      </rPr>
      <t>Date Of Property Visit</t>
    </r>
  </si>
  <si>
    <r>
      <rPr>
        <sz val="11.5"/>
        <rFont val="Times New Roman"/>
        <family val="1"/>
      </rPr>
      <t>Name of the builder group</t>
    </r>
  </si>
  <si>
    <r>
      <rPr>
        <sz val="11.5"/>
        <rFont val="Times New Roman"/>
        <family val="1"/>
      </rPr>
      <t>M/s.Ashiana Lifestyle</t>
    </r>
  </si>
  <si>
    <r>
      <rPr>
        <sz val="11.5"/>
        <rFont val="Times New Roman"/>
        <family val="1"/>
      </rPr>
      <t>Name of the builder company</t>
    </r>
  </si>
  <si>
    <r>
      <rPr>
        <sz val="11.5"/>
        <rFont val="Times New Roman"/>
        <family val="1"/>
      </rPr>
      <t>Name of the Project</t>
    </r>
  </si>
  <si>
    <r>
      <rPr>
        <sz val="11.5"/>
        <rFont val="Times New Roman"/>
        <family val="1"/>
      </rPr>
      <t>Contect Details ( Name &amp; Contect No.)</t>
    </r>
  </si>
  <si>
    <r>
      <rPr>
        <sz val="11.5"/>
        <rFont val="Times New Roman"/>
        <family val="1"/>
      </rPr>
      <t>Name / No of the Building</t>
    </r>
  </si>
  <si>
    <r>
      <rPr>
        <sz val="11.5"/>
        <rFont val="Times New Roman"/>
        <family val="1"/>
      </rPr>
      <t>Docouments Provided</t>
    </r>
  </si>
  <si>
    <r>
      <rPr>
        <sz val="11.5"/>
        <rFont val="Times New Roman"/>
        <family val="1"/>
      </rPr>
      <t>Approved Layout, Approved Building Plan, CC</t>
    </r>
  </si>
  <si>
    <r>
      <rPr>
        <sz val="11.5"/>
        <rFont val="Times New Roman"/>
        <family val="1"/>
      </rPr>
      <t>RERA Name &amp; No.</t>
    </r>
  </si>
  <si>
    <r>
      <rPr>
        <sz val="11.5"/>
        <rFont val="Times New Roman"/>
        <family val="1"/>
      </rPr>
      <t>Project location details</t>
    </r>
  </si>
  <si>
    <r>
      <rPr>
        <sz val="11.5"/>
        <rFont val="Times New Roman"/>
        <family val="1"/>
      </rPr>
      <t>Panvel Pride, Survey No.75/1/A, Internal Road, Kevale, Panvel, Panvel, Raigad.</t>
    </r>
  </si>
  <si>
    <r>
      <rPr>
        <sz val="11.5"/>
        <rFont val="Times New Roman"/>
        <family val="1"/>
      </rPr>
      <t>Survey No</t>
    </r>
  </si>
  <si>
    <r>
      <rPr>
        <sz val="11.5"/>
        <rFont val="Times New Roman"/>
        <family val="1"/>
      </rPr>
      <t>75/1/A</t>
    </r>
  </si>
  <si>
    <r>
      <rPr>
        <sz val="11.5"/>
        <rFont val="Times New Roman"/>
        <family val="1"/>
      </rPr>
      <t>Road</t>
    </r>
  </si>
  <si>
    <r>
      <rPr>
        <sz val="11.5"/>
        <rFont val="Times New Roman"/>
        <family val="1"/>
      </rPr>
      <t>Internal Road</t>
    </r>
  </si>
  <si>
    <r>
      <rPr>
        <sz val="11.5"/>
        <rFont val="Times New Roman"/>
        <family val="1"/>
      </rPr>
      <t>Locality/Village</t>
    </r>
  </si>
  <si>
    <r>
      <rPr>
        <sz val="11.5"/>
        <rFont val="Times New Roman"/>
        <family val="1"/>
      </rPr>
      <t>Kevale</t>
    </r>
  </si>
  <si>
    <r>
      <rPr>
        <sz val="11.5"/>
        <rFont val="Times New Roman"/>
        <family val="1"/>
      </rPr>
      <t>City</t>
    </r>
  </si>
  <si>
    <r>
      <rPr>
        <sz val="11.5"/>
        <rFont val="Times New Roman"/>
        <family val="1"/>
      </rPr>
      <t>Panvel</t>
    </r>
  </si>
  <si>
    <r>
      <rPr>
        <sz val="11.5"/>
        <rFont val="Times New Roman"/>
        <family val="1"/>
      </rPr>
      <t>District</t>
    </r>
  </si>
  <si>
    <r>
      <rPr>
        <sz val="11.5"/>
        <rFont val="Times New Roman"/>
        <family val="1"/>
      </rPr>
      <t>Raigad</t>
    </r>
  </si>
  <si>
    <r>
      <rPr>
        <sz val="11.5"/>
        <rFont val="Times New Roman"/>
        <family val="1"/>
      </rPr>
      <t>Taluka</t>
    </r>
  </si>
  <si>
    <r>
      <rPr>
        <sz val="11.5"/>
        <rFont val="Times New Roman"/>
        <family val="1"/>
      </rPr>
      <t>Pin Code</t>
    </r>
  </si>
  <si>
    <r>
      <rPr>
        <sz val="11.5"/>
        <rFont val="Times New Roman"/>
        <family val="1"/>
      </rPr>
      <t>Near by Landmark</t>
    </r>
  </si>
  <si>
    <r>
      <rPr>
        <sz val="11.5"/>
        <rFont val="Times New Roman"/>
        <family val="1"/>
      </rPr>
      <t xml:space="preserve">Meenakshi &amp; Gangadhar Bhat
</t>
    </r>
    <r>
      <rPr>
        <sz val="11.5"/>
        <rFont val="Times New Roman"/>
        <family val="1"/>
      </rPr>
      <t>Memorial Hospital</t>
    </r>
  </si>
  <si>
    <r>
      <rPr>
        <sz val="11.5"/>
        <rFont val="Times New Roman"/>
        <family val="1"/>
      </rPr>
      <t xml:space="preserve">Distance from city
</t>
    </r>
    <r>
      <rPr>
        <sz val="11.5"/>
        <rFont val="Times New Roman"/>
        <family val="1"/>
      </rPr>
      <t>centre:</t>
    </r>
  </si>
  <si>
    <r>
      <rPr>
        <sz val="11.5"/>
        <rFont val="Times New Roman"/>
        <family val="1"/>
      </rPr>
      <t xml:space="preserve">About 5.7Km from Panvel
</t>
    </r>
    <r>
      <rPr>
        <sz val="11.5"/>
        <rFont val="Times New Roman"/>
        <family val="1"/>
      </rPr>
      <t>Railway Station</t>
    </r>
  </si>
  <si>
    <r>
      <rPr>
        <sz val="11.5"/>
        <rFont val="Times New Roman"/>
        <family val="1"/>
      </rPr>
      <t>Accessibility to the Project from the City: (Proximity to civic amenities like school, hospital, market, etc.)</t>
    </r>
  </si>
  <si>
    <r>
      <rPr>
        <sz val="11.5"/>
        <rFont val="Times New Roman"/>
        <family val="1"/>
      </rPr>
      <t>all available at  1 to 2 km.</t>
    </r>
  </si>
  <si>
    <r>
      <rPr>
        <sz val="11.5"/>
        <rFont val="Times New Roman"/>
        <family val="1"/>
      </rPr>
      <t xml:space="preserve">Does property have Electricity / Water / Drainage
</t>
    </r>
    <r>
      <rPr>
        <sz val="11.5"/>
        <rFont val="Times New Roman"/>
        <family val="1"/>
      </rPr>
      <t>Connection</t>
    </r>
  </si>
  <si>
    <r>
      <rPr>
        <sz val="11.5"/>
        <rFont val="Times New Roman"/>
        <family val="1"/>
      </rPr>
      <t>Yes</t>
    </r>
  </si>
  <si>
    <r>
      <rPr>
        <sz val="11.5"/>
        <rFont val="Times New Roman"/>
        <family val="1"/>
      </rPr>
      <t>Class of locality</t>
    </r>
  </si>
  <si>
    <r>
      <rPr>
        <sz val="11.5"/>
        <rFont val="Times New Roman"/>
        <family val="1"/>
      </rPr>
      <t>Middle Class</t>
    </r>
  </si>
  <si>
    <r>
      <rPr>
        <sz val="11.5"/>
        <rFont val="Times New Roman"/>
        <family val="1"/>
      </rPr>
      <t>Nature of land with topographical condtion</t>
    </r>
  </si>
  <si>
    <r>
      <rPr>
        <sz val="11.5"/>
        <rFont val="Times New Roman"/>
        <family val="1"/>
      </rPr>
      <t>Plane</t>
    </r>
  </si>
  <si>
    <r>
      <rPr>
        <sz val="11.5"/>
        <rFont val="Times New Roman"/>
        <family val="1"/>
      </rPr>
      <t>Nature of the locality</t>
    </r>
  </si>
  <si>
    <r>
      <rPr>
        <sz val="11.5"/>
        <rFont val="Times New Roman"/>
        <family val="1"/>
      </rPr>
      <t>Developing</t>
    </r>
  </si>
  <si>
    <r>
      <rPr>
        <sz val="11.5"/>
        <rFont val="Times New Roman"/>
        <family val="1"/>
      </rPr>
      <t>Quality of infrastructure in vicinity</t>
    </r>
  </si>
  <si>
    <r>
      <rPr>
        <sz val="11.5"/>
        <rFont val="Times New Roman"/>
        <family val="1"/>
      </rPr>
      <t>Good</t>
    </r>
  </si>
  <si>
    <r>
      <rPr>
        <sz val="11.5"/>
        <rFont val="Times New Roman"/>
        <family val="1"/>
      </rPr>
      <t>Boundaries</t>
    </r>
  </si>
  <si>
    <r>
      <rPr>
        <sz val="11.5"/>
        <rFont val="Times New Roman"/>
        <family val="1"/>
      </rPr>
      <t>East</t>
    </r>
  </si>
  <si>
    <r>
      <rPr>
        <sz val="11.5"/>
        <rFont val="Times New Roman"/>
        <family val="1"/>
      </rPr>
      <t>West</t>
    </r>
  </si>
  <si>
    <r>
      <rPr>
        <sz val="11.5"/>
        <rFont val="Times New Roman"/>
        <family val="1"/>
      </rPr>
      <t>North</t>
    </r>
  </si>
  <si>
    <r>
      <rPr>
        <sz val="11.5"/>
        <rFont val="Times New Roman"/>
        <family val="1"/>
      </rPr>
      <t>South</t>
    </r>
  </si>
  <si>
    <r>
      <rPr>
        <sz val="11.5"/>
        <rFont val="Times New Roman"/>
        <family val="1"/>
      </rPr>
      <t>As per deed</t>
    </r>
  </si>
  <si>
    <r>
      <rPr>
        <sz val="11.5"/>
        <rFont val="Times New Roman"/>
        <family val="1"/>
      </rPr>
      <t>NA</t>
    </r>
  </si>
  <si>
    <r>
      <rPr>
        <sz val="11.5"/>
        <rFont val="Times New Roman"/>
        <family val="1"/>
      </rPr>
      <t>At site</t>
    </r>
  </si>
  <si>
    <r>
      <rPr>
        <sz val="11.5"/>
        <rFont val="Times New Roman"/>
        <family val="1"/>
      </rPr>
      <t>Open Plot</t>
    </r>
  </si>
  <si>
    <r>
      <rPr>
        <sz val="11.5"/>
        <rFont val="Times New Roman"/>
        <family val="1"/>
      </rPr>
      <t>Building</t>
    </r>
  </si>
  <si>
    <r>
      <rPr>
        <sz val="11.5"/>
        <rFont val="Times New Roman"/>
        <family val="1"/>
      </rPr>
      <t>Meenakshi &amp; Gangadhar Bhat Memorial Hospital</t>
    </r>
  </si>
  <si>
    <r>
      <rPr>
        <sz val="11.5"/>
        <rFont val="Times New Roman"/>
        <family val="1"/>
      </rPr>
      <t>Does the boundaries at site match, as mentioned in the Docoumentation: NA</t>
    </r>
  </si>
  <si>
    <r>
      <rPr>
        <sz val="11.5"/>
        <rFont val="Times New Roman"/>
        <family val="1"/>
      </rPr>
      <t>Type of Structure : RCC Frame Structure</t>
    </r>
  </si>
  <si>
    <r>
      <rPr>
        <sz val="11.5"/>
        <rFont val="Times New Roman"/>
        <family val="1"/>
      </rPr>
      <t>Latitude &amp; Longitude</t>
    </r>
  </si>
  <si>
    <r>
      <rPr>
        <b/>
        <sz val="11.5"/>
        <rFont val="Times New Roman"/>
        <family val="1"/>
      </rPr>
      <t>Approval details:</t>
    </r>
  </si>
  <si>
    <r>
      <rPr>
        <sz val="11.5"/>
        <rFont val="Times New Roman"/>
        <family val="1"/>
      </rPr>
      <t>Approved usage of the Property:</t>
    </r>
  </si>
  <si>
    <r>
      <rPr>
        <sz val="11.5"/>
        <rFont val="Times New Roman"/>
        <family val="1"/>
      </rPr>
      <t>Residential</t>
    </r>
  </si>
  <si>
    <r>
      <rPr>
        <sz val="11.5"/>
        <rFont val="Times New Roman"/>
        <family val="1"/>
      </rPr>
      <t>(Restrictive Covenants in regard to Land Use, if any)</t>
    </r>
  </si>
  <si>
    <r>
      <rPr>
        <sz val="11.5"/>
        <rFont val="Times New Roman"/>
        <family val="1"/>
      </rPr>
      <t>No</t>
    </r>
  </si>
  <si>
    <r>
      <rPr>
        <b/>
        <sz val="11.5"/>
        <rFont val="Times New Roman"/>
        <family val="1"/>
      </rPr>
      <t>Area Statement Details :</t>
    </r>
  </si>
  <si>
    <r>
      <rPr>
        <sz val="11.5"/>
        <rFont val="Times New Roman"/>
        <family val="1"/>
      </rPr>
      <t>Total land area of the project in Sq. Mt.</t>
    </r>
  </si>
  <si>
    <r>
      <rPr>
        <sz val="11.5"/>
        <rFont val="Times New Roman"/>
        <family val="1"/>
      </rPr>
      <t>Permissible FSI</t>
    </r>
  </si>
  <si>
    <r>
      <rPr>
        <sz val="11.5"/>
        <rFont val="Times New Roman"/>
        <family val="1"/>
      </rPr>
      <t>Permissible TDR/Paid FSI</t>
    </r>
  </si>
  <si>
    <r>
      <rPr>
        <sz val="11.5"/>
        <rFont val="Times New Roman"/>
        <family val="1"/>
      </rPr>
      <t>Total FSI availaible for the project</t>
    </r>
  </si>
  <si>
    <r>
      <rPr>
        <sz val="11.5"/>
        <rFont val="Times New Roman"/>
        <family val="1"/>
      </rPr>
      <t>Total Approved Builtup area of the project in Sq. Mt.</t>
    </r>
  </si>
  <si>
    <r>
      <rPr>
        <sz val="11.5"/>
        <rFont val="Times New Roman"/>
        <family val="1"/>
      </rPr>
      <t>Total number of Buildings</t>
    </r>
  </si>
  <si>
    <r>
      <rPr>
        <b/>
        <sz val="11.5"/>
        <rFont val="Times New Roman"/>
        <family val="1"/>
      </rPr>
      <t>Approval Detail : Plan approval</t>
    </r>
  </si>
  <si>
    <r>
      <rPr>
        <sz val="11.5"/>
        <rFont val="Times New Roman"/>
        <family val="1"/>
      </rPr>
      <t>Dated</t>
    </r>
  </si>
  <si>
    <r>
      <rPr>
        <sz val="11.5"/>
        <rFont val="Times New Roman"/>
        <family val="1"/>
      </rPr>
      <t>31/05/2019.</t>
    </r>
  </si>
  <si>
    <r>
      <rPr>
        <sz val="11.5"/>
        <rFont val="Times New Roman"/>
        <family val="1"/>
      </rPr>
      <t>Commencement Certificate No.</t>
    </r>
  </si>
  <si>
    <r>
      <rPr>
        <sz val="11.5"/>
        <rFont val="Times New Roman"/>
        <family val="1"/>
      </rPr>
      <t>O. Certificate No.:</t>
    </r>
  </si>
  <si>
    <r>
      <rPr>
        <sz val="11.5"/>
        <rFont val="Times New Roman"/>
        <family val="1"/>
      </rPr>
      <t>Commencement date of construction</t>
    </r>
  </si>
  <si>
    <r>
      <rPr>
        <sz val="11.5"/>
        <rFont val="Times New Roman"/>
        <family val="1"/>
      </rPr>
      <t>Expected Completion</t>
    </r>
  </si>
  <si>
    <r>
      <rPr>
        <b/>
        <sz val="11.5"/>
        <rFont val="Times New Roman"/>
        <family val="1"/>
      </rPr>
      <t>Building wise Construction details</t>
    </r>
  </si>
  <si>
    <r>
      <rPr>
        <sz val="11.5"/>
        <rFont val="Times New Roman"/>
        <family val="1"/>
      </rPr>
      <t>Approved area of the building in Sq.Mt</t>
    </r>
  </si>
  <si>
    <r>
      <rPr>
        <sz val="11.5"/>
        <rFont val="Times New Roman"/>
        <family val="1"/>
      </rPr>
      <t>Approved no of units</t>
    </r>
  </si>
  <si>
    <r>
      <rPr>
        <sz val="11.5"/>
        <rFont val="Times New Roman"/>
        <family val="1"/>
      </rPr>
      <t>Approved no of Floors</t>
    </r>
  </si>
  <si>
    <r>
      <rPr>
        <sz val="11.5"/>
        <rFont val="Times New Roman"/>
        <family val="1"/>
      </rPr>
      <t>Quality of construction: Good</t>
    </r>
  </si>
  <si>
    <r>
      <rPr>
        <sz val="11.5"/>
        <rFont val="Times New Roman"/>
        <family val="1"/>
      </rPr>
      <t>Projected life of the structure: 60 Years After Completion</t>
    </r>
  </si>
  <si>
    <r>
      <rPr>
        <sz val="11.5"/>
        <rFont val="Times New Roman"/>
        <family val="1"/>
      </rPr>
      <t>Material laying at Site: Nothing</t>
    </r>
  </si>
  <si>
    <r>
      <rPr>
        <b/>
        <sz val="11.5"/>
        <rFont val="Times New Roman"/>
        <family val="1"/>
      </rPr>
      <t>Construction details:</t>
    </r>
  </si>
  <si>
    <r>
      <rPr>
        <sz val="11.5"/>
        <rFont val="Times New Roman"/>
        <family val="1"/>
      </rPr>
      <t>Wheather the construction is as per approved Building plan : Under Construction</t>
    </r>
  </si>
  <si>
    <r>
      <rPr>
        <sz val="11.5"/>
        <rFont val="Times New Roman"/>
        <family val="1"/>
      </rPr>
      <t>Violations Observed if any : NA</t>
    </r>
  </si>
  <si>
    <r>
      <rPr>
        <b/>
        <sz val="11.5"/>
        <rFont val="Times New Roman"/>
        <family val="1"/>
      </rPr>
      <t>Proposed Amenities :</t>
    </r>
  </si>
  <si>
    <r>
      <rPr>
        <b/>
        <sz val="11.5"/>
        <rFont val="Times New Roman"/>
        <family val="1"/>
      </rPr>
      <t>Recommended Rates of the Property :</t>
    </r>
  </si>
  <si>
    <r>
      <rPr>
        <sz val="11.5"/>
        <rFont val="Times New Roman"/>
        <family val="1"/>
      </rPr>
      <t>Recommended rate of the flat Per Sq. Ft. ( on Saleable area)</t>
    </r>
  </si>
  <si>
    <r>
      <rPr>
        <sz val="11.5"/>
        <rFont val="Times New Roman"/>
        <family val="1"/>
      </rPr>
      <t>Club Charges</t>
    </r>
  </si>
  <si>
    <r>
      <rPr>
        <sz val="11.5"/>
        <rFont val="Times New Roman"/>
        <family val="1"/>
      </rPr>
      <t>Legal Charges</t>
    </r>
  </si>
  <si>
    <r>
      <rPr>
        <sz val="11.5"/>
        <rFont val="Times New Roman"/>
        <family val="1"/>
      </rPr>
      <t>Society formation charges</t>
    </r>
  </si>
  <si>
    <r>
      <rPr>
        <sz val="11.5"/>
        <rFont val="Times New Roman"/>
        <family val="1"/>
      </rPr>
      <t>Recommended rate of Parking</t>
    </r>
  </si>
  <si>
    <r>
      <rPr>
        <b/>
        <sz val="11.5"/>
        <rFont val="Times New Roman"/>
        <family val="1"/>
      </rPr>
      <t>Distressed valuation of the Property</t>
    </r>
  </si>
  <si>
    <r>
      <rPr>
        <b/>
        <sz val="11.5"/>
        <rFont val="Times New Roman"/>
        <family val="1"/>
      </rPr>
      <t>Residential Area Details :</t>
    </r>
  </si>
  <si>
    <r>
      <rPr>
        <b/>
        <sz val="11.5"/>
        <rFont val="Times New Roman"/>
        <family val="1"/>
      </rPr>
      <t>Building &amp; Wing</t>
    </r>
  </si>
  <si>
    <r>
      <rPr>
        <b/>
        <sz val="11.5"/>
        <rFont val="Times New Roman"/>
        <family val="1"/>
      </rPr>
      <t>No. of Units</t>
    </r>
  </si>
  <si>
    <r>
      <rPr>
        <b/>
        <sz val="11.5"/>
        <rFont val="Times New Roman"/>
        <family val="1"/>
      </rPr>
      <t>Total Carpet Area</t>
    </r>
  </si>
  <si>
    <r>
      <rPr>
        <b/>
        <sz val="11.5"/>
        <rFont val="Times New Roman"/>
        <family val="1"/>
      </rPr>
      <t>Total Saleable Area</t>
    </r>
  </si>
  <si>
    <r>
      <rPr>
        <b/>
        <sz val="11.5"/>
        <rFont val="Times New Roman"/>
        <family val="1"/>
      </rPr>
      <t>Total</t>
    </r>
  </si>
  <si>
    <r>
      <rPr>
        <b/>
        <sz val="11.5"/>
        <rFont val="Times New Roman"/>
        <family val="1"/>
      </rPr>
      <t>Building details Floor Wise</t>
    </r>
  </si>
  <si>
    <r>
      <rPr>
        <b/>
        <sz val="11.5"/>
        <rFont val="Times New Roman"/>
        <family val="1"/>
      </rPr>
      <t>Details of Flats in Building</t>
    </r>
  </si>
  <si>
    <r>
      <rPr>
        <b/>
        <sz val="11.5"/>
        <rFont val="Times New Roman"/>
        <family val="1"/>
      </rPr>
      <t>Flat/Shop No.</t>
    </r>
  </si>
  <si>
    <r>
      <rPr>
        <b/>
        <sz val="11.5"/>
        <rFont val="Times New Roman"/>
        <family val="1"/>
      </rPr>
      <t>Description</t>
    </r>
  </si>
  <si>
    <r>
      <rPr>
        <b/>
        <sz val="11.5"/>
        <rFont val="Times New Roman"/>
        <family val="1"/>
      </rPr>
      <t>Gross Carpet area</t>
    </r>
  </si>
  <si>
    <r>
      <rPr>
        <b/>
        <sz val="10.5"/>
        <rFont val="Times New Roman"/>
        <family val="1"/>
      </rPr>
      <t xml:space="preserve">Attached Terrace
</t>
    </r>
    <r>
      <rPr>
        <b/>
        <sz val="10.5"/>
        <rFont val="Times New Roman"/>
        <family val="1"/>
      </rPr>
      <t>area</t>
    </r>
  </si>
  <si>
    <r>
      <rPr>
        <b/>
        <sz val="11.5"/>
        <rFont val="Times New Roman"/>
        <family val="1"/>
      </rPr>
      <t>Floor</t>
    </r>
  </si>
  <si>
    <r>
      <rPr>
        <b/>
        <sz val="11.5"/>
        <rFont val="Times New Roman"/>
        <family val="1"/>
      </rPr>
      <t>Ground Floor for Parking</t>
    </r>
  </si>
  <si>
    <r>
      <rPr>
        <b/>
        <sz val="11.5"/>
        <rFont val="Times New Roman"/>
        <family val="1"/>
      </rPr>
      <t>1st &amp; 3rd Floor</t>
    </r>
  </si>
  <si>
    <r>
      <rPr>
        <sz val="11.5"/>
        <rFont val="Times New Roman"/>
        <family val="1"/>
      </rPr>
      <t>1RK</t>
    </r>
  </si>
  <si>
    <r>
      <rPr>
        <sz val="11.5"/>
        <rFont val="Times New Roman"/>
        <family val="1"/>
      </rPr>
      <t>1st &amp; 3rd Floor</t>
    </r>
  </si>
  <si>
    <r>
      <rPr>
        <sz val="11.5"/>
        <rFont val="Times New Roman"/>
        <family val="1"/>
      </rPr>
      <t>1BHK</t>
    </r>
  </si>
  <si>
    <r>
      <rPr>
        <sz val="11.5"/>
        <rFont val="Times New Roman"/>
        <family val="1"/>
      </rPr>
      <t>2BHK</t>
    </r>
  </si>
  <si>
    <r>
      <rPr>
        <b/>
        <sz val="11.5"/>
        <rFont val="Times New Roman"/>
        <family val="1"/>
      </rPr>
      <t>Remarks:</t>
    </r>
  </si>
  <si>
    <r>
      <rPr>
        <sz val="11.5"/>
        <rFont val="Times New Roman"/>
        <family val="1"/>
      </rPr>
      <t>Undertaking :</t>
    </r>
  </si>
  <si>
    <r>
      <rPr>
        <sz val="11.5"/>
        <rFont val="Times New Roman"/>
        <family val="1"/>
      </rPr>
      <t>1) We have personally visited the property &amp; identified the same based on the documents provided.</t>
    </r>
  </si>
  <si>
    <r>
      <rPr>
        <sz val="11.5"/>
        <rFont val="Times New Roman"/>
        <family val="1"/>
      </rPr>
      <t>2) I/We have no direct or Indirect Interest in the property being valued</t>
    </r>
  </si>
  <si>
    <r>
      <rPr>
        <sz val="11.5"/>
        <rFont val="Times New Roman"/>
        <family val="1"/>
      </rPr>
      <t>3) The information furnished above is true and correct to my/our knowledge.</t>
    </r>
  </si>
  <si>
    <r>
      <rPr>
        <sz val="11.5"/>
        <rFont val="Times New Roman"/>
        <family val="1"/>
      </rPr>
      <t>4) Legal title of the property is not verified by us.</t>
    </r>
  </si>
  <si>
    <r>
      <rPr>
        <sz val="11.5"/>
        <rFont val="Times New Roman"/>
        <family val="1"/>
      </rPr>
      <t>5) Gross carpet area =  Net Carpet area + Fungible area.</t>
    </r>
  </si>
  <si>
    <r>
      <rPr>
        <sz val="11.5"/>
        <rFont val="Times New Roman"/>
        <family val="1"/>
      </rPr>
      <t>6) Fungible Area= Enclosed Balcony + Flower Bed + Covered Balcony + Service Slab + Duct + Chajja + Wheather Shed area.</t>
    </r>
  </si>
  <si>
    <r>
      <rPr>
        <sz val="10.5"/>
        <rFont val="Times New Roman"/>
        <family val="1"/>
      </rPr>
      <t>Inspected By :</t>
    </r>
  </si>
  <si>
    <r>
      <rPr>
        <b/>
        <sz val="11.5"/>
        <rFont val="Times New Roman"/>
        <family val="1"/>
      </rPr>
      <t xml:space="preserve">PHOTOGRAPHS OF PROPERTY : </t>
    </r>
    <r>
      <rPr>
        <sz val="11.5"/>
        <rFont val="Georgia"/>
        <family val="1"/>
      </rPr>
      <t xml:space="preserve">   </t>
    </r>
    <r>
      <rPr>
        <b/>
        <sz val="11.5"/>
        <rFont val="Times New Roman"/>
        <family val="1"/>
      </rPr>
      <t>Panvel Pride</t>
    </r>
  </si>
  <si>
    <r>
      <rPr>
        <b/>
        <sz val="11.5"/>
        <rFont val="Times New Roman"/>
        <family val="1"/>
      </rPr>
      <t>Google Map :</t>
    </r>
  </si>
  <si>
    <t>Authorized Signatory
Name &amp; Seal of the agency</t>
  </si>
  <si>
    <t>Panvel Pride</t>
  </si>
  <si>
    <t>Builder Saleable area</t>
  </si>
  <si>
    <t>Basement</t>
  </si>
  <si>
    <t>Podium</t>
  </si>
  <si>
    <t>Ground</t>
  </si>
  <si>
    <t>Upper Floor</t>
  </si>
  <si>
    <t>Particulars</t>
  </si>
  <si>
    <t xml:space="preserve">total floor </t>
  </si>
  <si>
    <t>plinth</t>
  </si>
  <si>
    <t>slab</t>
  </si>
  <si>
    <t>Parking</t>
  </si>
  <si>
    <t>Rate</t>
  </si>
  <si>
    <t xml:space="preserve">Bricks </t>
  </si>
  <si>
    <t>Palghar</t>
  </si>
  <si>
    <t>100000/-</t>
  </si>
  <si>
    <t>plaster</t>
  </si>
  <si>
    <t>Ulwe, karanjade</t>
  </si>
  <si>
    <t>200000/-</t>
  </si>
  <si>
    <t>Flooring</t>
  </si>
  <si>
    <t>Panvel</t>
  </si>
  <si>
    <t>300000/-</t>
  </si>
  <si>
    <t>Wood &amp; painting</t>
  </si>
  <si>
    <t>Mumbai - G + 15</t>
  </si>
  <si>
    <t>500000/-</t>
  </si>
  <si>
    <t>Finishing</t>
  </si>
  <si>
    <t>Mumbai - G + 25</t>
  </si>
  <si>
    <t>800000/-</t>
  </si>
  <si>
    <t>Mumbai - G + 35</t>
  </si>
  <si>
    <t>1000000/-</t>
  </si>
  <si>
    <t>Progress</t>
  </si>
  <si>
    <t>Recommended</t>
  </si>
  <si>
    <t>rcc</t>
  </si>
  <si>
    <t>Bricks</t>
  </si>
  <si>
    <t>Plaster</t>
  </si>
  <si>
    <t>Plinth</t>
  </si>
  <si>
    <t>RCC</t>
  </si>
  <si>
    <t xml:space="preserve">Recommended </t>
  </si>
  <si>
    <t>total</t>
  </si>
  <si>
    <t>Thane - G + 7</t>
  </si>
  <si>
    <t>Thane - G + 15</t>
  </si>
  <si>
    <t>400000/-</t>
  </si>
  <si>
    <t>Excavation in process</t>
  </si>
  <si>
    <t>Thane - G + 25</t>
  </si>
  <si>
    <t>600000/-</t>
  </si>
  <si>
    <t>Excavation Completed</t>
  </si>
  <si>
    <t>Footing in Process</t>
  </si>
  <si>
    <t>Footing Completed</t>
  </si>
  <si>
    <t>Plinth in process</t>
  </si>
  <si>
    <t>Plinth completed</t>
  </si>
  <si>
    <t>Report Prepared By :</t>
  </si>
  <si>
    <t>Market Research Data</t>
  </si>
  <si>
    <t>Source</t>
  </si>
  <si>
    <t>Distance from proposed property</t>
  </si>
  <si>
    <t>Flat</t>
  </si>
  <si>
    <t>Net Carpet</t>
  </si>
  <si>
    <t>Saleable Area</t>
  </si>
  <si>
    <t>Rate on Saleable</t>
  </si>
  <si>
    <t>Market Value</t>
  </si>
  <si>
    <t>99 Acres</t>
  </si>
  <si>
    <t>Average</t>
  </si>
  <si>
    <t xml:space="preserve">Valuation Adopted </t>
  </si>
  <si>
    <t>1BHK</t>
  </si>
  <si>
    <t>2BHK</t>
  </si>
  <si>
    <t>1RK</t>
  </si>
  <si>
    <t>H</t>
  </si>
  <si>
    <t>Construction details:</t>
  </si>
  <si>
    <t>Floors</t>
  </si>
  <si>
    <t>All work Completed. OC Received.</t>
  </si>
  <si>
    <t>Type of Work</t>
  </si>
  <si>
    <t>Slab/Floor</t>
  </si>
  <si>
    <t>Complition %</t>
  </si>
  <si>
    <t>Progress %</t>
  </si>
  <si>
    <t>Disbursement %</t>
  </si>
  <si>
    <t>Piling Work in process</t>
  </si>
  <si>
    <t>Excavation</t>
  </si>
  <si>
    <t>RCC (Including podiums)</t>
  </si>
  <si>
    <t>Brickwork</t>
  </si>
  <si>
    <t>Internal Plaster</t>
  </si>
  <si>
    <t>Basement 1</t>
  </si>
  <si>
    <t>Ext. Plaster &amp; Plumbing</t>
  </si>
  <si>
    <t>Basement 2</t>
  </si>
  <si>
    <t>Flooring &amp; Fitting</t>
  </si>
  <si>
    <t>Basement 3</t>
  </si>
  <si>
    <t>Painting &amp; Wooden</t>
  </si>
  <si>
    <t>Basement 4</t>
  </si>
  <si>
    <t>Building Common Amenities</t>
  </si>
  <si>
    <t>Possession</t>
  </si>
  <si>
    <t>Stage of 
construction:</t>
  </si>
  <si>
    <t>Stage of construction:</t>
  </si>
  <si>
    <t xml:space="preserve">1.Vitrified tiles flooring 2. Granite Kitchen Platform  3.Decorative Enternace  </t>
  </si>
  <si>
    <t>Ravindra vishwakarma</t>
  </si>
  <si>
    <t>Location Link</t>
  </si>
  <si>
    <t>https://goo.gl/maps/nPuwBz66og2HAEfa8</t>
  </si>
  <si>
    <t xml:space="preserve">Layout Approval No
</t>
  </si>
  <si>
    <t>Approved Floor plan
No. Building A, F &amp; G</t>
  </si>
  <si>
    <t>Approved Floor plan
No. Building B, C, D, E, H, I &amp; J</t>
  </si>
  <si>
    <t>CIDCO/NAINA/Panvel/Kevale/BP-00414/ACC/2022/0241</t>
  </si>
  <si>
    <t>Valid Up to: Wing A, F &amp; G = Gr + 1st to 4th Floor</t>
  </si>
  <si>
    <t>Valid Up to: Wing B, C, D, E, H, I &amp; J = Gr + 1st to 4th Floor</t>
  </si>
  <si>
    <t>CIDCO/NAINA/Panvel/Kevale/BP-00414/ACC/2021/0083</t>
  </si>
  <si>
    <t>Proposed no of Floors</t>
  </si>
  <si>
    <t>Building No.A to E - Gr + 1st to 4th Floor
Building No.F - Gr + 1st to 4th Floor
Building No.G to J - Gr + 1st to 4th Floor</t>
  </si>
  <si>
    <t>Building A = Gr + 1st to 4th Floor</t>
  </si>
  <si>
    <t>Building E = Gr + 1st to 4th Floor</t>
  </si>
  <si>
    <t>Building D = Gr + 1st to 4th Floor</t>
  </si>
  <si>
    <t>Building No.A to E - Gr + 1st to 4th Floor
Building No.F(ESW) &amp; F(Sale) - Gr + 1st to 4th Floor
Building No.G to J - Gr + 1st to 4th Floor</t>
  </si>
  <si>
    <t>Building A</t>
  </si>
  <si>
    <t>2nd &amp; 4th Floor</t>
  </si>
  <si>
    <t>Building B</t>
  </si>
  <si>
    <t>Ground Floor For Entrance Lobby, Society Office, Meter Room, Driver Room &amp; Parking</t>
  </si>
  <si>
    <t>Building F (EWS/LIG)</t>
  </si>
  <si>
    <t>Ground Floor For Entrance Lobby, Meter Room, Residential &amp; Parking</t>
  </si>
  <si>
    <t>1st to 4th Floor</t>
  </si>
  <si>
    <t>Building F (Sale)</t>
  </si>
  <si>
    <t>Ground Floor For Entrance Lobby &amp; Residential</t>
  </si>
  <si>
    <t>1st Floor</t>
  </si>
  <si>
    <t>3rd Floor</t>
  </si>
  <si>
    <t>Sale</t>
  </si>
  <si>
    <t>(EWS/LIG)</t>
  </si>
  <si>
    <t>1st &amp; 3rd Floor</t>
  </si>
  <si>
    <t>Building G</t>
  </si>
  <si>
    <t>EWS</t>
  </si>
  <si>
    <t>Sale &amp; EWS</t>
  </si>
  <si>
    <t>Ground Floor For  Meter Room &amp; Parking</t>
  </si>
  <si>
    <t>Building C</t>
  </si>
  <si>
    <t>Building D</t>
  </si>
  <si>
    <t>Ground Floor For  Residential &amp; Parking</t>
  </si>
  <si>
    <t>Building  E</t>
  </si>
  <si>
    <t>Building H</t>
  </si>
  <si>
    <t>Building I</t>
  </si>
  <si>
    <t>Building J</t>
  </si>
  <si>
    <t xml:space="preserve">Building B </t>
  </si>
  <si>
    <t>Building E</t>
  </si>
  <si>
    <t>Building F Sale</t>
  </si>
  <si>
    <t>Building F EWS</t>
  </si>
  <si>
    <t>Building G EWS</t>
  </si>
  <si>
    <t>Grand Total</t>
  </si>
  <si>
    <t>Flats = 416
EWS Flats = 61</t>
  </si>
  <si>
    <t>Building - A to E, F(EWS), F(Sale), G to J</t>
  </si>
  <si>
    <t>11 Buildings</t>
  </si>
  <si>
    <t>Layout Plan</t>
  </si>
  <si>
    <t>Development charges</t>
  </si>
  <si>
    <t>smith</t>
  </si>
  <si>
    <t>cost sheet</t>
  </si>
  <si>
    <t>4600 to 4900 &amp; charges</t>
  </si>
  <si>
    <t>Building H = Gr + 1st to 4th Floor</t>
  </si>
  <si>
    <t>Building G = Gr + 1st to 4th Floor</t>
  </si>
  <si>
    <t>Building J = Gr + 1st to 4th Floor</t>
  </si>
  <si>
    <t>Building B = Gr + 1st to 4th Floor</t>
  </si>
  <si>
    <t>Building F(Sale) = Gr + 1st to 4th Floor</t>
  </si>
  <si>
    <t>Building F(EWS) = Gr + 1st to 4th Floor</t>
  </si>
  <si>
    <t>Building I  = Gr + 1st to 4th Floor</t>
  </si>
  <si>
    <t>Building C = Gr + 1st to 4th Floor</t>
  </si>
  <si>
    <t>2nd Floor</t>
  </si>
  <si>
    <t>4th Floor</t>
  </si>
  <si>
    <t>4900 to 5000 &amp; E407 Flat salable area changed by smith on 16/01/2025</t>
  </si>
  <si>
    <t>Wing H = Work is same as last visit (10/08/2024).</t>
  </si>
  <si>
    <t>car park 3L by Smith verbal   on 25/03/2025</t>
  </si>
  <si>
    <t>3,00,000/-</t>
  </si>
  <si>
    <t>Office No. 1031, Wing J, Akshar Business Park, Plot No. 03 Sector 25, Near APMC Market,
Vashi, Navi Mumbai, Maharashtra 400703 TEL: 022-46090378/79/8
E mail : vsjcapf@gmail.com. Web site : www.vsjadon.com</t>
  </si>
  <si>
    <t>P52000021424</t>
  </si>
  <si>
    <t>19.0213278, 73.151428</t>
  </si>
  <si>
    <t>Pooja Kawale</t>
  </si>
  <si>
    <t>1. Wing A to H, I &amp; J = Construction work is in process. Internal visit was not allowed.
2. We considered Saleable area as per Builder area sheet.
3. We considered Carpet area as per Approved Plan.
4. We considered Gross carpet area = Net carpet + Enclose balcony .
5. We have considered rate by verifying it from market inquire.
6. We have considered Other charges from cost sheet.
7. Car parking is subjected to authentic documentation. 
8. Recommended rate should be considered as all inclusive rate if other charges are not mentioned. (Excluding GST &amp; other government Taxes).
9. Building F is for EWS but it is mentioned in RERA.
10. We have updated revised approved floor plan &amp; C.C (on 21/08/2023).
11. Recommended Rates/Other Charges of the Property have been revised on 16/01/2025 &amp; 25/03/2025.
12. On site we met Mr. Pawan : 9930614970.
10.  As per visit done on 05/03/2022, we have observed that breaking done on partial plinth slab of C wing.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</si>
</sst>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00_);_(* \(#,##0.00\);_(* &quot;-&quot;??_);_(@_)"/>
    <numFmt numFmtId="165" formatCode="0.0000000"/>
    <numFmt numFmtId="167" formatCode="0.0"/>
    <numFmt numFmtId="168" formatCode="_(* #,##0_);_(* \(#,##0\);_(* &quot;-&quot;??_);_(@_)"/>
  </numFmts>
  <fonts count="27" x14ac:knownFonts="1">
    <font>
      <sz val="10"/>
      <color rgb="FF000000"/>
      <name val="Times New Roman"/>
      <charset val="204"/>
    </font>
    <font>
      <sz val="11"/>
      <color theme="1"/>
      <name val="Calibri"/>
      <family val="2"/>
      <scheme val="minor"/>
    </font>
    <font>
      <sz val="11"/>
      <color theme="1"/>
      <name val="Calibri"/>
      <family val="2"/>
      <scheme val="minor"/>
    </font>
    <font>
      <b/>
      <sz val="11.5"/>
      <name val="Times New Roman"/>
      <family val="1"/>
    </font>
    <font>
      <sz val="11.5"/>
      <name val="Times New Roman"/>
      <family val="1"/>
    </font>
    <font>
      <sz val="11.5"/>
      <color rgb="FF000000"/>
      <name val="Times New Roman"/>
      <family val="2"/>
    </font>
    <font>
      <sz val="10.5"/>
      <name val="Times New Roman"/>
      <family val="1"/>
    </font>
    <font>
      <b/>
      <sz val="11.5"/>
      <color rgb="FF000000"/>
      <name val="Times New Roman"/>
      <family val="2"/>
    </font>
    <font>
      <b/>
      <sz val="11"/>
      <name val="Times New Roman"/>
      <family val="1"/>
    </font>
    <font>
      <b/>
      <sz val="10.5"/>
      <name val="Times New Roman"/>
      <family val="1"/>
    </font>
    <font>
      <sz val="11.5"/>
      <name val="Georgia"/>
      <family val="1"/>
    </font>
    <font>
      <sz val="10"/>
      <color rgb="FF000000"/>
      <name val="Times New Roman"/>
      <family val="1"/>
    </font>
    <font>
      <sz val="11"/>
      <color rgb="FFFF0000"/>
      <name val="Calibri"/>
      <family val="2"/>
      <scheme val="minor"/>
    </font>
    <font>
      <b/>
      <sz val="11"/>
      <color theme="1"/>
      <name val="Calibri"/>
      <family val="2"/>
      <scheme val="minor"/>
    </font>
    <font>
      <b/>
      <sz val="11"/>
      <color rgb="FF000000"/>
      <name val="Times New Roman"/>
      <family val="1"/>
    </font>
    <font>
      <sz val="11"/>
      <color rgb="FF000000"/>
      <name val="Times New Roman"/>
      <family val="1"/>
    </font>
    <font>
      <b/>
      <sz val="11"/>
      <color theme="1"/>
      <name val="Times New Roman"/>
      <family val="1"/>
    </font>
    <font>
      <sz val="11"/>
      <color indexed="8"/>
      <name val="Calibri"/>
      <family val="2"/>
    </font>
    <font>
      <sz val="11"/>
      <color rgb="FFFF0000"/>
      <name val="Calibri"/>
      <family val="2"/>
    </font>
    <font>
      <sz val="12"/>
      <color theme="1"/>
      <name val="Times New Roman"/>
      <family val="1"/>
    </font>
    <font>
      <sz val="12"/>
      <name val="Times New Roman"/>
      <family val="1"/>
    </font>
    <font>
      <b/>
      <sz val="12"/>
      <name val="Times New Roman"/>
      <family val="1"/>
    </font>
    <font>
      <sz val="11"/>
      <name val="Times New Roman"/>
      <family val="1"/>
    </font>
    <font>
      <u/>
      <sz val="10"/>
      <color theme="10"/>
      <name val="Times New Roman"/>
      <family val="1"/>
    </font>
    <font>
      <b/>
      <sz val="10"/>
      <color rgb="FF000000"/>
      <name val="Times New Roman"/>
      <family val="1"/>
    </font>
    <font>
      <b/>
      <sz val="12"/>
      <color rgb="FF000000"/>
      <name val="Times New Roman"/>
      <family val="1"/>
    </font>
    <font>
      <sz val="10"/>
      <color theme="1"/>
      <name val="Times New Roman"/>
      <family val="1"/>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4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medium">
        <color indexed="64"/>
      </right>
      <top/>
      <bottom style="medium">
        <color indexed="64"/>
      </bottom>
      <diagonal/>
    </border>
    <border>
      <left/>
      <right/>
      <top/>
      <bottom style="medium">
        <color indexed="64"/>
      </bottom>
      <diagonal/>
    </border>
    <border>
      <left/>
      <right/>
      <top/>
      <bottom style="thin">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s>
  <cellStyleXfs count="7">
    <xf numFmtId="0" fontId="0" fillId="0" borderId="0"/>
    <xf numFmtId="9" fontId="11" fillId="0" borderId="0" applyFont="0" applyFill="0" applyBorder="0" applyAlignment="0" applyProtection="0"/>
    <xf numFmtId="0" fontId="17" fillId="0" borderId="0"/>
    <xf numFmtId="0" fontId="2" fillId="0" borderId="0"/>
    <xf numFmtId="164" fontId="17" fillId="0" borderId="0" applyFont="0" applyFill="0" applyBorder="0" applyAlignment="0" applyProtection="0"/>
    <xf numFmtId="0" fontId="1" fillId="0" borderId="0"/>
    <xf numFmtId="0" fontId="23" fillId="0" borderId="0" applyNumberFormat="0" applyFill="0" applyBorder="0" applyAlignment="0" applyProtection="0"/>
  </cellStyleXfs>
  <cellXfs count="200">
    <xf numFmtId="0" fontId="0" fillId="0" borderId="0" xfId="0" applyAlignment="1">
      <alignment horizontal="left" vertical="top"/>
    </xf>
    <xf numFmtId="0" fontId="0" fillId="0" borderId="1" xfId="0" applyBorder="1" applyAlignment="1">
      <alignment horizontal="center" vertical="top" wrapText="1"/>
    </xf>
    <xf numFmtId="0" fontId="3" fillId="0" borderId="1" xfId="0" applyFont="1" applyBorder="1" applyAlignment="1">
      <alignment horizontal="center" vertical="top" wrapText="1"/>
    </xf>
    <xf numFmtId="0" fontId="4" fillId="0" borderId="1" xfId="0" applyFont="1" applyBorder="1" applyAlignment="1">
      <alignment horizontal="left" vertical="top" wrapText="1"/>
    </xf>
    <xf numFmtId="0" fontId="4" fillId="0" borderId="1" xfId="0" applyFont="1" applyBorder="1" applyAlignment="1">
      <alignment horizontal="center" vertical="top" wrapText="1"/>
    </xf>
    <xf numFmtId="1" fontId="5" fillId="0" borderId="1" xfId="0" applyNumberFormat="1" applyFont="1" applyBorder="1" applyAlignment="1">
      <alignment horizontal="center" vertical="top" shrinkToFit="1"/>
    </xf>
    <xf numFmtId="1" fontId="7" fillId="0" borderId="1" xfId="0" applyNumberFormat="1" applyFont="1" applyBorder="1" applyAlignment="1">
      <alignment horizontal="center" vertical="top" shrinkToFit="1"/>
    </xf>
    <xf numFmtId="1" fontId="5" fillId="0" borderId="1" xfId="0" applyNumberFormat="1" applyFont="1" applyBorder="1" applyAlignment="1">
      <alignment horizontal="center" vertical="center" shrinkToFit="1"/>
    </xf>
    <xf numFmtId="0" fontId="4" fillId="0" borderId="1" xfId="0" applyFont="1" applyBorder="1" applyAlignment="1">
      <alignment horizontal="center" vertical="center" wrapText="1"/>
    </xf>
    <xf numFmtId="0" fontId="15" fillId="0" borderId="10" xfId="0" applyFont="1" applyBorder="1"/>
    <xf numFmtId="0" fontId="15" fillId="0" borderId="0" xfId="0" applyFont="1"/>
    <xf numFmtId="0" fontId="15" fillId="2" borderId="10" xfId="0" applyFont="1" applyFill="1" applyBorder="1"/>
    <xf numFmtId="0" fontId="16" fillId="0" borderId="10" xfId="0" applyFont="1" applyBorder="1" applyAlignment="1">
      <alignment horizontal="center"/>
    </xf>
    <xf numFmtId="0" fontId="16" fillId="0" borderId="0" xfId="0" applyFont="1" applyAlignment="1">
      <alignment horizontal="center"/>
    </xf>
    <xf numFmtId="0" fontId="15" fillId="0" borderId="10" xfId="0" applyFont="1" applyBorder="1" applyAlignment="1">
      <alignment horizontal="center"/>
    </xf>
    <xf numFmtId="0" fontId="15" fillId="2" borderId="10" xfId="0" applyFont="1" applyFill="1" applyBorder="1" applyAlignment="1">
      <alignment horizontal="center"/>
    </xf>
    <xf numFmtId="9" fontId="15" fillId="0" borderId="0" xfId="1" applyFont="1" applyBorder="1"/>
    <xf numFmtId="0" fontId="14" fillId="0" borderId="10" xfId="0" applyFont="1" applyBorder="1" applyAlignment="1">
      <alignment horizontal="center"/>
    </xf>
    <xf numFmtId="0" fontId="15" fillId="0" borderId="0" xfId="0" applyFont="1" applyAlignment="1">
      <alignment horizontal="right"/>
    </xf>
    <xf numFmtId="0" fontId="15" fillId="0" borderId="0" xfId="0" applyFont="1" applyAlignment="1">
      <alignment wrapText="1"/>
    </xf>
    <xf numFmtId="0" fontId="15" fillId="0" borderId="11" xfId="0" applyFont="1" applyBorder="1"/>
    <xf numFmtId="0" fontId="15" fillId="0" borderId="10" xfId="0" applyFont="1" applyBorder="1" applyAlignment="1">
      <alignment wrapText="1"/>
    </xf>
    <xf numFmtId="9" fontId="15" fillId="0" borderId="10" xfId="1" applyFont="1" applyBorder="1"/>
    <xf numFmtId="9" fontId="15" fillId="0" borderId="0" xfId="0" applyNumberFormat="1" applyFont="1"/>
    <xf numFmtId="0" fontId="17" fillId="0" borderId="0" xfId="2"/>
    <xf numFmtId="0" fontId="2" fillId="0" borderId="0" xfId="3"/>
    <xf numFmtId="0" fontId="13" fillId="0" borderId="10" xfId="3" applyFont="1" applyBorder="1" applyAlignment="1">
      <alignment horizontal="center" vertical="top" wrapText="1"/>
    </xf>
    <xf numFmtId="0" fontId="2" fillId="0" borderId="10" xfId="3" applyBorder="1" applyAlignment="1">
      <alignment horizontal="center" vertical="center"/>
    </xf>
    <xf numFmtId="0" fontId="2" fillId="0" borderId="10" xfId="3" applyBorder="1" applyAlignment="1">
      <alignment horizontal="left" vertical="center"/>
    </xf>
    <xf numFmtId="1" fontId="2" fillId="0" borderId="10" xfId="3" applyNumberFormat="1" applyBorder="1" applyAlignment="1">
      <alignment horizontal="center" vertical="center"/>
    </xf>
    <xf numFmtId="168" fontId="2" fillId="0" borderId="10" xfId="4" applyNumberFormat="1" applyFont="1" applyBorder="1" applyAlignment="1">
      <alignment horizontal="right" vertical="center"/>
    </xf>
    <xf numFmtId="0" fontId="13" fillId="0" borderId="10" xfId="3" applyFont="1" applyBorder="1" applyAlignment="1">
      <alignment horizontal="center" vertical="center"/>
    </xf>
    <xf numFmtId="1" fontId="12" fillId="0" borderId="10" xfId="3" applyNumberFormat="1" applyFont="1" applyBorder="1" applyAlignment="1">
      <alignment horizontal="center" vertical="center"/>
    </xf>
    <xf numFmtId="0" fontId="17" fillId="0" borderId="10" xfId="2" applyBorder="1" applyAlignment="1">
      <alignment horizontal="center" vertical="center"/>
    </xf>
    <xf numFmtId="0" fontId="18" fillId="0" borderId="0" xfId="2" applyFont="1"/>
    <xf numFmtId="0" fontId="19" fillId="0" borderId="18" xfId="5" applyFont="1" applyBorder="1" applyProtection="1">
      <protection hidden="1"/>
    </xf>
    <xf numFmtId="0" fontId="19" fillId="0" borderId="19" xfId="5" applyFont="1" applyBorder="1" applyProtection="1">
      <protection hidden="1"/>
    </xf>
    <xf numFmtId="0" fontId="0" fillId="0" borderId="0" xfId="0"/>
    <xf numFmtId="0" fontId="20" fillId="0" borderId="10" xfId="5" applyFont="1" applyBorder="1" applyAlignment="1" applyProtection="1">
      <alignment horizontal="center" vertical="top"/>
      <protection locked="0"/>
    </xf>
    <xf numFmtId="0" fontId="19" fillId="0" borderId="0" xfId="5" applyFont="1" applyProtection="1">
      <protection hidden="1"/>
    </xf>
    <xf numFmtId="0" fontId="19" fillId="0" borderId="20" xfId="5" applyFont="1" applyBorder="1" applyProtection="1">
      <protection hidden="1"/>
    </xf>
    <xf numFmtId="0" fontId="15" fillId="0" borderId="0" xfId="0" applyFont="1" applyProtection="1">
      <protection hidden="1"/>
    </xf>
    <xf numFmtId="0" fontId="19" fillId="0" borderId="20" xfId="5" applyFont="1" applyBorder="1"/>
    <xf numFmtId="0" fontId="15" fillId="0" borderId="20" xfId="0" applyFont="1" applyBorder="1" applyProtection="1">
      <protection hidden="1"/>
    </xf>
    <xf numFmtId="1" fontId="0" fillId="0" borderId="20" xfId="0" applyNumberFormat="1" applyBorder="1"/>
    <xf numFmtId="2" fontId="0" fillId="0" borderId="0" xfId="0" applyNumberFormat="1"/>
    <xf numFmtId="167" fontId="0" fillId="0" borderId="0" xfId="0" applyNumberFormat="1"/>
    <xf numFmtId="2" fontId="15" fillId="0" borderId="0" xfId="0" applyNumberFormat="1" applyFont="1" applyProtection="1">
      <protection hidden="1"/>
    </xf>
    <xf numFmtId="1" fontId="0" fillId="0" borderId="20" xfId="0" applyNumberFormat="1" applyBorder="1" applyAlignment="1">
      <alignment horizontal="right"/>
    </xf>
    <xf numFmtId="0" fontId="15" fillId="0" borderId="26" xfId="0" applyFont="1" applyBorder="1" applyProtection="1">
      <protection hidden="1"/>
    </xf>
    <xf numFmtId="1" fontId="0" fillId="0" borderId="25" xfId="0" applyNumberFormat="1" applyBorder="1"/>
    <xf numFmtId="0" fontId="20" fillId="0" borderId="10" xfId="5" applyFont="1" applyBorder="1" applyAlignment="1" applyProtection="1">
      <alignment horizontal="center" vertical="top" wrapText="1"/>
      <protection locked="0"/>
    </xf>
    <xf numFmtId="0" fontId="20" fillId="0" borderId="10" xfId="5" applyFont="1" applyBorder="1" applyAlignment="1" applyProtection="1">
      <alignment horizontal="center" wrapText="1"/>
      <protection locked="0"/>
    </xf>
    <xf numFmtId="9" fontId="20" fillId="3" borderId="10" xfId="5" applyNumberFormat="1" applyFont="1" applyFill="1" applyBorder="1" applyAlignment="1" applyProtection="1">
      <alignment horizontal="center" vertical="center" wrapText="1"/>
      <protection hidden="1"/>
    </xf>
    <xf numFmtId="1" fontId="20" fillId="0" borderId="10" xfId="5" applyNumberFormat="1" applyFont="1" applyBorder="1" applyAlignment="1" applyProtection="1">
      <alignment horizontal="center" wrapText="1"/>
      <protection locked="0"/>
    </xf>
    <xf numFmtId="0" fontId="20" fillId="0" borderId="32" xfId="5" applyFont="1" applyBorder="1" applyAlignment="1" applyProtection="1">
      <alignment horizontal="center" vertical="top"/>
      <protection locked="0"/>
    </xf>
    <xf numFmtId="0" fontId="20" fillId="0" borderId="36" xfId="5" applyFont="1" applyBorder="1" applyAlignment="1" applyProtection="1">
      <alignment horizontal="center" wrapText="1"/>
      <protection locked="0"/>
    </xf>
    <xf numFmtId="9" fontId="20" fillId="3" borderId="36" xfId="5" applyNumberFormat="1" applyFont="1" applyFill="1" applyBorder="1" applyAlignment="1" applyProtection="1">
      <alignment horizontal="center" vertical="center" wrapText="1"/>
      <protection hidden="1"/>
    </xf>
    <xf numFmtId="0" fontId="4" fillId="0" borderId="10" xfId="0" applyFont="1" applyBorder="1" applyAlignment="1">
      <alignment horizontal="center" vertical="top" wrapText="1"/>
    </xf>
    <xf numFmtId="0" fontId="22" fillId="0" borderId="10" xfId="5" applyFont="1" applyBorder="1" applyAlignment="1" applyProtection="1">
      <alignment horizontal="center" vertical="top" wrapText="1"/>
      <protection locked="0"/>
    </xf>
    <xf numFmtId="0" fontId="4" fillId="0" borderId="1" xfId="0" applyFont="1" applyBorder="1" applyAlignment="1">
      <alignment horizontal="center" vertical="center"/>
    </xf>
    <xf numFmtId="0" fontId="20" fillId="0" borderId="31" xfId="5" applyFont="1" applyBorder="1" applyAlignment="1" applyProtection="1">
      <alignment horizontal="center" vertical="center"/>
      <protection locked="0"/>
    </xf>
    <xf numFmtId="0" fontId="3" fillId="0" borderId="1" xfId="0" applyFont="1" applyBorder="1" applyAlignment="1">
      <alignment horizontal="center" vertical="center"/>
    </xf>
    <xf numFmtId="0" fontId="21" fillId="0" borderId="28" xfId="5" applyFont="1" applyBorder="1" applyAlignment="1" applyProtection="1">
      <alignment horizontal="center" vertical="center"/>
      <protection locked="0"/>
    </xf>
    <xf numFmtId="0" fontId="21" fillId="0" borderId="31" xfId="5" applyFont="1" applyBorder="1" applyAlignment="1" applyProtection="1">
      <alignment horizontal="center" vertical="center"/>
      <protection locked="0"/>
    </xf>
    <xf numFmtId="0" fontId="20" fillId="0" borderId="35" xfId="5" applyFont="1" applyBorder="1" applyAlignment="1" applyProtection="1">
      <alignment horizontal="center" vertical="center"/>
      <protection locked="0"/>
    </xf>
    <xf numFmtId="0" fontId="8" fillId="0" borderId="31" xfId="5" applyFont="1" applyBorder="1" applyAlignment="1" applyProtection="1">
      <alignment horizontal="center" vertical="center"/>
      <protection locked="0"/>
    </xf>
    <xf numFmtId="0" fontId="6" fillId="0" borderId="10" xfId="0" applyFont="1" applyBorder="1" applyAlignment="1">
      <alignment horizontal="center" vertical="center"/>
    </xf>
    <xf numFmtId="0" fontId="0" fillId="0" borderId="0" xfId="0" applyAlignment="1">
      <alignment horizontal="center" vertical="center"/>
    </xf>
    <xf numFmtId="0" fontId="4" fillId="0" borderId="10" xfId="0" applyFont="1" applyBorder="1" applyAlignment="1">
      <alignment horizontal="center" vertical="center" wrapText="1"/>
    </xf>
    <xf numFmtId="0" fontId="11" fillId="0" borderId="0" xfId="0" applyFont="1" applyAlignment="1">
      <alignment horizontal="left" vertical="top"/>
    </xf>
    <xf numFmtId="0" fontId="4" fillId="0" borderId="1" xfId="0" applyFont="1" applyBorder="1" applyAlignment="1">
      <alignment horizontal="left" vertical="top"/>
    </xf>
    <xf numFmtId="0" fontId="20" fillId="0" borderId="31" xfId="5" applyFont="1" applyBorder="1" applyAlignment="1" applyProtection="1">
      <alignment horizontal="left" vertical="center"/>
      <protection locked="0"/>
    </xf>
    <xf numFmtId="167" fontId="0" fillId="0" borderId="0" xfId="0" applyNumberFormat="1" applyAlignment="1">
      <alignment horizontal="left" vertical="top"/>
    </xf>
    <xf numFmtId="0" fontId="20" fillId="0" borderId="31" xfId="5" applyFont="1" applyBorder="1" applyAlignment="1" applyProtection="1">
      <alignment horizontal="center" vertical="top"/>
      <protection locked="0"/>
    </xf>
    <xf numFmtId="0" fontId="25" fillId="0" borderId="0" xfId="0" applyFont="1" applyAlignment="1">
      <alignment horizontal="center" vertical="center"/>
    </xf>
    <xf numFmtId="0" fontId="0" fillId="2" borderId="0" xfId="0" applyFill="1" applyAlignment="1">
      <alignment horizontal="left" vertical="top"/>
    </xf>
    <xf numFmtId="14" fontId="0" fillId="2" borderId="0" xfId="0" applyNumberFormat="1" applyFill="1" applyAlignment="1">
      <alignment horizontal="left" vertical="top"/>
    </xf>
    <xf numFmtId="0" fontId="26" fillId="0" borderId="0" xfId="0" applyFont="1" applyAlignment="1">
      <alignment horizontal="left" vertical="top"/>
    </xf>
    <xf numFmtId="0" fontId="3" fillId="0" borderId="5" xfId="0" applyFont="1" applyBorder="1" applyAlignment="1">
      <alignment horizontal="left" vertical="top"/>
    </xf>
    <xf numFmtId="0" fontId="4" fillId="0" borderId="7" xfId="0" applyFont="1" applyBorder="1" applyAlignment="1">
      <alignment horizontal="left" vertical="top" wrapText="1"/>
    </xf>
    <xf numFmtId="0" fontId="4" fillId="0" borderId="10" xfId="0" applyFont="1" applyBorder="1" applyAlignment="1">
      <alignment horizontal="left" vertical="top" wrapText="1"/>
    </xf>
    <xf numFmtId="0" fontId="21" fillId="0" borderId="10" xfId="5" applyFont="1" applyBorder="1" applyAlignment="1" applyProtection="1">
      <alignment horizontal="left" vertical="top" wrapText="1"/>
      <protection locked="0"/>
    </xf>
    <xf numFmtId="0" fontId="21" fillId="0" borderId="32" xfId="5" applyFont="1" applyBorder="1" applyAlignment="1" applyProtection="1">
      <alignment horizontal="left" vertical="top" wrapText="1"/>
      <protection locked="0"/>
    </xf>
    <xf numFmtId="0" fontId="20" fillId="0" borderId="12" xfId="5" applyFont="1" applyBorder="1" applyAlignment="1" applyProtection="1">
      <alignment horizontal="center" vertical="top" wrapText="1"/>
      <protection locked="0"/>
    </xf>
    <xf numFmtId="0" fontId="20" fillId="0" borderId="13" xfId="5" applyFont="1" applyBorder="1" applyAlignment="1" applyProtection="1">
      <alignment horizontal="center" vertical="top" wrapText="1"/>
      <protection locked="0"/>
    </xf>
    <xf numFmtId="0" fontId="20" fillId="0" borderId="33" xfId="5" applyFont="1" applyBorder="1" applyAlignment="1" applyProtection="1">
      <alignment horizontal="center" vertical="top" wrapText="1"/>
      <protection locked="0"/>
    </xf>
    <xf numFmtId="9" fontId="20" fillId="3" borderId="21" xfId="5" applyNumberFormat="1" applyFont="1" applyFill="1" applyBorder="1" applyAlignment="1" applyProtection="1">
      <alignment horizontal="center" vertical="center" wrapText="1"/>
      <protection hidden="1"/>
    </xf>
    <xf numFmtId="9" fontId="20" fillId="3" borderId="22" xfId="5" applyNumberFormat="1" applyFont="1" applyFill="1" applyBorder="1" applyAlignment="1" applyProtection="1">
      <alignment horizontal="center" vertical="center" wrapText="1"/>
      <protection hidden="1"/>
    </xf>
    <xf numFmtId="9" fontId="20" fillId="3" borderId="23" xfId="5" applyNumberFormat="1" applyFont="1" applyFill="1" applyBorder="1" applyAlignment="1" applyProtection="1">
      <alignment horizontal="center" vertical="center" wrapText="1"/>
      <protection hidden="1"/>
    </xf>
    <xf numFmtId="9" fontId="20" fillId="3" borderId="24" xfId="5" applyNumberFormat="1" applyFont="1" applyFill="1" applyBorder="1" applyAlignment="1" applyProtection="1">
      <alignment horizontal="center" vertical="center" wrapText="1"/>
      <protection hidden="1"/>
    </xf>
    <xf numFmtId="9" fontId="20" fillId="3" borderId="37" xfId="5" applyNumberFormat="1" applyFont="1" applyFill="1" applyBorder="1" applyAlignment="1" applyProtection="1">
      <alignment horizontal="center" vertical="center" wrapText="1"/>
      <protection hidden="1"/>
    </xf>
    <xf numFmtId="9" fontId="20" fillId="3" borderId="38" xfId="5" applyNumberFormat="1" applyFont="1" applyFill="1" applyBorder="1" applyAlignment="1" applyProtection="1">
      <alignment horizontal="center" vertical="center" wrapText="1"/>
      <protection hidden="1"/>
    </xf>
    <xf numFmtId="9" fontId="20" fillId="3" borderId="34" xfId="5" applyNumberFormat="1" applyFont="1" applyFill="1" applyBorder="1" applyAlignment="1" applyProtection="1">
      <alignment horizontal="center" vertical="center" wrapText="1"/>
      <protection hidden="1"/>
    </xf>
    <xf numFmtId="9" fontId="20" fillId="3" borderId="20" xfId="5" applyNumberFormat="1" applyFont="1" applyFill="1" applyBorder="1" applyAlignment="1" applyProtection="1">
      <alignment horizontal="center" vertical="center" wrapText="1"/>
      <protection hidden="1"/>
    </xf>
    <xf numFmtId="9" fontId="20" fillId="3" borderId="25" xfId="5" applyNumberFormat="1" applyFont="1" applyFill="1" applyBorder="1" applyAlignment="1" applyProtection="1">
      <alignment horizontal="center" vertical="center" wrapText="1"/>
      <protection hidden="1"/>
    </xf>
    <xf numFmtId="0" fontId="0" fillId="0" borderId="0" xfId="0" applyAlignment="1">
      <alignment horizontal="left" vertical="top" wrapText="1" indent="1"/>
    </xf>
    <xf numFmtId="0" fontId="3" fillId="0" borderId="10" xfId="0" applyFont="1" applyBorder="1" applyAlignment="1">
      <alignment horizontal="left" vertical="top" wrapText="1"/>
    </xf>
    <xf numFmtId="0" fontId="4" fillId="0" borderId="10" xfId="0" applyFont="1" applyBorder="1" applyAlignment="1">
      <alignment horizontal="left" vertical="top" wrapText="1"/>
    </xf>
    <xf numFmtId="1" fontId="5" fillId="0" borderId="10" xfId="0" applyNumberFormat="1" applyFont="1" applyBorder="1" applyAlignment="1">
      <alignment horizontal="left" vertical="top" shrinkToFit="1"/>
    </xf>
    <xf numFmtId="3" fontId="4" fillId="0" borderId="10" xfId="0" applyNumberFormat="1" applyFont="1" applyBorder="1" applyAlignment="1">
      <alignment horizontal="left" vertical="top" wrapText="1"/>
    </xf>
    <xf numFmtId="0" fontId="0" fillId="0" borderId="10" xfId="0" applyBorder="1" applyAlignment="1">
      <alignment horizontal="left" vertical="top" wrapText="1"/>
    </xf>
    <xf numFmtId="0" fontId="3" fillId="0" borderId="2" xfId="0" applyFont="1" applyBorder="1" applyAlignment="1">
      <alignment horizontal="left" vertical="top" wrapText="1" indent="6"/>
    </xf>
    <xf numFmtId="0" fontId="3" fillId="0" borderId="3" xfId="0" applyFont="1" applyBorder="1" applyAlignment="1">
      <alignment horizontal="left" vertical="top" wrapText="1" indent="6"/>
    </xf>
    <xf numFmtId="0" fontId="3" fillId="0" borderId="4" xfId="0" applyFont="1" applyBorder="1" applyAlignment="1">
      <alignment horizontal="left" vertical="top" wrapText="1" indent="6"/>
    </xf>
    <xf numFmtId="1" fontId="5" fillId="0" borderId="2" xfId="0" applyNumberFormat="1" applyFont="1" applyBorder="1" applyAlignment="1">
      <alignment horizontal="center" vertical="top" shrinkToFit="1"/>
    </xf>
    <xf numFmtId="1" fontId="5" fillId="0" borderId="4" xfId="0" applyNumberFormat="1" applyFont="1" applyBorder="1" applyAlignment="1">
      <alignment horizontal="center" vertical="top" shrinkToFit="1"/>
    </xf>
    <xf numFmtId="1" fontId="5" fillId="0" borderId="3" xfId="0" applyNumberFormat="1" applyFont="1" applyBorder="1" applyAlignment="1">
      <alignment horizontal="center" vertical="top" shrinkToFit="1"/>
    </xf>
    <xf numFmtId="0" fontId="3" fillId="0" borderId="8" xfId="0" applyFont="1" applyBorder="1" applyAlignment="1">
      <alignment horizontal="left" vertical="top" wrapText="1"/>
    </xf>
    <xf numFmtId="0" fontId="3" fillId="0" borderId="27" xfId="0" applyFont="1" applyBorder="1" applyAlignment="1">
      <alignment horizontal="left" vertical="top" wrapText="1"/>
    </xf>
    <xf numFmtId="0" fontId="3" fillId="0" borderId="9" xfId="0" applyFont="1" applyBorder="1" applyAlignment="1">
      <alignment horizontal="left" vertical="top" wrapText="1"/>
    </xf>
    <xf numFmtId="1" fontId="5" fillId="0" borderId="8" xfId="0" applyNumberFormat="1" applyFont="1" applyBorder="1" applyAlignment="1">
      <alignment horizontal="left" vertical="top" shrinkToFit="1"/>
    </xf>
    <xf numFmtId="1" fontId="5" fillId="0" borderId="27" xfId="0" applyNumberFormat="1" applyFont="1" applyBorder="1" applyAlignment="1">
      <alignment horizontal="left" vertical="top" shrinkToFit="1"/>
    </xf>
    <xf numFmtId="1" fontId="5" fillId="0" borderId="9" xfId="0" applyNumberFormat="1" applyFont="1" applyBorder="1" applyAlignment="1">
      <alignment horizontal="left" vertical="top" shrinkToFi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0" xfId="0" applyFont="1" applyAlignment="1">
      <alignment horizontal="left" vertical="top" wrapText="1"/>
    </xf>
    <xf numFmtId="0" fontId="21" fillId="0" borderId="29" xfId="5" applyFont="1" applyBorder="1" applyAlignment="1" applyProtection="1">
      <alignment horizontal="left" vertical="top" wrapText="1"/>
      <protection locked="0"/>
    </xf>
    <xf numFmtId="0" fontId="21" fillId="0" borderId="30" xfId="5" applyFont="1" applyBorder="1" applyAlignment="1" applyProtection="1">
      <alignment horizontal="left" vertical="top" wrapText="1"/>
      <protection locked="0"/>
    </xf>
    <xf numFmtId="0" fontId="6" fillId="0" borderId="12" xfId="0" applyFont="1" applyBorder="1" applyAlignment="1">
      <alignment horizontal="center" vertical="top" wrapText="1"/>
    </xf>
    <xf numFmtId="0" fontId="6" fillId="0" borderId="13" xfId="0" applyFont="1" applyBorder="1" applyAlignment="1">
      <alignment horizontal="center" vertical="top" wrapText="1"/>
    </xf>
    <xf numFmtId="0" fontId="4" fillId="0" borderId="8" xfId="0" applyFont="1" applyBorder="1" applyAlignment="1">
      <alignment horizontal="left" vertical="top" wrapText="1"/>
    </xf>
    <xf numFmtId="0" fontId="4" fillId="0" borderId="27" xfId="0" applyFont="1" applyBorder="1" applyAlignment="1">
      <alignment horizontal="left" vertical="top" wrapText="1"/>
    </xf>
    <xf numFmtId="0" fontId="4" fillId="0" borderId="9"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41" xfId="0" applyFont="1" applyBorder="1" applyAlignment="1">
      <alignment horizontal="left" vertical="top" wrapText="1"/>
    </xf>
    <xf numFmtId="0" fontId="4" fillId="0" borderId="39" xfId="0" applyFont="1" applyBorder="1" applyAlignment="1">
      <alignment horizontal="left" vertical="top" wrapText="1"/>
    </xf>
    <xf numFmtId="0" fontId="4" fillId="0" borderId="40" xfId="0" applyFont="1" applyBorder="1" applyAlignment="1">
      <alignment horizontal="left" vertical="top" wrapText="1"/>
    </xf>
    <xf numFmtId="0" fontId="4" fillId="0" borderId="2" xfId="0" applyFont="1" applyBorder="1" applyAlignment="1">
      <alignment horizontal="center" vertical="top" wrapText="1"/>
    </xf>
    <xf numFmtId="0" fontId="4" fillId="0" borderId="3" xfId="0" applyFont="1" applyBorder="1" applyAlignment="1">
      <alignment horizontal="center" vertical="top"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0" xfId="0" applyFont="1" applyBorder="1" applyAlignment="1">
      <alignment horizontal="center" vertical="top" wrapText="1"/>
    </xf>
    <xf numFmtId="0" fontId="4" fillId="0" borderId="10"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23" fillId="0" borderId="2" xfId="6" applyFill="1" applyBorder="1" applyAlignment="1">
      <alignment horizontal="left" vertical="top" wrapText="1"/>
    </xf>
    <xf numFmtId="167" fontId="5" fillId="0" borderId="2" xfId="0" applyNumberFormat="1" applyFont="1" applyBorder="1" applyAlignment="1">
      <alignment horizontal="left" vertical="top" shrinkToFit="1"/>
    </xf>
    <xf numFmtId="167" fontId="5" fillId="0" borderId="3" xfId="0" applyNumberFormat="1" applyFont="1" applyBorder="1" applyAlignment="1">
      <alignment horizontal="left" vertical="top" shrinkToFit="1"/>
    </xf>
    <xf numFmtId="167" fontId="5" fillId="0" borderId="4" xfId="0" applyNumberFormat="1" applyFont="1" applyBorder="1" applyAlignment="1">
      <alignment horizontal="left" vertical="top" shrinkToFi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14" fontId="4" fillId="0" borderId="2" xfId="0" applyNumberFormat="1" applyFont="1" applyBorder="1" applyAlignment="1">
      <alignment horizontal="left" vertical="top" wrapText="1"/>
    </xf>
    <xf numFmtId="14" fontId="4" fillId="0" borderId="3" xfId="0" applyNumberFormat="1" applyFont="1" applyBorder="1" applyAlignment="1">
      <alignment horizontal="left" vertical="top" wrapText="1"/>
    </xf>
    <xf numFmtId="14" fontId="4" fillId="0" borderId="4" xfId="0" applyNumberFormat="1" applyFont="1" applyBorder="1" applyAlignment="1">
      <alignment horizontal="left" vertical="top"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1" fontId="5" fillId="0" borderId="2" xfId="0" applyNumberFormat="1" applyFont="1" applyBorder="1" applyAlignment="1">
      <alignment horizontal="left" vertical="top" shrinkToFit="1"/>
    </xf>
    <xf numFmtId="1" fontId="5" fillId="0" borderId="4" xfId="0" applyNumberFormat="1" applyFont="1" applyBorder="1" applyAlignment="1">
      <alignment horizontal="left" vertical="top" shrinkToFit="1"/>
    </xf>
    <xf numFmtId="1" fontId="5" fillId="0" borderId="3" xfId="0" applyNumberFormat="1" applyFont="1" applyBorder="1" applyAlignment="1">
      <alignment horizontal="left" vertical="top" shrinkToFit="1"/>
    </xf>
    <xf numFmtId="0" fontId="4" fillId="0" borderId="7" xfId="0" applyFont="1" applyBorder="1" applyAlignment="1">
      <alignment horizontal="left" vertical="top" wrapText="1"/>
    </xf>
    <xf numFmtId="0" fontId="3" fillId="0" borderId="2" xfId="0" applyFont="1" applyBorder="1" applyAlignment="1">
      <alignment horizontal="left" vertical="top" wrapText="1" indent="2"/>
    </xf>
    <xf numFmtId="0" fontId="3" fillId="0" borderId="4" xfId="0" applyFont="1" applyBorder="1" applyAlignment="1">
      <alignment horizontal="left" vertical="top" wrapText="1" indent="2"/>
    </xf>
    <xf numFmtId="1" fontId="7" fillId="0" borderId="2" xfId="0" applyNumberFormat="1" applyFont="1" applyBorder="1" applyAlignment="1">
      <alignment horizontal="center" vertical="top" shrinkToFit="1"/>
    </xf>
    <xf numFmtId="1" fontId="7" fillId="0" borderId="4" xfId="0" applyNumberFormat="1" applyFont="1" applyBorder="1" applyAlignment="1">
      <alignment horizontal="center" vertical="top" shrinkToFit="1"/>
    </xf>
    <xf numFmtId="1" fontId="7" fillId="0" borderId="3" xfId="0" applyNumberFormat="1" applyFont="1" applyBorder="1" applyAlignment="1">
      <alignment horizontal="center" vertical="top" shrinkToFi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7" xfId="0" applyFont="1" applyBorder="1" applyAlignment="1">
      <alignment horizontal="center" vertical="center" wrapText="1"/>
    </xf>
    <xf numFmtId="0" fontId="0" fillId="0" borderId="12" xfId="0" applyBorder="1" applyAlignment="1">
      <alignment horizontal="left" vertical="top" wrapText="1"/>
    </xf>
    <xf numFmtId="0" fontId="0" fillId="0" borderId="14" xfId="0" applyBorder="1" applyAlignment="1">
      <alignment horizontal="left" vertical="top" wrapText="1"/>
    </xf>
    <xf numFmtId="0" fontId="0" fillId="0" borderId="13" xfId="0" applyBorder="1" applyAlignment="1">
      <alignment horizontal="left" vertical="top" wrapText="1"/>
    </xf>
    <xf numFmtId="0" fontId="3" fillId="0" borderId="12" xfId="0" applyFont="1" applyBorder="1" applyAlignment="1">
      <alignment horizontal="center" vertical="top" wrapText="1"/>
    </xf>
    <xf numFmtId="0" fontId="3" fillId="0" borderId="14" xfId="0" applyFont="1" applyBorder="1" applyAlignment="1">
      <alignment horizontal="center" vertical="top" wrapText="1"/>
    </xf>
    <xf numFmtId="0" fontId="3" fillId="0" borderId="13" xfId="0" applyFont="1" applyBorder="1" applyAlignment="1">
      <alignment horizontal="center" vertical="top" wrapText="1"/>
    </xf>
    <xf numFmtId="0" fontId="3" fillId="0" borderId="12"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Border="1" applyAlignment="1">
      <alignment horizontal="left" vertical="top" wrapText="1"/>
    </xf>
    <xf numFmtId="0" fontId="3" fillId="0" borderId="15" xfId="0" applyFont="1" applyBorder="1" applyAlignment="1">
      <alignment horizontal="left" vertical="top" wrapText="1"/>
    </xf>
    <xf numFmtId="0" fontId="3" fillId="0" borderId="16" xfId="0" applyFont="1" applyBorder="1" applyAlignment="1">
      <alignment horizontal="left" vertical="top" wrapText="1"/>
    </xf>
    <xf numFmtId="0" fontId="3" fillId="0" borderId="17" xfId="0" applyFont="1" applyBorder="1" applyAlignment="1">
      <alignment horizontal="left" vertical="top" wrapText="1"/>
    </xf>
    <xf numFmtId="0" fontId="0" fillId="0" borderId="4" xfId="0" applyBorder="1" applyAlignment="1">
      <alignment horizontal="center" vertical="top" wrapText="1"/>
    </xf>
    <xf numFmtId="0" fontId="13" fillId="0" borderId="10" xfId="3" applyFont="1" applyBorder="1" applyAlignment="1">
      <alignment horizontal="left"/>
    </xf>
    <xf numFmtId="0" fontId="15" fillId="0" borderId="10" xfId="0" applyFont="1" applyBorder="1" applyAlignment="1">
      <alignment horizontal="left"/>
    </xf>
    <xf numFmtId="0" fontId="15" fillId="0" borderId="10" xfId="0" applyFont="1" applyBorder="1" applyAlignment="1">
      <alignment horizontal="center"/>
    </xf>
    <xf numFmtId="0" fontId="15" fillId="2" borderId="10" xfId="0" applyFont="1" applyFill="1" applyBorder="1" applyAlignment="1">
      <alignment horizontal="center"/>
    </xf>
    <xf numFmtId="0" fontId="14" fillId="0" borderId="10" xfId="0" applyFont="1" applyBorder="1" applyAlignment="1">
      <alignment horizontal="center"/>
    </xf>
    <xf numFmtId="0" fontId="4" fillId="0" borderId="1" xfId="0" applyFont="1" applyBorder="1" applyAlignment="1">
      <alignment horizontal="left" vertical="center"/>
    </xf>
    <xf numFmtId="165" fontId="5" fillId="0" borderId="2" xfId="0" applyNumberFormat="1" applyFont="1" applyBorder="1" applyAlignment="1">
      <alignment horizontal="left" vertical="top" shrinkToFit="1"/>
    </xf>
    <xf numFmtId="165" fontId="5" fillId="0" borderId="3" xfId="0" applyNumberFormat="1" applyFont="1" applyBorder="1" applyAlignment="1">
      <alignment horizontal="left" vertical="top" shrinkToFit="1"/>
    </xf>
    <xf numFmtId="165" fontId="5" fillId="0" borderId="4" xfId="0" applyNumberFormat="1" applyFont="1" applyBorder="1" applyAlignment="1">
      <alignment horizontal="left" vertical="top" shrinkToFit="1"/>
    </xf>
    <xf numFmtId="0" fontId="4" fillId="0" borderId="6" xfId="0" applyFont="1" applyBorder="1" applyAlignment="1">
      <alignment horizontal="left" vertical="top" wrapText="1"/>
    </xf>
    <xf numFmtId="14" fontId="4" fillId="0" borderId="8" xfId="0" applyNumberFormat="1" applyFont="1" applyBorder="1" applyAlignment="1">
      <alignment horizontal="left" vertical="top" wrapText="1"/>
    </xf>
    <xf numFmtId="14" fontId="4" fillId="0" borderId="9" xfId="0" applyNumberFormat="1" applyFont="1" applyBorder="1" applyAlignment="1">
      <alignment horizontal="left" vertical="top" wrapText="1"/>
    </xf>
    <xf numFmtId="14" fontId="4" fillId="0" borderId="10" xfId="0" applyNumberFormat="1" applyFont="1" applyBorder="1" applyAlignment="1">
      <alignment horizontal="left" vertical="top" wrapText="1"/>
    </xf>
    <xf numFmtId="0" fontId="20" fillId="0" borderId="10" xfId="5" applyFont="1" applyBorder="1" applyAlignment="1" applyProtection="1">
      <alignment horizontal="center" vertical="center"/>
      <protection locked="0"/>
    </xf>
    <xf numFmtId="9" fontId="20" fillId="3" borderId="10" xfId="5" applyNumberFormat="1" applyFont="1" applyFill="1" applyBorder="1" applyAlignment="1" applyProtection="1">
      <alignment horizontal="center" vertical="center" wrapText="1"/>
      <protection hidden="1"/>
    </xf>
    <xf numFmtId="0" fontId="20" fillId="0" borderId="10" xfId="5" applyFont="1" applyBorder="1" applyAlignment="1" applyProtection="1">
      <alignment horizontal="left" vertical="center"/>
      <protection locked="0"/>
    </xf>
    <xf numFmtId="0" fontId="21" fillId="0" borderId="10" xfId="5" applyFont="1" applyBorder="1" applyAlignment="1" applyProtection="1">
      <alignment horizontal="center" vertical="center"/>
      <protection locked="0"/>
    </xf>
    <xf numFmtId="0" fontId="8" fillId="0" borderId="10" xfId="5" applyFont="1" applyBorder="1" applyAlignment="1" applyProtection="1">
      <alignment horizontal="center" vertical="center"/>
      <protection locked="0"/>
    </xf>
    <xf numFmtId="0" fontId="20" fillId="0" borderId="10" xfId="5" applyFont="1" applyBorder="1" applyAlignment="1" applyProtection="1">
      <alignment horizontal="center" vertical="top" wrapText="1"/>
      <protection locked="0"/>
    </xf>
  </cellXfs>
  <cellStyles count="7">
    <cellStyle name="Comma 2" xfId="4"/>
    <cellStyle name="Excel Built-in Normal 2" xfId="2"/>
    <cellStyle name="Hyperlink" xfId="6" builtinId="8"/>
    <cellStyle name="Normal" xfId="0" builtinId="0"/>
    <cellStyle name="Normal 3" xfId="5"/>
    <cellStyle name="Normal 4" xfId="3"/>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jpe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s>
</file>

<file path=xl/drawings/_rels/drawing3.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8.jpeg"/><Relationship Id="rId2" Type="http://schemas.openxmlformats.org/officeDocument/2006/relationships/image" Target="../media/image27.jpeg"/><Relationship Id="rId1" Type="http://schemas.openxmlformats.org/officeDocument/2006/relationships/image" Target="../media/image26.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7.jpeg"/><Relationship Id="rId1" Type="http://schemas.openxmlformats.org/officeDocument/2006/relationships/image" Target="../media/image26.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oneCellAnchor>
    <xdr:from>
      <xdr:col>1</xdr:col>
      <xdr:colOff>12104</xdr:colOff>
      <xdr:row>713</xdr:row>
      <xdr:rowOff>29188</xdr:rowOff>
    </xdr:from>
    <xdr:ext cx="4202206" cy="2880000"/>
    <xdr:grpSp>
      <xdr:nvGrpSpPr>
        <xdr:cNvPr id="42" name="Group 39">
          <a:extLst>
            <a:ext uri="{FF2B5EF4-FFF2-40B4-BE49-F238E27FC236}">
              <a16:creationId xmlns:a16="http://schemas.microsoft.com/office/drawing/2014/main" id="{00000000-0008-0000-0000-00002A000000}"/>
            </a:ext>
          </a:extLst>
        </xdr:cNvPr>
        <xdr:cNvGrpSpPr/>
      </xdr:nvGrpSpPr>
      <xdr:grpSpPr>
        <a:xfrm>
          <a:off x="1675804" y="142643838"/>
          <a:ext cx="4202206" cy="2880000"/>
          <a:chOff x="0" y="0"/>
          <a:chExt cx="5834380" cy="3310254"/>
        </a:xfrm>
      </xdr:grpSpPr>
      <xdr:pic>
        <xdr:nvPicPr>
          <xdr:cNvPr id="43" name="image12.jpeg">
            <a:extLst>
              <a:ext uri="{FF2B5EF4-FFF2-40B4-BE49-F238E27FC236}">
                <a16:creationId xmlns:a16="http://schemas.microsoft.com/office/drawing/2014/main" id="{00000000-0008-0000-0000-00002B000000}"/>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9144" y="7620"/>
            <a:ext cx="5815583" cy="3293363"/>
          </a:xfrm>
          <a:prstGeom prst="rect">
            <a:avLst/>
          </a:prstGeom>
          <a:ln>
            <a:solidFill>
              <a:sysClr val="windowText" lastClr="000000"/>
            </a:solidFill>
          </a:ln>
        </xdr:spPr>
      </xdr:pic>
      <xdr:sp macro="" textlink="">
        <xdr:nvSpPr>
          <xdr:cNvPr id="44" name="Shape 41">
            <a:extLst>
              <a:ext uri="{FF2B5EF4-FFF2-40B4-BE49-F238E27FC236}">
                <a16:creationId xmlns:a16="http://schemas.microsoft.com/office/drawing/2014/main" id="{00000000-0008-0000-0000-00002C000000}"/>
              </a:ext>
            </a:extLst>
          </xdr:cNvPr>
          <xdr:cNvSpPr/>
        </xdr:nvSpPr>
        <xdr:spPr>
          <a:xfrm>
            <a:off x="0" y="0"/>
            <a:ext cx="5834380" cy="3310254"/>
          </a:xfrm>
          <a:custGeom>
            <a:avLst/>
            <a:gdLst/>
            <a:ahLst/>
            <a:cxnLst/>
            <a:rect l="0" t="0" r="0" b="0"/>
            <a:pathLst>
              <a:path w="5834380" h="3310254">
                <a:moveTo>
                  <a:pt x="5832348" y="3310128"/>
                </a:moveTo>
                <a:lnTo>
                  <a:pt x="1524" y="3310128"/>
                </a:lnTo>
                <a:lnTo>
                  <a:pt x="0" y="3307080"/>
                </a:lnTo>
                <a:lnTo>
                  <a:pt x="0" y="1524"/>
                </a:lnTo>
                <a:lnTo>
                  <a:pt x="1524" y="0"/>
                </a:lnTo>
                <a:lnTo>
                  <a:pt x="5832348" y="0"/>
                </a:lnTo>
                <a:lnTo>
                  <a:pt x="5833872" y="1524"/>
                </a:lnTo>
                <a:lnTo>
                  <a:pt x="5833872" y="3048"/>
                </a:lnTo>
                <a:lnTo>
                  <a:pt x="9144" y="3048"/>
                </a:lnTo>
                <a:lnTo>
                  <a:pt x="4572" y="7620"/>
                </a:lnTo>
                <a:lnTo>
                  <a:pt x="9144" y="7620"/>
                </a:lnTo>
                <a:lnTo>
                  <a:pt x="9144" y="3300984"/>
                </a:lnTo>
                <a:lnTo>
                  <a:pt x="4572" y="3300984"/>
                </a:lnTo>
                <a:lnTo>
                  <a:pt x="9144" y="3305556"/>
                </a:lnTo>
                <a:lnTo>
                  <a:pt x="5833872" y="3305556"/>
                </a:lnTo>
                <a:lnTo>
                  <a:pt x="5833872" y="3307080"/>
                </a:lnTo>
                <a:lnTo>
                  <a:pt x="5832348" y="3310128"/>
                </a:lnTo>
                <a:close/>
              </a:path>
              <a:path w="5834380" h="3310254">
                <a:moveTo>
                  <a:pt x="9144" y="7620"/>
                </a:moveTo>
                <a:lnTo>
                  <a:pt x="4572" y="7620"/>
                </a:lnTo>
                <a:lnTo>
                  <a:pt x="9144" y="3048"/>
                </a:lnTo>
                <a:lnTo>
                  <a:pt x="9144" y="7620"/>
                </a:lnTo>
                <a:close/>
              </a:path>
              <a:path w="5834380" h="3310254">
                <a:moveTo>
                  <a:pt x="5824728" y="7620"/>
                </a:moveTo>
                <a:lnTo>
                  <a:pt x="9144" y="7620"/>
                </a:lnTo>
                <a:lnTo>
                  <a:pt x="9144" y="3048"/>
                </a:lnTo>
                <a:lnTo>
                  <a:pt x="5824728" y="3048"/>
                </a:lnTo>
                <a:lnTo>
                  <a:pt x="5824728" y="7620"/>
                </a:lnTo>
                <a:close/>
              </a:path>
              <a:path w="5834380" h="3310254">
                <a:moveTo>
                  <a:pt x="5824728" y="3305556"/>
                </a:moveTo>
                <a:lnTo>
                  <a:pt x="5824728" y="3048"/>
                </a:lnTo>
                <a:lnTo>
                  <a:pt x="5829300" y="7620"/>
                </a:lnTo>
                <a:lnTo>
                  <a:pt x="5833872" y="7620"/>
                </a:lnTo>
                <a:lnTo>
                  <a:pt x="5833872" y="3300984"/>
                </a:lnTo>
                <a:lnTo>
                  <a:pt x="5829300" y="3300984"/>
                </a:lnTo>
                <a:lnTo>
                  <a:pt x="5824728" y="3305556"/>
                </a:lnTo>
                <a:close/>
              </a:path>
              <a:path w="5834380" h="3310254">
                <a:moveTo>
                  <a:pt x="5833872" y="7620"/>
                </a:moveTo>
                <a:lnTo>
                  <a:pt x="5829300" y="7620"/>
                </a:lnTo>
                <a:lnTo>
                  <a:pt x="5824728" y="3048"/>
                </a:lnTo>
                <a:lnTo>
                  <a:pt x="5833872" y="3048"/>
                </a:lnTo>
                <a:lnTo>
                  <a:pt x="5833872" y="7620"/>
                </a:lnTo>
                <a:close/>
              </a:path>
              <a:path w="5834380" h="3310254">
                <a:moveTo>
                  <a:pt x="9144" y="3305556"/>
                </a:moveTo>
                <a:lnTo>
                  <a:pt x="4572" y="3300984"/>
                </a:lnTo>
                <a:lnTo>
                  <a:pt x="9144" y="3300984"/>
                </a:lnTo>
                <a:lnTo>
                  <a:pt x="9144" y="3305556"/>
                </a:lnTo>
                <a:close/>
              </a:path>
              <a:path w="5834380" h="3310254">
                <a:moveTo>
                  <a:pt x="5824728" y="3305556"/>
                </a:moveTo>
                <a:lnTo>
                  <a:pt x="9144" y="3305556"/>
                </a:lnTo>
                <a:lnTo>
                  <a:pt x="9144" y="3300984"/>
                </a:lnTo>
                <a:lnTo>
                  <a:pt x="5824728" y="3300984"/>
                </a:lnTo>
                <a:lnTo>
                  <a:pt x="5824728" y="3305556"/>
                </a:lnTo>
                <a:close/>
              </a:path>
              <a:path w="5834380" h="3310254">
                <a:moveTo>
                  <a:pt x="5833872" y="3305556"/>
                </a:moveTo>
                <a:lnTo>
                  <a:pt x="5824728" y="3305556"/>
                </a:lnTo>
                <a:lnTo>
                  <a:pt x="5829300" y="3300984"/>
                </a:lnTo>
                <a:lnTo>
                  <a:pt x="5833872" y="3300984"/>
                </a:lnTo>
                <a:lnTo>
                  <a:pt x="5833872" y="3305556"/>
                </a:lnTo>
                <a:close/>
              </a:path>
            </a:pathLst>
          </a:custGeom>
          <a:solidFill>
            <a:srgbClr val="000000"/>
          </a:solidFill>
          <a:ln>
            <a:solidFill>
              <a:sysClr val="windowText" lastClr="000000"/>
            </a:solidFill>
          </a:ln>
        </xdr:spPr>
      </xdr:sp>
    </xdr:grpSp>
    <xdr:clientData/>
  </xdr:oneCellAnchor>
  <xdr:oneCellAnchor>
    <xdr:from>
      <xdr:col>0</xdr:col>
      <xdr:colOff>1494579</xdr:colOff>
      <xdr:row>731</xdr:row>
      <xdr:rowOff>62364</xdr:rowOff>
    </xdr:from>
    <xdr:ext cx="4202206" cy="2880000"/>
    <xdr:grpSp>
      <xdr:nvGrpSpPr>
        <xdr:cNvPr id="45" name="Group 42">
          <a:extLst>
            <a:ext uri="{FF2B5EF4-FFF2-40B4-BE49-F238E27FC236}">
              <a16:creationId xmlns:a16="http://schemas.microsoft.com/office/drawing/2014/main" id="{00000000-0008-0000-0000-00002D000000}"/>
            </a:ext>
          </a:extLst>
        </xdr:cNvPr>
        <xdr:cNvGrpSpPr/>
      </xdr:nvGrpSpPr>
      <xdr:grpSpPr>
        <a:xfrm>
          <a:off x="1494579" y="145648814"/>
          <a:ext cx="4202206" cy="2880000"/>
          <a:chOff x="0" y="0"/>
          <a:chExt cx="5834380" cy="3307079"/>
        </a:xfrm>
      </xdr:grpSpPr>
      <xdr:pic>
        <xdr:nvPicPr>
          <xdr:cNvPr id="46" name="image13.jpeg">
            <a:extLst>
              <a:ext uri="{FF2B5EF4-FFF2-40B4-BE49-F238E27FC236}">
                <a16:creationId xmlns:a16="http://schemas.microsoft.com/office/drawing/2014/main" id="{00000000-0008-0000-0000-00002E000000}"/>
              </a:ext>
            </a:extLst>
          </xdr:cNvPr>
          <xdr:cNvPicPr>
            <a:picLocks noChangeAspect="1"/>
          </xdr:cNvPicPr>
        </xdr:nvPicPr>
        <xdr:blipFill>
          <a:blip xmlns:r="http://schemas.openxmlformats.org/officeDocument/2006/relationships" r:embed="rId2" cstate="screen">
            <a:extLst>
              <a:ext uri="{28A0092B-C50C-407E-A947-70E740481C1C}">
                <a14:useLocalDpi xmlns:a14="http://schemas.microsoft.com/office/drawing/2010/main"/>
              </a:ext>
            </a:extLst>
          </a:blip>
          <a:stretch>
            <a:fillRect/>
          </a:stretch>
        </xdr:blipFill>
        <xdr:spPr>
          <a:xfrm>
            <a:off x="9144" y="9144"/>
            <a:ext cx="5815583" cy="3290316"/>
          </a:xfrm>
          <a:prstGeom prst="rect">
            <a:avLst/>
          </a:prstGeom>
          <a:ln>
            <a:solidFill>
              <a:sysClr val="windowText" lastClr="000000"/>
            </a:solidFill>
          </a:ln>
        </xdr:spPr>
      </xdr:pic>
      <xdr:sp macro="" textlink="">
        <xdr:nvSpPr>
          <xdr:cNvPr id="47" name="Shape 44">
            <a:extLst>
              <a:ext uri="{FF2B5EF4-FFF2-40B4-BE49-F238E27FC236}">
                <a16:creationId xmlns:a16="http://schemas.microsoft.com/office/drawing/2014/main" id="{00000000-0008-0000-0000-00002F000000}"/>
              </a:ext>
            </a:extLst>
          </xdr:cNvPr>
          <xdr:cNvSpPr/>
        </xdr:nvSpPr>
        <xdr:spPr>
          <a:xfrm>
            <a:off x="0" y="0"/>
            <a:ext cx="5834380" cy="3307079"/>
          </a:xfrm>
          <a:custGeom>
            <a:avLst/>
            <a:gdLst/>
            <a:ahLst/>
            <a:cxnLst/>
            <a:rect l="0" t="0" r="0" b="0"/>
            <a:pathLst>
              <a:path w="5834380" h="3307079">
                <a:moveTo>
                  <a:pt x="5832348" y="3307080"/>
                </a:moveTo>
                <a:lnTo>
                  <a:pt x="1524" y="3307080"/>
                </a:lnTo>
                <a:lnTo>
                  <a:pt x="0" y="3305556"/>
                </a:lnTo>
                <a:lnTo>
                  <a:pt x="0" y="1524"/>
                </a:lnTo>
                <a:lnTo>
                  <a:pt x="1524" y="0"/>
                </a:lnTo>
                <a:lnTo>
                  <a:pt x="5832348" y="0"/>
                </a:lnTo>
                <a:lnTo>
                  <a:pt x="5833872" y="1524"/>
                </a:lnTo>
                <a:lnTo>
                  <a:pt x="5833872" y="4572"/>
                </a:lnTo>
                <a:lnTo>
                  <a:pt x="9144" y="4572"/>
                </a:lnTo>
                <a:lnTo>
                  <a:pt x="4572" y="9144"/>
                </a:lnTo>
                <a:lnTo>
                  <a:pt x="9144" y="9144"/>
                </a:lnTo>
                <a:lnTo>
                  <a:pt x="9144" y="3299460"/>
                </a:lnTo>
                <a:lnTo>
                  <a:pt x="4572" y="3299460"/>
                </a:lnTo>
                <a:lnTo>
                  <a:pt x="9144" y="3302508"/>
                </a:lnTo>
                <a:lnTo>
                  <a:pt x="5833872" y="3302508"/>
                </a:lnTo>
                <a:lnTo>
                  <a:pt x="5833872" y="3305556"/>
                </a:lnTo>
                <a:lnTo>
                  <a:pt x="5832348" y="3307080"/>
                </a:lnTo>
                <a:close/>
              </a:path>
              <a:path w="5834380" h="3307079">
                <a:moveTo>
                  <a:pt x="9144" y="9144"/>
                </a:moveTo>
                <a:lnTo>
                  <a:pt x="4572" y="9144"/>
                </a:lnTo>
                <a:lnTo>
                  <a:pt x="9144" y="4572"/>
                </a:lnTo>
                <a:lnTo>
                  <a:pt x="9144" y="9144"/>
                </a:lnTo>
                <a:close/>
              </a:path>
              <a:path w="5834380" h="3307079">
                <a:moveTo>
                  <a:pt x="5824728" y="9144"/>
                </a:moveTo>
                <a:lnTo>
                  <a:pt x="9144" y="9144"/>
                </a:lnTo>
                <a:lnTo>
                  <a:pt x="9144" y="4572"/>
                </a:lnTo>
                <a:lnTo>
                  <a:pt x="5824728" y="4572"/>
                </a:lnTo>
                <a:lnTo>
                  <a:pt x="5824728" y="9144"/>
                </a:lnTo>
                <a:close/>
              </a:path>
              <a:path w="5834380" h="3307079">
                <a:moveTo>
                  <a:pt x="5824728" y="3302508"/>
                </a:moveTo>
                <a:lnTo>
                  <a:pt x="5824728" y="4572"/>
                </a:lnTo>
                <a:lnTo>
                  <a:pt x="5829300" y="9144"/>
                </a:lnTo>
                <a:lnTo>
                  <a:pt x="5833872" y="9144"/>
                </a:lnTo>
                <a:lnTo>
                  <a:pt x="5833872" y="3299460"/>
                </a:lnTo>
                <a:lnTo>
                  <a:pt x="5829300" y="3299460"/>
                </a:lnTo>
                <a:lnTo>
                  <a:pt x="5824728" y="3302508"/>
                </a:lnTo>
                <a:close/>
              </a:path>
              <a:path w="5834380" h="3307079">
                <a:moveTo>
                  <a:pt x="5833872" y="9144"/>
                </a:moveTo>
                <a:lnTo>
                  <a:pt x="5829300" y="9144"/>
                </a:lnTo>
                <a:lnTo>
                  <a:pt x="5824728" y="4572"/>
                </a:lnTo>
                <a:lnTo>
                  <a:pt x="5833872" y="4572"/>
                </a:lnTo>
                <a:lnTo>
                  <a:pt x="5833872" y="9144"/>
                </a:lnTo>
                <a:close/>
              </a:path>
              <a:path w="5834380" h="3307079">
                <a:moveTo>
                  <a:pt x="9144" y="3302508"/>
                </a:moveTo>
                <a:lnTo>
                  <a:pt x="4572" y="3299460"/>
                </a:lnTo>
                <a:lnTo>
                  <a:pt x="9144" y="3299460"/>
                </a:lnTo>
                <a:lnTo>
                  <a:pt x="9144" y="3302508"/>
                </a:lnTo>
                <a:close/>
              </a:path>
              <a:path w="5834380" h="3307079">
                <a:moveTo>
                  <a:pt x="5824728" y="3302508"/>
                </a:moveTo>
                <a:lnTo>
                  <a:pt x="9144" y="3302508"/>
                </a:lnTo>
                <a:lnTo>
                  <a:pt x="9144" y="3299460"/>
                </a:lnTo>
                <a:lnTo>
                  <a:pt x="5824728" y="3299460"/>
                </a:lnTo>
                <a:lnTo>
                  <a:pt x="5824728" y="3302508"/>
                </a:lnTo>
                <a:close/>
              </a:path>
              <a:path w="5834380" h="3307079">
                <a:moveTo>
                  <a:pt x="5833872" y="3302508"/>
                </a:moveTo>
                <a:lnTo>
                  <a:pt x="5824728" y="3302508"/>
                </a:lnTo>
                <a:lnTo>
                  <a:pt x="5829300" y="3299460"/>
                </a:lnTo>
                <a:lnTo>
                  <a:pt x="5833872" y="3299460"/>
                </a:lnTo>
                <a:lnTo>
                  <a:pt x="5833872" y="3302508"/>
                </a:lnTo>
                <a:close/>
              </a:path>
            </a:pathLst>
          </a:custGeom>
          <a:solidFill>
            <a:srgbClr val="000000"/>
          </a:solidFill>
          <a:ln>
            <a:solidFill>
              <a:sysClr val="windowText" lastClr="000000"/>
            </a:solidFill>
          </a:ln>
        </xdr:spPr>
      </xdr:sp>
    </xdr:grpSp>
    <xdr:clientData/>
  </xdr:oneCellAnchor>
  <xdr:twoCellAnchor editAs="oneCell">
    <xdr:from>
      <xdr:col>0</xdr:col>
      <xdr:colOff>489783</xdr:colOff>
      <xdr:row>686</xdr:row>
      <xdr:rowOff>94719</xdr:rowOff>
    </xdr:from>
    <xdr:to>
      <xdr:col>6</xdr:col>
      <xdr:colOff>2023226</xdr:colOff>
      <xdr:row>700</xdr:row>
      <xdr:rowOff>46074</xdr:rowOff>
    </xdr:to>
    <xdr:pic>
      <xdr:nvPicPr>
        <xdr:cNvPr id="83" name="Picture 82">
          <a:extLst>
            <a:ext uri="{FF2B5EF4-FFF2-40B4-BE49-F238E27FC236}">
              <a16:creationId xmlns:a16="http://schemas.microsoft.com/office/drawing/2014/main" id="{00000000-0008-0000-0000-000053000000}"/>
            </a:ext>
          </a:extLst>
        </xdr:cNvPr>
        <xdr:cNvPicPr>
          <a:picLocks noChangeAspect="1"/>
        </xdr:cNvPicPr>
      </xdr:nvPicPr>
      <xdr:blipFill rotWithShape="1">
        <a:blip xmlns:r="http://schemas.openxmlformats.org/officeDocument/2006/relationships" r:embed="rId3"/>
        <a:srcRect l="6672" t="38914" r="6474" b="8019"/>
        <a:stretch/>
      </xdr:blipFill>
      <xdr:spPr>
        <a:xfrm>
          <a:off x="489783" y="137235669"/>
          <a:ext cx="6600743" cy="2218305"/>
        </a:xfrm>
        <a:prstGeom prst="rect">
          <a:avLst/>
        </a:prstGeom>
        <a:ln>
          <a:solidFill>
            <a:schemeClr val="tx1"/>
          </a:solidFill>
        </a:ln>
      </xdr:spPr>
    </xdr:pic>
    <xdr:clientData/>
  </xdr:twoCellAnchor>
  <xdr:twoCellAnchor>
    <xdr:from>
      <xdr:col>7</xdr:col>
      <xdr:colOff>184110</xdr:colOff>
      <xdr:row>576</xdr:row>
      <xdr:rowOff>136387</xdr:rowOff>
    </xdr:from>
    <xdr:to>
      <xdr:col>7</xdr:col>
      <xdr:colOff>683557</xdr:colOff>
      <xdr:row>580</xdr:row>
      <xdr:rowOff>0</xdr:rowOff>
    </xdr:to>
    <xdr:sp macro="" textlink="">
      <xdr:nvSpPr>
        <xdr:cNvPr id="25" name="TextBox 24">
          <a:extLst>
            <a:ext uri="{FF2B5EF4-FFF2-40B4-BE49-F238E27FC236}">
              <a16:creationId xmlns:a16="http://schemas.microsoft.com/office/drawing/2014/main" id="{2C09051F-B976-43D9-A869-0C093FCE85C9}"/>
            </a:ext>
          </a:extLst>
        </xdr:cNvPr>
        <xdr:cNvSpPr txBox="1"/>
      </xdr:nvSpPr>
      <xdr:spPr>
        <a:xfrm>
          <a:off x="7748081" y="119266122"/>
          <a:ext cx="499447" cy="49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2400" b="1"/>
            <a:t>D</a:t>
          </a:r>
        </a:p>
      </xdr:txBody>
    </xdr:sp>
    <xdr:clientData/>
  </xdr:twoCellAnchor>
  <xdr:twoCellAnchor>
    <xdr:from>
      <xdr:col>11</xdr:col>
      <xdr:colOff>381000</xdr:colOff>
      <xdr:row>618</xdr:row>
      <xdr:rowOff>9525</xdr:rowOff>
    </xdr:from>
    <xdr:to>
      <xdr:col>12</xdr:col>
      <xdr:colOff>471652</xdr:colOff>
      <xdr:row>619</xdr:row>
      <xdr:rowOff>68646</xdr:rowOff>
    </xdr:to>
    <xdr:sp macro="" textlink="">
      <xdr:nvSpPr>
        <xdr:cNvPr id="50" name="TextBox 49">
          <a:extLst>
            <a:ext uri="{FF2B5EF4-FFF2-40B4-BE49-F238E27FC236}">
              <a16:creationId xmlns:a16="http://schemas.microsoft.com/office/drawing/2014/main" id="{00000000-0008-0000-0000-000058000000}"/>
            </a:ext>
          </a:extLst>
        </xdr:cNvPr>
        <xdr:cNvSpPr txBox="1"/>
      </xdr:nvSpPr>
      <xdr:spPr>
        <a:xfrm>
          <a:off x="11626850" y="115306475"/>
          <a:ext cx="649452" cy="2242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b="1"/>
            <a:t>Wing A</a:t>
          </a:r>
        </a:p>
      </xdr:txBody>
    </xdr:sp>
    <xdr:clientData/>
  </xdr:twoCellAnchor>
  <xdr:twoCellAnchor>
    <xdr:from>
      <xdr:col>10</xdr:col>
      <xdr:colOff>449580</xdr:colOff>
      <xdr:row>623</xdr:row>
      <xdr:rowOff>142875</xdr:rowOff>
    </xdr:from>
    <xdr:to>
      <xdr:col>11</xdr:col>
      <xdr:colOff>78105</xdr:colOff>
      <xdr:row>625</xdr:row>
      <xdr:rowOff>64770</xdr:rowOff>
    </xdr:to>
    <xdr:sp macro="" textlink="">
      <xdr:nvSpPr>
        <xdr:cNvPr id="51" name="TextBox 50">
          <a:extLst>
            <a:ext uri="{FF2B5EF4-FFF2-40B4-BE49-F238E27FC236}">
              <a16:creationId xmlns:a16="http://schemas.microsoft.com/office/drawing/2014/main" id="{008B6E17-BB13-F796-5B5F-E76DDE92D155}"/>
            </a:ext>
          </a:extLst>
        </xdr:cNvPr>
        <xdr:cNvSpPr txBox="1"/>
      </xdr:nvSpPr>
      <xdr:spPr>
        <a:xfrm>
          <a:off x="11028680" y="116265325"/>
          <a:ext cx="295275" cy="2520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A</a:t>
          </a:r>
        </a:p>
      </xdr:txBody>
    </xdr:sp>
    <xdr:clientData/>
  </xdr:twoCellAnchor>
  <xdr:twoCellAnchor>
    <xdr:from>
      <xdr:col>8</xdr:col>
      <xdr:colOff>54450</xdr:colOff>
      <xdr:row>618</xdr:row>
      <xdr:rowOff>97155</xdr:rowOff>
    </xdr:from>
    <xdr:to>
      <xdr:col>8</xdr:col>
      <xdr:colOff>283050</xdr:colOff>
      <xdr:row>620</xdr:row>
      <xdr:rowOff>19050</xdr:rowOff>
    </xdr:to>
    <xdr:sp macro="" textlink="">
      <xdr:nvSpPr>
        <xdr:cNvPr id="52" name="TextBox 51">
          <a:extLst>
            <a:ext uri="{FF2B5EF4-FFF2-40B4-BE49-F238E27FC236}">
              <a16:creationId xmlns:a16="http://schemas.microsoft.com/office/drawing/2014/main" id="{281E5535-BDEC-4348-8E73-D0CCF83879BD}"/>
            </a:ext>
          </a:extLst>
        </xdr:cNvPr>
        <xdr:cNvSpPr txBox="1"/>
      </xdr:nvSpPr>
      <xdr:spPr>
        <a:xfrm>
          <a:off x="9515950" y="115394105"/>
          <a:ext cx="228600" cy="2520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B</a:t>
          </a:r>
        </a:p>
      </xdr:txBody>
    </xdr:sp>
    <xdr:clientData/>
  </xdr:twoCellAnchor>
  <xdr:twoCellAnchor>
    <xdr:from>
      <xdr:col>9</xdr:col>
      <xdr:colOff>166050</xdr:colOff>
      <xdr:row>618</xdr:row>
      <xdr:rowOff>135255</xdr:rowOff>
    </xdr:from>
    <xdr:to>
      <xdr:col>9</xdr:col>
      <xdr:colOff>308925</xdr:colOff>
      <xdr:row>620</xdr:row>
      <xdr:rowOff>57150</xdr:rowOff>
    </xdr:to>
    <xdr:sp macro="" textlink="">
      <xdr:nvSpPr>
        <xdr:cNvPr id="53" name="TextBox 52">
          <a:extLst>
            <a:ext uri="{FF2B5EF4-FFF2-40B4-BE49-F238E27FC236}">
              <a16:creationId xmlns:a16="http://schemas.microsoft.com/office/drawing/2014/main" id="{E742A208-2C47-4AB7-A3D4-5B853AD3329A}"/>
            </a:ext>
          </a:extLst>
        </xdr:cNvPr>
        <xdr:cNvSpPr txBox="1"/>
      </xdr:nvSpPr>
      <xdr:spPr>
        <a:xfrm>
          <a:off x="10186350" y="115432205"/>
          <a:ext cx="142875" cy="25209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N" sz="1100"/>
            <a:t>C</a:t>
          </a:r>
        </a:p>
      </xdr:txBody>
    </xdr:sp>
    <xdr:clientData/>
  </xdr:twoCellAnchor>
  <xdr:twoCellAnchor>
    <xdr:from>
      <xdr:col>0</xdr:col>
      <xdr:colOff>965200</xdr:colOff>
      <xdr:row>568</xdr:row>
      <xdr:rowOff>0</xdr:rowOff>
    </xdr:from>
    <xdr:to>
      <xdr:col>6</xdr:col>
      <xdr:colOff>1689027</xdr:colOff>
      <xdr:row>622</xdr:row>
      <xdr:rowOff>16730</xdr:rowOff>
    </xdr:to>
    <xdr:grpSp>
      <xdr:nvGrpSpPr>
        <xdr:cNvPr id="2" name="Group 1"/>
        <xdr:cNvGrpSpPr/>
      </xdr:nvGrpSpPr>
      <xdr:grpSpPr>
        <a:xfrm>
          <a:off x="965200" y="118560850"/>
          <a:ext cx="6362627" cy="8982930"/>
          <a:chOff x="965200" y="118344950"/>
          <a:chExt cx="6362627" cy="8982930"/>
        </a:xfrm>
      </xdr:grpSpPr>
      <xdr:pic>
        <xdr:nvPicPr>
          <xdr:cNvPr id="41" name="Picture 40"/>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1210054" y="118344950"/>
            <a:ext cx="2877333" cy="2160000"/>
          </a:xfrm>
          <a:prstGeom prst="rect">
            <a:avLst/>
          </a:prstGeom>
          <a:ln>
            <a:solidFill>
              <a:schemeClr val="tx1"/>
            </a:solidFill>
          </a:ln>
        </xdr:spPr>
      </xdr:pic>
      <xdr:pic>
        <xdr:nvPicPr>
          <xdr:cNvPr id="48" name="Picture 47"/>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4239787" y="118344950"/>
            <a:ext cx="2877333" cy="2160000"/>
          </a:xfrm>
          <a:prstGeom prst="rect">
            <a:avLst/>
          </a:prstGeom>
          <a:ln>
            <a:solidFill>
              <a:schemeClr val="tx1"/>
            </a:solidFill>
          </a:ln>
        </xdr:spPr>
      </xdr:pic>
      <xdr:pic>
        <xdr:nvPicPr>
          <xdr:cNvPr id="49" name="Picture 4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1210054" y="120619260"/>
            <a:ext cx="2877333" cy="2160000"/>
          </a:xfrm>
          <a:prstGeom prst="rect">
            <a:avLst/>
          </a:prstGeom>
          <a:ln>
            <a:solidFill>
              <a:schemeClr val="tx1"/>
            </a:solidFill>
          </a:ln>
        </xdr:spPr>
      </xdr:pic>
      <xdr:pic>
        <xdr:nvPicPr>
          <xdr:cNvPr id="54" name="Picture 53"/>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4239787" y="120619260"/>
            <a:ext cx="2877333" cy="2160000"/>
          </a:xfrm>
          <a:prstGeom prst="rect">
            <a:avLst/>
          </a:prstGeom>
          <a:ln>
            <a:solidFill>
              <a:schemeClr val="tx1"/>
            </a:solidFill>
          </a:ln>
        </xdr:spPr>
      </xdr:pic>
      <xdr:pic>
        <xdr:nvPicPr>
          <xdr:cNvPr id="55" name="Picture 54"/>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965200" y="122893570"/>
            <a:ext cx="2877333" cy="2160000"/>
          </a:xfrm>
          <a:prstGeom prst="rect">
            <a:avLst/>
          </a:prstGeom>
          <a:ln>
            <a:solidFill>
              <a:schemeClr val="tx1"/>
            </a:solidFill>
          </a:ln>
        </xdr:spPr>
      </xdr:pic>
      <xdr:pic>
        <xdr:nvPicPr>
          <xdr:cNvPr id="56" name="Picture 55"/>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3968609" y="122893570"/>
            <a:ext cx="1618313" cy="2160000"/>
          </a:xfrm>
          <a:prstGeom prst="rect">
            <a:avLst/>
          </a:prstGeom>
          <a:ln>
            <a:solidFill>
              <a:schemeClr val="tx1"/>
            </a:solidFill>
          </a:ln>
        </xdr:spPr>
      </xdr:pic>
      <xdr:pic>
        <xdr:nvPicPr>
          <xdr:cNvPr id="57" name="Picture 5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5709514" y="122899318"/>
            <a:ext cx="1618313" cy="2160000"/>
          </a:xfrm>
          <a:prstGeom prst="rect">
            <a:avLst/>
          </a:prstGeom>
          <a:ln>
            <a:solidFill>
              <a:schemeClr val="tx1"/>
            </a:solidFill>
          </a:ln>
        </xdr:spPr>
      </xdr:pic>
      <xdr:pic>
        <xdr:nvPicPr>
          <xdr:cNvPr id="58" name="Picture 5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210053" y="125167880"/>
            <a:ext cx="2877333" cy="2160000"/>
          </a:xfrm>
          <a:prstGeom prst="rect">
            <a:avLst/>
          </a:prstGeom>
          <a:ln>
            <a:solidFill>
              <a:schemeClr val="tx1"/>
            </a:solidFill>
          </a:ln>
        </xdr:spPr>
      </xdr:pic>
      <xdr:pic>
        <xdr:nvPicPr>
          <xdr:cNvPr id="59" name="Picture 58"/>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4226448" y="125167880"/>
            <a:ext cx="2877333" cy="2160000"/>
          </a:xfrm>
          <a:prstGeom prst="rect">
            <a:avLst/>
          </a:prstGeom>
          <a:ln>
            <a:solidFill>
              <a:schemeClr val="tx1"/>
            </a:solidFill>
          </a:ln>
        </xdr:spPr>
      </xdr:pic>
    </xdr:grpSp>
    <xdr:clientData/>
  </xdr:twoCellAnchor>
  <xdr:twoCellAnchor>
    <xdr:from>
      <xdr:col>0</xdr:col>
      <xdr:colOff>946150</xdr:colOff>
      <xdr:row>630</xdr:row>
      <xdr:rowOff>25400</xdr:rowOff>
    </xdr:from>
    <xdr:to>
      <xdr:col>6</xdr:col>
      <xdr:colOff>1996051</xdr:colOff>
      <xdr:row>671</xdr:row>
      <xdr:rowOff>17638</xdr:rowOff>
    </xdr:to>
    <xdr:grpSp>
      <xdr:nvGrpSpPr>
        <xdr:cNvPr id="3" name="Group 2"/>
        <xdr:cNvGrpSpPr/>
      </xdr:nvGrpSpPr>
      <xdr:grpSpPr>
        <a:xfrm>
          <a:off x="946150" y="128873250"/>
          <a:ext cx="6688701" cy="6761338"/>
          <a:chOff x="946150" y="128657350"/>
          <a:chExt cx="6688701" cy="6761338"/>
        </a:xfrm>
      </xdr:grpSpPr>
      <xdr:pic>
        <xdr:nvPicPr>
          <xdr:cNvPr id="60" name="Picture 59"/>
          <xdr:cNvPicPr>
            <a:picLocks noChangeAspect="1"/>
          </xdr:cNvPicPr>
        </xdr:nvPicPr>
        <xdr:blipFill rotWithShape="1">
          <a:blip xmlns:r="http://schemas.openxmlformats.org/officeDocument/2006/relationships" r:embed="rId13" cstate="print">
            <a:extLst>
              <a:ext uri="{28A0092B-C50C-407E-A947-70E740481C1C}">
                <a14:useLocalDpi xmlns:a14="http://schemas.microsoft.com/office/drawing/2010/main"/>
              </a:ext>
            </a:extLst>
          </a:blip>
          <a:srcRect/>
          <a:stretch/>
        </xdr:blipFill>
        <xdr:spPr>
          <a:xfrm>
            <a:off x="4509004" y="133256623"/>
            <a:ext cx="3125847" cy="2160000"/>
          </a:xfrm>
          <a:prstGeom prst="rect">
            <a:avLst/>
          </a:prstGeom>
          <a:ln>
            <a:solidFill>
              <a:schemeClr val="tx1"/>
            </a:solidFill>
          </a:ln>
        </xdr:spPr>
      </xdr:pic>
      <xdr:pic>
        <xdr:nvPicPr>
          <xdr:cNvPr id="61" name="Picture 60"/>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4509005" y="130958019"/>
            <a:ext cx="2877333" cy="2160000"/>
          </a:xfrm>
          <a:prstGeom prst="rect">
            <a:avLst/>
          </a:prstGeom>
          <a:ln>
            <a:solidFill>
              <a:schemeClr val="tx1"/>
            </a:solidFill>
          </a:ln>
        </xdr:spPr>
      </xdr:pic>
      <xdr:pic>
        <xdr:nvPicPr>
          <xdr:cNvPr id="62" name="Picture 61"/>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251040" y="128657350"/>
            <a:ext cx="2877333" cy="2160000"/>
          </a:xfrm>
          <a:prstGeom prst="rect">
            <a:avLst/>
          </a:prstGeom>
          <a:ln>
            <a:solidFill>
              <a:schemeClr val="tx1"/>
            </a:solidFill>
          </a:ln>
        </xdr:spPr>
      </xdr:pic>
      <xdr:pic>
        <xdr:nvPicPr>
          <xdr:cNvPr id="63" name="Picture 62"/>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253633" y="128659415"/>
            <a:ext cx="2877333" cy="2160000"/>
          </a:xfrm>
          <a:prstGeom prst="rect">
            <a:avLst/>
          </a:prstGeom>
          <a:ln>
            <a:solidFill>
              <a:schemeClr val="tx1"/>
            </a:solidFill>
          </a:ln>
        </xdr:spPr>
      </xdr:pic>
      <xdr:pic>
        <xdr:nvPicPr>
          <xdr:cNvPr id="64" name="Picture 63"/>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946150" y="133258688"/>
            <a:ext cx="1618313" cy="2160000"/>
          </a:xfrm>
          <a:prstGeom prst="rect">
            <a:avLst/>
          </a:prstGeom>
          <a:ln>
            <a:solidFill>
              <a:schemeClr val="tx1"/>
            </a:solidFill>
          </a:ln>
        </xdr:spPr>
      </xdr:pic>
      <xdr:pic>
        <xdr:nvPicPr>
          <xdr:cNvPr id="65" name="Picture 64"/>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727578" y="130958019"/>
            <a:ext cx="1618313" cy="2160000"/>
          </a:xfrm>
          <a:prstGeom prst="rect">
            <a:avLst/>
          </a:prstGeom>
          <a:ln>
            <a:solidFill>
              <a:schemeClr val="tx1"/>
            </a:solidFill>
          </a:ln>
        </xdr:spPr>
      </xdr:pic>
      <xdr:pic>
        <xdr:nvPicPr>
          <xdr:cNvPr id="66" name="Picture 65"/>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946151" y="130958019"/>
            <a:ext cx="1618313" cy="2160000"/>
          </a:xfrm>
          <a:prstGeom prst="rect">
            <a:avLst/>
          </a:prstGeom>
          <a:ln>
            <a:solidFill>
              <a:schemeClr val="tx1"/>
            </a:solidFill>
          </a:ln>
        </xdr:spPr>
      </xdr:pic>
      <xdr:pic>
        <xdr:nvPicPr>
          <xdr:cNvPr id="67" name="Picture 66"/>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2727577" y="133256623"/>
            <a:ext cx="1618313"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21230</xdr:rowOff>
    </xdr:from>
    <xdr:to>
      <xdr:col>6</xdr:col>
      <xdr:colOff>2325</xdr:colOff>
      <xdr:row>30</xdr:row>
      <xdr:rowOff>1730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581025" y="2878730"/>
          <a:ext cx="6403125" cy="3600000"/>
        </a:xfrm>
        <a:prstGeom prst="rect">
          <a:avLst/>
        </a:prstGeom>
        <a:ln>
          <a:solidFill>
            <a:schemeClr val="tx1"/>
          </a:solidFill>
        </a:ln>
      </xdr:spPr>
    </xdr:pic>
    <xdr:clientData/>
  </xdr:twoCellAnchor>
  <xdr:twoCellAnchor editAs="oneCell">
    <xdr:from>
      <xdr:col>1</xdr:col>
      <xdr:colOff>9542</xdr:colOff>
      <xdr:row>31</xdr:row>
      <xdr:rowOff>32447</xdr:rowOff>
    </xdr:from>
    <xdr:to>
      <xdr:col>6</xdr:col>
      <xdr:colOff>11867</xdr:colOff>
      <xdr:row>50</xdr:row>
      <xdr:rowOff>12947</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590567" y="6699947"/>
          <a:ext cx="6403125" cy="3600000"/>
        </a:xfrm>
        <a:prstGeom prst="rect">
          <a:avLst/>
        </a:prstGeom>
        <a:ln>
          <a:solidFill>
            <a:schemeClr val="tx1"/>
          </a:solidFill>
        </a:ln>
      </xdr:spPr>
    </xdr:pic>
    <xdr:clientData/>
  </xdr:twoCellAnchor>
  <xdr:twoCellAnchor editAs="oneCell">
    <xdr:from>
      <xdr:col>6</xdr:col>
      <xdr:colOff>223950</xdr:colOff>
      <xdr:row>11</xdr:row>
      <xdr:rowOff>0</xdr:rowOff>
    </xdr:from>
    <xdr:to>
      <xdr:col>15</xdr:col>
      <xdr:colOff>131025</xdr:colOff>
      <xdr:row>29</xdr:row>
      <xdr:rowOff>171000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stretch>
          <a:fillRect/>
        </a:stretch>
      </xdr:blipFill>
      <xdr:spPr>
        <a:xfrm>
          <a:off x="7205775" y="2857500"/>
          <a:ext cx="6403125" cy="3600000"/>
        </a:xfrm>
        <a:prstGeom prst="rect">
          <a:avLst/>
        </a:prstGeom>
        <a:ln>
          <a:solidFill>
            <a:schemeClr val="tx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12</xdr:col>
      <xdr:colOff>15867</xdr:colOff>
      <xdr:row>25</xdr:row>
      <xdr:rowOff>64500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7525" y="952500"/>
          <a:ext cx="1616067" cy="2160000"/>
        </a:xfrm>
        <a:prstGeom prst="rect">
          <a:avLst/>
        </a:prstGeom>
        <a:ln>
          <a:solidFill>
            <a:schemeClr val="tx1"/>
          </a:solidFill>
        </a:ln>
      </xdr:spPr>
    </xdr:pic>
    <xdr:clientData/>
  </xdr:twoCellAnchor>
  <xdr:twoCellAnchor editAs="oneCell">
    <xdr:from>
      <xdr:col>11</xdr:col>
      <xdr:colOff>536465</xdr:colOff>
      <xdr:row>6</xdr:row>
      <xdr:rowOff>15093</xdr:rowOff>
    </xdr:from>
    <xdr:to>
      <xdr:col>15</xdr:col>
      <xdr:colOff>18932</xdr:colOff>
      <xdr:row>25</xdr:row>
      <xdr:rowOff>79593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0790" y="967593"/>
          <a:ext cx="1616067" cy="2160000"/>
        </a:xfrm>
        <a:prstGeom prst="rect">
          <a:avLst/>
        </a:prstGeom>
        <a:ln>
          <a:solidFill>
            <a:schemeClr val="tx1"/>
          </a:solidFill>
        </a:ln>
      </xdr:spPr>
    </xdr:pic>
    <xdr:clientData/>
  </xdr:twoCellAnchor>
  <xdr:twoCellAnchor editAs="oneCell">
    <xdr:from>
      <xdr:col>9</xdr:col>
      <xdr:colOff>0</xdr:colOff>
      <xdr:row>27</xdr:row>
      <xdr:rowOff>0</xdr:rowOff>
    </xdr:from>
    <xdr:to>
      <xdr:col>12</xdr:col>
      <xdr:colOff>18112</xdr:colOff>
      <xdr:row>38</xdr:row>
      <xdr:rowOff>64500</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867525" y="3429000"/>
          <a:ext cx="1618312" cy="2160000"/>
        </a:xfrm>
        <a:prstGeom prst="rect">
          <a:avLst/>
        </a:prstGeom>
        <a:ln>
          <a:solidFill>
            <a:schemeClr val="tx1"/>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12</xdr:col>
      <xdr:colOff>15867</xdr:colOff>
      <xdr:row>25</xdr:row>
      <xdr:rowOff>64500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096125" y="952500"/>
          <a:ext cx="1616067" cy="2160000"/>
        </a:xfrm>
        <a:prstGeom prst="rect">
          <a:avLst/>
        </a:prstGeom>
        <a:ln>
          <a:solidFill>
            <a:schemeClr val="tx1"/>
          </a:solidFill>
        </a:ln>
      </xdr:spPr>
    </xdr:pic>
    <xdr:clientData/>
  </xdr:twoCellAnchor>
  <xdr:twoCellAnchor editAs="oneCell">
    <xdr:from>
      <xdr:col>11</xdr:col>
      <xdr:colOff>536465</xdr:colOff>
      <xdr:row>6</xdr:row>
      <xdr:rowOff>15093</xdr:rowOff>
    </xdr:from>
    <xdr:to>
      <xdr:col>15</xdr:col>
      <xdr:colOff>18932</xdr:colOff>
      <xdr:row>25</xdr:row>
      <xdr:rowOff>79593</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51790" y="967593"/>
          <a:ext cx="1616067" cy="2160000"/>
        </a:xfrm>
        <a:prstGeom prst="rect">
          <a:avLst/>
        </a:prstGeom>
        <a:ln>
          <a:solidFill>
            <a:schemeClr val="tx1"/>
          </a:solidFill>
        </a:ln>
      </xdr:spPr>
    </xdr:pic>
    <xdr:clientData/>
  </xdr:twoCellAnchor>
  <xdr:twoCellAnchor editAs="oneCell">
    <xdr:from>
      <xdr:col>9</xdr:col>
      <xdr:colOff>0</xdr:colOff>
      <xdr:row>27</xdr:row>
      <xdr:rowOff>0</xdr:rowOff>
    </xdr:from>
    <xdr:to>
      <xdr:col>12</xdr:col>
      <xdr:colOff>18112</xdr:colOff>
      <xdr:row>38</xdr:row>
      <xdr:rowOff>64500</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6867525" y="3429000"/>
          <a:ext cx="1618312" cy="2160000"/>
        </a:xfrm>
        <a:prstGeom prst="rect">
          <a:avLst/>
        </a:prstGeom>
        <a:ln>
          <a:solidFill>
            <a:schemeClr val="tx1"/>
          </a:solid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12</xdr:col>
      <xdr:colOff>15867</xdr:colOff>
      <xdr:row>25</xdr:row>
      <xdr:rowOff>64500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7525" y="952500"/>
          <a:ext cx="1616067" cy="2160000"/>
        </a:xfrm>
        <a:prstGeom prst="rect">
          <a:avLst/>
        </a:prstGeom>
        <a:ln>
          <a:solidFill>
            <a:schemeClr val="tx1"/>
          </a:solidFill>
        </a:ln>
      </xdr:spPr>
    </xdr:pic>
    <xdr:clientData/>
  </xdr:twoCellAnchor>
  <xdr:twoCellAnchor editAs="oneCell">
    <xdr:from>
      <xdr:col>11</xdr:col>
      <xdr:colOff>536465</xdr:colOff>
      <xdr:row>6</xdr:row>
      <xdr:rowOff>15093</xdr:rowOff>
    </xdr:from>
    <xdr:to>
      <xdr:col>15</xdr:col>
      <xdr:colOff>18932</xdr:colOff>
      <xdr:row>25</xdr:row>
      <xdr:rowOff>79593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0790" y="967593"/>
          <a:ext cx="1616067" cy="2160000"/>
        </a:xfrm>
        <a:prstGeom prst="rect">
          <a:avLst/>
        </a:prstGeom>
        <a:ln>
          <a:solidFill>
            <a:schemeClr val="tx1"/>
          </a:solid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12</xdr:col>
      <xdr:colOff>15867</xdr:colOff>
      <xdr:row>25</xdr:row>
      <xdr:rowOff>64500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7525" y="952500"/>
          <a:ext cx="1616067" cy="2160000"/>
        </a:xfrm>
        <a:prstGeom prst="rect">
          <a:avLst/>
        </a:prstGeom>
        <a:ln>
          <a:solidFill>
            <a:schemeClr val="tx1"/>
          </a:solidFill>
        </a:ln>
      </xdr:spPr>
    </xdr:pic>
    <xdr:clientData/>
  </xdr:twoCellAnchor>
  <xdr:twoCellAnchor editAs="oneCell">
    <xdr:from>
      <xdr:col>11</xdr:col>
      <xdr:colOff>536465</xdr:colOff>
      <xdr:row>6</xdr:row>
      <xdr:rowOff>15093</xdr:rowOff>
    </xdr:from>
    <xdr:to>
      <xdr:col>15</xdr:col>
      <xdr:colOff>18932</xdr:colOff>
      <xdr:row>25</xdr:row>
      <xdr:rowOff>79593</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0790" y="967593"/>
          <a:ext cx="1616067" cy="2160000"/>
        </a:xfrm>
        <a:prstGeom prst="rect">
          <a:avLst/>
        </a:prstGeom>
        <a:ln>
          <a:solidFill>
            <a:schemeClr val="tx1"/>
          </a:solid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6</xdr:row>
      <xdr:rowOff>0</xdr:rowOff>
    </xdr:from>
    <xdr:to>
      <xdr:col>12</xdr:col>
      <xdr:colOff>15867</xdr:colOff>
      <xdr:row>25</xdr:row>
      <xdr:rowOff>64500</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67525" y="952500"/>
          <a:ext cx="1616067" cy="2160000"/>
        </a:xfrm>
        <a:prstGeom prst="rect">
          <a:avLst/>
        </a:prstGeom>
        <a:ln>
          <a:solidFill>
            <a:schemeClr val="tx1"/>
          </a:solidFill>
        </a:ln>
      </xdr:spPr>
    </xdr:pic>
    <xdr:clientData/>
  </xdr:twoCellAnchor>
  <xdr:twoCellAnchor editAs="oneCell">
    <xdr:from>
      <xdr:col>11</xdr:col>
      <xdr:colOff>536465</xdr:colOff>
      <xdr:row>6</xdr:row>
      <xdr:rowOff>15093</xdr:rowOff>
    </xdr:from>
    <xdr:to>
      <xdr:col>15</xdr:col>
      <xdr:colOff>18932</xdr:colOff>
      <xdr:row>25</xdr:row>
      <xdr:rowOff>79593</xdr:rowOff>
    </xdr:to>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470790" y="967593"/>
          <a:ext cx="1616067" cy="2160000"/>
        </a:xfrm>
        <a:prstGeom prst="rect">
          <a:avLst/>
        </a:prstGeom>
        <a:ln>
          <a:solidFill>
            <a:schemeClr val="tx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nPuwBz66og2HAEfa8"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65"/>
  <sheetViews>
    <sheetView tabSelected="1" view="pageBreakPreview" topLeftCell="A555" zoomScaleNormal="100" zoomScaleSheetLayoutView="100" workbookViewId="0">
      <selection activeCell="A558" sqref="A558:G558"/>
    </sheetView>
  </sheetViews>
  <sheetFormatPr defaultRowHeight="13" x14ac:dyDescent="0.3"/>
  <cols>
    <col min="1" max="1" width="26.19921875" style="68" customWidth="1"/>
    <col min="2" max="2" width="13.19921875" customWidth="1"/>
    <col min="3" max="3" width="14.796875" customWidth="1"/>
    <col min="4" max="4" width="12.19921875" customWidth="1"/>
    <col min="5" max="5" width="12.69921875" customWidth="1"/>
    <col min="6" max="6" width="9.69921875" customWidth="1"/>
    <col min="7" max="7" width="43.69921875" customWidth="1"/>
    <col min="8" max="8" width="16.5" customWidth="1"/>
    <col min="11" max="11" width="10.5" bestFit="1" customWidth="1"/>
  </cols>
  <sheetData>
    <row r="1" spans="1:7" ht="42.75" customHeight="1" x14ac:dyDescent="0.3">
      <c r="A1" s="144" t="s">
        <v>285</v>
      </c>
      <c r="B1" s="145"/>
      <c r="C1" s="145"/>
      <c r="D1" s="145"/>
      <c r="E1" s="145"/>
      <c r="F1" s="145"/>
      <c r="G1" s="146"/>
    </row>
    <row r="2" spans="1:7" ht="16.5" customHeight="1" x14ac:dyDescent="0.3">
      <c r="A2" s="114" t="s">
        <v>0</v>
      </c>
      <c r="B2" s="115"/>
      <c r="C2" s="115"/>
      <c r="D2" s="115"/>
      <c r="E2" s="115"/>
      <c r="F2" s="115"/>
      <c r="G2" s="116"/>
    </row>
    <row r="3" spans="1:7" ht="15" x14ac:dyDescent="0.3">
      <c r="A3" s="125" t="s">
        <v>1</v>
      </c>
      <c r="B3" s="126"/>
      <c r="C3" s="127"/>
      <c r="D3" s="147" t="str">
        <f ca="1">TEXT(TODAY(),"DD/MM/YYYY")</f>
        <v>17/08/2025</v>
      </c>
      <c r="E3" s="148"/>
      <c r="F3" s="148"/>
      <c r="G3" s="149"/>
    </row>
    <row r="4" spans="1:7" ht="15" x14ac:dyDescent="0.3">
      <c r="A4" s="125" t="s">
        <v>2</v>
      </c>
      <c r="B4" s="126"/>
      <c r="C4" s="127"/>
      <c r="D4" s="125" t="s">
        <v>3</v>
      </c>
      <c r="E4" s="126"/>
      <c r="F4" s="126"/>
      <c r="G4" s="127"/>
    </row>
    <row r="5" spans="1:7" ht="15" x14ac:dyDescent="0.3">
      <c r="A5" s="125" t="s">
        <v>4</v>
      </c>
      <c r="B5" s="126"/>
      <c r="C5" s="127"/>
      <c r="D5" s="147">
        <v>45877</v>
      </c>
      <c r="E5" s="126"/>
      <c r="F5" s="126"/>
      <c r="G5" s="127"/>
    </row>
    <row r="6" spans="1:7" ht="15" x14ac:dyDescent="0.3">
      <c r="A6" s="125" t="s">
        <v>5</v>
      </c>
      <c r="B6" s="126"/>
      <c r="C6" s="127"/>
      <c r="D6" s="125" t="s">
        <v>6</v>
      </c>
      <c r="E6" s="126"/>
      <c r="F6" s="126"/>
      <c r="G6" s="127"/>
    </row>
    <row r="7" spans="1:7" ht="15" x14ac:dyDescent="0.3">
      <c r="A7" s="125" t="s">
        <v>7</v>
      </c>
      <c r="B7" s="126"/>
      <c r="C7" s="127"/>
      <c r="D7" s="125" t="s">
        <v>6</v>
      </c>
      <c r="E7" s="126"/>
      <c r="F7" s="126"/>
      <c r="G7" s="127"/>
    </row>
    <row r="8" spans="1:7" ht="15" x14ac:dyDescent="0.3">
      <c r="A8" s="125" t="s">
        <v>8</v>
      </c>
      <c r="B8" s="126"/>
      <c r="C8" s="127"/>
      <c r="D8" s="137" t="s">
        <v>126</v>
      </c>
      <c r="E8" s="138"/>
      <c r="F8" s="138"/>
      <c r="G8" s="139"/>
    </row>
    <row r="9" spans="1:7" ht="15" x14ac:dyDescent="0.3">
      <c r="A9" s="125" t="s">
        <v>9</v>
      </c>
      <c r="B9" s="126"/>
      <c r="C9" s="127"/>
      <c r="D9" s="153">
        <v>9820055866</v>
      </c>
      <c r="E9" s="155"/>
      <c r="F9" s="155"/>
      <c r="G9" s="154"/>
    </row>
    <row r="10" spans="1:7" ht="15" x14ac:dyDescent="0.3">
      <c r="A10" s="125" t="s">
        <v>10</v>
      </c>
      <c r="B10" s="126"/>
      <c r="C10" s="127"/>
      <c r="D10" s="125" t="s">
        <v>264</v>
      </c>
      <c r="E10" s="126"/>
      <c r="F10" s="126"/>
      <c r="G10" s="127"/>
    </row>
    <row r="11" spans="1:7" ht="15" x14ac:dyDescent="0.3">
      <c r="A11" s="125" t="s">
        <v>11</v>
      </c>
      <c r="B11" s="126"/>
      <c r="C11" s="127"/>
      <c r="D11" s="125" t="s">
        <v>12</v>
      </c>
      <c r="E11" s="126"/>
      <c r="F11" s="126"/>
      <c r="G11" s="127"/>
    </row>
    <row r="12" spans="1:7" ht="15" x14ac:dyDescent="0.3">
      <c r="A12" s="125" t="s">
        <v>13</v>
      </c>
      <c r="B12" s="126"/>
      <c r="C12" s="127"/>
      <c r="D12" s="125" t="s">
        <v>286</v>
      </c>
      <c r="E12" s="126"/>
      <c r="F12" s="126"/>
      <c r="G12" s="127"/>
    </row>
    <row r="13" spans="1:7" ht="15" x14ac:dyDescent="0.3">
      <c r="A13" s="71" t="s">
        <v>14</v>
      </c>
      <c r="B13" s="125" t="s">
        <v>15</v>
      </c>
      <c r="C13" s="126"/>
      <c r="D13" s="126"/>
      <c r="E13" s="126"/>
      <c r="F13" s="126"/>
      <c r="G13" s="127"/>
    </row>
    <row r="14" spans="1:7" ht="15" x14ac:dyDescent="0.3">
      <c r="A14" s="71" t="s">
        <v>16</v>
      </c>
      <c r="B14" s="125" t="s">
        <v>17</v>
      </c>
      <c r="C14" s="126"/>
      <c r="D14" s="126"/>
      <c r="E14" s="126"/>
      <c r="F14" s="126"/>
      <c r="G14" s="127"/>
    </row>
    <row r="15" spans="1:7" ht="15" x14ac:dyDescent="0.3">
      <c r="A15" s="71" t="s">
        <v>18</v>
      </c>
      <c r="B15" s="125" t="s">
        <v>19</v>
      </c>
      <c r="C15" s="127"/>
      <c r="D15" s="125" t="s">
        <v>20</v>
      </c>
      <c r="E15" s="127"/>
      <c r="F15" s="125" t="s">
        <v>21</v>
      </c>
      <c r="G15" s="127"/>
    </row>
    <row r="16" spans="1:7" ht="15" x14ac:dyDescent="0.3">
      <c r="A16" s="71" t="s">
        <v>22</v>
      </c>
      <c r="B16" s="125" t="s">
        <v>23</v>
      </c>
      <c r="C16" s="127"/>
      <c r="D16" s="125" t="s">
        <v>24</v>
      </c>
      <c r="E16" s="127"/>
      <c r="F16" s="125" t="s">
        <v>25</v>
      </c>
      <c r="G16" s="127"/>
    </row>
    <row r="17" spans="1:7" ht="15" x14ac:dyDescent="0.3">
      <c r="A17" s="71" t="s">
        <v>26</v>
      </c>
      <c r="B17" s="125" t="s">
        <v>23</v>
      </c>
      <c r="C17" s="127"/>
      <c r="D17" s="125" t="s">
        <v>27</v>
      </c>
      <c r="E17" s="127"/>
      <c r="F17" s="153">
        <v>410206</v>
      </c>
      <c r="G17" s="154"/>
    </row>
    <row r="18" spans="1:7" ht="33" customHeight="1" x14ac:dyDescent="0.3">
      <c r="A18" s="71" t="s">
        <v>28</v>
      </c>
      <c r="B18" s="150" t="s">
        <v>29</v>
      </c>
      <c r="C18" s="152"/>
      <c r="D18" s="150" t="s">
        <v>30</v>
      </c>
      <c r="E18" s="152"/>
      <c r="F18" s="150" t="s">
        <v>31</v>
      </c>
      <c r="G18" s="152"/>
    </row>
    <row r="19" spans="1:7" ht="31" customHeight="1" x14ac:dyDescent="0.3">
      <c r="A19" s="125" t="s">
        <v>32</v>
      </c>
      <c r="B19" s="126"/>
      <c r="C19" s="127"/>
      <c r="D19" s="125" t="s">
        <v>33</v>
      </c>
      <c r="E19" s="126"/>
      <c r="F19" s="126"/>
      <c r="G19" s="127"/>
    </row>
    <row r="20" spans="1:7" ht="33" customHeight="1" x14ac:dyDescent="0.3">
      <c r="A20" s="150" t="s">
        <v>34</v>
      </c>
      <c r="B20" s="151"/>
      <c r="C20" s="152"/>
      <c r="D20" s="125" t="s">
        <v>35</v>
      </c>
      <c r="E20" s="126"/>
      <c r="F20" s="126"/>
      <c r="G20" s="127"/>
    </row>
    <row r="21" spans="1:7" ht="15" x14ac:dyDescent="0.3">
      <c r="A21" s="125" t="s">
        <v>36</v>
      </c>
      <c r="B21" s="126"/>
      <c r="C21" s="127"/>
      <c r="D21" s="125" t="s">
        <v>37</v>
      </c>
      <c r="E21" s="126"/>
      <c r="F21" s="126"/>
      <c r="G21" s="127"/>
    </row>
    <row r="22" spans="1:7" ht="15" x14ac:dyDescent="0.3">
      <c r="A22" s="125" t="s">
        <v>38</v>
      </c>
      <c r="B22" s="126"/>
      <c r="C22" s="127"/>
      <c r="D22" s="125" t="s">
        <v>39</v>
      </c>
      <c r="E22" s="126"/>
      <c r="F22" s="126"/>
      <c r="G22" s="127"/>
    </row>
    <row r="23" spans="1:7" ht="15" x14ac:dyDescent="0.3">
      <c r="A23" s="125" t="s">
        <v>40</v>
      </c>
      <c r="B23" s="126"/>
      <c r="C23" s="127"/>
      <c r="D23" s="125" t="s">
        <v>41</v>
      </c>
      <c r="E23" s="126"/>
      <c r="F23" s="126"/>
      <c r="G23" s="127"/>
    </row>
    <row r="24" spans="1:7" ht="15" x14ac:dyDescent="0.3">
      <c r="A24" s="125" t="s">
        <v>42</v>
      </c>
      <c r="B24" s="126"/>
      <c r="C24" s="127"/>
      <c r="D24" s="125" t="s">
        <v>43</v>
      </c>
      <c r="E24" s="129"/>
      <c r="F24" s="129"/>
      <c r="G24" s="130"/>
    </row>
    <row r="25" spans="1:7" ht="15" x14ac:dyDescent="0.3">
      <c r="A25" s="60" t="s">
        <v>44</v>
      </c>
      <c r="B25" s="4" t="s">
        <v>45</v>
      </c>
      <c r="C25" s="131" t="s">
        <v>46</v>
      </c>
      <c r="D25" s="132"/>
      <c r="E25" s="58" t="s">
        <v>47</v>
      </c>
      <c r="F25" s="135" t="s">
        <v>48</v>
      </c>
      <c r="G25" s="135"/>
    </row>
    <row r="26" spans="1:7" ht="15" x14ac:dyDescent="0.3">
      <c r="A26" s="60" t="s">
        <v>49</v>
      </c>
      <c r="B26" s="4" t="s">
        <v>50</v>
      </c>
      <c r="C26" s="131" t="s">
        <v>50</v>
      </c>
      <c r="D26" s="132"/>
      <c r="E26" s="58" t="s">
        <v>50</v>
      </c>
      <c r="F26" s="135" t="s">
        <v>50</v>
      </c>
      <c r="G26" s="135"/>
    </row>
    <row r="27" spans="1:7" ht="15" x14ac:dyDescent="0.3">
      <c r="A27" s="60" t="s">
        <v>51</v>
      </c>
      <c r="B27" s="8" t="s">
        <v>52</v>
      </c>
      <c r="C27" s="133" t="s">
        <v>18</v>
      </c>
      <c r="D27" s="134"/>
      <c r="E27" s="69" t="s">
        <v>53</v>
      </c>
      <c r="F27" s="136" t="s">
        <v>54</v>
      </c>
      <c r="G27" s="136"/>
    </row>
    <row r="28" spans="1:7" ht="16.5" customHeight="1" x14ac:dyDescent="0.3">
      <c r="A28" s="125" t="s">
        <v>55</v>
      </c>
      <c r="B28" s="126"/>
      <c r="C28" s="126"/>
      <c r="D28" s="126"/>
      <c r="E28" s="123"/>
      <c r="F28" s="123"/>
      <c r="G28" s="124"/>
    </row>
    <row r="29" spans="1:7" ht="16.5" customHeight="1" x14ac:dyDescent="0.3">
      <c r="A29" s="125" t="s">
        <v>56</v>
      </c>
      <c r="B29" s="126"/>
      <c r="C29" s="126"/>
      <c r="D29" s="126"/>
      <c r="E29" s="126"/>
      <c r="F29" s="126"/>
      <c r="G29" s="127"/>
    </row>
    <row r="30" spans="1:7" ht="16.5" customHeight="1" x14ac:dyDescent="0.3">
      <c r="A30" s="186" t="s">
        <v>57</v>
      </c>
      <c r="B30" s="187" t="s">
        <v>287</v>
      </c>
      <c r="C30" s="188"/>
      <c r="D30" s="188"/>
      <c r="E30" s="188"/>
      <c r="F30" s="188"/>
      <c r="G30" s="189"/>
    </row>
    <row r="31" spans="1:7" ht="16.5" customHeight="1" x14ac:dyDescent="0.3">
      <c r="A31" s="71" t="s">
        <v>217</v>
      </c>
      <c r="B31" s="140" t="s">
        <v>218</v>
      </c>
      <c r="C31" s="126"/>
      <c r="D31" s="126"/>
      <c r="E31" s="126"/>
      <c r="F31" s="126"/>
      <c r="G31" s="127"/>
    </row>
    <row r="32" spans="1:7" ht="16.5" customHeight="1" x14ac:dyDescent="0.3">
      <c r="A32" s="137" t="s">
        <v>58</v>
      </c>
      <c r="B32" s="138"/>
      <c r="C32" s="138"/>
      <c r="D32" s="138"/>
      <c r="E32" s="138"/>
      <c r="F32" s="138"/>
      <c r="G32" s="139"/>
    </row>
    <row r="33" spans="1:7" ht="16.5" customHeight="1" x14ac:dyDescent="0.3">
      <c r="A33" s="125" t="s">
        <v>59</v>
      </c>
      <c r="B33" s="126"/>
      <c r="C33" s="127"/>
      <c r="D33" s="125" t="s">
        <v>60</v>
      </c>
      <c r="E33" s="126"/>
      <c r="F33" s="126"/>
      <c r="G33" s="127"/>
    </row>
    <row r="34" spans="1:7" ht="16.5" customHeight="1" x14ac:dyDescent="0.3">
      <c r="A34" s="125" t="s">
        <v>61</v>
      </c>
      <c r="B34" s="126"/>
      <c r="C34" s="127"/>
      <c r="D34" s="125" t="s">
        <v>62</v>
      </c>
      <c r="E34" s="126"/>
      <c r="F34" s="126"/>
      <c r="G34" s="127"/>
    </row>
    <row r="35" spans="1:7" ht="16.5" customHeight="1" x14ac:dyDescent="0.3">
      <c r="A35" s="137" t="s">
        <v>63</v>
      </c>
      <c r="B35" s="138"/>
      <c r="C35" s="138"/>
      <c r="D35" s="138"/>
      <c r="E35" s="138"/>
      <c r="F35" s="138"/>
      <c r="G35" s="139"/>
    </row>
    <row r="36" spans="1:7" ht="15" customHeight="1" x14ac:dyDescent="0.3">
      <c r="A36" s="125" t="s">
        <v>64</v>
      </c>
      <c r="B36" s="126"/>
      <c r="C36" s="127"/>
      <c r="D36" s="141">
        <v>14587</v>
      </c>
      <c r="E36" s="142"/>
      <c r="F36" s="142"/>
      <c r="G36" s="143"/>
    </row>
    <row r="37" spans="1:7" ht="15" x14ac:dyDescent="0.3">
      <c r="A37" s="125" t="s">
        <v>65</v>
      </c>
      <c r="B37" s="126"/>
      <c r="C37" s="127"/>
      <c r="D37" s="141">
        <v>1</v>
      </c>
      <c r="E37" s="142"/>
      <c r="F37" s="142"/>
      <c r="G37" s="143"/>
    </row>
    <row r="38" spans="1:7" ht="15" customHeight="1" x14ac:dyDescent="0.3">
      <c r="A38" s="125" t="s">
        <v>66</v>
      </c>
      <c r="B38" s="126"/>
      <c r="C38" s="127"/>
      <c r="D38" s="141">
        <v>0</v>
      </c>
      <c r="E38" s="142"/>
      <c r="F38" s="142"/>
      <c r="G38" s="143"/>
    </row>
    <row r="39" spans="1:7" ht="15" customHeight="1" x14ac:dyDescent="0.3">
      <c r="A39" s="125" t="s">
        <v>67</v>
      </c>
      <c r="B39" s="126"/>
      <c r="C39" s="127"/>
      <c r="D39" s="141">
        <v>1</v>
      </c>
      <c r="E39" s="142"/>
      <c r="F39" s="142"/>
      <c r="G39" s="143"/>
    </row>
    <row r="40" spans="1:7" ht="15" customHeight="1" x14ac:dyDescent="0.3">
      <c r="A40" s="125" t="s">
        <v>68</v>
      </c>
      <c r="B40" s="126"/>
      <c r="C40" s="127"/>
      <c r="D40" s="141">
        <v>14587</v>
      </c>
      <c r="E40" s="142"/>
      <c r="F40" s="142"/>
      <c r="G40" s="143"/>
    </row>
    <row r="41" spans="1:7" ht="15" customHeight="1" x14ac:dyDescent="0.3">
      <c r="A41" s="128" t="s">
        <v>69</v>
      </c>
      <c r="B41" s="129"/>
      <c r="C41" s="130"/>
      <c r="D41" s="128" t="s">
        <v>265</v>
      </c>
      <c r="E41" s="129"/>
      <c r="F41" s="129"/>
      <c r="G41" s="130"/>
    </row>
    <row r="42" spans="1:7" ht="14.25" customHeight="1" x14ac:dyDescent="0.3">
      <c r="A42" s="97" t="s">
        <v>70</v>
      </c>
      <c r="B42" s="97"/>
      <c r="C42" s="97"/>
      <c r="D42" s="97"/>
      <c r="E42" s="97"/>
      <c r="F42" s="97"/>
      <c r="G42" s="97"/>
    </row>
    <row r="43" spans="1:7" ht="33" customHeight="1" x14ac:dyDescent="0.3">
      <c r="A43" s="81" t="s">
        <v>219</v>
      </c>
      <c r="B43" s="98" t="s">
        <v>222</v>
      </c>
      <c r="C43" s="101"/>
      <c r="D43" s="101"/>
      <c r="E43" s="81" t="s">
        <v>71</v>
      </c>
      <c r="F43" s="193">
        <v>44817</v>
      </c>
      <c r="G43" s="98"/>
    </row>
    <row r="44" spans="1:7" ht="30" customHeight="1" x14ac:dyDescent="0.3">
      <c r="A44" s="81" t="s">
        <v>220</v>
      </c>
      <c r="B44" s="98" t="str">
        <f>B43</f>
        <v>CIDCO/NAINA/Panvel/Kevale/BP-00414/ACC/2022/0241</v>
      </c>
      <c r="C44" s="101"/>
      <c r="D44" s="101"/>
      <c r="E44" s="81" t="s">
        <v>71</v>
      </c>
      <c r="F44" s="193">
        <f>F43</f>
        <v>44817</v>
      </c>
      <c r="G44" s="98"/>
    </row>
    <row r="45" spans="1:7" ht="31.5" customHeight="1" x14ac:dyDescent="0.3">
      <c r="A45" s="98" t="s">
        <v>73</v>
      </c>
      <c r="B45" s="98" t="s">
        <v>222</v>
      </c>
      <c r="C45" s="98"/>
      <c r="D45" s="98"/>
      <c r="E45" s="81" t="s">
        <v>71</v>
      </c>
      <c r="F45" s="193">
        <v>44817</v>
      </c>
      <c r="G45" s="193"/>
    </row>
    <row r="46" spans="1:7" ht="15" x14ac:dyDescent="0.3">
      <c r="A46" s="98"/>
      <c r="B46" s="98" t="s">
        <v>223</v>
      </c>
      <c r="C46" s="98"/>
      <c r="D46" s="98"/>
      <c r="E46" s="98"/>
      <c r="F46" s="98"/>
      <c r="G46" s="98"/>
    </row>
    <row r="47" spans="1:7" ht="44.25" customHeight="1" x14ac:dyDescent="0.3">
      <c r="A47" s="81" t="s">
        <v>221</v>
      </c>
      <c r="B47" s="98" t="s">
        <v>225</v>
      </c>
      <c r="C47" s="98"/>
      <c r="D47" s="98"/>
      <c r="E47" s="81" t="s">
        <v>71</v>
      </c>
      <c r="F47" s="193">
        <v>44305</v>
      </c>
      <c r="G47" s="193"/>
    </row>
    <row r="48" spans="1:7" ht="31.5" customHeight="1" x14ac:dyDescent="0.3">
      <c r="A48" s="190" t="s">
        <v>73</v>
      </c>
      <c r="B48" s="122" t="str">
        <f>B47</f>
        <v>CIDCO/NAINA/Panvel/Kevale/BP-00414/ACC/2021/0083</v>
      </c>
      <c r="C48" s="123"/>
      <c r="D48" s="124"/>
      <c r="E48" s="80" t="s">
        <v>71</v>
      </c>
      <c r="F48" s="191">
        <v>44305</v>
      </c>
      <c r="G48" s="192"/>
    </row>
    <row r="49" spans="1:9" ht="15" x14ac:dyDescent="0.3">
      <c r="A49" s="156"/>
      <c r="B49" s="125" t="s">
        <v>224</v>
      </c>
      <c r="C49" s="126"/>
      <c r="D49" s="126"/>
      <c r="E49" s="126"/>
      <c r="F49" s="126"/>
      <c r="G49" s="127"/>
    </row>
    <row r="50" spans="1:9" ht="15" x14ac:dyDescent="0.3">
      <c r="A50" s="60" t="s">
        <v>74</v>
      </c>
      <c r="B50" s="125" t="s">
        <v>50</v>
      </c>
      <c r="C50" s="126"/>
      <c r="D50" s="127"/>
      <c r="E50" s="3" t="s">
        <v>71</v>
      </c>
      <c r="F50" s="125" t="s">
        <v>50</v>
      </c>
      <c r="G50" s="127"/>
    </row>
    <row r="51" spans="1:9" ht="15" x14ac:dyDescent="0.3">
      <c r="A51" s="125" t="s">
        <v>75</v>
      </c>
      <c r="B51" s="127"/>
      <c r="C51" s="4" t="s">
        <v>72</v>
      </c>
      <c r="D51" s="125" t="s">
        <v>76</v>
      </c>
      <c r="E51" s="127"/>
      <c r="F51" s="147">
        <v>45961</v>
      </c>
      <c r="G51" s="127"/>
    </row>
    <row r="52" spans="1:9" ht="14.25" customHeight="1" x14ac:dyDescent="0.3">
      <c r="A52" s="137" t="s">
        <v>77</v>
      </c>
      <c r="B52" s="138"/>
      <c r="C52" s="138"/>
      <c r="D52" s="138"/>
      <c r="E52" s="138"/>
      <c r="F52" s="138"/>
      <c r="G52" s="139"/>
    </row>
    <row r="53" spans="1:9" ht="30" customHeight="1" x14ac:dyDescent="0.3">
      <c r="A53" s="125" t="s">
        <v>78</v>
      </c>
      <c r="B53" s="127"/>
      <c r="C53" s="5">
        <v>14587</v>
      </c>
      <c r="D53" s="125" t="s">
        <v>79</v>
      </c>
      <c r="E53" s="127"/>
      <c r="F53" s="131" t="s">
        <v>263</v>
      </c>
      <c r="G53" s="180"/>
    </row>
    <row r="54" spans="1:9" ht="45.75" customHeight="1" x14ac:dyDescent="0.3">
      <c r="A54" s="60" t="s">
        <v>80</v>
      </c>
      <c r="B54" s="125" t="s">
        <v>227</v>
      </c>
      <c r="C54" s="126"/>
      <c r="D54" s="126"/>
      <c r="E54" s="126"/>
      <c r="F54" s="126"/>
      <c r="G54" s="127"/>
    </row>
    <row r="55" spans="1:9" ht="44.25" customHeight="1" x14ac:dyDescent="0.3">
      <c r="A55" s="60" t="s">
        <v>226</v>
      </c>
      <c r="B55" s="125" t="s">
        <v>231</v>
      </c>
      <c r="C55" s="126"/>
      <c r="D55" s="126"/>
      <c r="E55" s="126"/>
      <c r="F55" s="126"/>
      <c r="G55" s="127"/>
    </row>
    <row r="56" spans="1:9" ht="15" customHeight="1" x14ac:dyDescent="0.3">
      <c r="A56" s="125" t="s">
        <v>81</v>
      </c>
      <c r="B56" s="127"/>
      <c r="C56" s="125" t="s">
        <v>82</v>
      </c>
      <c r="D56" s="126"/>
      <c r="E56" s="126"/>
      <c r="F56" s="126"/>
      <c r="G56" s="127"/>
    </row>
    <row r="57" spans="1:9" ht="15" customHeight="1" x14ac:dyDescent="0.3">
      <c r="A57" s="125" t="s">
        <v>83</v>
      </c>
      <c r="B57" s="126"/>
      <c r="C57" s="126"/>
      <c r="D57" s="126"/>
      <c r="E57" s="126"/>
      <c r="F57" s="126"/>
      <c r="G57" s="127"/>
    </row>
    <row r="58" spans="1:9" ht="14.25" customHeight="1" thickBot="1" x14ac:dyDescent="0.35">
      <c r="A58" s="137" t="s">
        <v>84</v>
      </c>
      <c r="B58" s="138"/>
      <c r="C58" s="138"/>
      <c r="D58" s="138"/>
      <c r="E58" s="138"/>
      <c r="F58" s="138"/>
      <c r="G58" s="139"/>
    </row>
    <row r="59" spans="1:9" s="37" customFormat="1" ht="18" customHeight="1" x14ac:dyDescent="0.35">
      <c r="A59" s="63" t="s">
        <v>191</v>
      </c>
      <c r="B59" s="118" t="s">
        <v>228</v>
      </c>
      <c r="C59" s="118"/>
      <c r="D59" s="118"/>
      <c r="E59" s="118"/>
      <c r="F59" s="118"/>
      <c r="G59" s="119"/>
      <c r="H59" s="35" t="str">
        <f ca="1">(IF(D63&gt;99%,"All work completed. Please provide OC.",IF(D63&gt;89.8%,"Plinth, RCC, Brick, Plaster, Flooring, Painting work Completed. Finishing work is in process.",IF(D63&lt;94%,(IF(B63=0,"Work not yet Started.",IF(C63=25%,"Piling work in process",IF(C63=50%,"Excavation work in process",IF(C63=100%,"Excavation work Completed. ","0")))&amp;(IF(B64=0%,"",IF(B64=I65,"Footing work is process",IF(B64=I66,"Footing work Completed",IF(B64=I67,"1st Basement Completed",IF(B64=I68,"1st &amp; 2nd Basement Completed",IF(B64=I69,"1st to 3rd Basement Completed",IF(B64=I70,"1st to 4th Basement Completed",IF(B64=I71,"Plinth work is process",IF(B64=I72,"Plinth work completed","0")))))))))))&amp;(IF(B65=(C60+E60+G60),", RCC Slab",IF(B65&gt;0,", RCC upto "&amp;B65&amp;" Slab",""))&amp;(IF(B66=G60,", Brickwork",IF(B66&gt;0,", Brickwork upto "&amp;B66&amp;" Floor",""))&amp;(IF(B67=G60,", Internal Plaster",IF(B67&gt;0,", Internal Plaster upto "&amp;B67&amp;" Floor",""))&amp;(IF(B68=G60,", External Plaster",IF(B68&gt;0,", External Plaster upto "&amp;B68&amp;" Floor",""))&amp;(IF(B69=G60,", Flooring",IF(B69&gt;0,", Flooring upto "&amp;B69&amp;" Floor",""))&amp;(IF(B70=G60,", Painting",IF(B70&gt;0,", Painting upto "&amp;B70&amp;" Floor",""))&amp;(IF(B71&gt;0,", Finishing upto "&amp;B71&amp;" Floor","")&amp;(IF(B65&gt;0.5," Completed",""))))))))))))))</f>
        <v>Excavation work Completed. Plinth work completed, RCC Slab, Brickwork, Internal Plaster, External Plaster upto 2 Floor, Flooring upto 1 Floor Completed</v>
      </c>
      <c r="I59" s="36"/>
    </row>
    <row r="60" spans="1:9" s="37" customFormat="1" ht="15.5" x14ac:dyDescent="0.35">
      <c r="A60" s="61">
        <v>0</v>
      </c>
      <c r="B60" s="38" t="s">
        <v>130</v>
      </c>
      <c r="C60" s="38">
        <v>1</v>
      </c>
      <c r="D60" s="38" t="s">
        <v>129</v>
      </c>
      <c r="E60" s="38">
        <v>0</v>
      </c>
      <c r="F60" s="38" t="s">
        <v>192</v>
      </c>
      <c r="G60" s="55">
        <f ca="1">--TRIM(RIGHT(SUBSTITUTE(LEFT(B59,_xlfn.AGGREGATE(16,6,FIND({0,1,2,3,4,5,6,7,8,9},B59,ROW(INDIRECT("1:"&amp;LEN(B59)))),1))," ",REPT(" ",LEN(B59))),LEN(B59)))</f>
        <v>4</v>
      </c>
      <c r="H60" s="39"/>
      <c r="I60" s="40"/>
    </row>
    <row r="61" spans="1:9" s="37" customFormat="1" ht="34.5" customHeight="1" x14ac:dyDescent="0.35">
      <c r="A61" s="64" t="s">
        <v>214</v>
      </c>
      <c r="B61" s="82" t="str">
        <f ca="1">H59</f>
        <v>Excavation work Completed. Plinth work completed, RCC Slab, Brickwork, Internal Plaster, External Plaster upto 2 Floor, Flooring upto 1 Floor Completed</v>
      </c>
      <c r="C61" s="82"/>
      <c r="D61" s="82"/>
      <c r="E61" s="82"/>
      <c r="F61" s="82"/>
      <c r="G61" s="83"/>
      <c r="H61" s="39" t="s">
        <v>193</v>
      </c>
      <c r="I61" s="40"/>
    </row>
    <row r="62" spans="1:9" s="37" customFormat="1" ht="20.25" customHeight="1" x14ac:dyDescent="0.35">
      <c r="A62" s="74" t="s">
        <v>194</v>
      </c>
      <c r="B62" s="51" t="s">
        <v>195</v>
      </c>
      <c r="C62" s="51" t="s">
        <v>196</v>
      </c>
      <c r="D62" s="84" t="s">
        <v>197</v>
      </c>
      <c r="E62" s="85"/>
      <c r="F62" s="84" t="s">
        <v>198</v>
      </c>
      <c r="G62" s="86"/>
      <c r="H62" s="41" t="s">
        <v>199</v>
      </c>
      <c r="I62" s="42">
        <f ca="1">G60*25%</f>
        <v>1</v>
      </c>
    </row>
    <row r="63" spans="1:9" s="37" customFormat="1" ht="15.5" x14ac:dyDescent="0.35">
      <c r="A63" s="61" t="s">
        <v>200</v>
      </c>
      <c r="B63" s="52">
        <f ca="1">I64</f>
        <v>4</v>
      </c>
      <c r="C63" s="53">
        <f ca="1">((100/G60)*B63)/100</f>
        <v>1</v>
      </c>
      <c r="D63" s="87">
        <f ca="1">(((B64/G60*10)+(40/(C60+E60+G60)*B65)+(7.5/(G60)*B66)+(7.5/(G60)*B67)+(10/G60*B68)+(10/G60*B69)+(5/G60*B70)+(5/G60*B71)+(5/G60*B72))/100)</f>
        <v>0.72499999999999998</v>
      </c>
      <c r="E63" s="88"/>
      <c r="F63" s="87">
        <f ca="1">((((B63/G60)*20)+((B64/G60)*25)+(30/(G60+E60+C60)*B65)+(5/G60*B66)+(5/G60*B67)+(5/G60*B68)+(5/G60*B69)+(0/G60*B70)+(0/G60*B71)+(5/G60*B72))/100)</f>
        <v>0.88749999999999996</v>
      </c>
      <c r="G63" s="93"/>
      <c r="H63" s="41" t="s">
        <v>167</v>
      </c>
      <c r="I63" s="43">
        <f ca="1">G60*50%</f>
        <v>2</v>
      </c>
    </row>
    <row r="64" spans="1:9" s="37" customFormat="1" ht="15.5" x14ac:dyDescent="0.35">
      <c r="A64" s="61" t="s">
        <v>160</v>
      </c>
      <c r="B64" s="54">
        <v>4</v>
      </c>
      <c r="C64" s="53">
        <f ca="1">((100/G60)*B64)/100</f>
        <v>1</v>
      </c>
      <c r="D64" s="89"/>
      <c r="E64" s="90"/>
      <c r="F64" s="89"/>
      <c r="G64" s="94"/>
      <c r="H64" s="41" t="s">
        <v>170</v>
      </c>
      <c r="I64" s="43">
        <f ca="1">G60</f>
        <v>4</v>
      </c>
    </row>
    <row r="65" spans="1:13" s="37" customFormat="1" ht="15.75" customHeight="1" x14ac:dyDescent="0.35">
      <c r="A65" s="61" t="s">
        <v>201</v>
      </c>
      <c r="B65" s="54">
        <v>5</v>
      </c>
      <c r="C65" s="53">
        <f ca="1">((100/(C60+E60+G60))*B65)/100</f>
        <v>1</v>
      </c>
      <c r="D65" s="89"/>
      <c r="E65" s="90"/>
      <c r="F65" s="89"/>
      <c r="G65" s="94"/>
      <c r="H65" s="41" t="s">
        <v>171</v>
      </c>
      <c r="I65" s="44">
        <f ca="1">(IF(A60&gt;1,(G60/(A60+2)),G60/4))</f>
        <v>1</v>
      </c>
      <c r="K65" s="45"/>
    </row>
    <row r="66" spans="1:13" s="37" customFormat="1" ht="15.75" customHeight="1" x14ac:dyDescent="0.35">
      <c r="A66" s="61" t="s">
        <v>202</v>
      </c>
      <c r="B66" s="52">
        <v>4</v>
      </c>
      <c r="C66" s="53">
        <f ca="1">((100/G60)*B66)/100</f>
        <v>1</v>
      </c>
      <c r="D66" s="89"/>
      <c r="E66" s="90"/>
      <c r="F66" s="89"/>
      <c r="G66" s="94"/>
      <c r="H66" s="41" t="s">
        <v>172</v>
      </c>
      <c r="I66" s="44">
        <f ca="1">(IF(A60&gt;1,(G60/(A60+2)+I65),G60/4+I65))</f>
        <v>2</v>
      </c>
      <c r="K66" s="45"/>
    </row>
    <row r="67" spans="1:13" s="37" customFormat="1" ht="15.75" customHeight="1" x14ac:dyDescent="0.35">
      <c r="A67" s="61" t="s">
        <v>203</v>
      </c>
      <c r="B67" s="52">
        <v>4</v>
      </c>
      <c r="C67" s="53">
        <f ca="1">((100/G60)*B67)/100</f>
        <v>1</v>
      </c>
      <c r="D67" s="89"/>
      <c r="E67" s="90"/>
      <c r="F67" s="89"/>
      <c r="G67" s="94"/>
      <c r="H67" s="41" t="s">
        <v>204</v>
      </c>
      <c r="I67" s="44">
        <f>(IF(A60&gt;1,(G60/(A60+2)+I66),0))</f>
        <v>0</v>
      </c>
      <c r="K67" s="46"/>
      <c r="M67" s="45"/>
    </row>
    <row r="68" spans="1:13" s="37" customFormat="1" ht="15.75" customHeight="1" x14ac:dyDescent="0.35">
      <c r="A68" s="61" t="s">
        <v>205</v>
      </c>
      <c r="B68" s="52">
        <v>2</v>
      </c>
      <c r="C68" s="53">
        <f ca="1">((100/(G60))*B68)/100</f>
        <v>0.5</v>
      </c>
      <c r="D68" s="89"/>
      <c r="E68" s="90"/>
      <c r="F68" s="89"/>
      <c r="G68" s="94"/>
      <c r="H68" s="41" t="s">
        <v>206</v>
      </c>
      <c r="I68" s="44">
        <f>(IF(A60&gt;2,(G60/(A60+2)+I67),0))</f>
        <v>0</v>
      </c>
      <c r="J68" s="47"/>
      <c r="K68" s="46"/>
    </row>
    <row r="69" spans="1:13" s="37" customFormat="1" ht="15.75" customHeight="1" x14ac:dyDescent="0.35">
      <c r="A69" s="61" t="s">
        <v>207</v>
      </c>
      <c r="B69" s="52">
        <v>1</v>
      </c>
      <c r="C69" s="53">
        <f ca="1">((100/G60)*B69)/100</f>
        <v>0.25</v>
      </c>
      <c r="D69" s="89"/>
      <c r="E69" s="90"/>
      <c r="F69" s="89"/>
      <c r="G69" s="94"/>
      <c r="H69" s="41" t="s">
        <v>208</v>
      </c>
      <c r="I69" s="48">
        <f>(IF(A60&gt;3,(G60/(A60+2)+I68),0))</f>
        <v>0</v>
      </c>
      <c r="J69" s="47"/>
      <c r="K69" s="46"/>
    </row>
    <row r="70" spans="1:13" s="37" customFormat="1" ht="15.75" customHeight="1" x14ac:dyDescent="0.35">
      <c r="A70" s="61" t="s">
        <v>209</v>
      </c>
      <c r="B70" s="52">
        <v>0</v>
      </c>
      <c r="C70" s="53">
        <f ca="1">((100/G60)*B70)/100</f>
        <v>0</v>
      </c>
      <c r="D70" s="89"/>
      <c r="E70" s="90"/>
      <c r="F70" s="89"/>
      <c r="G70" s="94"/>
      <c r="H70" s="41" t="s">
        <v>210</v>
      </c>
      <c r="I70" s="44">
        <f>(IF(A60&gt;4,(G60/(A60+2)+I69),0))</f>
        <v>0</v>
      </c>
      <c r="J70" s="45"/>
      <c r="K70" s="46"/>
    </row>
    <row r="71" spans="1:13" s="37" customFormat="1" ht="15.75" customHeight="1" x14ac:dyDescent="0.35">
      <c r="A71" s="72" t="s">
        <v>211</v>
      </c>
      <c r="B71" s="52">
        <v>0</v>
      </c>
      <c r="C71" s="53">
        <f ca="1">((100/(G60))*B71)/100</f>
        <v>0</v>
      </c>
      <c r="D71" s="89"/>
      <c r="E71" s="90"/>
      <c r="F71" s="89"/>
      <c r="G71" s="94"/>
      <c r="H71" s="41" t="s">
        <v>173</v>
      </c>
      <c r="I71" s="44">
        <f ca="1">(IF(A60=1,(G60/(A60+3)+I66),IF(A60=0,(G60/4+I66),IF(A60&gt;1,0))))</f>
        <v>3</v>
      </c>
      <c r="J71" s="47"/>
      <c r="K71" s="46"/>
    </row>
    <row r="72" spans="1:13" s="37" customFormat="1" ht="16" thickBot="1" x14ac:dyDescent="0.4">
      <c r="A72" s="65" t="s">
        <v>212</v>
      </c>
      <c r="B72" s="56">
        <v>0</v>
      </c>
      <c r="C72" s="57">
        <f ca="1">((100/(G60))*B72)/100</f>
        <v>0</v>
      </c>
      <c r="D72" s="91"/>
      <c r="E72" s="92"/>
      <c r="F72" s="91"/>
      <c r="G72" s="95"/>
      <c r="H72" s="49" t="s">
        <v>174</v>
      </c>
      <c r="I72" s="50">
        <f ca="1">(IF(A60&gt;1.5,(G60/(A60+2)+I66+MAX(0,I67-I66)+MAX(0,I68-I67)+MAX(0,I69-I68)+MAX(0,I70-I69)+MAX(0,I71-I70)),IF(A60=1,(G60/(A60+3)+I71),IF(A60=0,G60/4+I71))))</f>
        <v>4</v>
      </c>
      <c r="J72" s="47"/>
      <c r="K72" s="46"/>
    </row>
    <row r="73" spans="1:13" s="37" customFormat="1" ht="15.5" x14ac:dyDescent="0.35">
      <c r="A73" s="63" t="s">
        <v>191</v>
      </c>
      <c r="B73" s="118" t="s">
        <v>274</v>
      </c>
      <c r="C73" s="118"/>
      <c r="D73" s="118"/>
      <c r="E73" s="118"/>
      <c r="F73" s="118"/>
      <c r="G73" s="119"/>
      <c r="H73" s="35" t="str">
        <f ca="1">(IF(D77&gt;99%,"All work completed. Please provide OC.",IF(D77&gt;89.8%,"Plinth, RCC, Brick, Plaster, Flooring, Painting work Completed. Finishing work is in process.",IF(D77&lt;94%,(IF(B77=0,"Work not yet Started.",IF(C77=25%,"Piling work in process",IF(C77=50%,"Excavation work in process",IF(C77=100%,"Excavation work Completed. ","0")))&amp;(IF(B78=0%,"",IF(B78=I79,"Footing work is process",IF(B78=I80,"Footing work Completed",IF(B78=I81,"1st Basement Completed",IF(B78=I82,"1st &amp; 2nd Basement Completed",IF(B78=I83,"1st to 3rd Basement Completed",IF(B78=I84,"1st to 4th Basement Completed",IF(B78=I85,"Plinth work is process",IF(B78=I86,"Plinth work completed","0")))))))))))&amp;(IF(B79=(C74+E74+G74),", RCC Slab",IF(B79&gt;0,", RCC upto "&amp;B79&amp;" Slab",""))&amp;(IF(B80=G74,", Brickwork",IF(B80&gt;0,", Brickwork upto "&amp;B80&amp;" Floor",""))&amp;(IF(B81=G74,", Internal Plaster",IF(B81&gt;0,", Internal Plaster upto "&amp;B81&amp;" Floor",""))&amp;(IF(B82=G74,", External Plaster",IF(B82&gt;0,", External Plaster upto "&amp;B82&amp;" Floor",""))&amp;(IF(B83=G74,", Flooring",IF(B83&gt;0,", Flooring upto "&amp;B83&amp;" Floor",""))&amp;(IF(B84=G74,", Painting",IF(B84&gt;0,", Painting upto "&amp;B84&amp;" Floor",""))&amp;(IF(B85&gt;0,", Finishing upto "&amp;B85&amp;" Floor","")&amp;(IF(B79&gt;0.5," Completed",""))))))))))))))</f>
        <v>Excavation work Completed. Plinth work completed, RCC Slab, Brickwork, Internal Plaster, External Plaster, Flooring upto 3 Floor, Painting upto 3 Floor Completed</v>
      </c>
      <c r="I73" s="36"/>
    </row>
    <row r="74" spans="1:13" s="37" customFormat="1" ht="15.5" x14ac:dyDescent="0.35">
      <c r="A74" s="61">
        <v>0</v>
      </c>
      <c r="B74" s="38" t="s">
        <v>130</v>
      </c>
      <c r="C74" s="38">
        <v>1</v>
      </c>
      <c r="D74" s="38" t="s">
        <v>129</v>
      </c>
      <c r="E74" s="38">
        <v>0</v>
      </c>
      <c r="F74" s="38" t="s">
        <v>192</v>
      </c>
      <c r="G74" s="55">
        <f ca="1">--TRIM(RIGHT(SUBSTITUTE(LEFT(B73,_xlfn.AGGREGATE(16,6,FIND({0,1,2,3,4,5,6,7,8,9},B73,ROW(INDIRECT("1:"&amp;LEN(B73)))),1))," ",REPT(" ",LEN(B73))),LEN(B73)))</f>
        <v>4</v>
      </c>
      <c r="H74" s="39"/>
      <c r="I74" s="40"/>
    </row>
    <row r="75" spans="1:13" s="37" customFormat="1" ht="35.5" customHeight="1" x14ac:dyDescent="0.35">
      <c r="A75" s="66" t="s">
        <v>213</v>
      </c>
      <c r="B75" s="82" t="str">
        <f ca="1">H73</f>
        <v>Excavation work Completed. Plinth work completed, RCC Slab, Brickwork, Internal Plaster, External Plaster, Flooring upto 3 Floor, Painting upto 3 Floor Completed</v>
      </c>
      <c r="C75" s="82"/>
      <c r="D75" s="82"/>
      <c r="E75" s="82"/>
      <c r="F75" s="82"/>
      <c r="G75" s="83"/>
      <c r="H75" s="39" t="s">
        <v>193</v>
      </c>
      <c r="I75" s="40"/>
    </row>
    <row r="76" spans="1:13" s="37" customFormat="1" ht="15.5" x14ac:dyDescent="0.35">
      <c r="A76" s="61" t="s">
        <v>194</v>
      </c>
      <c r="B76" s="51" t="s">
        <v>195</v>
      </c>
      <c r="C76" s="59" t="s">
        <v>196</v>
      </c>
      <c r="D76" s="84" t="s">
        <v>197</v>
      </c>
      <c r="E76" s="85"/>
      <c r="F76" s="84" t="s">
        <v>198</v>
      </c>
      <c r="G76" s="86"/>
      <c r="H76" s="41" t="s">
        <v>199</v>
      </c>
      <c r="I76" s="42">
        <f ca="1">G74*25%</f>
        <v>1</v>
      </c>
    </row>
    <row r="77" spans="1:13" s="37" customFormat="1" ht="15.5" x14ac:dyDescent="0.35">
      <c r="A77" s="194" t="s">
        <v>200</v>
      </c>
      <c r="B77" s="52">
        <f ca="1">I78</f>
        <v>4</v>
      </c>
      <c r="C77" s="53">
        <f ca="1">((100/G74)*B77)/100</f>
        <v>1</v>
      </c>
      <c r="D77" s="195">
        <f ca="1">(((B78/G74*10)+(40/(C74+E74+G74)*B79)+(7.5/(G74)*B80)+(7.5/(G74)*B81)+(10/G74*B82)+(10/G74*B83)+(5/G74*B84)+(5/G74*B85)+(5/G74*B86))/100)</f>
        <v>0.86250000000000004</v>
      </c>
      <c r="E77" s="195"/>
      <c r="F77" s="195">
        <f ca="1">((((B77/G74)*20)+((B78/G74)*25)+(30/(G74+E74+C74)*B79)+(5/G74*B80)+(5/G74*B81)+(5/G74*B82)+(5/G74*B83)+(0/G74*B84)+(0/G74*B85)+(5/G74*B86))/100)</f>
        <v>0.9375</v>
      </c>
      <c r="G77" s="195"/>
      <c r="H77" s="41" t="s">
        <v>167</v>
      </c>
      <c r="I77" s="43">
        <f ca="1">G74*50%</f>
        <v>2</v>
      </c>
    </row>
    <row r="78" spans="1:13" s="37" customFormat="1" ht="15.5" x14ac:dyDescent="0.35">
      <c r="A78" s="194" t="s">
        <v>160</v>
      </c>
      <c r="B78" s="54">
        <f ca="1">I86</f>
        <v>4</v>
      </c>
      <c r="C78" s="53">
        <f ca="1">((100/G74)*B78)/100</f>
        <v>1</v>
      </c>
      <c r="D78" s="195"/>
      <c r="E78" s="195"/>
      <c r="F78" s="195"/>
      <c r="G78" s="195"/>
      <c r="H78" s="41" t="s">
        <v>170</v>
      </c>
      <c r="I78" s="43">
        <f ca="1">G74</f>
        <v>4</v>
      </c>
    </row>
    <row r="79" spans="1:13" s="37" customFormat="1" ht="15.75" customHeight="1" x14ac:dyDescent="0.35">
      <c r="A79" s="194" t="s">
        <v>201</v>
      </c>
      <c r="B79" s="54">
        <v>5</v>
      </c>
      <c r="C79" s="53">
        <f ca="1">((100/(C74+E74+G74))*B79)/100</f>
        <v>1</v>
      </c>
      <c r="D79" s="195"/>
      <c r="E79" s="195"/>
      <c r="F79" s="195"/>
      <c r="G79" s="195"/>
      <c r="H79" s="41" t="s">
        <v>171</v>
      </c>
      <c r="I79" s="44">
        <f ca="1">(IF(A74&gt;1,(G74/(A74+2)),G74/4))</f>
        <v>1</v>
      </c>
      <c r="K79" s="45"/>
    </row>
    <row r="80" spans="1:13" s="37" customFormat="1" ht="15.75" customHeight="1" x14ac:dyDescent="0.35">
      <c r="A80" s="194" t="s">
        <v>202</v>
      </c>
      <c r="B80" s="52">
        <v>4</v>
      </c>
      <c r="C80" s="53">
        <f ca="1">((100/G74)*B80)/100</f>
        <v>1</v>
      </c>
      <c r="D80" s="195"/>
      <c r="E80" s="195"/>
      <c r="F80" s="195"/>
      <c r="G80" s="195"/>
      <c r="H80" s="41" t="s">
        <v>172</v>
      </c>
      <c r="I80" s="44">
        <f ca="1">(IF(A74&gt;1,(G74/(A74+2)+I79),G74/4+I79))</f>
        <v>2</v>
      </c>
      <c r="K80" s="45"/>
    </row>
    <row r="81" spans="1:13" s="37" customFormat="1" ht="15.75" customHeight="1" x14ac:dyDescent="0.35">
      <c r="A81" s="194" t="s">
        <v>203</v>
      </c>
      <c r="B81" s="52">
        <v>4</v>
      </c>
      <c r="C81" s="53">
        <f ca="1">((100/G74)*B81)/100</f>
        <v>1</v>
      </c>
      <c r="D81" s="195"/>
      <c r="E81" s="195"/>
      <c r="F81" s="195"/>
      <c r="G81" s="195"/>
      <c r="H81" s="41" t="s">
        <v>204</v>
      </c>
      <c r="I81" s="44">
        <f>(IF(A74&gt;1,(G74/(A74+2)+I80),0))</f>
        <v>0</v>
      </c>
      <c r="K81" s="46"/>
      <c r="M81" s="45"/>
    </row>
    <row r="82" spans="1:13" s="37" customFormat="1" ht="15.75" customHeight="1" x14ac:dyDescent="0.35">
      <c r="A82" s="194" t="s">
        <v>205</v>
      </c>
      <c r="B82" s="52">
        <v>4</v>
      </c>
      <c r="C82" s="53">
        <f ca="1">((100/(G74))*B82)/100</f>
        <v>1</v>
      </c>
      <c r="D82" s="195"/>
      <c r="E82" s="195"/>
      <c r="F82" s="195"/>
      <c r="G82" s="195"/>
      <c r="H82" s="41" t="s">
        <v>206</v>
      </c>
      <c r="I82" s="44">
        <f>(IF(A74&gt;2,(G74/(A74+2)+I81),0))</f>
        <v>0</v>
      </c>
      <c r="J82" s="47"/>
      <c r="K82" s="46"/>
    </row>
    <row r="83" spans="1:13" s="37" customFormat="1" ht="15.75" customHeight="1" x14ac:dyDescent="0.35">
      <c r="A83" s="194" t="s">
        <v>207</v>
      </c>
      <c r="B83" s="52">
        <v>3</v>
      </c>
      <c r="C83" s="53">
        <f ca="1">((100/G74)*B83)/100</f>
        <v>0.75</v>
      </c>
      <c r="D83" s="195"/>
      <c r="E83" s="195"/>
      <c r="F83" s="195"/>
      <c r="G83" s="195"/>
      <c r="H83" s="41" t="s">
        <v>208</v>
      </c>
      <c r="I83" s="48">
        <f>(IF(A74&gt;3,(G74/(A74+2)+I82),0))</f>
        <v>0</v>
      </c>
      <c r="J83" s="47"/>
      <c r="K83" s="46"/>
    </row>
    <row r="84" spans="1:13" s="37" customFormat="1" ht="15.75" customHeight="1" x14ac:dyDescent="0.35">
      <c r="A84" s="194" t="s">
        <v>209</v>
      </c>
      <c r="B84" s="52">
        <v>3</v>
      </c>
      <c r="C84" s="53">
        <f ca="1">((100/G74)*B84)/100</f>
        <v>0.75</v>
      </c>
      <c r="D84" s="195"/>
      <c r="E84" s="195"/>
      <c r="F84" s="195"/>
      <c r="G84" s="195"/>
      <c r="H84" s="41" t="s">
        <v>210</v>
      </c>
      <c r="I84" s="44">
        <f>(IF(A74&gt;4,(G74/(A74+2)+I83),0))</f>
        <v>0</v>
      </c>
      <c r="J84" s="45"/>
      <c r="K84" s="46"/>
    </row>
    <row r="85" spans="1:13" s="37" customFormat="1" ht="15.75" customHeight="1" x14ac:dyDescent="0.35">
      <c r="A85" s="196" t="s">
        <v>211</v>
      </c>
      <c r="B85" s="52">
        <v>0</v>
      </c>
      <c r="C85" s="53">
        <f ca="1">((100/(G74))*B85)/100</f>
        <v>0</v>
      </c>
      <c r="D85" s="195"/>
      <c r="E85" s="195"/>
      <c r="F85" s="195"/>
      <c r="G85" s="195"/>
      <c r="H85" s="41" t="s">
        <v>173</v>
      </c>
      <c r="I85" s="44">
        <f ca="1">(IF(A74=1,(G74/(A74+3)+I80),IF(A74=0,(G74/4+I80),IF(A74&gt;1,0))))</f>
        <v>3</v>
      </c>
      <c r="J85" s="47"/>
      <c r="K85" s="46"/>
    </row>
    <row r="86" spans="1:13" s="37" customFormat="1" ht="16" thickBot="1" x14ac:dyDescent="0.4">
      <c r="A86" s="194" t="s">
        <v>212</v>
      </c>
      <c r="B86" s="52">
        <v>0</v>
      </c>
      <c r="C86" s="53">
        <f ca="1">((100/(G74))*B86)/100</f>
        <v>0</v>
      </c>
      <c r="D86" s="195"/>
      <c r="E86" s="195"/>
      <c r="F86" s="195"/>
      <c r="G86" s="195"/>
      <c r="H86" s="49" t="s">
        <v>174</v>
      </c>
      <c r="I86" s="50">
        <f ca="1">(IF(A74&gt;1.5,(G74/(A74+2)+I80+MAX(0,I81-I80)+MAX(0,I82-I81)+MAX(0,I83-I82)+MAX(0,I84-I83)+MAX(0,I85-I84)),IF(A74=1,(G74/(A74+3)+I85),IF(A74=0,G74/4+I85))))</f>
        <v>4</v>
      </c>
      <c r="J86" s="47"/>
      <c r="K86" s="46"/>
    </row>
    <row r="87" spans="1:13" s="37" customFormat="1" ht="15.5" x14ac:dyDescent="0.35">
      <c r="A87" s="197" t="s">
        <v>191</v>
      </c>
      <c r="B87" s="82" t="s">
        <v>278</v>
      </c>
      <c r="C87" s="82"/>
      <c r="D87" s="82"/>
      <c r="E87" s="82"/>
      <c r="F87" s="82"/>
      <c r="G87" s="82"/>
      <c r="H87" s="35" t="str">
        <f ca="1">(IF(D91&gt;99%,"All work completed. Please provide OC.",IF(D91&gt;89.8%,"Plinth, RCC, Brick, Plaster, Flooring, Painting work Completed. Finishing work is in process.",IF(D91&lt;94%,(IF(B91=0,"Work not yet Started.",IF(C91=25%,"Piling work in process",IF(C91=50%,"Excavation work in process",IF(C91=100%,"Excavation work Completed. ","0")))&amp;(IF(B92=0%,"",IF(B92=I93,"Footing work is process",IF(B92=I94,"Footing work Completed",IF(B92=I95,"1st Basement Completed",IF(B92=I96,"1st &amp; 2nd Basement Completed",IF(B92=I97,"1st to 3rd Basement Completed",IF(B92=I98,"1st to 4th Basement Completed",IF(B92=I99,"Plinth work is process",IF(B92=I100,"Plinth work completed","0")))))))))))&amp;(IF(B93=(C88+E88+G88),", RCC Slab",IF(B93&gt;0,", RCC upto "&amp;B93&amp;" Slab",""))&amp;(IF(B94=G88,", Brickwork",IF(B94&gt;0,", Brickwork upto "&amp;B94&amp;" Floor",""))&amp;(IF(B95=G88,", Internal Plaster",IF(B95&gt;0,", Internal Plaster upto "&amp;B95&amp;" Floor",""))&amp;(IF(B96=G88,", External Plaster",IF(B96&gt;0,", External Plaster upto "&amp;B96&amp;" Floor",""))&amp;(IF(B97=G88,", Flooring",IF(B97&gt;0,", Flooring upto "&amp;B97&amp;" Floor",""))&amp;(IF(B98=G88,", Painting",IF(B98&gt;0,", Painting upto "&amp;B98&amp;" Floor",""))&amp;(IF(B99&gt;0,", Finishing upto "&amp;B99&amp;" Floor","")&amp;(IF(B93&gt;0.5," Completed",""))))))))))))))</f>
        <v>Excavation work Completed. Plinth work completed, RCC Slab, Brickwork, Internal Plaster, External Plaster, Flooring upto 3 Floor, Painting upto 3 Floor Completed</v>
      </c>
      <c r="I87" s="36"/>
    </row>
    <row r="88" spans="1:13" s="37" customFormat="1" ht="15.5" x14ac:dyDescent="0.35">
      <c r="A88" s="194">
        <v>0</v>
      </c>
      <c r="B88" s="38" t="s">
        <v>130</v>
      </c>
      <c r="C88" s="38">
        <v>1</v>
      </c>
      <c r="D88" s="38" t="s">
        <v>129</v>
      </c>
      <c r="E88" s="38">
        <v>0</v>
      </c>
      <c r="F88" s="38" t="s">
        <v>192</v>
      </c>
      <c r="G88" s="38">
        <f ca="1">--TRIM(RIGHT(SUBSTITUTE(LEFT(B87,_xlfn.AGGREGATE(16,6,FIND({0,1,2,3,4,5,6,7,8,9},B87,ROW(INDIRECT("1:"&amp;LEN(B87)))),1))," ",REPT(" ",LEN(B87))),LEN(B87)))</f>
        <v>4</v>
      </c>
      <c r="H88" s="39"/>
      <c r="I88" s="40"/>
    </row>
    <row r="89" spans="1:13" s="37" customFormat="1" ht="35.5" customHeight="1" x14ac:dyDescent="0.35">
      <c r="A89" s="198" t="s">
        <v>213</v>
      </c>
      <c r="B89" s="82" t="str">
        <f ca="1">H87</f>
        <v>Excavation work Completed. Plinth work completed, RCC Slab, Brickwork, Internal Plaster, External Plaster, Flooring upto 3 Floor, Painting upto 3 Floor Completed</v>
      </c>
      <c r="C89" s="82"/>
      <c r="D89" s="82"/>
      <c r="E89" s="82"/>
      <c r="F89" s="82"/>
      <c r="G89" s="82"/>
      <c r="H89" s="39" t="s">
        <v>193</v>
      </c>
      <c r="I89" s="40"/>
    </row>
    <row r="90" spans="1:13" s="37" customFormat="1" ht="15.5" x14ac:dyDescent="0.35">
      <c r="A90" s="194" t="s">
        <v>194</v>
      </c>
      <c r="B90" s="51" t="s">
        <v>195</v>
      </c>
      <c r="C90" s="59" t="s">
        <v>196</v>
      </c>
      <c r="D90" s="199" t="s">
        <v>197</v>
      </c>
      <c r="E90" s="199"/>
      <c r="F90" s="199" t="s">
        <v>198</v>
      </c>
      <c r="G90" s="199"/>
      <c r="H90" s="41" t="s">
        <v>199</v>
      </c>
      <c r="I90" s="42">
        <f ca="1">G88*25%</f>
        <v>1</v>
      </c>
    </row>
    <row r="91" spans="1:13" s="37" customFormat="1" ht="15.5" x14ac:dyDescent="0.35">
      <c r="A91" s="61" t="s">
        <v>200</v>
      </c>
      <c r="B91" s="52">
        <f ca="1">I92</f>
        <v>4</v>
      </c>
      <c r="C91" s="53">
        <f ca="1">((100/G88)*B91)/100</f>
        <v>1</v>
      </c>
      <c r="D91" s="87">
        <f ca="1">(((B92/G88*10)+(40/(C88+E88+G88)*B93)+(7.5/(G88)*B94)+(7.5/(G88)*B95)+(10/G88*B96)+(10/G88*B97)+(5/G88*B98)+(5/G88*B99)+(5/G88*B100))/100)</f>
        <v>0.86250000000000004</v>
      </c>
      <c r="E91" s="88"/>
      <c r="F91" s="87">
        <f ca="1">((((B91/G88)*20)+((B92/G88)*25)+(30/(G88+E88+C88)*B93)+(5/G88*B94)+(5/G88*B95)+(5/G88*B96)+(5/G88*B97)+(0/G88*B98)+(0/G88*B99)+(5/G88*B100))/100)</f>
        <v>0.9375</v>
      </c>
      <c r="G91" s="93"/>
      <c r="H91" s="41" t="s">
        <v>167</v>
      </c>
      <c r="I91" s="43">
        <f ca="1">G88*50%</f>
        <v>2</v>
      </c>
    </row>
    <row r="92" spans="1:13" s="37" customFormat="1" ht="15.5" x14ac:dyDescent="0.35">
      <c r="A92" s="61" t="s">
        <v>160</v>
      </c>
      <c r="B92" s="54">
        <f ca="1">I100</f>
        <v>4</v>
      </c>
      <c r="C92" s="53">
        <f ca="1">((100/G88)*B92)/100</f>
        <v>1</v>
      </c>
      <c r="D92" s="89"/>
      <c r="E92" s="90"/>
      <c r="F92" s="89"/>
      <c r="G92" s="94"/>
      <c r="H92" s="41" t="s">
        <v>170</v>
      </c>
      <c r="I92" s="43">
        <f ca="1">G88</f>
        <v>4</v>
      </c>
    </row>
    <row r="93" spans="1:13" s="37" customFormat="1" ht="15.75" customHeight="1" x14ac:dyDescent="0.35">
      <c r="A93" s="61" t="s">
        <v>201</v>
      </c>
      <c r="B93" s="54">
        <v>5</v>
      </c>
      <c r="C93" s="53">
        <f ca="1">((100/(C88+E88+G88))*B93)/100</f>
        <v>1</v>
      </c>
      <c r="D93" s="89"/>
      <c r="E93" s="90"/>
      <c r="F93" s="89"/>
      <c r="G93" s="94"/>
      <c r="H93" s="41" t="s">
        <v>171</v>
      </c>
      <c r="I93" s="44">
        <f ca="1">(IF(A88&gt;1,(G88/(A88+2)),G88/4))</f>
        <v>1</v>
      </c>
      <c r="K93" s="45"/>
    </row>
    <row r="94" spans="1:13" s="37" customFormat="1" ht="15.75" customHeight="1" x14ac:dyDescent="0.35">
      <c r="A94" s="61" t="s">
        <v>202</v>
      </c>
      <c r="B94" s="52">
        <v>4</v>
      </c>
      <c r="C94" s="53">
        <f ca="1">((100/G88)*B94)/100</f>
        <v>1</v>
      </c>
      <c r="D94" s="89"/>
      <c r="E94" s="90"/>
      <c r="F94" s="89"/>
      <c r="G94" s="94"/>
      <c r="H94" s="41" t="s">
        <v>172</v>
      </c>
      <c r="I94" s="44">
        <f ca="1">(IF(A88&gt;1,(G88/(A88+2)+I93),G88/4+I93))</f>
        <v>2</v>
      </c>
      <c r="K94" s="45"/>
    </row>
    <row r="95" spans="1:13" s="37" customFormat="1" ht="15.75" customHeight="1" x14ac:dyDescent="0.35">
      <c r="A95" s="61" t="s">
        <v>203</v>
      </c>
      <c r="B95" s="52">
        <v>4</v>
      </c>
      <c r="C95" s="53">
        <f ca="1">((100/G88)*B95)/100</f>
        <v>1</v>
      </c>
      <c r="D95" s="89"/>
      <c r="E95" s="90"/>
      <c r="F95" s="89"/>
      <c r="G95" s="94"/>
      <c r="H95" s="41" t="s">
        <v>204</v>
      </c>
      <c r="I95" s="44">
        <f>(IF(A88&gt;1,(G88/(A88+2)+I94),0))</f>
        <v>0</v>
      </c>
      <c r="K95" s="46"/>
      <c r="M95" s="45"/>
    </row>
    <row r="96" spans="1:13" s="37" customFormat="1" ht="15.75" customHeight="1" x14ac:dyDescent="0.35">
      <c r="A96" s="61" t="s">
        <v>205</v>
      </c>
      <c r="B96" s="52">
        <v>4</v>
      </c>
      <c r="C96" s="53">
        <f ca="1">((100/(G88))*B96)/100</f>
        <v>1</v>
      </c>
      <c r="D96" s="89"/>
      <c r="E96" s="90"/>
      <c r="F96" s="89"/>
      <c r="G96" s="94"/>
      <c r="H96" s="41" t="s">
        <v>206</v>
      </c>
      <c r="I96" s="44">
        <f>(IF(A88&gt;2,(G88/(A88+2)+I95),0))</f>
        <v>0</v>
      </c>
      <c r="J96" s="47"/>
      <c r="K96" s="46"/>
    </row>
    <row r="97" spans="1:13" s="37" customFormat="1" ht="15.75" customHeight="1" x14ac:dyDescent="0.35">
      <c r="A97" s="61" t="s">
        <v>207</v>
      </c>
      <c r="B97" s="52">
        <v>3</v>
      </c>
      <c r="C97" s="53">
        <f ca="1">((100/G88)*B97)/100</f>
        <v>0.75</v>
      </c>
      <c r="D97" s="89"/>
      <c r="E97" s="90"/>
      <c r="F97" s="89"/>
      <c r="G97" s="94"/>
      <c r="H97" s="41" t="s">
        <v>208</v>
      </c>
      <c r="I97" s="48">
        <f>(IF(A88&gt;3,(G88/(A88+2)+I96),0))</f>
        <v>0</v>
      </c>
      <c r="J97" s="47"/>
      <c r="K97" s="46"/>
    </row>
    <row r="98" spans="1:13" s="37" customFormat="1" ht="15.75" customHeight="1" x14ac:dyDescent="0.35">
      <c r="A98" s="61" t="s">
        <v>209</v>
      </c>
      <c r="B98" s="52">
        <v>3</v>
      </c>
      <c r="C98" s="53">
        <f ca="1">((100/G88)*B98)/100</f>
        <v>0.75</v>
      </c>
      <c r="D98" s="89"/>
      <c r="E98" s="90"/>
      <c r="F98" s="89"/>
      <c r="G98" s="94"/>
      <c r="H98" s="41" t="s">
        <v>210</v>
      </c>
      <c r="I98" s="44">
        <f>(IF(A88&gt;4,(G88/(A88+2)+I97),0))</f>
        <v>0</v>
      </c>
      <c r="J98" s="45"/>
      <c r="K98" s="46"/>
    </row>
    <row r="99" spans="1:13" s="37" customFormat="1" ht="15.75" customHeight="1" x14ac:dyDescent="0.35">
      <c r="A99" s="72" t="s">
        <v>211</v>
      </c>
      <c r="B99" s="52">
        <v>0</v>
      </c>
      <c r="C99" s="53">
        <f ca="1">((100/(G88))*B99)/100</f>
        <v>0</v>
      </c>
      <c r="D99" s="89"/>
      <c r="E99" s="90"/>
      <c r="F99" s="89"/>
      <c r="G99" s="94"/>
      <c r="H99" s="41" t="s">
        <v>173</v>
      </c>
      <c r="I99" s="44">
        <f ca="1">(IF(A88=1,(G88/(A88+3)+I94),IF(A88=0,(G88/4+I94),IF(A88&gt;1,0))))</f>
        <v>3</v>
      </c>
      <c r="J99" s="47"/>
      <c r="K99" s="46"/>
    </row>
    <row r="100" spans="1:13" s="37" customFormat="1" ht="16" thickBot="1" x14ac:dyDescent="0.4">
      <c r="A100" s="65" t="s">
        <v>212</v>
      </c>
      <c r="B100" s="56">
        <v>0</v>
      </c>
      <c r="C100" s="57">
        <f ca="1">((100/(G88))*B100)/100</f>
        <v>0</v>
      </c>
      <c r="D100" s="91"/>
      <c r="E100" s="92"/>
      <c r="F100" s="91"/>
      <c r="G100" s="95"/>
      <c r="H100" s="49" t="s">
        <v>174</v>
      </c>
      <c r="I100" s="50">
        <f ca="1">(IF(A88&gt;1.5,(G88/(A88+2)+I94+MAX(0,I95-I94)+MAX(0,I96-I95)+MAX(0,I97-I96)+MAX(0,I98-I97)+MAX(0,I99-I98)),IF(A88=1,(G88/(A88+3)+I99),IF(A88=0,G88/4+I99))))</f>
        <v>4</v>
      </c>
      <c r="J100" s="47"/>
      <c r="K100" s="46"/>
    </row>
    <row r="101" spans="1:13" s="37" customFormat="1" ht="15.5" x14ac:dyDescent="0.35">
      <c r="A101" s="63" t="s">
        <v>191</v>
      </c>
      <c r="B101" s="118" t="s">
        <v>230</v>
      </c>
      <c r="C101" s="118"/>
      <c r="D101" s="118"/>
      <c r="E101" s="118"/>
      <c r="F101" s="118"/>
      <c r="G101" s="119"/>
      <c r="H101" s="35" t="str">
        <f ca="1">(IF(D105&gt;99%,"All work completed. Please provide OC.",IF(D105&gt;89.8%,"Plinth, RCC, Brick, Plaster, Flooring, Painting work Completed. Finishing work is in process.",IF(D105&lt;94%,(IF(B105=0,"Work not yet Started.",IF(C105=25%,"Piling work in process",IF(C105=50%,"Excavation work in process",IF(C105=100%,"Excavation work Completed. ","0")))&amp;(IF(B106=0%,"",IF(B106=I107,"Footing work is process",IF(B106=I108,"Footing work Completed",IF(B106=I109,"1st Basement Completed",IF(B106=I110,"1st &amp; 2nd Basement Completed",IF(B106=I111,"1st to 3rd Basement Completed",IF(B106=I112,"1st to 4th Basement Completed",IF(B106=I113,"Plinth work is process",IF(B106=I114,"Plinth work completed","0")))))))))))&amp;(IF(B107=(C102+E102+G102),", RCC Slab",IF(B107&gt;0,", RCC upto "&amp;B107&amp;" Slab",""))&amp;(IF(B108=G102,", Brickwork",IF(B108&gt;0,", Brickwork upto "&amp;B108&amp;" Floor",""))&amp;(IF(B109=G102,", Internal Plaster",IF(B109&gt;0,", Internal Plaster upto "&amp;B109&amp;" Floor",""))&amp;(IF(B110=G102,", External Plaster",IF(B110&gt;0,", External Plaster upto "&amp;B110&amp;" Floor",""))&amp;(IF(B111=G102,", Flooring",IF(B111&gt;0,", Flooring upto "&amp;B111&amp;" Floor",""))&amp;(IF(B112=G102,", Painting",IF(B112&gt;0,", Painting upto "&amp;B112&amp;" Floor",""))&amp;(IF(B113&gt;0,", Finishing upto "&amp;B113&amp;" Floor","")&amp;(IF(B107&gt;0.5," Completed",""))))))))))))))</f>
        <v>Excavation work Completed. Plinth work completed, RCC Slab, Brickwork, Internal Plaster, External Plaster, Flooring upto 3 Floor, Painting upto 2 Floor Completed</v>
      </c>
      <c r="I101" s="36"/>
    </row>
    <row r="102" spans="1:13" s="37" customFormat="1" ht="15.5" x14ac:dyDescent="0.35">
      <c r="A102" s="61">
        <v>0</v>
      </c>
      <c r="B102" s="38" t="s">
        <v>130</v>
      </c>
      <c r="C102" s="38">
        <v>1</v>
      </c>
      <c r="D102" s="38" t="s">
        <v>129</v>
      </c>
      <c r="E102" s="38">
        <v>0</v>
      </c>
      <c r="F102" s="38" t="s">
        <v>192</v>
      </c>
      <c r="G102" s="55">
        <f ca="1">--TRIM(RIGHT(SUBSTITUTE(LEFT(B101,_xlfn.AGGREGATE(16,6,FIND({0,1,2,3,4,5,6,7,8,9},B101,ROW(INDIRECT("1:"&amp;LEN(B101)))),1))," ",REPT(" ",LEN(B101))),LEN(B101)))</f>
        <v>4</v>
      </c>
      <c r="H102" s="39"/>
      <c r="I102" s="40"/>
    </row>
    <row r="103" spans="1:13" s="37" customFormat="1" ht="35.5" customHeight="1" x14ac:dyDescent="0.35">
      <c r="A103" s="66" t="s">
        <v>213</v>
      </c>
      <c r="B103" s="82" t="str">
        <f ca="1">H101</f>
        <v>Excavation work Completed. Plinth work completed, RCC Slab, Brickwork, Internal Plaster, External Plaster, Flooring upto 3 Floor, Painting upto 2 Floor Completed</v>
      </c>
      <c r="C103" s="82"/>
      <c r="D103" s="82"/>
      <c r="E103" s="82"/>
      <c r="F103" s="82"/>
      <c r="G103" s="83"/>
      <c r="H103" s="39" t="s">
        <v>193</v>
      </c>
      <c r="I103" s="40"/>
    </row>
    <row r="104" spans="1:13" s="37" customFormat="1" ht="15.5" x14ac:dyDescent="0.35">
      <c r="A104" s="61" t="s">
        <v>194</v>
      </c>
      <c r="B104" s="51" t="s">
        <v>195</v>
      </c>
      <c r="C104" s="59" t="s">
        <v>196</v>
      </c>
      <c r="D104" s="84" t="s">
        <v>197</v>
      </c>
      <c r="E104" s="85"/>
      <c r="F104" s="84" t="s">
        <v>198</v>
      </c>
      <c r="G104" s="86"/>
      <c r="H104" s="41" t="s">
        <v>199</v>
      </c>
      <c r="I104" s="42">
        <f ca="1">G102*25%</f>
        <v>1</v>
      </c>
    </row>
    <row r="105" spans="1:13" s="37" customFormat="1" ht="15.5" x14ac:dyDescent="0.35">
      <c r="A105" s="61" t="s">
        <v>200</v>
      </c>
      <c r="B105" s="52">
        <f ca="1">I106</f>
        <v>4</v>
      </c>
      <c r="C105" s="53">
        <f ca="1">((100/G102)*B105)/100</f>
        <v>1</v>
      </c>
      <c r="D105" s="87">
        <f ca="1">(((B106/G102*10)+(40/(C102+E102+G102)*B107)+(7.5/(G102)*B108)+(7.5/(G102)*B109)+(10/G102*B110)+(10/G102*B111)+(5/G102*B112)+(5/G102*B113)+(5/G102*B114))/100)</f>
        <v>0.85</v>
      </c>
      <c r="E105" s="88"/>
      <c r="F105" s="87">
        <f ca="1">((((B105/G102)*20)+((B106/G102)*25)+(30/(G102+E102+C102)*B107)+(5/G102*B108)+(5/G102*B109)+(5/G102*B110)+(5/G102*B111)+(0/G102*B112)+(0/G102*B113)+(5/G102*B114))/100)</f>
        <v>0.9375</v>
      </c>
      <c r="G105" s="93"/>
      <c r="H105" s="41" t="s">
        <v>167</v>
      </c>
      <c r="I105" s="43">
        <f ca="1">G102*50%</f>
        <v>2</v>
      </c>
    </row>
    <row r="106" spans="1:13" s="37" customFormat="1" ht="15.5" x14ac:dyDescent="0.35">
      <c r="A106" s="61" t="s">
        <v>160</v>
      </c>
      <c r="B106" s="54">
        <f ca="1">I114</f>
        <v>4</v>
      </c>
      <c r="C106" s="53">
        <f ca="1">((100/G102)*B106)/100</f>
        <v>1</v>
      </c>
      <c r="D106" s="89"/>
      <c r="E106" s="90"/>
      <c r="F106" s="89"/>
      <c r="G106" s="94"/>
      <c r="H106" s="41" t="s">
        <v>170</v>
      </c>
      <c r="I106" s="43">
        <f ca="1">G102</f>
        <v>4</v>
      </c>
    </row>
    <row r="107" spans="1:13" s="37" customFormat="1" ht="15.75" customHeight="1" x14ac:dyDescent="0.35">
      <c r="A107" s="61" t="s">
        <v>201</v>
      </c>
      <c r="B107" s="54">
        <v>5</v>
      </c>
      <c r="C107" s="53">
        <f ca="1">((100/(C102+E102+G102))*B107)/100</f>
        <v>1</v>
      </c>
      <c r="D107" s="89"/>
      <c r="E107" s="90"/>
      <c r="F107" s="89"/>
      <c r="G107" s="94"/>
      <c r="H107" s="41" t="s">
        <v>171</v>
      </c>
      <c r="I107" s="44">
        <f ca="1">(IF(A102&gt;1,(G102/(A102+2)),G102/4))</f>
        <v>1</v>
      </c>
      <c r="K107" s="45"/>
    </row>
    <row r="108" spans="1:13" s="37" customFormat="1" ht="15.75" customHeight="1" x14ac:dyDescent="0.35">
      <c r="A108" s="61" t="s">
        <v>202</v>
      </c>
      <c r="B108" s="52">
        <v>4</v>
      </c>
      <c r="C108" s="53">
        <f ca="1">((100/G102)*B108)/100</f>
        <v>1</v>
      </c>
      <c r="D108" s="89"/>
      <c r="E108" s="90"/>
      <c r="F108" s="89"/>
      <c r="G108" s="94"/>
      <c r="H108" s="41" t="s">
        <v>172</v>
      </c>
      <c r="I108" s="44">
        <f ca="1">(IF(A102&gt;1,(G102/(A102+2)+I107),G102/4+I107))</f>
        <v>2</v>
      </c>
      <c r="K108" s="45"/>
    </row>
    <row r="109" spans="1:13" s="37" customFormat="1" ht="15.75" customHeight="1" x14ac:dyDescent="0.35">
      <c r="A109" s="61" t="s">
        <v>203</v>
      </c>
      <c r="B109" s="52">
        <v>4</v>
      </c>
      <c r="C109" s="53">
        <f ca="1">((100/G102)*B109)/100</f>
        <v>1</v>
      </c>
      <c r="D109" s="89"/>
      <c r="E109" s="90"/>
      <c r="F109" s="89"/>
      <c r="G109" s="94"/>
      <c r="H109" s="41" t="s">
        <v>204</v>
      </c>
      <c r="I109" s="44">
        <f>(IF(A102&gt;1,(G102/(A102+2)+I108),0))</f>
        <v>0</v>
      </c>
      <c r="K109" s="46"/>
      <c r="M109" s="45"/>
    </row>
    <row r="110" spans="1:13" s="37" customFormat="1" ht="15.75" customHeight="1" x14ac:dyDescent="0.35">
      <c r="A110" s="61" t="s">
        <v>205</v>
      </c>
      <c r="B110" s="52">
        <v>4</v>
      </c>
      <c r="C110" s="53">
        <f ca="1">((100/(G102))*B110)/100</f>
        <v>1</v>
      </c>
      <c r="D110" s="89"/>
      <c r="E110" s="90"/>
      <c r="F110" s="89"/>
      <c r="G110" s="94"/>
      <c r="H110" s="41" t="s">
        <v>206</v>
      </c>
      <c r="I110" s="44">
        <f>(IF(A102&gt;2,(G102/(A102+2)+I109),0))</f>
        <v>0</v>
      </c>
      <c r="J110" s="47"/>
      <c r="K110" s="46"/>
    </row>
    <row r="111" spans="1:13" s="37" customFormat="1" ht="15.75" customHeight="1" x14ac:dyDescent="0.35">
      <c r="A111" s="61" t="s">
        <v>207</v>
      </c>
      <c r="B111" s="52">
        <v>3</v>
      </c>
      <c r="C111" s="53">
        <f ca="1">((100/G102)*B111)/100</f>
        <v>0.75</v>
      </c>
      <c r="D111" s="89"/>
      <c r="E111" s="90"/>
      <c r="F111" s="89"/>
      <c r="G111" s="94"/>
      <c r="H111" s="41" t="s">
        <v>208</v>
      </c>
      <c r="I111" s="48">
        <f>(IF(A102&gt;3,(G102/(A102+2)+I110),0))</f>
        <v>0</v>
      </c>
      <c r="J111" s="47"/>
      <c r="K111" s="46"/>
    </row>
    <row r="112" spans="1:13" s="37" customFormat="1" ht="15.75" customHeight="1" x14ac:dyDescent="0.35">
      <c r="A112" s="61" t="s">
        <v>209</v>
      </c>
      <c r="B112" s="52">
        <v>2</v>
      </c>
      <c r="C112" s="53">
        <f ca="1">((100/G102)*B112)/100</f>
        <v>0.5</v>
      </c>
      <c r="D112" s="89"/>
      <c r="E112" s="90"/>
      <c r="F112" s="89"/>
      <c r="G112" s="94"/>
      <c r="H112" s="41" t="s">
        <v>210</v>
      </c>
      <c r="I112" s="44">
        <f>(IF(A102&gt;4,(G102/(A102+2)+I111),0))</f>
        <v>0</v>
      </c>
      <c r="J112" s="45"/>
      <c r="K112" s="46"/>
    </row>
    <row r="113" spans="1:13" s="37" customFormat="1" ht="15.75" customHeight="1" x14ac:dyDescent="0.35">
      <c r="A113" s="72" t="s">
        <v>211</v>
      </c>
      <c r="B113" s="52">
        <v>0</v>
      </c>
      <c r="C113" s="53">
        <f ca="1">((100/(G102))*B113)/100</f>
        <v>0</v>
      </c>
      <c r="D113" s="89"/>
      <c r="E113" s="90"/>
      <c r="F113" s="89"/>
      <c r="G113" s="94"/>
      <c r="H113" s="41" t="s">
        <v>173</v>
      </c>
      <c r="I113" s="44">
        <f ca="1">(IF(A102=1,(G102/(A102+3)+I108),IF(A102=0,(G102/4+I108),IF(A102&gt;1,0))))</f>
        <v>3</v>
      </c>
      <c r="J113" s="47"/>
      <c r="K113" s="46"/>
    </row>
    <row r="114" spans="1:13" s="37" customFormat="1" ht="16" thickBot="1" x14ac:dyDescent="0.4">
      <c r="A114" s="65" t="s">
        <v>212</v>
      </c>
      <c r="B114" s="56">
        <v>0</v>
      </c>
      <c r="C114" s="57">
        <f ca="1">((100/(G102))*B114)/100</f>
        <v>0</v>
      </c>
      <c r="D114" s="91"/>
      <c r="E114" s="92"/>
      <c r="F114" s="91"/>
      <c r="G114" s="95"/>
      <c r="H114" s="49" t="s">
        <v>174</v>
      </c>
      <c r="I114" s="50">
        <f ca="1">(IF(A102&gt;1.5,(G102/(A102+2)+I108+MAX(0,I109-I108)+MAX(0,I110-I109)+MAX(0,I111-I110)+MAX(0,I112-I111)+MAX(0,I113-I112)),IF(A102=1,(G102/(A102+3)+I113),IF(A102=0,G102/4+I113))))</f>
        <v>4</v>
      </c>
      <c r="J114" s="47"/>
      <c r="K114" s="46"/>
    </row>
    <row r="115" spans="1:13" s="37" customFormat="1" ht="15.5" x14ac:dyDescent="0.35">
      <c r="A115" s="63" t="s">
        <v>191</v>
      </c>
      <c r="B115" s="118" t="s">
        <v>229</v>
      </c>
      <c r="C115" s="118"/>
      <c r="D115" s="118"/>
      <c r="E115" s="118"/>
      <c r="F115" s="118"/>
      <c r="G115" s="119"/>
      <c r="H115" s="35" t="str">
        <f ca="1">(IF(D119&gt;99%,"All work completed. Please provide OC.",IF(D119&gt;89.8%,"Plinth, RCC, Brick, Plaster, Flooring, Painting work Completed. Finishing work is in process.",IF(D119&lt;94%,(IF(B119=0,"Work not yet Started.",IF(C119=25%,"Piling work in process",IF(C119=50%,"Excavation work in process",IF(C119=100%,"Excavation work Completed. ","0")))&amp;(IF(B120=0%,"",IF(B120=I121,"Footing work is process",IF(B120=I122,"Footing work Completed",IF(B120=I123,"1st Basement Completed",IF(B120=I124,"1st &amp; 2nd Basement Completed",IF(B120=I125,"1st to 3rd Basement Completed",IF(B120=I126,"1st to 4th Basement Completed",IF(B120=I127,"Plinth work is process",IF(B120=I128,"Plinth work completed","0")))))))))))&amp;(IF(B121=(C116+E116+G116),", RCC Slab",IF(B121&gt;0,", RCC upto "&amp;B121&amp;" Slab",""))&amp;(IF(B122=G116,", Brickwork",IF(B122&gt;0,", Brickwork upto "&amp;B122&amp;" Floor",""))&amp;(IF(B123=G116,", Internal Plaster",IF(B123&gt;0,", Internal Plaster upto "&amp;B123&amp;" Floor",""))&amp;(IF(B124=G116,", External Plaster",IF(B124&gt;0,", External Plaster upto "&amp;B124&amp;" Floor",""))&amp;(IF(B125=G116,", Flooring",IF(B125&gt;0,", Flooring upto "&amp;B125&amp;" Floor",""))&amp;(IF(B126=G116,", Painting",IF(B126&gt;0,", Painting upto "&amp;B126&amp;" Floor",""))&amp;(IF(B127&gt;0,", Finishing upto "&amp;B127&amp;" Floor","")&amp;(IF(B121&gt;0.5," Completed",""))))))))))))))</f>
        <v>Excavation work Completed. Plinth work completed, RCC Slab, Brickwork, Internal Plaster, External Plaster, Flooring upto 3.5 Floor, Painting upto 3 Floor Completed</v>
      </c>
      <c r="I115" s="36"/>
    </row>
    <row r="116" spans="1:13" s="37" customFormat="1" ht="15.5" x14ac:dyDescent="0.35">
      <c r="A116" s="61">
        <v>0</v>
      </c>
      <c r="B116" s="38" t="s">
        <v>130</v>
      </c>
      <c r="C116" s="38">
        <v>1</v>
      </c>
      <c r="D116" s="38" t="s">
        <v>129</v>
      </c>
      <c r="E116" s="38">
        <v>0</v>
      </c>
      <c r="F116" s="38" t="s">
        <v>192</v>
      </c>
      <c r="G116" s="55">
        <f ca="1">--TRIM(RIGHT(SUBSTITUTE(LEFT(B115,_xlfn.AGGREGATE(16,6,FIND({0,1,2,3,4,5,6,7,8,9},B115,ROW(INDIRECT("1:"&amp;LEN(B115)))),1))," ",REPT(" ",LEN(B115))),LEN(B115)))</f>
        <v>4</v>
      </c>
      <c r="H116" s="39"/>
      <c r="I116" s="40"/>
    </row>
    <row r="117" spans="1:13" s="37" customFormat="1" ht="33.65" customHeight="1" x14ac:dyDescent="0.35">
      <c r="A117" s="66" t="s">
        <v>213</v>
      </c>
      <c r="B117" s="82" t="str">
        <f ca="1">H115</f>
        <v>Excavation work Completed. Plinth work completed, RCC Slab, Brickwork, Internal Plaster, External Plaster, Flooring upto 3.5 Floor, Painting upto 3 Floor Completed</v>
      </c>
      <c r="C117" s="82"/>
      <c r="D117" s="82"/>
      <c r="E117" s="82"/>
      <c r="F117" s="82"/>
      <c r="G117" s="83"/>
      <c r="H117" s="39" t="s">
        <v>193</v>
      </c>
      <c r="I117" s="40"/>
    </row>
    <row r="118" spans="1:13" s="37" customFormat="1" ht="15.5" x14ac:dyDescent="0.35">
      <c r="A118" s="61" t="s">
        <v>194</v>
      </c>
      <c r="B118" s="51" t="s">
        <v>195</v>
      </c>
      <c r="C118" s="59" t="s">
        <v>196</v>
      </c>
      <c r="D118" s="84" t="s">
        <v>197</v>
      </c>
      <c r="E118" s="85"/>
      <c r="F118" s="84" t="s">
        <v>198</v>
      </c>
      <c r="G118" s="86"/>
      <c r="H118" s="41" t="s">
        <v>199</v>
      </c>
      <c r="I118" s="42">
        <f ca="1">G116*25%</f>
        <v>1</v>
      </c>
    </row>
    <row r="119" spans="1:13" s="37" customFormat="1" ht="15.5" x14ac:dyDescent="0.35">
      <c r="A119" s="61" t="s">
        <v>200</v>
      </c>
      <c r="B119" s="52">
        <f ca="1">I120</f>
        <v>4</v>
      </c>
      <c r="C119" s="53">
        <f ca="1">((100/G116)*B119)/100</f>
        <v>1</v>
      </c>
      <c r="D119" s="87">
        <f ca="1">(((B120/G116*10)+(40/(C116+E116+G116)*B121)+(7.5/(G116)*B122)+(7.5/(G116)*B123)+(10/G116*B124)+(10/G116*B125)+(5/G116*B126)+(5/G116*B127)+(5/G116*B128))/100)</f>
        <v>0.875</v>
      </c>
      <c r="E119" s="88"/>
      <c r="F119" s="87">
        <f ca="1">((((B119/G116)*20)+((B120/G116)*25)+(30/(G116+E116+C116)*B121)+(5/G116*B122)+(5/G116*B123)+(5/G116*B124)+(5/G116*B125)+(0/G116*B126)+(0/G116*B127)+(5/G116*B128))/100)</f>
        <v>0.94374999999999998</v>
      </c>
      <c r="G119" s="93"/>
      <c r="H119" s="41" t="s">
        <v>167</v>
      </c>
      <c r="I119" s="43">
        <f ca="1">G116*50%</f>
        <v>2</v>
      </c>
    </row>
    <row r="120" spans="1:13" s="37" customFormat="1" ht="15.5" x14ac:dyDescent="0.35">
      <c r="A120" s="61" t="s">
        <v>160</v>
      </c>
      <c r="B120" s="54">
        <f ca="1">I128</f>
        <v>4</v>
      </c>
      <c r="C120" s="53">
        <f ca="1">((100/G116)*B120)/100</f>
        <v>1</v>
      </c>
      <c r="D120" s="89"/>
      <c r="E120" s="90"/>
      <c r="F120" s="89"/>
      <c r="G120" s="94"/>
      <c r="H120" s="41" t="s">
        <v>170</v>
      </c>
      <c r="I120" s="43">
        <f ca="1">G116</f>
        <v>4</v>
      </c>
    </row>
    <row r="121" spans="1:13" s="37" customFormat="1" ht="15.75" customHeight="1" x14ac:dyDescent="0.35">
      <c r="A121" s="61" t="s">
        <v>201</v>
      </c>
      <c r="B121" s="54">
        <v>5</v>
      </c>
      <c r="C121" s="53">
        <f ca="1">((100/(C116+E116+G116))*B121)/100</f>
        <v>1</v>
      </c>
      <c r="D121" s="89"/>
      <c r="E121" s="90"/>
      <c r="F121" s="89"/>
      <c r="G121" s="94"/>
      <c r="H121" s="41" t="s">
        <v>171</v>
      </c>
      <c r="I121" s="44">
        <f ca="1">(IF(A116&gt;1,(G116/(A116+2)),G116/4))</f>
        <v>1</v>
      </c>
      <c r="K121" s="45"/>
    </row>
    <row r="122" spans="1:13" s="37" customFormat="1" ht="15.75" customHeight="1" x14ac:dyDescent="0.35">
      <c r="A122" s="61" t="s">
        <v>202</v>
      </c>
      <c r="B122" s="52">
        <v>4</v>
      </c>
      <c r="C122" s="53">
        <f ca="1">((100/G116)*B122)/100</f>
        <v>1</v>
      </c>
      <c r="D122" s="89"/>
      <c r="E122" s="90"/>
      <c r="F122" s="89"/>
      <c r="G122" s="94"/>
      <c r="H122" s="41" t="s">
        <v>172</v>
      </c>
      <c r="I122" s="44">
        <f ca="1">(IF(A116&gt;1,(G116/(A116+2)+I121),G116/4+I121))</f>
        <v>2</v>
      </c>
      <c r="K122" s="45"/>
    </row>
    <row r="123" spans="1:13" s="37" customFormat="1" ht="15.75" customHeight="1" x14ac:dyDescent="0.35">
      <c r="A123" s="61" t="s">
        <v>203</v>
      </c>
      <c r="B123" s="52">
        <v>4</v>
      </c>
      <c r="C123" s="53">
        <f ca="1">((100/G116)*B123)/100</f>
        <v>1</v>
      </c>
      <c r="D123" s="89"/>
      <c r="E123" s="90"/>
      <c r="F123" s="89"/>
      <c r="G123" s="94"/>
      <c r="H123" s="41" t="s">
        <v>204</v>
      </c>
      <c r="I123" s="44">
        <f>(IF(A116&gt;1,(G116/(A116+2)+I122),0))</f>
        <v>0</v>
      </c>
      <c r="K123" s="46"/>
      <c r="M123" s="45"/>
    </row>
    <row r="124" spans="1:13" s="37" customFormat="1" ht="15.75" customHeight="1" x14ac:dyDescent="0.35">
      <c r="A124" s="61" t="s">
        <v>205</v>
      </c>
      <c r="B124" s="52">
        <v>4</v>
      </c>
      <c r="C124" s="53">
        <f ca="1">((100/(G116))*B124)/100</f>
        <v>1</v>
      </c>
      <c r="D124" s="89"/>
      <c r="E124" s="90"/>
      <c r="F124" s="89"/>
      <c r="G124" s="94"/>
      <c r="H124" s="41" t="s">
        <v>206</v>
      </c>
      <c r="I124" s="44">
        <f>(IF(A116&gt;2,(G116/(A116+2)+I123),0))</f>
        <v>0</v>
      </c>
      <c r="J124" s="47"/>
      <c r="K124" s="46"/>
    </row>
    <row r="125" spans="1:13" s="37" customFormat="1" ht="15.75" customHeight="1" x14ac:dyDescent="0.35">
      <c r="A125" s="61" t="s">
        <v>207</v>
      </c>
      <c r="B125" s="52">
        <v>3.5</v>
      </c>
      <c r="C125" s="53">
        <f ca="1">((100/G116)*B125)/100</f>
        <v>0.875</v>
      </c>
      <c r="D125" s="89"/>
      <c r="E125" s="90"/>
      <c r="F125" s="89"/>
      <c r="G125" s="94"/>
      <c r="H125" s="41" t="s">
        <v>208</v>
      </c>
      <c r="I125" s="48">
        <f>(IF(A116&gt;3,(G116/(A116+2)+I124),0))</f>
        <v>0</v>
      </c>
      <c r="J125" s="47"/>
      <c r="K125" s="46"/>
    </row>
    <row r="126" spans="1:13" s="37" customFormat="1" ht="15.75" customHeight="1" x14ac:dyDescent="0.35">
      <c r="A126" s="61" t="s">
        <v>209</v>
      </c>
      <c r="B126" s="52">
        <v>3</v>
      </c>
      <c r="C126" s="53">
        <f ca="1">((100/G116)*B126)/100</f>
        <v>0.75</v>
      </c>
      <c r="D126" s="89"/>
      <c r="E126" s="90"/>
      <c r="F126" s="89"/>
      <c r="G126" s="94"/>
      <c r="H126" s="41" t="s">
        <v>210</v>
      </c>
      <c r="I126" s="44">
        <f>(IF(A116&gt;4,(G116/(A116+2)+I125),0))</f>
        <v>0</v>
      </c>
      <c r="J126" s="45"/>
      <c r="K126" s="46"/>
    </row>
    <row r="127" spans="1:13" s="37" customFormat="1" ht="15.75" customHeight="1" x14ac:dyDescent="0.35">
      <c r="A127" s="72" t="s">
        <v>211</v>
      </c>
      <c r="B127" s="52">
        <v>0</v>
      </c>
      <c r="C127" s="53">
        <f ca="1">((100/(G116))*B127)/100</f>
        <v>0</v>
      </c>
      <c r="D127" s="89"/>
      <c r="E127" s="90"/>
      <c r="F127" s="89"/>
      <c r="G127" s="94"/>
      <c r="H127" s="41" t="s">
        <v>173</v>
      </c>
      <c r="I127" s="44">
        <f ca="1">(IF(A116=1,(G116/(A116+3)+I122),IF(A116=0,(G116/4+I122),IF(A116&gt;1,0))))</f>
        <v>3</v>
      </c>
      <c r="J127" s="47"/>
      <c r="K127" s="46"/>
    </row>
    <row r="128" spans="1:13" s="37" customFormat="1" ht="16" thickBot="1" x14ac:dyDescent="0.4">
      <c r="A128" s="65" t="s">
        <v>212</v>
      </c>
      <c r="B128" s="56">
        <v>0</v>
      </c>
      <c r="C128" s="57">
        <f ca="1">((100/(G116))*B128)/100</f>
        <v>0</v>
      </c>
      <c r="D128" s="91"/>
      <c r="E128" s="92"/>
      <c r="F128" s="91"/>
      <c r="G128" s="95"/>
      <c r="H128" s="49" t="s">
        <v>174</v>
      </c>
      <c r="I128" s="50">
        <f ca="1">(IF(A116&gt;1.5,(G116/(A116+2)+I122+MAX(0,I123-I122)+MAX(0,I124-I123)+MAX(0,I125-I124)+MAX(0,I126-I125)+MAX(0,I127-I126)),IF(A116=1,(G116/(A116+3)+I127),IF(A116=0,G116/4+I127))))</f>
        <v>4</v>
      </c>
      <c r="J128" s="47"/>
      <c r="K128" s="46"/>
    </row>
    <row r="129" spans="1:13" s="37" customFormat="1" ht="15.5" x14ac:dyDescent="0.35">
      <c r="A129" s="63" t="s">
        <v>191</v>
      </c>
      <c r="B129" s="118" t="s">
        <v>276</v>
      </c>
      <c r="C129" s="118"/>
      <c r="D129" s="118"/>
      <c r="E129" s="118"/>
      <c r="F129" s="118"/>
      <c r="G129" s="119"/>
      <c r="H129" s="35" t="str">
        <f ca="1">(IF(D133&gt;99%,"All work completed. Please provide OC.",IF(D133&gt;89.8%,"Plinth, RCC, Brick, Plaster, Flooring, Painting work Completed. Finishing work is in process.",IF(D133&lt;94%,(IF(B133=0,"Work not yet Started.",IF(C133=25%,"Piling work in process",IF(C133=50%,"Excavation work in process",IF(C133=100%,"Excavation work Completed. ","0")))&amp;(IF(B134=0%,"",IF(B134=I135,"Footing work is process",IF(B134=I136,"Footing work Completed",IF(B134=I137,"1st Basement Completed",IF(B134=I138,"1st &amp; 2nd Basement Completed",IF(B134=I139,"1st to 3rd Basement Completed",IF(B134=I140,"1st to 4th Basement Completed",IF(B134=I141,"Plinth work is process",IF(B134=I142,"Plinth work completed","0")))))))))))&amp;(IF(B135=(C130+E130+G130),", RCC Slab",IF(B135&gt;0,", RCC upto "&amp;B135&amp;" Slab",""))&amp;(IF(B136=G130,", Brickwork",IF(B136&gt;0,", Brickwork upto "&amp;B136&amp;" Floor",""))&amp;(IF(B137=G130,", Internal Plaster",IF(B137&gt;0,", Internal Plaster upto "&amp;B137&amp;" Floor",""))&amp;(IF(B138=G130,", External Plaster",IF(B138&gt;0,", External Plaster upto "&amp;B138&amp;" Floor",""))&amp;(IF(B139=G130,", Flooring",IF(B139&gt;0,", Flooring upto "&amp;B139&amp;" Floor",""))&amp;(IF(B140=G130,", Painting",IF(B140&gt;0,", Painting upto "&amp;B140&amp;" Floor",""))&amp;(IF(B141&gt;0,", Finishing upto "&amp;B141&amp;" Floor","")&amp;(IF(B135&gt;0.5," Completed",""))))))))))))))</f>
        <v>Excavation work Completed. Plinth work completed, RCC Slab, Brickwork, Internal Plaster, External Plaster upto 3 Floor, Flooring upto 1 Floor, Painting upto 1 Floor Completed</v>
      </c>
      <c r="I129" s="36"/>
    </row>
    <row r="130" spans="1:13" s="37" customFormat="1" ht="15.5" x14ac:dyDescent="0.35">
      <c r="A130" s="61">
        <v>0</v>
      </c>
      <c r="B130" s="38" t="s">
        <v>130</v>
      </c>
      <c r="C130" s="38">
        <v>1</v>
      </c>
      <c r="D130" s="38" t="s">
        <v>129</v>
      </c>
      <c r="E130" s="38">
        <v>0</v>
      </c>
      <c r="F130" s="38" t="s">
        <v>192</v>
      </c>
      <c r="G130" s="55">
        <f ca="1">--TRIM(RIGHT(SUBSTITUTE(LEFT(B129,_xlfn.AGGREGATE(16,6,FIND({0,1,2,3,4,5,6,7,8,9},B129,ROW(INDIRECT("1:"&amp;LEN(B129)))),1))," ",REPT(" ",LEN(B129))),LEN(B129)))</f>
        <v>4</v>
      </c>
      <c r="H130" s="39"/>
      <c r="I130" s="40"/>
    </row>
    <row r="131" spans="1:13" s="37" customFormat="1" ht="36" customHeight="1" x14ac:dyDescent="0.35">
      <c r="A131" s="64" t="s">
        <v>214</v>
      </c>
      <c r="B131" s="82" t="str">
        <f ca="1">H129</f>
        <v>Excavation work Completed. Plinth work completed, RCC Slab, Brickwork, Internal Plaster, External Plaster upto 3 Floor, Flooring upto 1 Floor, Painting upto 1 Floor Completed</v>
      </c>
      <c r="C131" s="82"/>
      <c r="D131" s="82"/>
      <c r="E131" s="82"/>
      <c r="F131" s="82"/>
      <c r="G131" s="83"/>
      <c r="H131" s="39" t="s">
        <v>193</v>
      </c>
      <c r="I131" s="40"/>
    </row>
    <row r="132" spans="1:13" s="37" customFormat="1" ht="18.75" customHeight="1" x14ac:dyDescent="0.35">
      <c r="A132" s="61" t="s">
        <v>194</v>
      </c>
      <c r="B132" s="51" t="s">
        <v>195</v>
      </c>
      <c r="C132" s="51" t="s">
        <v>196</v>
      </c>
      <c r="D132" s="84" t="s">
        <v>197</v>
      </c>
      <c r="E132" s="85"/>
      <c r="F132" s="84" t="s">
        <v>198</v>
      </c>
      <c r="G132" s="86"/>
      <c r="H132" s="41" t="s">
        <v>199</v>
      </c>
      <c r="I132" s="42">
        <f ca="1">G130*25%</f>
        <v>1</v>
      </c>
    </row>
    <row r="133" spans="1:13" s="37" customFormat="1" ht="15.5" x14ac:dyDescent="0.35">
      <c r="A133" s="61" t="s">
        <v>200</v>
      </c>
      <c r="B133" s="52">
        <f ca="1">I134</f>
        <v>4</v>
      </c>
      <c r="C133" s="53">
        <f ca="1">((100/G130)*B133)/100</f>
        <v>1</v>
      </c>
      <c r="D133" s="87">
        <f ca="1">(((B134/G130*10)+(40/(C130+E130+G130)*B135)+(7.5/(G130)*B136)+(7.5/(G130)*B137)+(10/G130*B138)+(10/G130*B139)+(5/G130*B140)+(5/G130*B141)+(5/G130*B142))/100)</f>
        <v>0.76249999999999996</v>
      </c>
      <c r="E133" s="88"/>
      <c r="F133" s="87">
        <f ca="1">((((B133/G130)*20)+((B134/G130)*25)+(30/(G130+E130+C130)*B135)+(5/G130*B136)+(5/G130*B137)+(5/G130*B138)+(5/G130*B139)+(0/G130*B140)+(0/G130*B141)+(5/G130*B142))/100)</f>
        <v>0.9</v>
      </c>
      <c r="G133" s="93"/>
      <c r="H133" s="41" t="s">
        <v>167</v>
      </c>
      <c r="I133" s="43">
        <f ca="1">G130*50%</f>
        <v>2</v>
      </c>
    </row>
    <row r="134" spans="1:13" s="37" customFormat="1" ht="15.5" x14ac:dyDescent="0.35">
      <c r="A134" s="61" t="s">
        <v>160</v>
      </c>
      <c r="B134" s="54">
        <f ca="1">I142</f>
        <v>4</v>
      </c>
      <c r="C134" s="53">
        <f ca="1">((100/G130)*B134)/100</f>
        <v>1</v>
      </c>
      <c r="D134" s="89"/>
      <c r="E134" s="90"/>
      <c r="F134" s="89"/>
      <c r="G134" s="94"/>
      <c r="H134" s="41" t="s">
        <v>170</v>
      </c>
      <c r="I134" s="43">
        <f ca="1">G130</f>
        <v>4</v>
      </c>
    </row>
    <row r="135" spans="1:13" s="37" customFormat="1" ht="15.75" customHeight="1" x14ac:dyDescent="0.35">
      <c r="A135" s="61" t="s">
        <v>201</v>
      </c>
      <c r="B135" s="54">
        <v>5</v>
      </c>
      <c r="C135" s="53">
        <f ca="1">((100/(C130+E130+G130))*B135)/100</f>
        <v>1</v>
      </c>
      <c r="D135" s="89"/>
      <c r="E135" s="90"/>
      <c r="F135" s="89"/>
      <c r="G135" s="94"/>
      <c r="H135" s="41" t="s">
        <v>171</v>
      </c>
      <c r="I135" s="44">
        <f ca="1">(IF(A130&gt;1,(G130/(A130+2)),G130/4))</f>
        <v>1</v>
      </c>
      <c r="K135" s="45"/>
    </row>
    <row r="136" spans="1:13" s="37" customFormat="1" ht="15.75" customHeight="1" x14ac:dyDescent="0.35">
      <c r="A136" s="61" t="s">
        <v>202</v>
      </c>
      <c r="B136" s="52">
        <v>4</v>
      </c>
      <c r="C136" s="53">
        <f ca="1">((100/G130)*B136)/100</f>
        <v>1</v>
      </c>
      <c r="D136" s="89"/>
      <c r="E136" s="90"/>
      <c r="F136" s="89"/>
      <c r="G136" s="94"/>
      <c r="H136" s="41" t="s">
        <v>172</v>
      </c>
      <c r="I136" s="44">
        <f ca="1">(IF(A130&gt;1,(G130/(A130+2)+I135),G130/4+I135))</f>
        <v>2</v>
      </c>
      <c r="K136" s="45"/>
    </row>
    <row r="137" spans="1:13" s="37" customFormat="1" ht="15.75" customHeight="1" x14ac:dyDescent="0.35">
      <c r="A137" s="61" t="s">
        <v>203</v>
      </c>
      <c r="B137" s="52">
        <v>4</v>
      </c>
      <c r="C137" s="53">
        <f ca="1">((100/G130)*B137)/100</f>
        <v>1</v>
      </c>
      <c r="D137" s="89"/>
      <c r="E137" s="90"/>
      <c r="F137" s="89"/>
      <c r="G137" s="94"/>
      <c r="H137" s="41" t="s">
        <v>204</v>
      </c>
      <c r="I137" s="44">
        <f>(IF(A130&gt;1,(G130/(A130+2)+I136),0))</f>
        <v>0</v>
      </c>
      <c r="K137" s="46"/>
      <c r="M137" s="45"/>
    </row>
    <row r="138" spans="1:13" s="37" customFormat="1" ht="15.75" customHeight="1" x14ac:dyDescent="0.35">
      <c r="A138" s="61" t="s">
        <v>205</v>
      </c>
      <c r="B138" s="52">
        <v>3</v>
      </c>
      <c r="C138" s="53">
        <f ca="1">((100/(G130))*B138)/100</f>
        <v>0.75</v>
      </c>
      <c r="D138" s="89"/>
      <c r="E138" s="90"/>
      <c r="F138" s="89"/>
      <c r="G138" s="94"/>
      <c r="H138" s="41" t="s">
        <v>206</v>
      </c>
      <c r="I138" s="44">
        <f>(IF(A130&gt;2,(G130/(A130+2)+I137),0))</f>
        <v>0</v>
      </c>
      <c r="J138" s="47"/>
      <c r="K138" s="46"/>
    </row>
    <row r="139" spans="1:13" s="37" customFormat="1" ht="15.75" customHeight="1" x14ac:dyDescent="0.35">
      <c r="A139" s="61" t="s">
        <v>207</v>
      </c>
      <c r="B139" s="52">
        <v>1</v>
      </c>
      <c r="C139" s="53">
        <f ca="1">((100/G130)*B139)/100</f>
        <v>0.25</v>
      </c>
      <c r="D139" s="89"/>
      <c r="E139" s="90"/>
      <c r="F139" s="89"/>
      <c r="G139" s="94"/>
      <c r="H139" s="41" t="s">
        <v>208</v>
      </c>
      <c r="I139" s="48">
        <f>(IF(A130&gt;3,(G130/(A130+2)+I138),0))</f>
        <v>0</v>
      </c>
      <c r="J139" s="47"/>
      <c r="K139" s="46"/>
    </row>
    <row r="140" spans="1:13" s="37" customFormat="1" ht="15.75" customHeight="1" x14ac:dyDescent="0.35">
      <c r="A140" s="61" t="s">
        <v>209</v>
      </c>
      <c r="B140" s="52">
        <v>1</v>
      </c>
      <c r="C140" s="53">
        <f ca="1">((100/G130)*B140)/100</f>
        <v>0.25</v>
      </c>
      <c r="D140" s="89"/>
      <c r="E140" s="90"/>
      <c r="F140" s="89"/>
      <c r="G140" s="94"/>
      <c r="H140" s="41" t="s">
        <v>210</v>
      </c>
      <c r="I140" s="44">
        <f>(IF(A130&gt;4,(G130/(A130+2)+I139),0))</f>
        <v>0</v>
      </c>
      <c r="J140" s="45"/>
      <c r="K140" s="46"/>
    </row>
    <row r="141" spans="1:13" s="37" customFormat="1" ht="15.5" x14ac:dyDescent="0.35">
      <c r="A141" s="72" t="s">
        <v>211</v>
      </c>
      <c r="B141" s="52">
        <v>0</v>
      </c>
      <c r="C141" s="53">
        <f ca="1">((100/(G130))*B141)/100</f>
        <v>0</v>
      </c>
      <c r="D141" s="89"/>
      <c r="E141" s="90"/>
      <c r="F141" s="89"/>
      <c r="G141" s="94"/>
      <c r="H141" s="41" t="s">
        <v>173</v>
      </c>
      <c r="I141" s="44">
        <f ca="1">(IF(A130=1,(G130/(A130+3)+I136),IF(A130=0,(G130/4+I136),IF(A130&gt;1,0))))</f>
        <v>3</v>
      </c>
      <c r="J141" s="47"/>
      <c r="K141" s="46"/>
    </row>
    <row r="142" spans="1:13" s="37" customFormat="1" ht="16" thickBot="1" x14ac:dyDescent="0.4">
      <c r="A142" s="65" t="s">
        <v>212</v>
      </c>
      <c r="B142" s="56">
        <v>0</v>
      </c>
      <c r="C142" s="57">
        <f ca="1">((100/(G130))*B142)/100</f>
        <v>0</v>
      </c>
      <c r="D142" s="91"/>
      <c r="E142" s="92"/>
      <c r="F142" s="91"/>
      <c r="G142" s="95"/>
      <c r="H142" s="49" t="s">
        <v>174</v>
      </c>
      <c r="I142" s="50">
        <f ca="1">(IF(A130&gt;1.5,(G130/(A130+2)+I136+MAX(0,I137-I136)+MAX(0,I138-I137)+MAX(0,I139-I138)+MAX(0,I140-I139)+MAX(0,I141-I140)),IF(A130=1,(G130/(A130+3)+I141),IF(A130=0,G130/4+I141))))</f>
        <v>4</v>
      </c>
      <c r="J142" s="47"/>
      <c r="K142" s="46"/>
    </row>
    <row r="143" spans="1:13" s="37" customFormat="1" ht="18" customHeight="1" x14ac:dyDescent="0.35">
      <c r="A143" s="63" t="s">
        <v>191</v>
      </c>
      <c r="B143" s="118" t="s">
        <v>275</v>
      </c>
      <c r="C143" s="118"/>
      <c r="D143" s="118"/>
      <c r="E143" s="118"/>
      <c r="F143" s="118"/>
      <c r="G143" s="119"/>
      <c r="H143" s="35" t="str">
        <f ca="1">(IF(D147&gt;99%,"All work completed. Please provide OC.",IF(D147&gt;89.8%,"Plinth, RCC, Brick, Plaster, Flooring, Painting work Completed. Finishing work is in process.",IF(D147&lt;94%,(IF(B147=0,"Work not yet Started.",IF(C147=25%,"Piling work in process",IF(C147=50%,"Excavation work in process",IF(C147=100%,"Excavation work Completed. ","0")))&amp;(IF(B148=0%,"",IF(B148=I149,"Footing work is process",IF(B148=I150,"Footing work Completed",IF(B148=I151,"1st Basement Completed",IF(B148=I152,"1st &amp; 2nd Basement Completed",IF(B148=I153,"1st to 3rd Basement Completed",IF(B148=I154,"1st to 4th Basement Completed",IF(B148=I155,"Plinth work is process",IF(B148=I156,"Plinth work completed","0")))))))))))&amp;(IF(B149=(C144+E144+G144),", RCC Slab",IF(B149&gt;0,", RCC upto "&amp;B149&amp;" Slab",""))&amp;(IF(B150=G144,", Brickwork",IF(B150&gt;0,", Brickwork upto "&amp;B150&amp;" Floor",""))&amp;(IF(B151=G144,", Internal Plaster",IF(B151&gt;0,", Internal Plaster upto "&amp;B151&amp;" Floor",""))&amp;(IF(B152=G144,", External Plaster",IF(B152&gt;0,", External Plaster upto "&amp;B152&amp;" Floor",""))&amp;(IF(B153=G144,", Flooring",IF(B153&gt;0,", Flooring upto "&amp;B153&amp;" Floor",""))&amp;(IF(B154=G144,", Painting",IF(B154&gt;0,", Painting upto "&amp;B154&amp;" Floor",""))&amp;(IF(B155&gt;0,", Finishing upto "&amp;B155&amp;" Floor","")&amp;(IF(B149&gt;0.5," Completed",""))))))))))))))</f>
        <v>Excavation work Completed. Plinth work completed, RCC Slab, Brickwork, Internal Plaster, External Plaster upto 2 Floor, Flooring upto 1 Floor, Painting upto 1 Floor Completed</v>
      </c>
      <c r="I143" s="36"/>
    </row>
    <row r="144" spans="1:13" s="37" customFormat="1" ht="15.5" x14ac:dyDescent="0.35">
      <c r="A144" s="61">
        <v>0</v>
      </c>
      <c r="B144" s="38" t="s">
        <v>130</v>
      </c>
      <c r="C144" s="38">
        <v>1</v>
      </c>
      <c r="D144" s="38" t="s">
        <v>129</v>
      </c>
      <c r="E144" s="38">
        <v>0</v>
      </c>
      <c r="F144" s="38" t="s">
        <v>192</v>
      </c>
      <c r="G144" s="55">
        <f ca="1">--TRIM(RIGHT(SUBSTITUTE(LEFT(B143,_xlfn.AGGREGATE(16,6,FIND({0,1,2,3,4,5,6,7,8,9},B143,ROW(INDIRECT("1:"&amp;LEN(B143)))),1))," ",REPT(" ",LEN(B143))),LEN(B143)))</f>
        <v>4</v>
      </c>
      <c r="H144" s="39"/>
      <c r="I144" s="40"/>
    </row>
    <row r="145" spans="1:13" s="37" customFormat="1" ht="36" customHeight="1" x14ac:dyDescent="0.35">
      <c r="A145" s="64" t="s">
        <v>214</v>
      </c>
      <c r="B145" s="82" t="str">
        <f ca="1">H143</f>
        <v>Excavation work Completed. Plinth work completed, RCC Slab, Brickwork, Internal Plaster, External Plaster upto 2 Floor, Flooring upto 1 Floor, Painting upto 1 Floor Completed</v>
      </c>
      <c r="C145" s="82"/>
      <c r="D145" s="82"/>
      <c r="E145" s="82"/>
      <c r="F145" s="82"/>
      <c r="G145" s="83"/>
      <c r="H145" s="39" t="s">
        <v>193</v>
      </c>
      <c r="I145" s="40"/>
    </row>
    <row r="146" spans="1:13" s="37" customFormat="1" ht="18.75" customHeight="1" x14ac:dyDescent="0.35">
      <c r="A146" s="61" t="s">
        <v>194</v>
      </c>
      <c r="B146" s="51" t="s">
        <v>195</v>
      </c>
      <c r="C146" s="51" t="s">
        <v>196</v>
      </c>
      <c r="D146" s="84" t="s">
        <v>197</v>
      </c>
      <c r="E146" s="85"/>
      <c r="F146" s="84" t="s">
        <v>198</v>
      </c>
      <c r="G146" s="86"/>
      <c r="H146" s="41" t="s">
        <v>199</v>
      </c>
      <c r="I146" s="42">
        <f ca="1">G144*25%</f>
        <v>1</v>
      </c>
    </row>
    <row r="147" spans="1:13" s="37" customFormat="1" ht="15.5" x14ac:dyDescent="0.35">
      <c r="A147" s="61" t="s">
        <v>200</v>
      </c>
      <c r="B147" s="52">
        <f ca="1">I148</f>
        <v>4</v>
      </c>
      <c r="C147" s="53">
        <f ca="1">((100/G144)*B147)/100</f>
        <v>1</v>
      </c>
      <c r="D147" s="87">
        <f ca="1">(((B148/G144*10)+(40/(C144+E144+G144)*B149)+(7.5/(G144)*B150)+(7.5/(G144)*B151)+(10/G144*B152)+(10/G144*B153)+(5/G144*B154)+(5/G144*B155)+(5/G144*B156))/100)</f>
        <v>0.73750000000000004</v>
      </c>
      <c r="E147" s="88"/>
      <c r="F147" s="87">
        <f ca="1">((((B147/G144)*20)+((B148/G144)*25)+(30/(G144+E144+C144)*B149)+(5/G144*B150)+(5/G144*B151)+(5/G144*B152)+(5/G144*B153)+(0/G144*B154)+(0/G144*B155)+(5/G144*B156))/100)</f>
        <v>0.88749999999999996</v>
      </c>
      <c r="G147" s="93"/>
      <c r="H147" s="41" t="s">
        <v>167</v>
      </c>
      <c r="I147" s="43">
        <f ca="1">G144*50%</f>
        <v>2</v>
      </c>
    </row>
    <row r="148" spans="1:13" s="37" customFormat="1" ht="15.5" x14ac:dyDescent="0.35">
      <c r="A148" s="61" t="s">
        <v>160</v>
      </c>
      <c r="B148" s="54">
        <f ca="1">I156</f>
        <v>4</v>
      </c>
      <c r="C148" s="53">
        <f ca="1">((100/G144)*B148)/100</f>
        <v>1</v>
      </c>
      <c r="D148" s="89"/>
      <c r="E148" s="90"/>
      <c r="F148" s="89"/>
      <c r="G148" s="94"/>
      <c r="H148" s="41" t="s">
        <v>170</v>
      </c>
      <c r="I148" s="43">
        <f ca="1">G144</f>
        <v>4</v>
      </c>
    </row>
    <row r="149" spans="1:13" s="37" customFormat="1" ht="15.75" customHeight="1" x14ac:dyDescent="0.35">
      <c r="A149" s="61" t="s">
        <v>201</v>
      </c>
      <c r="B149" s="54">
        <v>5</v>
      </c>
      <c r="C149" s="53">
        <f ca="1">((100/(C144+E144+G144))*B149)/100</f>
        <v>1</v>
      </c>
      <c r="D149" s="89"/>
      <c r="E149" s="90"/>
      <c r="F149" s="89"/>
      <c r="G149" s="94"/>
      <c r="H149" s="41" t="s">
        <v>171</v>
      </c>
      <c r="I149" s="44">
        <f ca="1">(IF(A144&gt;1,(G144/(A144+2)),G144/4))</f>
        <v>1</v>
      </c>
      <c r="K149" s="45"/>
    </row>
    <row r="150" spans="1:13" s="37" customFormat="1" ht="15.75" customHeight="1" x14ac:dyDescent="0.35">
      <c r="A150" s="61" t="s">
        <v>202</v>
      </c>
      <c r="B150" s="52">
        <v>4</v>
      </c>
      <c r="C150" s="53">
        <f ca="1">((100/G144)*B150)/100</f>
        <v>1</v>
      </c>
      <c r="D150" s="89"/>
      <c r="E150" s="90"/>
      <c r="F150" s="89"/>
      <c r="G150" s="94"/>
      <c r="H150" s="41" t="s">
        <v>172</v>
      </c>
      <c r="I150" s="44">
        <f ca="1">(IF(A144&gt;1,(G144/(A144+2)+I149),G144/4+I149))</f>
        <v>2</v>
      </c>
      <c r="K150" s="45"/>
    </row>
    <row r="151" spans="1:13" s="37" customFormat="1" ht="15.75" customHeight="1" x14ac:dyDescent="0.35">
      <c r="A151" s="61" t="s">
        <v>203</v>
      </c>
      <c r="B151" s="52">
        <v>4</v>
      </c>
      <c r="C151" s="53">
        <f ca="1">((100/G144)*B151)/100</f>
        <v>1</v>
      </c>
      <c r="D151" s="89"/>
      <c r="E151" s="90"/>
      <c r="F151" s="89"/>
      <c r="G151" s="94"/>
      <c r="H151" s="41" t="s">
        <v>204</v>
      </c>
      <c r="I151" s="44">
        <f>(IF(A144&gt;1,(G144/(A144+2)+I150),0))</f>
        <v>0</v>
      </c>
      <c r="K151" s="46"/>
      <c r="M151" s="45"/>
    </row>
    <row r="152" spans="1:13" s="37" customFormat="1" ht="15.75" customHeight="1" x14ac:dyDescent="0.35">
      <c r="A152" s="61" t="s">
        <v>205</v>
      </c>
      <c r="B152" s="52">
        <v>2</v>
      </c>
      <c r="C152" s="53">
        <f ca="1">((100/(G144))*B152)/100</f>
        <v>0.5</v>
      </c>
      <c r="D152" s="89"/>
      <c r="E152" s="90"/>
      <c r="F152" s="89"/>
      <c r="G152" s="94"/>
      <c r="H152" s="41" t="s">
        <v>206</v>
      </c>
      <c r="I152" s="44">
        <f>(IF(A144&gt;2,(G144/(A144+2)+I151),0))</f>
        <v>0</v>
      </c>
      <c r="J152" s="47"/>
      <c r="K152" s="46"/>
    </row>
    <row r="153" spans="1:13" s="37" customFormat="1" ht="15.75" customHeight="1" x14ac:dyDescent="0.35">
      <c r="A153" s="61" t="s">
        <v>207</v>
      </c>
      <c r="B153" s="52">
        <v>1</v>
      </c>
      <c r="C153" s="53">
        <f ca="1">((100/G144)*B153)/100</f>
        <v>0.25</v>
      </c>
      <c r="D153" s="89"/>
      <c r="E153" s="90"/>
      <c r="F153" s="89"/>
      <c r="G153" s="94"/>
      <c r="H153" s="41" t="s">
        <v>208</v>
      </c>
      <c r="I153" s="48">
        <f>(IF(A144&gt;3,(G144/(A144+2)+I152),0))</f>
        <v>0</v>
      </c>
      <c r="J153" s="47"/>
      <c r="K153" s="46"/>
    </row>
    <row r="154" spans="1:13" s="37" customFormat="1" ht="15.75" customHeight="1" x14ac:dyDescent="0.35">
      <c r="A154" s="61" t="s">
        <v>209</v>
      </c>
      <c r="B154" s="52">
        <v>1</v>
      </c>
      <c r="C154" s="53">
        <f ca="1">((100/G144)*B154)/100</f>
        <v>0.25</v>
      </c>
      <c r="D154" s="89"/>
      <c r="E154" s="90"/>
      <c r="F154" s="89"/>
      <c r="G154" s="94"/>
      <c r="H154" s="41" t="s">
        <v>210</v>
      </c>
      <c r="I154" s="44">
        <f>(IF(A144&gt;4,(G144/(A144+2)+I153),0))</f>
        <v>0</v>
      </c>
      <c r="J154" s="45"/>
      <c r="K154" s="46"/>
    </row>
    <row r="155" spans="1:13" s="37" customFormat="1" ht="15.5" x14ac:dyDescent="0.35">
      <c r="A155" s="72" t="s">
        <v>211</v>
      </c>
      <c r="B155" s="52">
        <v>0</v>
      </c>
      <c r="C155" s="53">
        <f ca="1">((100/(G144))*B155)/100</f>
        <v>0</v>
      </c>
      <c r="D155" s="89"/>
      <c r="E155" s="90"/>
      <c r="F155" s="89"/>
      <c r="G155" s="94"/>
      <c r="H155" s="41" t="s">
        <v>173</v>
      </c>
      <c r="I155" s="44">
        <f ca="1">(IF(A144=1,(G144/(A144+3)+I150),IF(A144=0,(G144/4+I150),IF(A144&gt;1,0))))</f>
        <v>3</v>
      </c>
      <c r="J155" s="47"/>
      <c r="K155" s="46"/>
    </row>
    <row r="156" spans="1:13" s="37" customFormat="1" ht="16" thickBot="1" x14ac:dyDescent="0.4">
      <c r="A156" s="65" t="s">
        <v>212</v>
      </c>
      <c r="B156" s="56">
        <v>0</v>
      </c>
      <c r="C156" s="57">
        <f ca="1">((100/(G144))*B156)/100</f>
        <v>0</v>
      </c>
      <c r="D156" s="91"/>
      <c r="E156" s="92"/>
      <c r="F156" s="91"/>
      <c r="G156" s="95"/>
      <c r="H156" s="49" t="s">
        <v>174</v>
      </c>
      <c r="I156" s="50">
        <f ca="1">(IF(A144&gt;1.5,(G144/(A144+2)+I150+MAX(0,I151-I150)+MAX(0,I152-I151)+MAX(0,I153-I152)+MAX(0,I154-I153)+MAX(0,I155-I154)),IF(A144=1,(G144/(A144+3)+I155),IF(A144=0,G144/4+I155))))</f>
        <v>4</v>
      </c>
      <c r="J156" s="47"/>
      <c r="K156" s="46"/>
    </row>
    <row r="157" spans="1:13" s="37" customFormat="1" ht="18" customHeight="1" x14ac:dyDescent="0.35">
      <c r="A157" s="63" t="s">
        <v>191</v>
      </c>
      <c r="B157" s="118" t="s">
        <v>272</v>
      </c>
      <c r="C157" s="118"/>
      <c r="D157" s="118"/>
      <c r="E157" s="118"/>
      <c r="F157" s="118"/>
      <c r="G157" s="119"/>
      <c r="H157" s="35" t="str">
        <f ca="1">(IF(D161&gt;99%,"All work completed. Please provide OC.",IF(D161&gt;89.8%,"Plinth, RCC, Brick, Plaster, Flooring, Painting work Completed. Finishing work is in process.",IF(D161&lt;94%,(IF(B161=0,"Work not yet Started.",IF(C161=25%,"Piling work in process",IF(C161=50%,"Excavation work in process",IF(C161=100%,"Excavation work Completed. ","0")))&amp;(IF(B162=0%,"",IF(B162=I163,"Footing work is process",IF(B162=I164,"Footing work Completed",IF(B162=I165,"1st Basement Completed",IF(B162=I166,"1st &amp; 2nd Basement Completed",IF(B162=I167,"1st to 3rd Basement Completed",IF(B162=I168,"1st to 4th Basement Completed",IF(B162=I169,"Plinth work is process",IF(B162=I170,"Plinth work completed","0")))))))))))&amp;(IF(B163=(C158+E158+G158),", RCC Slab",IF(B163&gt;0,", RCC upto "&amp;B163&amp;" Slab",""))&amp;(IF(B164=G158,", Brickwork",IF(B164&gt;0,", Brickwork upto "&amp;B164&amp;" Floor",""))&amp;(IF(B165=G158,", Internal Plaster",IF(B165&gt;0,", Internal Plaster upto "&amp;B165&amp;" Floor",""))&amp;(IF(B166=G158,", External Plaster",IF(B166&gt;0,", External Plaster upto "&amp;B166&amp;" Floor",""))&amp;(IF(B167=G158,", Flooring",IF(B167&gt;0,", Flooring upto "&amp;B167&amp;" Floor",""))&amp;(IF(B168=G158,", Painting",IF(B168&gt;0,", Painting upto "&amp;B168&amp;" Floor",""))&amp;(IF(B169&gt;0,", Finishing upto "&amp;B169&amp;" Floor","")&amp;(IF(B163&gt;0.5," Completed",""))))))))))))))</f>
        <v>Excavation work Completed. Plinth work completed, RCC Slab, Brickwork, Internal Plaster, External Plaster upto 2 Floor, Flooring upto 1 Floor, Painting upto 1 Floor Completed</v>
      </c>
      <c r="I157" s="36"/>
    </row>
    <row r="158" spans="1:13" s="37" customFormat="1" ht="15.5" x14ac:dyDescent="0.35">
      <c r="A158" s="61">
        <v>0</v>
      </c>
      <c r="B158" s="38" t="s">
        <v>130</v>
      </c>
      <c r="C158" s="38">
        <v>1</v>
      </c>
      <c r="D158" s="38" t="s">
        <v>129</v>
      </c>
      <c r="E158" s="38">
        <v>0</v>
      </c>
      <c r="F158" s="38" t="s">
        <v>192</v>
      </c>
      <c r="G158" s="55">
        <f ca="1">--TRIM(RIGHT(SUBSTITUTE(LEFT(B157,_xlfn.AGGREGATE(16,6,FIND({0,1,2,3,4,5,6,7,8,9},B157,ROW(INDIRECT("1:"&amp;LEN(B157)))),1))," ",REPT(" ",LEN(B157))),LEN(B157)))</f>
        <v>4</v>
      </c>
      <c r="H158" s="39"/>
      <c r="I158" s="40"/>
    </row>
    <row r="159" spans="1:13" s="37" customFormat="1" ht="36.75" customHeight="1" x14ac:dyDescent="0.35">
      <c r="A159" s="64" t="s">
        <v>214</v>
      </c>
      <c r="B159" s="82" t="str">
        <f ca="1">H157</f>
        <v>Excavation work Completed. Plinth work completed, RCC Slab, Brickwork, Internal Plaster, External Plaster upto 2 Floor, Flooring upto 1 Floor, Painting upto 1 Floor Completed</v>
      </c>
      <c r="C159" s="82"/>
      <c r="D159" s="82"/>
      <c r="E159" s="82"/>
      <c r="F159" s="82"/>
      <c r="G159" s="83"/>
      <c r="H159" s="39" t="s">
        <v>193</v>
      </c>
      <c r="I159" s="40"/>
    </row>
    <row r="160" spans="1:13" s="37" customFormat="1" ht="19.5" customHeight="1" x14ac:dyDescent="0.35">
      <c r="A160" s="74" t="s">
        <v>194</v>
      </c>
      <c r="B160" s="51" t="s">
        <v>195</v>
      </c>
      <c r="C160" s="51" t="s">
        <v>196</v>
      </c>
      <c r="D160" s="84" t="s">
        <v>197</v>
      </c>
      <c r="E160" s="85"/>
      <c r="F160" s="84" t="s">
        <v>198</v>
      </c>
      <c r="G160" s="86"/>
      <c r="H160" s="41" t="s">
        <v>199</v>
      </c>
      <c r="I160" s="42">
        <f ca="1">G158*25%</f>
        <v>1</v>
      </c>
    </row>
    <row r="161" spans="1:13" s="37" customFormat="1" ht="15.5" x14ac:dyDescent="0.35">
      <c r="A161" s="61" t="s">
        <v>200</v>
      </c>
      <c r="B161" s="52">
        <f ca="1">I162</f>
        <v>4</v>
      </c>
      <c r="C161" s="53">
        <f ca="1">((100/G158)*B161)/100</f>
        <v>1</v>
      </c>
      <c r="D161" s="87">
        <f ca="1">(((B162/G158*10)+(40/(C158+E158+G158)*B163)+(7.5/(G158)*B164)+(7.5/(G158)*B165)+(10/G158*B166)+(10/G158*B167)+(5/G158*B168)+(5/G158*B169)+(5/G158*B170))/100)</f>
        <v>0.73750000000000004</v>
      </c>
      <c r="E161" s="88"/>
      <c r="F161" s="87">
        <f ca="1">((((B161/G158)*20)+((B162/G158)*25)+(30/(G158+E158+C158)*B163)+(5/G158*B164)+(5/G158*B165)+(5/G158*B166)+(5/G158*B167)+(0/G158*B168)+(0/G158*B169)+(5/G158*B170))/100)</f>
        <v>0.88749999999999996</v>
      </c>
      <c r="G161" s="93"/>
      <c r="H161" s="41" t="s">
        <v>167</v>
      </c>
      <c r="I161" s="43">
        <f ca="1">G158*50%</f>
        <v>2</v>
      </c>
    </row>
    <row r="162" spans="1:13" s="37" customFormat="1" ht="15.5" x14ac:dyDescent="0.35">
      <c r="A162" s="61" t="s">
        <v>160</v>
      </c>
      <c r="B162" s="54">
        <f ca="1">I170</f>
        <v>4</v>
      </c>
      <c r="C162" s="53">
        <f ca="1">((100/G158)*B162)/100</f>
        <v>1</v>
      </c>
      <c r="D162" s="89"/>
      <c r="E162" s="90"/>
      <c r="F162" s="89"/>
      <c r="G162" s="94"/>
      <c r="H162" s="41" t="s">
        <v>170</v>
      </c>
      <c r="I162" s="43">
        <f ca="1">G158</f>
        <v>4</v>
      </c>
    </row>
    <row r="163" spans="1:13" s="37" customFormat="1" ht="15.75" customHeight="1" x14ac:dyDescent="0.35">
      <c r="A163" s="61" t="s">
        <v>201</v>
      </c>
      <c r="B163" s="54">
        <v>5</v>
      </c>
      <c r="C163" s="53">
        <f ca="1">((100/(C158+E158+G158))*B163)/100</f>
        <v>1</v>
      </c>
      <c r="D163" s="89"/>
      <c r="E163" s="90"/>
      <c r="F163" s="89"/>
      <c r="G163" s="94"/>
      <c r="H163" s="41" t="s">
        <v>171</v>
      </c>
      <c r="I163" s="44">
        <f ca="1">(IF(A158&gt;1,(G158/(A158+2)),G158/4))</f>
        <v>1</v>
      </c>
      <c r="K163" s="45"/>
    </row>
    <row r="164" spans="1:13" s="37" customFormat="1" ht="15.75" customHeight="1" x14ac:dyDescent="0.35">
      <c r="A164" s="61" t="s">
        <v>202</v>
      </c>
      <c r="B164" s="52">
        <v>4</v>
      </c>
      <c r="C164" s="53">
        <f ca="1">((100/G158)*B164)/100</f>
        <v>1</v>
      </c>
      <c r="D164" s="89"/>
      <c r="E164" s="90"/>
      <c r="F164" s="89"/>
      <c r="G164" s="94"/>
      <c r="H164" s="41" t="s">
        <v>172</v>
      </c>
      <c r="I164" s="44">
        <f ca="1">(IF(A158&gt;1,(G158/(A158+2)+I163),G158/4+I163))</f>
        <v>2</v>
      </c>
      <c r="K164" s="45"/>
    </row>
    <row r="165" spans="1:13" s="37" customFormat="1" ht="15.75" customHeight="1" x14ac:dyDescent="0.35">
      <c r="A165" s="61" t="s">
        <v>203</v>
      </c>
      <c r="B165" s="52">
        <v>4</v>
      </c>
      <c r="C165" s="53">
        <f ca="1">((100/G158)*B165)/100</f>
        <v>1</v>
      </c>
      <c r="D165" s="89"/>
      <c r="E165" s="90"/>
      <c r="F165" s="89"/>
      <c r="G165" s="94"/>
      <c r="H165" s="41" t="s">
        <v>204</v>
      </c>
      <c r="I165" s="44">
        <f>(IF(A158&gt;1,(G158/(A158+2)+I164),0))</f>
        <v>0</v>
      </c>
      <c r="K165" s="46"/>
      <c r="M165" s="45"/>
    </row>
    <row r="166" spans="1:13" s="37" customFormat="1" ht="15.75" customHeight="1" x14ac:dyDescent="0.35">
      <c r="A166" s="61" t="s">
        <v>205</v>
      </c>
      <c r="B166" s="52">
        <v>2</v>
      </c>
      <c r="C166" s="53">
        <f ca="1">((100/(G158))*B166)/100</f>
        <v>0.5</v>
      </c>
      <c r="D166" s="89"/>
      <c r="E166" s="90"/>
      <c r="F166" s="89"/>
      <c r="G166" s="94"/>
      <c r="H166" s="41" t="s">
        <v>206</v>
      </c>
      <c r="I166" s="44">
        <f>(IF(A158&gt;2,(G158/(A158+2)+I165),0))</f>
        <v>0</v>
      </c>
      <c r="J166" s="47"/>
      <c r="K166" s="46"/>
    </row>
    <row r="167" spans="1:13" s="37" customFormat="1" ht="15.75" customHeight="1" x14ac:dyDescent="0.35">
      <c r="A167" s="61" t="s">
        <v>207</v>
      </c>
      <c r="B167" s="52">
        <v>1</v>
      </c>
      <c r="C167" s="53">
        <f ca="1">((100/G158)*B167)/100</f>
        <v>0.25</v>
      </c>
      <c r="D167" s="89"/>
      <c r="E167" s="90"/>
      <c r="F167" s="89"/>
      <c r="G167" s="94"/>
      <c r="H167" s="41" t="s">
        <v>208</v>
      </c>
      <c r="I167" s="48">
        <f>(IF(A158&gt;3,(G158/(A158+2)+I166),0))</f>
        <v>0</v>
      </c>
      <c r="J167" s="47"/>
      <c r="K167" s="46"/>
    </row>
    <row r="168" spans="1:13" s="37" customFormat="1" ht="15.75" customHeight="1" x14ac:dyDescent="0.35">
      <c r="A168" s="61" t="s">
        <v>209</v>
      </c>
      <c r="B168" s="52">
        <v>1</v>
      </c>
      <c r="C168" s="53">
        <f ca="1">((100/G158)*B168)/100</f>
        <v>0.25</v>
      </c>
      <c r="D168" s="89"/>
      <c r="E168" s="90"/>
      <c r="F168" s="89"/>
      <c r="G168" s="94"/>
      <c r="H168" s="41" t="s">
        <v>210</v>
      </c>
      <c r="I168" s="44">
        <f>(IF(A158&gt;4,(G158/(A158+2)+I167),0))</f>
        <v>0</v>
      </c>
      <c r="J168" s="45"/>
      <c r="K168" s="46"/>
    </row>
    <row r="169" spans="1:13" s="37" customFormat="1" ht="15.5" x14ac:dyDescent="0.35">
      <c r="A169" s="72" t="s">
        <v>211</v>
      </c>
      <c r="B169" s="52">
        <v>0</v>
      </c>
      <c r="C169" s="53">
        <f ca="1">((100/(G158))*B169)/100</f>
        <v>0</v>
      </c>
      <c r="D169" s="89"/>
      <c r="E169" s="90"/>
      <c r="F169" s="89"/>
      <c r="G169" s="94"/>
      <c r="H169" s="41" t="s">
        <v>173</v>
      </c>
      <c r="I169" s="44">
        <f ca="1">(IF(A158=1,(G158/(A158+3)+I164),IF(A158=0,(G158/4+I164),IF(A158&gt;1,0))))</f>
        <v>3</v>
      </c>
      <c r="J169" s="47"/>
      <c r="K169" s="46"/>
    </row>
    <row r="170" spans="1:13" s="37" customFormat="1" ht="16" thickBot="1" x14ac:dyDescent="0.4">
      <c r="A170" s="65" t="s">
        <v>212</v>
      </c>
      <c r="B170" s="56">
        <v>0</v>
      </c>
      <c r="C170" s="57">
        <f ca="1">((100/(G158))*B170)/100</f>
        <v>0</v>
      </c>
      <c r="D170" s="91"/>
      <c r="E170" s="92"/>
      <c r="F170" s="91"/>
      <c r="G170" s="95"/>
      <c r="H170" s="49" t="s">
        <v>174</v>
      </c>
      <c r="I170" s="50">
        <f ca="1">(IF(A158&gt;1.5,(G158/(A158+2)+I164+MAX(0,I165-I164)+MAX(0,I166-I165)+MAX(0,I167-I166)+MAX(0,I168-I167)+MAX(0,I169-I168)),IF(A158=1,(G158/(A158+3)+I169),IF(A158=0,G158/4+I169))))</f>
        <v>4</v>
      </c>
      <c r="J170" s="47"/>
      <c r="K170" s="46"/>
    </row>
    <row r="171" spans="1:13" s="37" customFormat="1" ht="15.5" x14ac:dyDescent="0.35">
      <c r="A171" s="63" t="s">
        <v>191</v>
      </c>
      <c r="B171" s="118" t="s">
        <v>271</v>
      </c>
      <c r="C171" s="118"/>
      <c r="D171" s="118"/>
      <c r="E171" s="118"/>
      <c r="F171" s="118"/>
      <c r="G171" s="119"/>
      <c r="H171" s="35" t="str">
        <f ca="1">(IF(D175&gt;99%,"All work completed. Please provide OC.",IF(D175&gt;89.8%,"Plinth, RCC, Brick, Plaster, Flooring, Painting work Completed. Finishing work is in process.",IF(D175&lt;94%,(IF(B175=0,"Work not yet Started.",IF(C175=25%,"Piling work in process",IF(C175=50%,"Excavation work in process",IF(C175=100%,"Excavation work Completed. ","0")))&amp;(IF(B176=0%,"",IF(B176=I177,"Footing work is process",IF(B176=I178,"Footing work Completed",IF(B176=I179,"1st Basement Completed",IF(B176=I180,"1st &amp; 2nd Basement Completed",IF(B176=I181,"1st to 3rd Basement Completed",IF(B176=I182,"1st to 4th Basement Completed",IF(B176=I183,"Plinth work is process",IF(B176=I184,"Plinth work completed","0")))))))))))&amp;(IF(B177=(C172+E172+G172),", RCC Slab",IF(B177&gt;0,", RCC upto "&amp;B177&amp;" Slab",""))&amp;(IF(B178=G172,", Brickwork",IF(B178&gt;0,", Brickwork upto "&amp;B178&amp;" Floor",""))&amp;(IF(B179=G172,", Internal Plaster",IF(B179&gt;0,", Internal Plaster upto "&amp;B179&amp;" Floor",""))&amp;(IF(B180=G172,", External Plaster",IF(B180&gt;0,", External Plaster upto "&amp;B180&amp;" Floor",""))&amp;(IF(B181=G172,", Flooring",IF(B181&gt;0,", Flooring upto "&amp;B181&amp;" Floor",""))&amp;(IF(B182=G172,", Painting",IF(B182&gt;0,", Painting upto "&amp;B182&amp;" Floor",""))&amp;(IF(B183&gt;0,", Finishing upto "&amp;B183&amp;" Floor","")&amp;(IF(B177&gt;0.5," Completed",""))))))))))))))</f>
        <v>Excavation work Completed. Plinth work completed, RCC Slab, Brickwork, Internal Plaster, External Plaster upto 3 Floor, Flooring upto 2.5 Floor, Painting upto 2 Floor Completed</v>
      </c>
      <c r="I171" s="36"/>
    </row>
    <row r="172" spans="1:13" s="37" customFormat="1" ht="15.5" x14ac:dyDescent="0.35">
      <c r="A172" s="61">
        <v>0</v>
      </c>
      <c r="B172" s="38" t="s">
        <v>130</v>
      </c>
      <c r="C172" s="38">
        <v>1</v>
      </c>
      <c r="D172" s="38" t="s">
        <v>129</v>
      </c>
      <c r="E172" s="38">
        <v>0</v>
      </c>
      <c r="F172" s="38" t="s">
        <v>192</v>
      </c>
      <c r="G172" s="55">
        <f ca="1">--TRIM(RIGHT(SUBSTITUTE(LEFT(B171,_xlfn.AGGREGATE(16,6,FIND({0,1,2,3,4,5,6,7,8,9},B171,ROW(INDIRECT("1:"&amp;LEN(B171)))),1))," ",REPT(" ",LEN(B171))),LEN(B171)))</f>
        <v>4</v>
      </c>
      <c r="H172" s="39"/>
      <c r="I172" s="40"/>
    </row>
    <row r="173" spans="1:13" s="37" customFormat="1" ht="35.5" customHeight="1" x14ac:dyDescent="0.35">
      <c r="A173" s="66" t="s">
        <v>213</v>
      </c>
      <c r="B173" s="82" t="str">
        <f ca="1">H171</f>
        <v>Excavation work Completed. Plinth work completed, RCC Slab, Brickwork, Internal Plaster, External Plaster upto 3 Floor, Flooring upto 2.5 Floor, Painting upto 2 Floor Completed</v>
      </c>
      <c r="C173" s="82"/>
      <c r="D173" s="82"/>
      <c r="E173" s="82"/>
      <c r="F173" s="82"/>
      <c r="G173" s="83"/>
      <c r="H173" s="39" t="s">
        <v>193</v>
      </c>
      <c r="I173" s="40"/>
    </row>
    <row r="174" spans="1:13" s="37" customFormat="1" ht="15.5" x14ac:dyDescent="0.35">
      <c r="A174" s="61" t="s">
        <v>194</v>
      </c>
      <c r="B174" s="51" t="s">
        <v>195</v>
      </c>
      <c r="C174" s="59" t="s">
        <v>196</v>
      </c>
      <c r="D174" s="84" t="s">
        <v>197</v>
      </c>
      <c r="E174" s="85"/>
      <c r="F174" s="84" t="s">
        <v>198</v>
      </c>
      <c r="G174" s="86"/>
      <c r="H174" s="41" t="s">
        <v>199</v>
      </c>
      <c r="I174" s="42">
        <f ca="1">G172*25%</f>
        <v>1</v>
      </c>
    </row>
    <row r="175" spans="1:13" s="37" customFormat="1" ht="15.5" x14ac:dyDescent="0.35">
      <c r="A175" s="61" t="s">
        <v>200</v>
      </c>
      <c r="B175" s="52">
        <f ca="1">I176</f>
        <v>4</v>
      </c>
      <c r="C175" s="53">
        <f ca="1">((100/G172)*B175)/100</f>
        <v>1</v>
      </c>
      <c r="D175" s="87">
        <f ca="1">(((B176/G172*10)+(40/(C172+E172+G172)*B177)+(7.5/(G172)*B178)+(7.5/(G172)*B179)+(10/G172*B180)+(10/G172*B181)+(5/G172*B182)+(5/G172*B183)+(5/G172*B184))/100)</f>
        <v>0.8125</v>
      </c>
      <c r="E175" s="88"/>
      <c r="F175" s="87">
        <f ca="1">((((B175/G172)*20)+((B176/G172)*25)+(30/(G172+E172+C172)*B177)+(5/G172*B178)+(5/G172*B179)+(5/G172*B180)+(5/G172*B181)+(0/G172*B182)+(0/G172*B183)+(5/G172*B184))/100)</f>
        <v>0.91874999999999996</v>
      </c>
      <c r="G175" s="93"/>
      <c r="H175" s="41" t="s">
        <v>167</v>
      </c>
      <c r="I175" s="43">
        <f ca="1">G172*50%</f>
        <v>2</v>
      </c>
    </row>
    <row r="176" spans="1:13" s="37" customFormat="1" ht="15.5" x14ac:dyDescent="0.35">
      <c r="A176" s="61" t="s">
        <v>160</v>
      </c>
      <c r="B176" s="54">
        <f ca="1">I184</f>
        <v>4</v>
      </c>
      <c r="C176" s="53">
        <f ca="1">((100/G172)*B176)/100</f>
        <v>1</v>
      </c>
      <c r="D176" s="89"/>
      <c r="E176" s="90"/>
      <c r="F176" s="89"/>
      <c r="G176" s="94"/>
      <c r="H176" s="41" t="s">
        <v>170</v>
      </c>
      <c r="I176" s="43">
        <f ca="1">G172</f>
        <v>4</v>
      </c>
    </row>
    <row r="177" spans="1:13" s="37" customFormat="1" ht="15.75" customHeight="1" x14ac:dyDescent="0.35">
      <c r="A177" s="61" t="s">
        <v>201</v>
      </c>
      <c r="B177" s="54">
        <v>5</v>
      </c>
      <c r="C177" s="53">
        <f ca="1">((100/(C172+E172+G172))*B177)/100</f>
        <v>1</v>
      </c>
      <c r="D177" s="89"/>
      <c r="E177" s="90"/>
      <c r="F177" s="89"/>
      <c r="G177" s="94"/>
      <c r="H177" s="41" t="s">
        <v>171</v>
      </c>
      <c r="I177" s="44">
        <f ca="1">(IF(A172&gt;1,(G172/(A172+2)),G172/4))</f>
        <v>1</v>
      </c>
      <c r="K177" s="45"/>
    </row>
    <row r="178" spans="1:13" s="37" customFormat="1" ht="15.75" customHeight="1" x14ac:dyDescent="0.35">
      <c r="A178" s="61" t="s">
        <v>202</v>
      </c>
      <c r="B178" s="52">
        <v>4</v>
      </c>
      <c r="C178" s="53">
        <f ca="1">((100/G172)*B178)/100</f>
        <v>1</v>
      </c>
      <c r="D178" s="89"/>
      <c r="E178" s="90"/>
      <c r="F178" s="89"/>
      <c r="G178" s="94"/>
      <c r="H178" s="41" t="s">
        <v>172</v>
      </c>
      <c r="I178" s="44">
        <f ca="1">(IF(A172&gt;1,(G172/(A172+2)+I177),G172/4+I177))</f>
        <v>2</v>
      </c>
      <c r="K178" s="45"/>
    </row>
    <row r="179" spans="1:13" s="37" customFormat="1" ht="15.75" customHeight="1" x14ac:dyDescent="0.35">
      <c r="A179" s="61" t="s">
        <v>203</v>
      </c>
      <c r="B179" s="52">
        <v>4</v>
      </c>
      <c r="C179" s="53">
        <f ca="1">((100/G172)*B179)/100</f>
        <v>1</v>
      </c>
      <c r="D179" s="89"/>
      <c r="E179" s="90"/>
      <c r="F179" s="89"/>
      <c r="G179" s="94"/>
      <c r="H179" s="41" t="s">
        <v>204</v>
      </c>
      <c r="I179" s="44">
        <f>(IF(A172&gt;1,(G172/(A172+2)+I178),0))</f>
        <v>0</v>
      </c>
      <c r="K179" s="46"/>
      <c r="M179" s="45"/>
    </row>
    <row r="180" spans="1:13" s="37" customFormat="1" ht="15.75" customHeight="1" x14ac:dyDescent="0.35">
      <c r="A180" s="61" t="s">
        <v>205</v>
      </c>
      <c r="B180" s="52">
        <v>3</v>
      </c>
      <c r="C180" s="53">
        <f ca="1">((100/(G172))*B180)/100</f>
        <v>0.75</v>
      </c>
      <c r="D180" s="89"/>
      <c r="E180" s="90"/>
      <c r="F180" s="89"/>
      <c r="G180" s="94"/>
      <c r="H180" s="41" t="s">
        <v>206</v>
      </c>
      <c r="I180" s="44">
        <f>(IF(A172&gt;2,(G172/(A172+2)+I179),0))</f>
        <v>0</v>
      </c>
      <c r="J180" s="47"/>
      <c r="K180" s="46"/>
    </row>
    <row r="181" spans="1:13" s="37" customFormat="1" ht="15.75" customHeight="1" x14ac:dyDescent="0.35">
      <c r="A181" s="61" t="s">
        <v>207</v>
      </c>
      <c r="B181" s="52">
        <v>2.5</v>
      </c>
      <c r="C181" s="53">
        <f ca="1">((100/G172)*B181)/100</f>
        <v>0.625</v>
      </c>
      <c r="D181" s="89"/>
      <c r="E181" s="90"/>
      <c r="F181" s="89"/>
      <c r="G181" s="94"/>
      <c r="H181" s="41" t="s">
        <v>208</v>
      </c>
      <c r="I181" s="48">
        <f>(IF(A172&gt;3,(G172/(A172+2)+I180),0))</f>
        <v>0</v>
      </c>
      <c r="J181" s="47"/>
      <c r="K181" s="46"/>
    </row>
    <row r="182" spans="1:13" s="37" customFormat="1" ht="15.75" customHeight="1" x14ac:dyDescent="0.35">
      <c r="A182" s="61" t="s">
        <v>209</v>
      </c>
      <c r="B182" s="52">
        <v>2</v>
      </c>
      <c r="C182" s="53">
        <f ca="1">((100/G172)*B182)/100</f>
        <v>0.5</v>
      </c>
      <c r="D182" s="89"/>
      <c r="E182" s="90"/>
      <c r="F182" s="89"/>
      <c r="G182" s="94"/>
      <c r="H182" s="41" t="s">
        <v>210</v>
      </c>
      <c r="I182" s="44">
        <f>(IF(A172&gt;4,(G172/(A172+2)+I181),0))</f>
        <v>0</v>
      </c>
      <c r="J182" s="45"/>
      <c r="K182" s="46"/>
    </row>
    <row r="183" spans="1:13" s="37" customFormat="1" ht="15.75" customHeight="1" x14ac:dyDescent="0.35">
      <c r="A183" s="72" t="s">
        <v>211</v>
      </c>
      <c r="B183" s="52">
        <v>0</v>
      </c>
      <c r="C183" s="53">
        <f ca="1">((100/(G172))*B183)/100</f>
        <v>0</v>
      </c>
      <c r="D183" s="89"/>
      <c r="E183" s="90"/>
      <c r="F183" s="89"/>
      <c r="G183" s="94"/>
      <c r="H183" s="41" t="s">
        <v>173</v>
      </c>
      <c r="I183" s="44">
        <f ca="1">(IF(A172=1,(G172/(A172+3)+I178),IF(A172=0,(G172/4+I178),IF(A172&gt;1,0))))</f>
        <v>3</v>
      </c>
      <c r="J183" s="47"/>
      <c r="K183" s="46"/>
    </row>
    <row r="184" spans="1:13" s="37" customFormat="1" ht="15.65" customHeight="1" thickBot="1" x14ac:dyDescent="0.4">
      <c r="A184" s="65" t="s">
        <v>212</v>
      </c>
      <c r="B184" s="56">
        <v>0</v>
      </c>
      <c r="C184" s="57">
        <f ca="1">((100/(G172))*B184)/100</f>
        <v>0</v>
      </c>
      <c r="D184" s="91"/>
      <c r="E184" s="92"/>
      <c r="F184" s="91"/>
      <c r="G184" s="95"/>
      <c r="H184" s="49" t="s">
        <v>174</v>
      </c>
      <c r="I184" s="50">
        <f ca="1">(IF(A172&gt;1.5,(G172/(A172+2)+I178+MAX(0,I179-I178)+MAX(0,I180-I179)+MAX(0,I181-I180)+MAX(0,I182-I181)+MAX(0,I183-I182)),IF(A172=1,(G172/(A172+3)+I183),IF(A172=0,G172/4+I183))))</f>
        <v>4</v>
      </c>
      <c r="J184" s="47"/>
      <c r="K184" s="46"/>
    </row>
    <row r="185" spans="1:13" s="37" customFormat="1" ht="15.5" x14ac:dyDescent="0.35">
      <c r="A185" s="63" t="s">
        <v>191</v>
      </c>
      <c r="B185" s="118" t="s">
        <v>277</v>
      </c>
      <c r="C185" s="118"/>
      <c r="D185" s="118"/>
      <c r="E185" s="118"/>
      <c r="F185" s="118"/>
      <c r="G185" s="119"/>
      <c r="H185" s="35" t="str">
        <f ca="1">(IF(D189&gt;99%,"All work completed. Please provide OC.",IF(D189&gt;89.8%,"Plinth, RCC, Brick, Plaster, Flooring, Painting work Completed. Finishing work is in process.",IF(D189&lt;94%,(IF(B189=0,"Work not yet Started.",IF(C189=25%,"Piling work in process",IF(C189=50%,"Excavation work in process",IF(C189=100%,"Excavation work Completed. ","0")))&amp;(IF(B190=0%,"",IF(B190=I191,"Footing work is process",IF(B190=I192,"Footing work Completed",IF(B190=I193,"1st Basement Completed",IF(B190=I194,"1st &amp; 2nd Basement Completed",IF(B190=I195,"1st to 3rd Basement Completed",IF(B190=I196,"1st to 4th Basement Completed",IF(B190=I197,"Plinth work is process",IF(B190=I198,"Plinth work completed","0")))))))))))&amp;(IF(B191=(C186+E186+G186),", RCC Slab",IF(B191&gt;0,", RCC upto "&amp;B191&amp;" Slab",""))&amp;(IF(B192=G186,", Brickwork",IF(B192&gt;0,", Brickwork upto "&amp;B192&amp;" Floor",""))&amp;(IF(B193=G186,", Internal Plaster",IF(B193&gt;0,", Internal Plaster upto "&amp;B193&amp;" Floor",""))&amp;(IF(B194=G186,", External Plaster",IF(B194&gt;0,", External Plaster upto "&amp;B194&amp;" Floor",""))&amp;(IF(B195=G186,", Flooring",IF(B195&gt;0,", Flooring upto "&amp;B195&amp;" Floor",""))&amp;(IF(B196=G186,", Painting",IF(B196&gt;0,", Painting upto "&amp;B196&amp;" Floor",""))&amp;(IF(B197&gt;0,", Finishing upto "&amp;B197&amp;" Floor","")&amp;(IF(B191&gt;0.5," Completed",""))))))))))))))</f>
        <v>Excavation work Completed. Plinth work completed, RCC Slab, Brickwork, Internal Plaster, External Plaster, Flooring upto 3 Floor, Painting upto 2 Floor Completed</v>
      </c>
      <c r="I185" s="36"/>
    </row>
    <row r="186" spans="1:13" s="37" customFormat="1" ht="15.5" x14ac:dyDescent="0.35">
      <c r="A186" s="61">
        <v>0</v>
      </c>
      <c r="B186" s="38" t="s">
        <v>130</v>
      </c>
      <c r="C186" s="38">
        <v>1</v>
      </c>
      <c r="D186" s="38" t="s">
        <v>129</v>
      </c>
      <c r="E186" s="38">
        <v>0</v>
      </c>
      <c r="F186" s="38" t="s">
        <v>192</v>
      </c>
      <c r="G186" s="55">
        <f ca="1">--TRIM(RIGHT(SUBSTITUTE(LEFT(B185,_xlfn.AGGREGATE(16,6,FIND({0,1,2,3,4,5,6,7,8,9},B185,ROW(INDIRECT("1:"&amp;LEN(B185)))),1))," ",REPT(" ",LEN(B185))),LEN(B185)))</f>
        <v>4</v>
      </c>
      <c r="H186" s="39"/>
      <c r="I186" s="40"/>
    </row>
    <row r="187" spans="1:13" s="37" customFormat="1" ht="35.5" customHeight="1" x14ac:dyDescent="0.35">
      <c r="A187" s="66" t="s">
        <v>213</v>
      </c>
      <c r="B187" s="82" t="str">
        <f ca="1">H185</f>
        <v>Excavation work Completed. Plinth work completed, RCC Slab, Brickwork, Internal Plaster, External Plaster, Flooring upto 3 Floor, Painting upto 2 Floor Completed</v>
      </c>
      <c r="C187" s="82"/>
      <c r="D187" s="82"/>
      <c r="E187" s="82"/>
      <c r="F187" s="82"/>
      <c r="G187" s="83"/>
      <c r="H187" s="39" t="s">
        <v>193</v>
      </c>
      <c r="I187" s="40"/>
    </row>
    <row r="188" spans="1:13" s="37" customFormat="1" ht="15.5" x14ac:dyDescent="0.35">
      <c r="A188" s="61" t="s">
        <v>194</v>
      </c>
      <c r="B188" s="51" t="s">
        <v>195</v>
      </c>
      <c r="C188" s="59" t="s">
        <v>196</v>
      </c>
      <c r="D188" s="84" t="s">
        <v>197</v>
      </c>
      <c r="E188" s="85"/>
      <c r="F188" s="84" t="s">
        <v>198</v>
      </c>
      <c r="G188" s="86"/>
      <c r="H188" s="41" t="s">
        <v>199</v>
      </c>
      <c r="I188" s="42">
        <f ca="1">G186*25%</f>
        <v>1</v>
      </c>
    </row>
    <row r="189" spans="1:13" s="37" customFormat="1" ht="15.5" x14ac:dyDescent="0.35">
      <c r="A189" s="61" t="s">
        <v>200</v>
      </c>
      <c r="B189" s="52">
        <f ca="1">I190</f>
        <v>4</v>
      </c>
      <c r="C189" s="53">
        <f ca="1">((100/G186)*B189)/100</f>
        <v>1</v>
      </c>
      <c r="D189" s="87">
        <f ca="1">(((B190/G186*10)+(40/(C186+E186+G186)*B191)+(7.5/(G186)*B192)+(7.5/(G186)*B193)+(10/G186*B194)+(10/G186*B195)+(5/G186*B196)+(5/G186*B197)+(5/G186*B198))/100)</f>
        <v>0.85</v>
      </c>
      <c r="E189" s="88"/>
      <c r="F189" s="87">
        <f ca="1">((((B189/G186)*20)+((B190/G186)*25)+(30/(G186+E186+C186)*B191)+(5/G186*B192)+(5/G186*B193)+(5/G186*B194)+(5/G186*B195)+(0/G186*B196)+(0/G186*B197)+(5/G186*B198))/100)</f>
        <v>0.9375</v>
      </c>
      <c r="G189" s="93"/>
      <c r="H189" s="41" t="s">
        <v>167</v>
      </c>
      <c r="I189" s="43">
        <f ca="1">G186*50%</f>
        <v>2</v>
      </c>
    </row>
    <row r="190" spans="1:13" s="37" customFormat="1" ht="15.5" x14ac:dyDescent="0.35">
      <c r="A190" s="61" t="s">
        <v>160</v>
      </c>
      <c r="B190" s="54">
        <f ca="1">I198</f>
        <v>4</v>
      </c>
      <c r="C190" s="53">
        <f ca="1">((100/G186)*B190)/100</f>
        <v>1</v>
      </c>
      <c r="D190" s="89"/>
      <c r="E190" s="90"/>
      <c r="F190" s="89"/>
      <c r="G190" s="94"/>
      <c r="H190" s="41" t="s">
        <v>170</v>
      </c>
      <c r="I190" s="43">
        <f ca="1">G186</f>
        <v>4</v>
      </c>
    </row>
    <row r="191" spans="1:13" s="37" customFormat="1" ht="15.75" customHeight="1" x14ac:dyDescent="0.35">
      <c r="A191" s="61" t="s">
        <v>201</v>
      </c>
      <c r="B191" s="54">
        <v>5</v>
      </c>
      <c r="C191" s="53">
        <f ca="1">((100/(C186+E186+G186))*B191)/100</f>
        <v>1</v>
      </c>
      <c r="D191" s="89"/>
      <c r="E191" s="90"/>
      <c r="F191" s="89"/>
      <c r="G191" s="94"/>
      <c r="H191" s="41" t="s">
        <v>171</v>
      </c>
      <c r="I191" s="44">
        <f ca="1">(IF(A186&gt;1,(G186/(A186+2)),G186/4))</f>
        <v>1</v>
      </c>
      <c r="K191" s="45"/>
    </row>
    <row r="192" spans="1:13" s="37" customFormat="1" ht="15.75" customHeight="1" x14ac:dyDescent="0.35">
      <c r="A192" s="61" t="s">
        <v>202</v>
      </c>
      <c r="B192" s="52">
        <v>4</v>
      </c>
      <c r="C192" s="53">
        <f ca="1">((100/G186)*B192)/100</f>
        <v>1</v>
      </c>
      <c r="D192" s="89"/>
      <c r="E192" s="90"/>
      <c r="F192" s="89"/>
      <c r="G192" s="94"/>
      <c r="H192" s="41" t="s">
        <v>172</v>
      </c>
      <c r="I192" s="44">
        <f ca="1">(IF(A186&gt;1,(G186/(A186+2)+I191),G186/4+I191))</f>
        <v>2</v>
      </c>
      <c r="K192" s="45"/>
    </row>
    <row r="193" spans="1:13" s="37" customFormat="1" ht="15.75" customHeight="1" x14ac:dyDescent="0.35">
      <c r="A193" s="61" t="s">
        <v>203</v>
      </c>
      <c r="B193" s="52">
        <v>4</v>
      </c>
      <c r="C193" s="53">
        <f ca="1">((100/G186)*B193)/100</f>
        <v>1</v>
      </c>
      <c r="D193" s="89"/>
      <c r="E193" s="90"/>
      <c r="F193" s="89"/>
      <c r="G193" s="94"/>
      <c r="H193" s="41" t="s">
        <v>204</v>
      </c>
      <c r="I193" s="44">
        <f>(IF(A186&gt;1,(G186/(A186+2)+I192),0))</f>
        <v>0</v>
      </c>
      <c r="K193" s="46"/>
      <c r="M193" s="45"/>
    </row>
    <row r="194" spans="1:13" s="37" customFormat="1" ht="15.75" customHeight="1" x14ac:dyDescent="0.35">
      <c r="A194" s="61" t="s">
        <v>205</v>
      </c>
      <c r="B194" s="52">
        <v>4</v>
      </c>
      <c r="C194" s="53">
        <f ca="1">((100/(G186))*B194)/100</f>
        <v>1</v>
      </c>
      <c r="D194" s="89"/>
      <c r="E194" s="90"/>
      <c r="F194" s="89"/>
      <c r="G194" s="94"/>
      <c r="H194" s="41" t="s">
        <v>206</v>
      </c>
      <c r="I194" s="44">
        <f>(IF(A186&gt;2,(G186/(A186+2)+I193),0))</f>
        <v>0</v>
      </c>
      <c r="J194" s="47"/>
      <c r="K194" s="46"/>
    </row>
    <row r="195" spans="1:13" s="37" customFormat="1" ht="15.75" customHeight="1" x14ac:dyDescent="0.35">
      <c r="A195" s="61" t="s">
        <v>207</v>
      </c>
      <c r="B195" s="52">
        <v>3</v>
      </c>
      <c r="C195" s="53">
        <f ca="1">((100/G186)*B195)/100</f>
        <v>0.75</v>
      </c>
      <c r="D195" s="89"/>
      <c r="E195" s="90"/>
      <c r="F195" s="89"/>
      <c r="G195" s="94"/>
      <c r="H195" s="41" t="s">
        <v>208</v>
      </c>
      <c r="I195" s="48">
        <f>(IF(A186&gt;3,(G186/(A186+2)+I194),0))</f>
        <v>0</v>
      </c>
      <c r="J195" s="47"/>
      <c r="K195" s="46"/>
    </row>
    <row r="196" spans="1:13" s="37" customFormat="1" ht="15.75" customHeight="1" x14ac:dyDescent="0.35">
      <c r="A196" s="61" t="s">
        <v>209</v>
      </c>
      <c r="B196" s="52">
        <v>2</v>
      </c>
      <c r="C196" s="53">
        <f ca="1">((100/G186)*B196)/100</f>
        <v>0.5</v>
      </c>
      <c r="D196" s="89"/>
      <c r="E196" s="90"/>
      <c r="F196" s="89"/>
      <c r="G196" s="94"/>
      <c r="H196" s="41" t="s">
        <v>210</v>
      </c>
      <c r="I196" s="44">
        <f>(IF(A186&gt;4,(G186/(A186+2)+I195),0))</f>
        <v>0</v>
      </c>
      <c r="J196" s="45"/>
      <c r="K196" s="46"/>
    </row>
    <row r="197" spans="1:13" s="37" customFormat="1" ht="15.75" customHeight="1" x14ac:dyDescent="0.35">
      <c r="A197" s="72" t="s">
        <v>211</v>
      </c>
      <c r="B197" s="52">
        <v>0</v>
      </c>
      <c r="C197" s="53">
        <f ca="1">((100/(G186))*B197)/100</f>
        <v>0</v>
      </c>
      <c r="D197" s="89"/>
      <c r="E197" s="90"/>
      <c r="F197" s="89"/>
      <c r="G197" s="94"/>
      <c r="H197" s="41" t="s">
        <v>173</v>
      </c>
      <c r="I197" s="44">
        <f ca="1">(IF(A186=1,(G186/(A186+3)+I192),IF(A186=0,(G186/4+I192),IF(A186&gt;1,0))))</f>
        <v>3</v>
      </c>
      <c r="J197" s="47"/>
      <c r="K197" s="46"/>
    </row>
    <row r="198" spans="1:13" s="37" customFormat="1" ht="16" thickBot="1" x14ac:dyDescent="0.4">
      <c r="A198" s="65" t="s">
        <v>212</v>
      </c>
      <c r="B198" s="56">
        <v>0</v>
      </c>
      <c r="C198" s="57">
        <f ca="1">((100/(G186))*B198)/100</f>
        <v>0</v>
      </c>
      <c r="D198" s="91"/>
      <c r="E198" s="92"/>
      <c r="F198" s="91"/>
      <c r="G198" s="95"/>
      <c r="H198" s="49" t="s">
        <v>174</v>
      </c>
      <c r="I198" s="50">
        <f ca="1">(IF(A186&gt;1.5,(G186/(A186+2)+I192+MAX(0,I193-I192)+MAX(0,I194-I193)+MAX(0,I195-I194)+MAX(0,I196-I195)+MAX(0,I197-I196)),IF(A186=1,(G186/(A186+3)+I197),IF(A186=0,G186/4+I197))))</f>
        <v>4</v>
      </c>
      <c r="J198" s="47"/>
      <c r="K198" s="46"/>
    </row>
    <row r="199" spans="1:13" s="37" customFormat="1" ht="18" customHeight="1" x14ac:dyDescent="0.35">
      <c r="A199" s="63" t="s">
        <v>191</v>
      </c>
      <c r="B199" s="118" t="s">
        <v>273</v>
      </c>
      <c r="C199" s="118"/>
      <c r="D199" s="118"/>
      <c r="E199" s="118"/>
      <c r="F199" s="118"/>
      <c r="G199" s="119"/>
      <c r="H199" s="35" t="str">
        <f ca="1">(IF(D203&gt;99%,"All work completed. Please provide OC.",IF(D203&gt;89.8%,"Plinth, RCC, Brick, Plaster, Flooring, Painting work Completed. Finishing work is in process.",IF(D203&lt;94%,(IF(B203=0,"Work not yet Started.",IF(C203=25%,"Piling work in process",IF(C203=50%,"Excavation work in process",IF(C203=100%,"Excavation work Completed. ","0")))&amp;(IF(B204=0%,"",IF(B204=I205,"Footing work is process",IF(B204=I206,"Footing work Completed",IF(B204=I207,"1st Basement Completed",IF(B204=I208,"1st &amp; 2nd Basement Completed",IF(B204=I209,"1st to 3rd Basement Completed",IF(B204=I210,"1st to 4th Basement Completed",IF(B204=I211,"Plinth work is process",IF(B204=I212,"Plinth work completed","0")))))))))))&amp;(IF(B205=(C200+E200+G200),", RCC Slab",IF(B205&gt;0,", RCC upto "&amp;B205&amp;" Slab",""))&amp;(IF(B206=G200,", Brickwork",IF(B206&gt;0,", Brickwork upto "&amp;B206&amp;" Floor",""))&amp;(IF(B207=G200,", Internal Plaster",IF(B207&gt;0,", Internal Plaster upto "&amp;B207&amp;" Floor",""))&amp;(IF(B208=G200,", External Plaster",IF(B208&gt;0,", External Plaster upto "&amp;B208&amp;" Floor",""))&amp;(IF(B209=G200,", Flooring",IF(B209&gt;0,", Flooring upto "&amp;B209&amp;" Floor",""))&amp;(IF(B210=G200,", Painting",IF(B210&gt;0,", Painting upto "&amp;B210&amp;" Floor",""))&amp;(IF(B211&gt;0,", Finishing upto "&amp;B211&amp;" Floor","")&amp;(IF(B205&gt;0.5," Completed",""))))))))))))))</f>
        <v>Excavation work Completed. Plinth work completed, RCC Slab, Brickwork, Internal Plaster, External Plaster upto 3 Floor, Flooring upto 2 Floor, Painting upto 2 Floor Completed</v>
      </c>
      <c r="I199" s="36"/>
    </row>
    <row r="200" spans="1:13" s="37" customFormat="1" ht="15.5" x14ac:dyDescent="0.35">
      <c r="A200" s="61">
        <v>0</v>
      </c>
      <c r="B200" s="38" t="s">
        <v>130</v>
      </c>
      <c r="C200" s="38">
        <v>1</v>
      </c>
      <c r="D200" s="38" t="s">
        <v>129</v>
      </c>
      <c r="E200" s="38">
        <v>0</v>
      </c>
      <c r="F200" s="38" t="s">
        <v>192</v>
      </c>
      <c r="G200" s="55">
        <f ca="1">--TRIM(RIGHT(SUBSTITUTE(LEFT(B199,_xlfn.AGGREGATE(16,6,FIND({0,1,2,3,4,5,6,7,8,9},B199,ROW(INDIRECT("1:"&amp;LEN(B199)))),1))," ",REPT(" ",LEN(B199))),LEN(B199)))</f>
        <v>4</v>
      </c>
      <c r="H200" s="39"/>
      <c r="I200" s="40"/>
    </row>
    <row r="201" spans="1:13" s="37" customFormat="1" ht="33.75" customHeight="1" x14ac:dyDescent="0.35">
      <c r="A201" s="64" t="s">
        <v>214</v>
      </c>
      <c r="B201" s="82" t="str">
        <f ca="1">H199</f>
        <v>Excavation work Completed. Plinth work completed, RCC Slab, Brickwork, Internal Plaster, External Plaster upto 3 Floor, Flooring upto 2 Floor, Painting upto 2 Floor Completed</v>
      </c>
      <c r="C201" s="82"/>
      <c r="D201" s="82"/>
      <c r="E201" s="82"/>
      <c r="F201" s="82"/>
      <c r="G201" s="83"/>
      <c r="H201" s="39" t="s">
        <v>193</v>
      </c>
      <c r="I201" s="40"/>
    </row>
    <row r="202" spans="1:13" s="37" customFormat="1" ht="19.5" customHeight="1" x14ac:dyDescent="0.35">
      <c r="A202" s="74" t="s">
        <v>194</v>
      </c>
      <c r="B202" s="51" t="s">
        <v>195</v>
      </c>
      <c r="C202" s="51" t="s">
        <v>196</v>
      </c>
      <c r="D202" s="84" t="s">
        <v>197</v>
      </c>
      <c r="E202" s="85"/>
      <c r="F202" s="84" t="s">
        <v>198</v>
      </c>
      <c r="G202" s="86"/>
      <c r="H202" s="41" t="s">
        <v>199</v>
      </c>
      <c r="I202" s="42">
        <f ca="1">G200*25%</f>
        <v>1</v>
      </c>
    </row>
    <row r="203" spans="1:13" s="37" customFormat="1" ht="15.5" x14ac:dyDescent="0.35">
      <c r="A203" s="61" t="s">
        <v>200</v>
      </c>
      <c r="B203" s="52">
        <f ca="1">I204</f>
        <v>4</v>
      </c>
      <c r="C203" s="53">
        <f ca="1">((100/G200)*B203)/100</f>
        <v>1</v>
      </c>
      <c r="D203" s="87">
        <f ca="1">(((B204/G200*10)+(40/(C200+E200+G200)*B205)+(7.5/(G200)*B206)+(7.5/(G200)*B207)+(10/G200*B208)+(10/G200*B209)+(5/G200*B210)+(5/G200*B211)+(5/G200*B212))/100)</f>
        <v>0.8</v>
      </c>
      <c r="E203" s="88"/>
      <c r="F203" s="87">
        <f ca="1">((((B203/G200)*20)+((B204/G200)*25)+(30/(G200+E200+C200)*B205)+(5/G200*B206)+(5/G200*B207)+(5/G200*B208)+(5/G200*B209)+(0/G200*B210)+(0/G200*B211)+(5/G200*B212))/100)</f>
        <v>0.91249999999999998</v>
      </c>
      <c r="G203" s="93"/>
      <c r="H203" s="41" t="s">
        <v>167</v>
      </c>
      <c r="I203" s="43">
        <f ca="1">G200*50%</f>
        <v>2</v>
      </c>
    </row>
    <row r="204" spans="1:13" s="37" customFormat="1" ht="15.5" x14ac:dyDescent="0.35">
      <c r="A204" s="61" t="s">
        <v>160</v>
      </c>
      <c r="B204" s="54">
        <f ca="1">I212</f>
        <v>4</v>
      </c>
      <c r="C204" s="53">
        <f ca="1">((100/G200)*B204)/100</f>
        <v>1</v>
      </c>
      <c r="D204" s="89"/>
      <c r="E204" s="90"/>
      <c r="F204" s="89"/>
      <c r="G204" s="94"/>
      <c r="H204" s="41" t="s">
        <v>170</v>
      </c>
      <c r="I204" s="43">
        <f ca="1">G200</f>
        <v>4</v>
      </c>
    </row>
    <row r="205" spans="1:13" s="37" customFormat="1" ht="15.75" customHeight="1" x14ac:dyDescent="0.35">
      <c r="A205" s="61" t="s">
        <v>201</v>
      </c>
      <c r="B205" s="54">
        <v>5</v>
      </c>
      <c r="C205" s="53">
        <f ca="1">((100/(C200+E200+G200))*B205)/100</f>
        <v>1</v>
      </c>
      <c r="D205" s="89"/>
      <c r="E205" s="90"/>
      <c r="F205" s="89"/>
      <c r="G205" s="94"/>
      <c r="H205" s="41" t="s">
        <v>171</v>
      </c>
      <c r="I205" s="44">
        <f ca="1">(IF(A200&gt;1,(G200/(A200+2)),G200/4))</f>
        <v>1</v>
      </c>
      <c r="K205" s="45"/>
    </row>
    <row r="206" spans="1:13" s="37" customFormat="1" ht="15.75" customHeight="1" x14ac:dyDescent="0.35">
      <c r="A206" s="61" t="s">
        <v>202</v>
      </c>
      <c r="B206" s="52">
        <v>4</v>
      </c>
      <c r="C206" s="53">
        <f ca="1">((100/G200)*B206)/100</f>
        <v>1</v>
      </c>
      <c r="D206" s="89"/>
      <c r="E206" s="90"/>
      <c r="F206" s="89"/>
      <c r="G206" s="94"/>
      <c r="H206" s="41" t="s">
        <v>172</v>
      </c>
      <c r="I206" s="44">
        <f ca="1">(IF(A200&gt;1,(G200/(A200+2)+I205),G200/4+I205))</f>
        <v>2</v>
      </c>
      <c r="K206" s="45"/>
    </row>
    <row r="207" spans="1:13" s="37" customFormat="1" ht="15.75" customHeight="1" x14ac:dyDescent="0.35">
      <c r="A207" s="61" t="s">
        <v>203</v>
      </c>
      <c r="B207" s="52">
        <v>4</v>
      </c>
      <c r="C207" s="53">
        <f ca="1">((100/G200)*B207)/100</f>
        <v>1</v>
      </c>
      <c r="D207" s="89"/>
      <c r="E207" s="90"/>
      <c r="F207" s="89"/>
      <c r="G207" s="94"/>
      <c r="H207" s="41" t="s">
        <v>204</v>
      </c>
      <c r="I207" s="44">
        <f>(IF(A200&gt;1,(G200/(A200+2)+I206),0))</f>
        <v>0</v>
      </c>
      <c r="K207" s="46"/>
      <c r="M207" s="45"/>
    </row>
    <row r="208" spans="1:13" s="37" customFormat="1" ht="15.75" customHeight="1" x14ac:dyDescent="0.35">
      <c r="A208" s="61" t="s">
        <v>205</v>
      </c>
      <c r="B208" s="52">
        <v>3</v>
      </c>
      <c r="C208" s="53">
        <f ca="1">((100/(G200))*B208)/100</f>
        <v>0.75</v>
      </c>
      <c r="D208" s="89"/>
      <c r="E208" s="90"/>
      <c r="F208" s="89"/>
      <c r="G208" s="94"/>
      <c r="H208" s="41" t="s">
        <v>206</v>
      </c>
      <c r="I208" s="44">
        <f>(IF(A200&gt;2,(G200/(A200+2)+I207),0))</f>
        <v>0</v>
      </c>
      <c r="J208" s="47"/>
      <c r="K208" s="46"/>
    </row>
    <row r="209" spans="1:12" s="37" customFormat="1" ht="15.75" customHeight="1" x14ac:dyDescent="0.35">
      <c r="A209" s="61" t="s">
        <v>207</v>
      </c>
      <c r="B209" s="52">
        <v>2</v>
      </c>
      <c r="C209" s="53">
        <f ca="1">((100/G200)*B209)/100</f>
        <v>0.5</v>
      </c>
      <c r="D209" s="89"/>
      <c r="E209" s="90"/>
      <c r="F209" s="89"/>
      <c r="G209" s="94"/>
      <c r="H209" s="41" t="s">
        <v>208</v>
      </c>
      <c r="I209" s="48">
        <f>(IF(A200&gt;3,(G200/(A200+2)+I208),0))</f>
        <v>0</v>
      </c>
      <c r="J209" s="47"/>
      <c r="K209" s="46"/>
    </row>
    <row r="210" spans="1:12" s="37" customFormat="1" ht="15.75" customHeight="1" x14ac:dyDescent="0.35">
      <c r="A210" s="61" t="s">
        <v>209</v>
      </c>
      <c r="B210" s="52">
        <v>2</v>
      </c>
      <c r="C210" s="53">
        <f ca="1">((100/G200)*B210)/100</f>
        <v>0.5</v>
      </c>
      <c r="D210" s="89"/>
      <c r="E210" s="90"/>
      <c r="F210" s="89"/>
      <c r="G210" s="94"/>
      <c r="H210" s="41" t="s">
        <v>210</v>
      </c>
      <c r="I210" s="44">
        <f>(IF(A200&gt;4,(G200/(A200+2)+I209),0))</f>
        <v>0</v>
      </c>
      <c r="J210" s="45"/>
      <c r="K210" s="46"/>
    </row>
    <row r="211" spans="1:12" s="37" customFormat="1" ht="15.5" x14ac:dyDescent="0.35">
      <c r="A211" s="72" t="s">
        <v>211</v>
      </c>
      <c r="B211" s="52">
        <v>0</v>
      </c>
      <c r="C211" s="53">
        <f ca="1">((100/(G200))*B211)/100</f>
        <v>0</v>
      </c>
      <c r="D211" s="89"/>
      <c r="E211" s="90"/>
      <c r="F211" s="89"/>
      <c r="G211" s="94"/>
      <c r="H211" s="41" t="s">
        <v>173</v>
      </c>
      <c r="I211" s="44">
        <f ca="1">(IF(A200=1,(G200/(A200+3)+I206),IF(A200=0,(G200/4+I206),IF(A200&gt;1,0))))</f>
        <v>3</v>
      </c>
      <c r="J211" s="47"/>
      <c r="K211" s="46"/>
    </row>
    <row r="212" spans="1:12" s="37" customFormat="1" ht="16" thickBot="1" x14ac:dyDescent="0.4">
      <c r="A212" s="65" t="s">
        <v>212</v>
      </c>
      <c r="B212" s="56">
        <v>0</v>
      </c>
      <c r="C212" s="57">
        <f ca="1">((100/(G200))*B212)/100</f>
        <v>0</v>
      </c>
      <c r="D212" s="91"/>
      <c r="E212" s="92"/>
      <c r="F212" s="91"/>
      <c r="G212" s="95"/>
      <c r="H212" s="49" t="s">
        <v>174</v>
      </c>
      <c r="I212" s="50">
        <f ca="1">(IF(A200&gt;1.5,(G200/(A200+2)+I206+MAX(0,I207-I206)+MAX(0,I208-I207)+MAX(0,I209-I208)+MAX(0,I210-I209)+MAX(0,I211-I210)),IF(A200=1,(G200/(A200+3)+I211),IF(A200=0,G200/4+I211))))</f>
        <v>4</v>
      </c>
      <c r="J212" s="47"/>
      <c r="K212" s="46"/>
    </row>
    <row r="213" spans="1:12" ht="15" customHeight="1" x14ac:dyDescent="0.3">
      <c r="A213" s="122" t="s">
        <v>85</v>
      </c>
      <c r="B213" s="123"/>
      <c r="C213" s="123"/>
      <c r="D213" s="123"/>
      <c r="E213" s="123"/>
      <c r="F213" s="123"/>
      <c r="G213" s="124"/>
    </row>
    <row r="214" spans="1:12" ht="15" customHeight="1" x14ac:dyDescent="0.3">
      <c r="A214" s="125" t="s">
        <v>86</v>
      </c>
      <c r="B214" s="126"/>
      <c r="C214" s="126"/>
      <c r="D214" s="126"/>
      <c r="E214" s="126"/>
      <c r="F214" s="126"/>
      <c r="G214" s="127"/>
    </row>
    <row r="215" spans="1:12" ht="15" x14ac:dyDescent="0.3">
      <c r="A215" s="79" t="s">
        <v>87</v>
      </c>
      <c r="B215" s="128" t="s">
        <v>215</v>
      </c>
      <c r="C215" s="129"/>
      <c r="D215" s="129"/>
      <c r="E215" s="129"/>
      <c r="F215" s="129"/>
      <c r="G215" s="130"/>
    </row>
    <row r="216" spans="1:12" ht="14.25" customHeight="1" x14ac:dyDescent="0.3">
      <c r="A216" s="97" t="s">
        <v>88</v>
      </c>
      <c r="B216" s="97"/>
      <c r="C216" s="97"/>
      <c r="D216" s="97"/>
      <c r="E216" s="97"/>
      <c r="F216" s="97"/>
      <c r="G216" s="97"/>
      <c r="I216" s="76" t="s">
        <v>270</v>
      </c>
      <c r="J216" s="76" t="s">
        <v>268</v>
      </c>
      <c r="K216" s="77">
        <v>45171</v>
      </c>
      <c r="L216" s="76" t="s">
        <v>269</v>
      </c>
    </row>
    <row r="217" spans="1:12" ht="15" customHeight="1" x14ac:dyDescent="0.3">
      <c r="A217" s="98" t="s">
        <v>89</v>
      </c>
      <c r="B217" s="98"/>
      <c r="C217" s="98"/>
      <c r="D217" s="98"/>
      <c r="E217" s="99">
        <v>5000</v>
      </c>
      <c r="F217" s="99"/>
      <c r="G217" s="99"/>
      <c r="H217" s="70" t="s">
        <v>281</v>
      </c>
    </row>
    <row r="218" spans="1:12" ht="15" x14ac:dyDescent="0.3">
      <c r="A218" s="98" t="s">
        <v>90</v>
      </c>
      <c r="B218" s="98"/>
      <c r="C218" s="98"/>
      <c r="D218" s="98"/>
      <c r="E218" s="100">
        <v>35000</v>
      </c>
      <c r="F218" s="101"/>
      <c r="G218" s="101"/>
    </row>
    <row r="219" spans="1:12" ht="15" hidden="1" x14ac:dyDescent="0.3">
      <c r="A219" s="98" t="s">
        <v>91</v>
      </c>
      <c r="B219" s="98"/>
      <c r="C219" s="98"/>
      <c r="D219" s="98"/>
      <c r="E219" s="100">
        <v>10000</v>
      </c>
      <c r="F219" s="98"/>
      <c r="G219" s="98"/>
    </row>
    <row r="220" spans="1:12" ht="15" customHeight="1" x14ac:dyDescent="0.3">
      <c r="A220" s="98" t="s">
        <v>92</v>
      </c>
      <c r="B220" s="98"/>
      <c r="C220" s="98"/>
      <c r="D220" s="98"/>
      <c r="E220" s="98">
        <v>35000</v>
      </c>
      <c r="F220" s="98"/>
      <c r="G220" s="98"/>
    </row>
    <row r="221" spans="1:12" ht="15" customHeight="1" x14ac:dyDescent="0.3">
      <c r="A221" s="98" t="s">
        <v>267</v>
      </c>
      <c r="B221" s="98"/>
      <c r="C221" s="98"/>
      <c r="D221" s="98"/>
      <c r="E221" s="100">
        <v>130000</v>
      </c>
      <c r="F221" s="98"/>
      <c r="G221" s="98"/>
      <c r="H221">
        <f>860*2*12</f>
        <v>20640</v>
      </c>
    </row>
    <row r="222" spans="1:12" ht="15" customHeight="1" x14ac:dyDescent="0.3">
      <c r="A222" s="98" t="s">
        <v>93</v>
      </c>
      <c r="B222" s="98"/>
      <c r="C222" s="98"/>
      <c r="D222" s="98"/>
      <c r="E222" s="98" t="s">
        <v>284</v>
      </c>
      <c r="F222" s="98"/>
      <c r="G222" s="98"/>
      <c r="H222" t="s">
        <v>283</v>
      </c>
    </row>
    <row r="223" spans="1:12" ht="15" customHeight="1" x14ac:dyDescent="0.3">
      <c r="A223" s="108" t="s">
        <v>94</v>
      </c>
      <c r="B223" s="109"/>
      <c r="C223" s="109"/>
      <c r="D223" s="110"/>
      <c r="E223" s="111">
        <v>3320</v>
      </c>
      <c r="F223" s="112"/>
      <c r="G223" s="113"/>
    </row>
    <row r="224" spans="1:12" ht="14.25" customHeight="1" x14ac:dyDescent="0.3">
      <c r="A224" s="114" t="s">
        <v>95</v>
      </c>
      <c r="B224" s="115"/>
      <c r="C224" s="115"/>
      <c r="D224" s="115"/>
      <c r="E224" s="115"/>
      <c r="F224" s="115"/>
      <c r="G224" s="116"/>
    </row>
    <row r="225" spans="1:7" ht="14.25" customHeight="1" x14ac:dyDescent="0.3">
      <c r="A225" s="62" t="s">
        <v>96</v>
      </c>
      <c r="B225" s="2" t="s">
        <v>97</v>
      </c>
      <c r="C225" s="157" t="s">
        <v>98</v>
      </c>
      <c r="D225" s="158"/>
      <c r="E225" s="102" t="s">
        <v>99</v>
      </c>
      <c r="F225" s="103"/>
      <c r="G225" s="104"/>
    </row>
    <row r="226" spans="1:7" ht="15" x14ac:dyDescent="0.3">
      <c r="A226" s="60" t="s">
        <v>232</v>
      </c>
      <c r="B226" s="5">
        <f>COUNT(C247:C257)*2+COUNT(C259:C269)*2</f>
        <v>44</v>
      </c>
      <c r="C226" s="105">
        <f t="shared" ref="C226" si="0">SUM(C247:C257)*2+SUM(C259:C269)*2</f>
        <v>15178.746959999999</v>
      </c>
      <c r="D226" s="106"/>
      <c r="E226" s="105">
        <f>SUM(E247:E257)*2+SUM(E259:E269)*2</f>
        <v>24166.198252800001</v>
      </c>
      <c r="F226" s="107"/>
      <c r="G226" s="106"/>
    </row>
    <row r="227" spans="1:7" ht="15" x14ac:dyDescent="0.3">
      <c r="A227" s="60" t="s">
        <v>257</v>
      </c>
      <c r="B227" s="5">
        <f>COUNT(C273:C282)*2+COUNT(C284:C293)*2</f>
        <v>40</v>
      </c>
      <c r="C227" s="105">
        <f t="shared" ref="C227" si="1">SUM(C273:C282)*2+SUM(C284:C293)*2</f>
        <v>15046.88796</v>
      </c>
      <c r="D227" s="106"/>
      <c r="E227" s="105">
        <f>SUM(E273:E282)*2+SUM(E284:E293)*2</f>
        <v>25030</v>
      </c>
      <c r="F227" s="107"/>
      <c r="G227" s="106"/>
    </row>
    <row r="228" spans="1:7" ht="15" x14ac:dyDescent="0.3">
      <c r="A228" s="60" t="s">
        <v>250</v>
      </c>
      <c r="B228" s="5">
        <f>COUNT(C297:C307)*2+COUNT(C309:C319)*2</f>
        <v>44</v>
      </c>
      <c r="C228" s="105">
        <f>SUM(C297:C307)*2+SUM(C309:C319)*2</f>
        <v>14949.25848</v>
      </c>
      <c r="D228" s="106"/>
      <c r="E228" s="105">
        <f>SUM(E297:E307)*2+SUM(E309:E319)*2</f>
        <v>24828.13276</v>
      </c>
      <c r="F228" s="107"/>
      <c r="G228" s="106"/>
    </row>
    <row r="229" spans="1:7" ht="15" x14ac:dyDescent="0.3">
      <c r="A229" s="60" t="s">
        <v>251</v>
      </c>
      <c r="B229" s="5">
        <f>COUNT(C322:C327)+COUNT(C329:C339)*2+COUNT(C341:C351)*2</f>
        <v>50</v>
      </c>
      <c r="C229" s="105">
        <f>SUM(C322:C327)+SUM(C329:C339)*2+SUM(C341:C351)*2</f>
        <v>16702.929359999998</v>
      </c>
      <c r="D229" s="106"/>
      <c r="E229" s="105">
        <f>SUM(E322:E327)+SUM(E329:E339)*2+SUM(E341:E351)*2</f>
        <v>26945</v>
      </c>
      <c r="F229" s="107"/>
      <c r="G229" s="106"/>
    </row>
    <row r="230" spans="1:7" ht="15" x14ac:dyDescent="0.3">
      <c r="A230" s="60" t="s">
        <v>258</v>
      </c>
      <c r="B230" s="5">
        <f>COUNT(C354:C363)+COUNT(C365:C374)*2+COUNT(C376:C385)*2</f>
        <v>50</v>
      </c>
      <c r="C230" s="105">
        <f>SUM(C354:C363)+SUM(C365:C374)*2+SUM(C376:C385)*2</f>
        <v>19011.161520000001</v>
      </c>
      <c r="D230" s="106"/>
      <c r="E230" s="105">
        <f>SUM(E354:E363)+SUM(E365:E374)*2+SUM(E376:E385)*2</f>
        <v>31070</v>
      </c>
      <c r="F230" s="107"/>
      <c r="G230" s="106"/>
    </row>
    <row r="231" spans="1:7" ht="15" x14ac:dyDescent="0.3">
      <c r="A231" s="60" t="s">
        <v>259</v>
      </c>
      <c r="B231" s="5">
        <f>COUNT(C425:C430)+COUNT(C432:C437)+COUNT(C439:C444)*2+COUNT(C446:C451)</f>
        <v>30</v>
      </c>
      <c r="C231" s="105">
        <f>SUM(C425:C430)+SUM(C432:C437)+SUM(C439:C444)*2+SUM(C446:C451)</f>
        <v>12362.776919999998</v>
      </c>
      <c r="D231" s="106"/>
      <c r="E231" s="105">
        <f>SUM(E425:E430)+SUM(E432:E437)+SUM(E439:E444)*2+SUM(E446:E451)</f>
        <v>19850</v>
      </c>
      <c r="F231" s="107"/>
      <c r="G231" s="106"/>
    </row>
    <row r="232" spans="1:7" ht="15" x14ac:dyDescent="0.3">
      <c r="A232" s="60" t="s">
        <v>246</v>
      </c>
      <c r="B232" s="5">
        <f>COUNT(C454:C456,C458:C459,C461:C463)+COUNT(C465:C475)*2+COUNT(C477:C487)*2</f>
        <v>52</v>
      </c>
      <c r="C232" s="105">
        <f>SUM(C454:C456,C458:C459,C461:C463)+SUM(C465:C475)*2+SUM(C477:C487)*2</f>
        <v>16863.097679999999</v>
      </c>
      <c r="D232" s="106"/>
      <c r="E232" s="105">
        <f>SUM(E454:E456,E458:E459,E461:E463)+SUM(E465:E475)*2+SUM(E477:E487)*2</f>
        <v>27050</v>
      </c>
      <c r="F232" s="107"/>
      <c r="G232" s="106"/>
    </row>
    <row r="233" spans="1:7" ht="15" x14ac:dyDescent="0.3">
      <c r="A233" s="60" t="s">
        <v>254</v>
      </c>
      <c r="B233" s="5">
        <f>COUNT(C490:C495)+COUNT(C497:C507)*2+COUNT(C509:C519)*2</f>
        <v>50</v>
      </c>
      <c r="C233" s="105">
        <f>SUM(C490:C495)+SUM(C497:C507)*2+SUM(C509:C519)*2</f>
        <v>16590.122639999998</v>
      </c>
      <c r="D233" s="106"/>
      <c r="E233" s="105">
        <f>SUM(E490:E495)+SUM(E497:E507)*2+SUM(E509:E519)*2</f>
        <v>26800</v>
      </c>
      <c r="F233" s="107"/>
      <c r="G233" s="106"/>
    </row>
    <row r="234" spans="1:7" ht="15" x14ac:dyDescent="0.3">
      <c r="A234" s="60" t="s">
        <v>255</v>
      </c>
      <c r="B234" s="5">
        <f>COUNT(C523:C532)*2+COUNT(C534:C543)*2</f>
        <v>40</v>
      </c>
      <c r="C234" s="105">
        <f t="shared" ref="C234" si="2">SUM(C523:C532)*2+SUM(C534:C543)*2</f>
        <v>13448.972159999999</v>
      </c>
      <c r="D234" s="106"/>
      <c r="E234" s="105">
        <f>SUM(E523:E532)*2+SUM(E534:E543)*2</f>
        <v>21910</v>
      </c>
      <c r="F234" s="107"/>
      <c r="G234" s="106"/>
    </row>
    <row r="235" spans="1:7" ht="15" x14ac:dyDescent="0.3">
      <c r="A235" s="60" t="s">
        <v>256</v>
      </c>
      <c r="B235" s="5">
        <f>COUNT(C547:C550)*2+COUNT(C552:C555)*2</f>
        <v>16</v>
      </c>
      <c r="C235" s="105">
        <f>SUM(C547:C550)*2+SUM(C552:C555)*2</f>
        <v>5577.4742400000005</v>
      </c>
      <c r="D235" s="106"/>
      <c r="E235" s="105">
        <f>SUM(E547:E550)*2+SUM(E552:E555)*2</f>
        <v>9080</v>
      </c>
      <c r="F235" s="107"/>
      <c r="G235" s="106"/>
    </row>
    <row r="236" spans="1:7" ht="14.5" x14ac:dyDescent="0.3">
      <c r="A236" s="62" t="s">
        <v>100</v>
      </c>
      <c r="B236" s="6">
        <f>SUM(B226:B235)</f>
        <v>416</v>
      </c>
      <c r="C236" s="159">
        <f>SUM(C226:D235)</f>
        <v>145731.42792000002</v>
      </c>
      <c r="D236" s="160"/>
      <c r="E236" s="159">
        <f>SUM(E226:G235)</f>
        <v>236729.33101279999</v>
      </c>
      <c r="F236" s="161"/>
      <c r="G236" s="160"/>
    </row>
    <row r="237" spans="1:7" ht="15" x14ac:dyDescent="0.3">
      <c r="A237" s="60" t="s">
        <v>260</v>
      </c>
      <c r="B237" s="5">
        <f>COUNT(C399:C409)+COUNT(C411:C422)*4</f>
        <v>59</v>
      </c>
      <c r="C237" s="105">
        <f>SUM(C399:C409)+SUM(C411:C422)*4</f>
        <v>23976.487079999995</v>
      </c>
      <c r="D237" s="106"/>
      <c r="E237" s="105">
        <f>SUM(E399:E409)+SUM(E411:E422)*4</f>
        <v>37465</v>
      </c>
      <c r="F237" s="107"/>
      <c r="G237" s="106"/>
    </row>
    <row r="238" spans="1:7" ht="15" x14ac:dyDescent="0.3">
      <c r="A238" s="60" t="s">
        <v>261</v>
      </c>
      <c r="B238" s="5">
        <f>COUNT(C457,C460)</f>
        <v>2</v>
      </c>
      <c r="C238" s="105">
        <f>SUM(C457,C460)</f>
        <v>827.10575999999992</v>
      </c>
      <c r="D238" s="106"/>
      <c r="E238" s="105">
        <f>SUM(E457,E460)</f>
        <v>1300</v>
      </c>
      <c r="F238" s="107"/>
      <c r="G238" s="106"/>
    </row>
    <row r="239" spans="1:7" ht="14.5" x14ac:dyDescent="0.3">
      <c r="A239" s="62" t="s">
        <v>100</v>
      </c>
      <c r="B239" s="6">
        <f>SUM(B237:B238)</f>
        <v>61</v>
      </c>
      <c r="C239" s="159">
        <f>SUM(C237:D238)</f>
        <v>24803.592839999994</v>
      </c>
      <c r="D239" s="160"/>
      <c r="E239" s="159">
        <f>SUM(E237:G238)</f>
        <v>38765</v>
      </c>
      <c r="F239" s="161"/>
      <c r="G239" s="160"/>
    </row>
    <row r="240" spans="1:7" ht="14.5" x14ac:dyDescent="0.3">
      <c r="A240" s="62" t="s">
        <v>262</v>
      </c>
      <c r="B240" s="6">
        <f>B236+B239</f>
        <v>477</v>
      </c>
      <c r="C240" s="159">
        <f>C236+C239</f>
        <v>170535.02076000001</v>
      </c>
      <c r="D240" s="160"/>
      <c r="E240" s="159">
        <f>E236+E239</f>
        <v>275494.33101279999</v>
      </c>
      <c r="F240" s="161"/>
      <c r="G240" s="160"/>
    </row>
    <row r="241" spans="1:11" ht="14.25" customHeight="1" x14ac:dyDescent="0.3">
      <c r="A241" s="114" t="s">
        <v>101</v>
      </c>
      <c r="B241" s="115"/>
      <c r="C241" s="115"/>
      <c r="D241" s="115"/>
      <c r="E241" s="115"/>
      <c r="F241" s="115"/>
      <c r="G241" s="116"/>
    </row>
    <row r="242" spans="1:11" ht="14.25" customHeight="1" x14ac:dyDescent="0.3">
      <c r="A242" s="114" t="s">
        <v>102</v>
      </c>
      <c r="B242" s="115"/>
      <c r="C242" s="115"/>
      <c r="D242" s="115"/>
      <c r="E242" s="115"/>
      <c r="F242" s="115"/>
      <c r="G242" s="116"/>
    </row>
    <row r="243" spans="1:11" ht="43.5" x14ac:dyDescent="0.3">
      <c r="A243" s="62" t="s">
        <v>103</v>
      </c>
      <c r="B243" s="2" t="s">
        <v>104</v>
      </c>
      <c r="C243" s="2" t="s">
        <v>105</v>
      </c>
      <c r="D243" s="1" t="s">
        <v>106</v>
      </c>
      <c r="E243" s="2" t="s">
        <v>127</v>
      </c>
      <c r="F243" s="2" t="s">
        <v>248</v>
      </c>
      <c r="G243" s="2" t="s">
        <v>107</v>
      </c>
    </row>
    <row r="244" spans="1:11" ht="14.5" x14ac:dyDescent="0.3">
      <c r="A244" s="164" t="s">
        <v>232</v>
      </c>
      <c r="B244" s="165"/>
      <c r="C244" s="165"/>
      <c r="D244" s="165"/>
      <c r="E244" s="165"/>
      <c r="F244" s="165"/>
      <c r="G244" s="166"/>
    </row>
    <row r="245" spans="1:11" ht="14.25" customHeight="1" x14ac:dyDescent="0.3">
      <c r="A245" s="164" t="s">
        <v>235</v>
      </c>
      <c r="B245" s="165"/>
      <c r="C245" s="165"/>
      <c r="D245" s="165"/>
      <c r="E245" s="165"/>
      <c r="F245" s="165"/>
      <c r="G245" s="166"/>
    </row>
    <row r="246" spans="1:11" ht="14.5" x14ac:dyDescent="0.3">
      <c r="A246" s="164" t="s">
        <v>109</v>
      </c>
      <c r="B246" s="165"/>
      <c r="C246" s="165"/>
      <c r="D246" s="165"/>
      <c r="E246" s="165"/>
      <c r="F246" s="165"/>
      <c r="G246" s="166"/>
    </row>
    <row r="247" spans="1:11" ht="15" customHeight="1" x14ac:dyDescent="0.3">
      <c r="A247" s="7">
        <v>1</v>
      </c>
      <c r="B247" s="8" t="s">
        <v>110</v>
      </c>
      <c r="C247" s="7">
        <f>(21.41+4.38)*10.764</f>
        <v>277.60355999999996</v>
      </c>
      <c r="D247" s="7">
        <v>0</v>
      </c>
      <c r="E247" s="7">
        <v>440</v>
      </c>
      <c r="F247" s="8" t="s">
        <v>243</v>
      </c>
      <c r="G247" s="162" t="str">
        <f>A246</f>
        <v>1st &amp; 3rd Floor</v>
      </c>
      <c r="H247" s="73">
        <f>E247/C247</f>
        <v>1.584994082928908</v>
      </c>
      <c r="J247" s="73"/>
    </row>
    <row r="248" spans="1:11" ht="15" x14ac:dyDescent="0.3">
      <c r="A248" s="7">
        <v>2</v>
      </c>
      <c r="B248" s="8" t="s">
        <v>110</v>
      </c>
      <c r="C248" s="7">
        <f>(21.41+1.91)*10.764</f>
        <v>251.01648</v>
      </c>
      <c r="D248" s="7">
        <f>(2.6)*10.764</f>
        <v>27.9864</v>
      </c>
      <c r="E248" s="7">
        <v>430</v>
      </c>
      <c r="F248" s="8" t="s">
        <v>243</v>
      </c>
      <c r="G248" s="163"/>
      <c r="J248" s="73"/>
      <c r="K248">
        <f>2.7*4.1+1.2*1.3+2.8*2.4+2.1*2.4+0.9*1.4+1.2*1+0.9*1+1*3.1+1*2.55</f>
        <v>33.4</v>
      </c>
    </row>
    <row r="249" spans="1:11" ht="15" x14ac:dyDescent="0.3">
      <c r="A249" s="7">
        <v>3</v>
      </c>
      <c r="B249" s="8" t="s">
        <v>112</v>
      </c>
      <c r="C249" s="7">
        <f>(30.49+4.42)*10.764</f>
        <v>375.77123999999992</v>
      </c>
      <c r="D249" s="7">
        <f>(2.65)*10.764</f>
        <v>28.524599999999996</v>
      </c>
      <c r="E249" s="7">
        <v>625</v>
      </c>
      <c r="F249" s="8" t="s">
        <v>243</v>
      </c>
      <c r="G249" s="163"/>
      <c r="J249" s="73"/>
      <c r="K249" s="73">
        <f>C249/10.764</f>
        <v>34.909999999999997</v>
      </c>
    </row>
    <row r="250" spans="1:11" ht="15" x14ac:dyDescent="0.3">
      <c r="A250" s="7">
        <v>4</v>
      </c>
      <c r="B250" s="8" t="s">
        <v>112</v>
      </c>
      <c r="C250" s="7">
        <f>(29.87+5.53)*10.764</f>
        <v>381.04559999999998</v>
      </c>
      <c r="D250" s="7">
        <f>(3.1)*10.764</f>
        <v>33.368400000000001</v>
      </c>
      <c r="E250" s="7">
        <v>635</v>
      </c>
      <c r="F250" s="8" t="s">
        <v>243</v>
      </c>
      <c r="G250" s="163"/>
      <c r="J250" s="73"/>
    </row>
    <row r="251" spans="1:11" ht="15" x14ac:dyDescent="0.3">
      <c r="A251" s="7">
        <v>5</v>
      </c>
      <c r="B251" s="8" t="s">
        <v>112</v>
      </c>
      <c r="C251" s="7">
        <f>(30.17+6)*10.764</f>
        <v>389.33388000000002</v>
      </c>
      <c r="D251" s="7">
        <f>(3.1)*10.764</f>
        <v>33.368400000000001</v>
      </c>
      <c r="E251" s="7">
        <v>635</v>
      </c>
      <c r="F251" s="8" t="s">
        <v>243</v>
      </c>
      <c r="G251" s="163"/>
      <c r="J251" s="73"/>
    </row>
    <row r="252" spans="1:11" ht="15" x14ac:dyDescent="0.3">
      <c r="A252" s="7">
        <v>6</v>
      </c>
      <c r="B252" s="8" t="s">
        <v>113</v>
      </c>
      <c r="C252" s="7">
        <f>(43.52)*10.764</f>
        <v>468.44927999999999</v>
      </c>
      <c r="D252" s="7">
        <v>0</v>
      </c>
      <c r="E252" s="7">
        <v>735</v>
      </c>
      <c r="F252" s="8" t="s">
        <v>243</v>
      </c>
      <c r="G252" s="163"/>
      <c r="J252" s="73"/>
    </row>
    <row r="253" spans="1:11" ht="15" x14ac:dyDescent="0.3">
      <c r="A253" s="7">
        <v>7</v>
      </c>
      <c r="B253" s="8" t="s">
        <v>112</v>
      </c>
      <c r="C253" s="7">
        <f>(30.17+6.26)*10.764</f>
        <v>392.13252</v>
      </c>
      <c r="D253" s="7">
        <f>(3.1)*10.764</f>
        <v>33.368400000000001</v>
      </c>
      <c r="E253" s="7">
        <v>635</v>
      </c>
      <c r="F253" s="8" t="s">
        <v>243</v>
      </c>
      <c r="G253" s="163"/>
      <c r="J253" s="73"/>
    </row>
    <row r="254" spans="1:11" ht="15" x14ac:dyDescent="0.3">
      <c r="A254" s="7">
        <v>8</v>
      </c>
      <c r="B254" s="8" t="s">
        <v>112</v>
      </c>
      <c r="C254" s="7">
        <f>(29.87+5.53)*10.764</f>
        <v>381.04559999999998</v>
      </c>
      <c r="D254" s="7">
        <f>(3.1)*10.764</f>
        <v>33.368400000000001</v>
      </c>
      <c r="E254" s="7">
        <v>635</v>
      </c>
      <c r="F254" s="8" t="s">
        <v>243</v>
      </c>
      <c r="G254" s="163"/>
      <c r="J254" s="73"/>
    </row>
    <row r="255" spans="1:11" ht="15" x14ac:dyDescent="0.3">
      <c r="A255" s="7">
        <v>9</v>
      </c>
      <c r="B255" s="8" t="s">
        <v>112</v>
      </c>
      <c r="C255" s="7">
        <f>(30.49+4.42)*10.764</f>
        <v>375.77123999999992</v>
      </c>
      <c r="D255" s="7">
        <f>(2.65)*10.764</f>
        <v>28.524599999999996</v>
      </c>
      <c r="E255" s="7">
        <v>625</v>
      </c>
      <c r="F255" s="8" t="s">
        <v>243</v>
      </c>
      <c r="G255" s="163"/>
      <c r="J255" s="73"/>
    </row>
    <row r="256" spans="1:11" ht="15" x14ac:dyDescent="0.3">
      <c r="A256" s="7">
        <v>10</v>
      </c>
      <c r="B256" s="8" t="s">
        <v>110</v>
      </c>
      <c r="C256" s="7">
        <f>(21.28+1.91)*10.764</f>
        <v>249.61716000000001</v>
      </c>
      <c r="D256" s="7">
        <f>(2.6)*10.764</f>
        <v>27.9864</v>
      </c>
      <c r="E256" s="7">
        <v>430</v>
      </c>
      <c r="F256" s="8" t="s">
        <v>243</v>
      </c>
      <c r="G256" s="163"/>
      <c r="J256" s="73"/>
    </row>
    <row r="257" spans="1:10" ht="15" x14ac:dyDescent="0.3">
      <c r="A257" s="7">
        <v>11</v>
      </c>
      <c r="B257" s="8" t="s">
        <v>110</v>
      </c>
      <c r="C257" s="7">
        <f>(21.42+4.38)*10.764</f>
        <v>277.71119999999996</v>
      </c>
      <c r="D257" s="7">
        <v>0</v>
      </c>
      <c r="E257" s="7">
        <v>440</v>
      </c>
      <c r="F257" s="8" t="s">
        <v>243</v>
      </c>
      <c r="G257" s="167"/>
      <c r="J257" s="73"/>
    </row>
    <row r="258" spans="1:10" ht="14.5" x14ac:dyDescent="0.3">
      <c r="A258" s="164" t="s">
        <v>233</v>
      </c>
      <c r="B258" s="165"/>
      <c r="C258" s="165"/>
      <c r="D258" s="165"/>
      <c r="E258" s="165"/>
      <c r="F258" s="165"/>
      <c r="G258" s="166"/>
      <c r="J258" s="73"/>
    </row>
    <row r="259" spans="1:10" ht="15" x14ac:dyDescent="0.3">
      <c r="A259" s="7">
        <v>1</v>
      </c>
      <c r="B259" s="8" t="s">
        <v>110</v>
      </c>
      <c r="C259" s="7">
        <f>(21.41+4.38)*10.764</f>
        <v>277.60355999999996</v>
      </c>
      <c r="D259" s="7">
        <v>0</v>
      </c>
      <c r="E259" s="7">
        <v>440</v>
      </c>
      <c r="F259" s="8" t="s">
        <v>243</v>
      </c>
      <c r="G259" s="162" t="str">
        <f>A258</f>
        <v>2nd &amp; 4th Floor</v>
      </c>
      <c r="J259" s="73"/>
    </row>
    <row r="260" spans="1:10" ht="15" x14ac:dyDescent="0.3">
      <c r="A260" s="7">
        <v>2</v>
      </c>
      <c r="B260" s="8" t="s">
        <v>110</v>
      </c>
      <c r="C260" s="7">
        <f>(20.7+1.91)*10.764</f>
        <v>243.37403999999998</v>
      </c>
      <c r="D260" s="7">
        <v>0</v>
      </c>
      <c r="E260" s="7">
        <f>C260*1.54</f>
        <v>374.79602159999996</v>
      </c>
      <c r="F260" s="8" t="s">
        <v>243</v>
      </c>
      <c r="G260" s="163"/>
      <c r="J260" s="73"/>
    </row>
    <row r="261" spans="1:10" ht="15" x14ac:dyDescent="0.3">
      <c r="A261" s="7">
        <v>3</v>
      </c>
      <c r="B261" s="8" t="s">
        <v>112</v>
      </c>
      <c r="C261" s="7">
        <f>(29.93+4.42)*10.764</f>
        <v>369.74340000000001</v>
      </c>
      <c r="D261" s="7">
        <v>0</v>
      </c>
      <c r="E261" s="7">
        <f t="shared" ref="E261:E269" si="3">C261*1.54</f>
        <v>569.40483600000005</v>
      </c>
      <c r="F261" s="8" t="s">
        <v>243</v>
      </c>
      <c r="G261" s="163"/>
      <c r="J261" s="73"/>
    </row>
    <row r="262" spans="1:10" ht="15" x14ac:dyDescent="0.3">
      <c r="A262" s="7">
        <v>4</v>
      </c>
      <c r="B262" s="8" t="s">
        <v>112</v>
      </c>
      <c r="C262" s="7">
        <f>(29.32+5.53)*10.764</f>
        <v>375.12540000000001</v>
      </c>
      <c r="D262" s="7">
        <v>0</v>
      </c>
      <c r="E262" s="7">
        <f t="shared" si="3"/>
        <v>577.69311600000003</v>
      </c>
      <c r="F262" s="8" t="s">
        <v>243</v>
      </c>
      <c r="G262" s="163"/>
      <c r="J262" s="73"/>
    </row>
    <row r="263" spans="1:10" ht="15" x14ac:dyDescent="0.3">
      <c r="A263" s="7">
        <v>5</v>
      </c>
      <c r="B263" s="8" t="s">
        <v>112</v>
      </c>
      <c r="C263" s="7">
        <f>(29.62+6)*10.764</f>
        <v>383.41368</v>
      </c>
      <c r="D263" s="7">
        <v>0</v>
      </c>
      <c r="E263" s="7">
        <f t="shared" si="3"/>
        <v>590.45706719999998</v>
      </c>
      <c r="F263" s="8" t="s">
        <v>243</v>
      </c>
      <c r="G263" s="163"/>
      <c r="J263" s="73"/>
    </row>
    <row r="264" spans="1:10" ht="15" x14ac:dyDescent="0.3">
      <c r="A264" s="7">
        <v>6</v>
      </c>
      <c r="B264" s="8" t="s">
        <v>113</v>
      </c>
      <c r="C264" s="7">
        <f>(43.52)*10.764</f>
        <v>468.44927999999999</v>
      </c>
      <c r="D264" s="7">
        <v>0</v>
      </c>
      <c r="E264" s="7">
        <f t="shared" si="3"/>
        <v>721.41189120000001</v>
      </c>
      <c r="F264" s="8" t="s">
        <v>243</v>
      </c>
      <c r="G264" s="163"/>
      <c r="H264">
        <f>860*2</f>
        <v>1720</v>
      </c>
      <c r="J264" s="73"/>
    </row>
    <row r="265" spans="1:10" ht="15" x14ac:dyDescent="0.3">
      <c r="A265" s="7">
        <v>7</v>
      </c>
      <c r="B265" s="8" t="s">
        <v>112</v>
      </c>
      <c r="C265" s="7">
        <f>(29.62+6.26)*10.764</f>
        <v>386.21231999999998</v>
      </c>
      <c r="D265" s="7">
        <v>0</v>
      </c>
      <c r="E265" s="7">
        <f t="shared" si="3"/>
        <v>594.76697279999996</v>
      </c>
      <c r="F265" s="8" t="s">
        <v>243</v>
      </c>
      <c r="G265" s="163"/>
      <c r="J265" s="73"/>
    </row>
    <row r="266" spans="1:10" ht="15" x14ac:dyDescent="0.3">
      <c r="A266" s="7">
        <v>8</v>
      </c>
      <c r="B266" s="8" t="s">
        <v>112</v>
      </c>
      <c r="C266" s="7">
        <f>(29.32+5.53)*10.764</f>
        <v>375.12540000000001</v>
      </c>
      <c r="D266" s="7">
        <v>0</v>
      </c>
      <c r="E266" s="7">
        <f t="shared" si="3"/>
        <v>577.69311600000003</v>
      </c>
      <c r="F266" s="8" t="s">
        <v>243</v>
      </c>
      <c r="G266" s="163"/>
      <c r="J266" s="73"/>
    </row>
    <row r="267" spans="1:10" ht="15" x14ac:dyDescent="0.3">
      <c r="A267" s="7">
        <v>9</v>
      </c>
      <c r="B267" s="8" t="s">
        <v>112</v>
      </c>
      <c r="C267" s="7">
        <f>(29.93+4.42)*10.764</f>
        <v>369.74340000000001</v>
      </c>
      <c r="D267" s="7">
        <v>0</v>
      </c>
      <c r="E267" s="7">
        <f t="shared" si="3"/>
        <v>569.40483600000005</v>
      </c>
      <c r="F267" s="8" t="s">
        <v>243</v>
      </c>
      <c r="G267" s="163"/>
      <c r="J267" s="73"/>
    </row>
    <row r="268" spans="1:10" ht="15" x14ac:dyDescent="0.3">
      <c r="A268" s="7">
        <v>10</v>
      </c>
      <c r="B268" s="8" t="s">
        <v>110</v>
      </c>
      <c r="C268" s="7">
        <f>(20.7+1.91)*10.764</f>
        <v>243.37403999999998</v>
      </c>
      <c r="D268" s="7">
        <v>0</v>
      </c>
      <c r="E268" s="7">
        <f t="shared" si="3"/>
        <v>374.79602159999996</v>
      </c>
      <c r="F268" s="8" t="s">
        <v>243</v>
      </c>
      <c r="G268" s="163"/>
      <c r="J268" s="73"/>
    </row>
    <row r="269" spans="1:10" ht="15" x14ac:dyDescent="0.3">
      <c r="A269" s="7">
        <v>11</v>
      </c>
      <c r="B269" s="8" t="s">
        <v>110</v>
      </c>
      <c r="C269" s="7">
        <f>(21.42+4.38)*10.764</f>
        <v>277.71119999999996</v>
      </c>
      <c r="D269" s="7">
        <v>0</v>
      </c>
      <c r="E269" s="7">
        <f t="shared" si="3"/>
        <v>427.67524799999995</v>
      </c>
      <c r="F269" s="8" t="s">
        <v>243</v>
      </c>
      <c r="G269" s="167"/>
      <c r="J269" s="73"/>
    </row>
    <row r="270" spans="1:10" ht="14.5" x14ac:dyDescent="0.3">
      <c r="A270" s="164" t="s">
        <v>234</v>
      </c>
      <c r="B270" s="165"/>
      <c r="C270" s="165"/>
      <c r="D270" s="165"/>
      <c r="E270" s="165"/>
      <c r="F270" s="165"/>
      <c r="G270" s="166"/>
      <c r="J270" s="73"/>
    </row>
    <row r="271" spans="1:10" ht="14.25" customHeight="1" x14ac:dyDescent="0.3">
      <c r="A271" s="164" t="s">
        <v>249</v>
      </c>
      <c r="B271" s="165"/>
      <c r="C271" s="165"/>
      <c r="D271" s="165"/>
      <c r="E271" s="165"/>
      <c r="F271" s="165"/>
      <c r="G271" s="166"/>
      <c r="J271" s="73"/>
    </row>
    <row r="272" spans="1:10" ht="14.5" x14ac:dyDescent="0.3">
      <c r="A272" s="164" t="s">
        <v>109</v>
      </c>
      <c r="B272" s="165"/>
      <c r="C272" s="165"/>
      <c r="D272" s="165"/>
      <c r="E272" s="165"/>
      <c r="F272" s="165"/>
      <c r="G272" s="166"/>
      <c r="J272" s="73"/>
    </row>
    <row r="273" spans="1:10" ht="15" customHeight="1" x14ac:dyDescent="0.3">
      <c r="A273" s="7">
        <v>1</v>
      </c>
      <c r="B273" s="8" t="s">
        <v>187</v>
      </c>
      <c r="C273" s="7">
        <f>(30.783+6.54)*10.764</f>
        <v>401.74477199999995</v>
      </c>
      <c r="D273" s="7">
        <f>(3.7)*10.764</f>
        <v>39.826799999999999</v>
      </c>
      <c r="E273" s="7">
        <v>685</v>
      </c>
      <c r="F273" s="8" t="s">
        <v>243</v>
      </c>
      <c r="G273" s="162" t="s">
        <v>245</v>
      </c>
      <c r="I273">
        <f>E273/C273</f>
        <v>1.7050626361355614</v>
      </c>
      <c r="J273" s="73"/>
    </row>
    <row r="274" spans="1:10" ht="15" x14ac:dyDescent="0.3">
      <c r="A274" s="7">
        <v>2</v>
      </c>
      <c r="B274" s="8" t="s">
        <v>188</v>
      </c>
      <c r="C274" s="7">
        <f>(39.76+8.9)*10.764</f>
        <v>523.77623999999992</v>
      </c>
      <c r="D274" s="7">
        <f>(4.3)*10.764</f>
        <v>46.285199999999996</v>
      </c>
      <c r="E274" s="7">
        <v>885</v>
      </c>
      <c r="F274" s="8" t="s">
        <v>243</v>
      </c>
      <c r="G274" s="163"/>
      <c r="J274" s="73"/>
    </row>
    <row r="275" spans="1:10" ht="15" x14ac:dyDescent="0.3">
      <c r="A275" s="7">
        <v>3</v>
      </c>
      <c r="B275" s="8" t="s">
        <v>187</v>
      </c>
      <c r="C275" s="7">
        <f>(29.14+5.55)*10.764</f>
        <v>373.40315999999996</v>
      </c>
      <c r="D275" s="7">
        <f>(3.7)*10.764</f>
        <v>39.826799999999999</v>
      </c>
      <c r="E275" s="7">
        <v>640</v>
      </c>
      <c r="F275" s="8" t="s">
        <v>243</v>
      </c>
      <c r="G275" s="163"/>
      <c r="J275" s="73"/>
    </row>
    <row r="276" spans="1:10" ht="15" x14ac:dyDescent="0.3">
      <c r="A276" s="7">
        <v>4</v>
      </c>
      <c r="B276" s="8" t="s">
        <v>187</v>
      </c>
      <c r="C276" s="7">
        <f>(29.36+5.03)*10.764</f>
        <v>370.17395999999997</v>
      </c>
      <c r="D276" s="7">
        <f>(3.7)*10.764</f>
        <v>39.826799999999999</v>
      </c>
      <c r="E276" s="7">
        <v>635</v>
      </c>
      <c r="F276" s="8" t="s">
        <v>243</v>
      </c>
      <c r="G276" s="163"/>
      <c r="J276" s="73"/>
    </row>
    <row r="277" spans="1:10" ht="15" x14ac:dyDescent="0.3">
      <c r="A277" s="7">
        <v>5</v>
      </c>
      <c r="B277" s="8" t="s">
        <v>188</v>
      </c>
      <c r="C277" s="7">
        <f>(44.14)*10.764</f>
        <v>475.12295999999998</v>
      </c>
      <c r="D277" s="7">
        <f>(6)*10.764</f>
        <v>64.584000000000003</v>
      </c>
      <c r="E277" s="7">
        <v>835</v>
      </c>
      <c r="F277" s="8" t="s">
        <v>243</v>
      </c>
      <c r="G277" s="163"/>
      <c r="J277" s="73"/>
    </row>
    <row r="278" spans="1:10" ht="15" x14ac:dyDescent="0.3">
      <c r="A278" s="7">
        <v>6</v>
      </c>
      <c r="B278" s="8" t="s">
        <v>187</v>
      </c>
      <c r="C278" s="7">
        <f>(30.95+5.55)*10.764</f>
        <v>392.88599999999997</v>
      </c>
      <c r="D278" s="7">
        <f>(4.8)*10.764</f>
        <v>51.667199999999994</v>
      </c>
      <c r="E278" s="7">
        <v>690</v>
      </c>
      <c r="F278" s="8" t="s">
        <v>243</v>
      </c>
      <c r="G278" s="163"/>
      <c r="J278" s="73"/>
    </row>
    <row r="279" spans="1:10" ht="15" x14ac:dyDescent="0.3">
      <c r="A279" s="7">
        <v>7</v>
      </c>
      <c r="B279" s="8" t="s">
        <v>189</v>
      </c>
      <c r="C279" s="7">
        <f>(21.2+1.87)*10.764</f>
        <v>248.32548</v>
      </c>
      <c r="D279" s="7">
        <f>(2.65)*10.764</f>
        <v>28.524599999999996</v>
      </c>
      <c r="E279" s="7">
        <v>430</v>
      </c>
      <c r="F279" s="8" t="s">
        <v>243</v>
      </c>
      <c r="G279" s="163"/>
      <c r="J279" s="73"/>
    </row>
    <row r="280" spans="1:10" ht="15" x14ac:dyDescent="0.3">
      <c r="A280" s="7">
        <v>8</v>
      </c>
      <c r="B280" s="8" t="s">
        <v>189</v>
      </c>
      <c r="C280" s="7">
        <f>(21.2+1.87)*10.764</f>
        <v>248.32548</v>
      </c>
      <c r="D280" s="7">
        <f>(2.65)*10.764</f>
        <v>28.524599999999996</v>
      </c>
      <c r="E280" s="7">
        <v>430</v>
      </c>
      <c r="F280" s="8" t="s">
        <v>243</v>
      </c>
      <c r="G280" s="163"/>
      <c r="J280" s="73"/>
    </row>
    <row r="281" spans="1:10" ht="15" x14ac:dyDescent="0.3">
      <c r="A281" s="7">
        <v>9</v>
      </c>
      <c r="B281" s="8" t="s">
        <v>187</v>
      </c>
      <c r="C281" s="7">
        <f>(29.49+4.73)*10.764</f>
        <v>368.34407999999996</v>
      </c>
      <c r="D281" s="7">
        <f>(2.65)*10.764</f>
        <v>28.524599999999996</v>
      </c>
      <c r="E281" s="7">
        <v>615</v>
      </c>
      <c r="F281" s="8" t="s">
        <v>243</v>
      </c>
      <c r="G281" s="163"/>
      <c r="J281" s="73"/>
    </row>
    <row r="282" spans="1:10" ht="15" x14ac:dyDescent="0.3">
      <c r="A282" s="7">
        <v>10</v>
      </c>
      <c r="B282" s="8" t="s">
        <v>187</v>
      </c>
      <c r="C282" s="7">
        <f>(30.55+5.55)*10.764</f>
        <v>388.5804</v>
      </c>
      <c r="D282" s="7">
        <f>(4.8)*10.764</f>
        <v>51.667199999999994</v>
      </c>
      <c r="E282" s="7">
        <v>685</v>
      </c>
      <c r="F282" s="8" t="s">
        <v>243</v>
      </c>
      <c r="G282" s="163"/>
      <c r="J282" s="73"/>
    </row>
    <row r="283" spans="1:10" ht="14.5" x14ac:dyDescent="0.3">
      <c r="A283" s="164" t="s">
        <v>233</v>
      </c>
      <c r="B283" s="165"/>
      <c r="C283" s="165"/>
      <c r="D283" s="165"/>
      <c r="E283" s="165"/>
      <c r="F283" s="165"/>
      <c r="G283" s="166"/>
      <c r="J283" s="73"/>
    </row>
    <row r="284" spans="1:10" ht="15" x14ac:dyDescent="0.3">
      <c r="A284" s="7">
        <v>1</v>
      </c>
      <c r="B284" s="8" t="s">
        <v>187</v>
      </c>
      <c r="C284" s="7">
        <f>(30.182+6.64)*10.764</f>
        <v>396.35200799999996</v>
      </c>
      <c r="D284" s="7">
        <v>0</v>
      </c>
      <c r="E284" s="7">
        <v>625</v>
      </c>
      <c r="F284" s="8" t="s">
        <v>243</v>
      </c>
      <c r="G284" s="162" t="str">
        <f>A283</f>
        <v>2nd &amp; 4th Floor</v>
      </c>
      <c r="J284" s="73"/>
    </row>
    <row r="285" spans="1:10" ht="15" x14ac:dyDescent="0.3">
      <c r="A285" s="7">
        <v>2</v>
      </c>
      <c r="B285" s="8" t="s">
        <v>188</v>
      </c>
      <c r="C285" s="7">
        <f>(39.12+8.9)*10.764</f>
        <v>516.88727999999992</v>
      </c>
      <c r="D285" s="7">
        <v>0</v>
      </c>
      <c r="E285" s="7">
        <v>810</v>
      </c>
      <c r="F285" s="8" t="s">
        <v>243</v>
      </c>
      <c r="G285" s="163"/>
      <c r="J285" s="73"/>
    </row>
    <row r="286" spans="1:10" ht="15" x14ac:dyDescent="0.3">
      <c r="A286" s="7">
        <v>3</v>
      </c>
      <c r="B286" s="8" t="s">
        <v>187</v>
      </c>
      <c r="C286" s="7">
        <f>(28.54+5.55)*10.764</f>
        <v>366.94475999999992</v>
      </c>
      <c r="D286" s="7">
        <v>0</v>
      </c>
      <c r="E286" s="7">
        <v>575</v>
      </c>
      <c r="F286" s="8" t="s">
        <v>243</v>
      </c>
      <c r="G286" s="163"/>
      <c r="J286" s="73"/>
    </row>
    <row r="287" spans="1:10" ht="15" x14ac:dyDescent="0.3">
      <c r="A287" s="7">
        <v>4</v>
      </c>
      <c r="B287" s="8" t="s">
        <v>187</v>
      </c>
      <c r="C287" s="7">
        <f>(28.76+5.03)*10.764</f>
        <v>363.71555999999998</v>
      </c>
      <c r="D287" s="7">
        <v>0</v>
      </c>
      <c r="E287" s="7">
        <v>570</v>
      </c>
      <c r="F287" s="8" t="s">
        <v>243</v>
      </c>
      <c r="G287" s="163"/>
      <c r="J287" s="73"/>
    </row>
    <row r="288" spans="1:10" ht="15" x14ac:dyDescent="0.3">
      <c r="A288" s="7">
        <v>5</v>
      </c>
      <c r="B288" s="8" t="s">
        <v>188</v>
      </c>
      <c r="C288" s="7">
        <f>(44.17)*10.764</f>
        <v>475.44587999999999</v>
      </c>
      <c r="D288" s="7">
        <f>(7.23)*10.764</f>
        <v>77.823719999999994</v>
      </c>
      <c r="E288" s="7">
        <v>860</v>
      </c>
      <c r="F288" s="8" t="s">
        <v>243</v>
      </c>
      <c r="G288" s="163"/>
      <c r="J288" s="73"/>
    </row>
    <row r="289" spans="1:10" ht="15" x14ac:dyDescent="0.3">
      <c r="A289" s="7">
        <v>6</v>
      </c>
      <c r="B289" s="8" t="s">
        <v>187</v>
      </c>
      <c r="C289" s="7">
        <f>(30.27+5.55)*10.764</f>
        <v>385.56647999999996</v>
      </c>
      <c r="D289" s="7">
        <v>0</v>
      </c>
      <c r="E289" s="7">
        <v>605</v>
      </c>
      <c r="F289" s="8" t="s">
        <v>243</v>
      </c>
      <c r="G289" s="163"/>
      <c r="J289" s="73"/>
    </row>
    <row r="290" spans="1:10" ht="15" x14ac:dyDescent="0.3">
      <c r="A290" s="7">
        <v>7</v>
      </c>
      <c r="B290" s="8" t="s">
        <v>189</v>
      </c>
      <c r="C290" s="7">
        <f>(20.63+1.87)*10.764</f>
        <v>242.19</v>
      </c>
      <c r="D290" s="7">
        <v>0</v>
      </c>
      <c r="E290" s="7">
        <v>385</v>
      </c>
      <c r="F290" s="8" t="s">
        <v>243</v>
      </c>
      <c r="G290" s="163"/>
      <c r="J290" s="73"/>
    </row>
    <row r="291" spans="1:10" ht="15" x14ac:dyDescent="0.3">
      <c r="A291" s="7">
        <v>8</v>
      </c>
      <c r="B291" s="8" t="s">
        <v>189</v>
      </c>
      <c r="C291" s="7">
        <f>(20.63+1.87)*10.764</f>
        <v>242.19</v>
      </c>
      <c r="D291" s="7">
        <v>0</v>
      </c>
      <c r="E291" s="7">
        <v>385</v>
      </c>
      <c r="F291" s="8" t="s">
        <v>243</v>
      </c>
      <c r="G291" s="163"/>
      <c r="J291" s="73"/>
    </row>
    <row r="292" spans="1:10" ht="15" x14ac:dyDescent="0.3">
      <c r="A292" s="7">
        <v>9</v>
      </c>
      <c r="B292" s="8" t="s">
        <v>187</v>
      </c>
      <c r="C292" s="7">
        <f>(28.92+4.73)*10.764</f>
        <v>362.20860000000005</v>
      </c>
      <c r="D292" s="7">
        <v>0</v>
      </c>
      <c r="E292" s="7">
        <v>570</v>
      </c>
      <c r="F292" s="8" t="s">
        <v>243</v>
      </c>
      <c r="G292" s="163"/>
      <c r="J292" s="73"/>
    </row>
    <row r="293" spans="1:10" ht="15" x14ac:dyDescent="0.3">
      <c r="A293" s="7">
        <v>10</v>
      </c>
      <c r="B293" s="8" t="s">
        <v>187</v>
      </c>
      <c r="C293" s="7">
        <f>(29.87+5.55)*10.764</f>
        <v>381.26087999999999</v>
      </c>
      <c r="D293" s="7">
        <v>0</v>
      </c>
      <c r="E293" s="7">
        <v>600</v>
      </c>
      <c r="F293" s="8" t="s">
        <v>243</v>
      </c>
      <c r="G293" s="163"/>
      <c r="J293" s="73"/>
    </row>
    <row r="294" spans="1:10" ht="14.5" x14ac:dyDescent="0.3">
      <c r="A294" s="164" t="s">
        <v>250</v>
      </c>
      <c r="B294" s="165"/>
      <c r="C294" s="165"/>
      <c r="D294" s="165"/>
      <c r="E294" s="165"/>
      <c r="F294" s="165"/>
      <c r="G294" s="166"/>
      <c r="J294" s="73"/>
    </row>
    <row r="295" spans="1:10" ht="14.25" customHeight="1" x14ac:dyDescent="0.3">
      <c r="A295" s="164" t="s">
        <v>108</v>
      </c>
      <c r="B295" s="165"/>
      <c r="C295" s="165"/>
      <c r="D295" s="165"/>
      <c r="E295" s="165"/>
      <c r="F295" s="165"/>
      <c r="G295" s="166"/>
      <c r="J295" s="73"/>
    </row>
    <row r="296" spans="1:10" ht="14.5" x14ac:dyDescent="0.3">
      <c r="A296" s="164" t="s">
        <v>109</v>
      </c>
      <c r="B296" s="165"/>
      <c r="C296" s="165"/>
      <c r="D296" s="165"/>
      <c r="E296" s="165"/>
      <c r="F296" s="165"/>
      <c r="G296" s="166"/>
      <c r="J296" s="73"/>
    </row>
    <row r="297" spans="1:10" ht="15" customHeight="1" x14ac:dyDescent="0.3">
      <c r="A297" s="7">
        <v>1</v>
      </c>
      <c r="B297" s="8" t="s">
        <v>110</v>
      </c>
      <c r="C297" s="7">
        <f>(19.29+6.66)*10.764</f>
        <v>279.32579999999996</v>
      </c>
      <c r="D297" s="7">
        <v>0</v>
      </c>
      <c r="E297" s="7">
        <v>440</v>
      </c>
      <c r="F297" s="8" t="s">
        <v>243</v>
      </c>
      <c r="G297" s="162" t="s">
        <v>111</v>
      </c>
      <c r="J297" s="73"/>
    </row>
    <row r="298" spans="1:10" ht="15" x14ac:dyDescent="0.3">
      <c r="A298" s="7">
        <v>2</v>
      </c>
      <c r="B298" s="8" t="s">
        <v>110</v>
      </c>
      <c r="C298" s="7">
        <f>(21.2+3.08)*10.764</f>
        <v>261.34992</v>
      </c>
      <c r="D298" s="7">
        <f>(2.65)*10.764</f>
        <v>28.524599999999996</v>
      </c>
      <c r="E298" s="7">
        <v>450</v>
      </c>
      <c r="F298" s="8" t="s">
        <v>243</v>
      </c>
      <c r="G298" s="163"/>
      <c r="J298" s="73"/>
    </row>
    <row r="299" spans="1:10" ht="15" x14ac:dyDescent="0.3">
      <c r="A299" s="7">
        <v>3</v>
      </c>
      <c r="B299" s="8" t="s">
        <v>112</v>
      </c>
      <c r="C299" s="7">
        <f>(29.74+6.02)*10.764</f>
        <v>384.92063999999993</v>
      </c>
      <c r="D299" s="7">
        <f>(2.65)*10.764</f>
        <v>28.524599999999996</v>
      </c>
      <c r="E299" s="7">
        <v>640</v>
      </c>
      <c r="F299" s="8" t="s">
        <v>243</v>
      </c>
      <c r="G299" s="163"/>
      <c r="J299" s="73"/>
    </row>
    <row r="300" spans="1:10" ht="15" x14ac:dyDescent="0.3">
      <c r="A300" s="7">
        <v>4</v>
      </c>
      <c r="B300" s="8" t="s">
        <v>112</v>
      </c>
      <c r="C300" s="7">
        <f>(29.14+5.55)*10.764</f>
        <v>373.40315999999996</v>
      </c>
      <c r="D300" s="7">
        <f>(3.7)*10.764</f>
        <v>39.826799999999999</v>
      </c>
      <c r="E300" s="7">
        <v>640</v>
      </c>
      <c r="F300" s="8" t="s">
        <v>243</v>
      </c>
      <c r="G300" s="163"/>
      <c r="J300" s="73"/>
    </row>
    <row r="301" spans="1:10" ht="15" x14ac:dyDescent="0.3">
      <c r="A301" s="7">
        <v>5</v>
      </c>
      <c r="B301" s="8" t="s">
        <v>112</v>
      </c>
      <c r="C301" s="7">
        <f>(29.36+5.03)*10.764</f>
        <v>370.17395999999997</v>
      </c>
      <c r="D301" s="7">
        <f>(3.7)*10.764</f>
        <v>39.826799999999999</v>
      </c>
      <c r="E301" s="7">
        <v>635</v>
      </c>
      <c r="F301" s="8" t="s">
        <v>243</v>
      </c>
      <c r="G301" s="163"/>
      <c r="J301" s="73"/>
    </row>
    <row r="302" spans="1:10" ht="15" x14ac:dyDescent="0.3">
      <c r="A302" s="7">
        <v>6</v>
      </c>
      <c r="B302" s="8" t="s">
        <v>113</v>
      </c>
      <c r="C302" s="7">
        <f>(44.14)*10.764</f>
        <v>475.12295999999998</v>
      </c>
      <c r="D302" s="7">
        <f>(6)*10.764</f>
        <v>64.584000000000003</v>
      </c>
      <c r="E302" s="7">
        <v>835</v>
      </c>
      <c r="F302" s="8" t="s">
        <v>243</v>
      </c>
      <c r="G302" s="163"/>
      <c r="J302" s="73"/>
    </row>
    <row r="303" spans="1:10" ht="15" x14ac:dyDescent="0.3">
      <c r="A303" s="7">
        <v>7</v>
      </c>
      <c r="B303" s="8" t="s">
        <v>112</v>
      </c>
      <c r="C303" s="7">
        <f>(30.96+5.55)*10.764</f>
        <v>392.99363999999997</v>
      </c>
      <c r="D303" s="7">
        <f>(4.8)*10.764</f>
        <v>51.667199999999994</v>
      </c>
      <c r="E303" s="7">
        <v>690</v>
      </c>
      <c r="F303" s="8" t="s">
        <v>243</v>
      </c>
      <c r="G303" s="163"/>
      <c r="J303" s="73"/>
    </row>
    <row r="304" spans="1:10" ht="15" x14ac:dyDescent="0.3">
      <c r="A304" s="7">
        <v>8</v>
      </c>
      <c r="B304" s="8" t="s">
        <v>110</v>
      </c>
      <c r="C304" s="7">
        <f>(21.2+1.87)*10.764</f>
        <v>248.32548</v>
      </c>
      <c r="D304" s="7">
        <f>(2.65)*10.764</f>
        <v>28.524599999999996</v>
      </c>
      <c r="E304" s="7">
        <v>430</v>
      </c>
      <c r="F304" s="8" t="s">
        <v>243</v>
      </c>
      <c r="G304" s="163"/>
      <c r="J304" s="73"/>
    </row>
    <row r="305" spans="1:10" ht="15" x14ac:dyDescent="0.3">
      <c r="A305" s="7">
        <v>9</v>
      </c>
      <c r="B305" s="8" t="s">
        <v>110</v>
      </c>
      <c r="C305" s="7">
        <f>(21.2+1.87)*10.764</f>
        <v>248.32548</v>
      </c>
      <c r="D305" s="7">
        <f>(2.65)*10.764</f>
        <v>28.524599999999996</v>
      </c>
      <c r="E305" s="7">
        <v>430</v>
      </c>
      <c r="F305" s="8" t="s">
        <v>243</v>
      </c>
      <c r="G305" s="163"/>
      <c r="J305" s="73"/>
    </row>
    <row r="306" spans="1:10" ht="15" x14ac:dyDescent="0.3">
      <c r="A306" s="7">
        <v>10</v>
      </c>
      <c r="B306" s="8" t="s">
        <v>112</v>
      </c>
      <c r="C306" s="7">
        <f>(29.5+2.43)*10.764</f>
        <v>343.69451999999995</v>
      </c>
      <c r="D306" s="7">
        <f>(2.65)*10.764</f>
        <v>28.524599999999996</v>
      </c>
      <c r="E306" s="7">
        <f>C306*1.5+D306</f>
        <v>544.06637999999987</v>
      </c>
      <c r="F306" s="8" t="s">
        <v>243</v>
      </c>
      <c r="G306" s="163"/>
      <c r="J306" s="73"/>
    </row>
    <row r="307" spans="1:10" ht="15" x14ac:dyDescent="0.3">
      <c r="A307" s="7">
        <v>11</v>
      </c>
      <c r="B307" s="8" t="s">
        <v>112</v>
      </c>
      <c r="C307" s="7">
        <f>(30.55+5.55)*10.764</f>
        <v>388.5804</v>
      </c>
      <c r="D307" s="7">
        <f>(4.8)*10.764</f>
        <v>51.667199999999994</v>
      </c>
      <c r="E307" s="7">
        <v>685</v>
      </c>
      <c r="F307" s="8" t="s">
        <v>243</v>
      </c>
      <c r="G307" s="167"/>
      <c r="J307" s="73"/>
    </row>
    <row r="308" spans="1:10" ht="14.5" x14ac:dyDescent="0.3">
      <c r="A308" s="164" t="s">
        <v>233</v>
      </c>
      <c r="B308" s="165"/>
      <c r="C308" s="165"/>
      <c r="D308" s="165"/>
      <c r="E308" s="165"/>
      <c r="F308" s="165"/>
      <c r="G308" s="166"/>
      <c r="J308" s="73"/>
    </row>
    <row r="309" spans="1:10" ht="15" x14ac:dyDescent="0.3">
      <c r="A309" s="7">
        <v>1</v>
      </c>
      <c r="B309" s="8" t="s">
        <v>110</v>
      </c>
      <c r="C309" s="7">
        <f>(19.29+6.66)*10.764</f>
        <v>279.32579999999996</v>
      </c>
      <c r="D309" s="7">
        <v>0</v>
      </c>
      <c r="E309" s="7">
        <v>440</v>
      </c>
      <c r="F309" s="8" t="s">
        <v>243</v>
      </c>
      <c r="G309" s="162" t="str">
        <f>A308</f>
        <v>2nd &amp; 4th Floor</v>
      </c>
      <c r="J309" s="73"/>
    </row>
    <row r="310" spans="1:10" ht="15" x14ac:dyDescent="0.3">
      <c r="A310" s="7">
        <v>2</v>
      </c>
      <c r="B310" s="8" t="s">
        <v>110</v>
      </c>
      <c r="C310" s="7">
        <f>(20.63+3.08)*10.764</f>
        <v>255.21444</v>
      </c>
      <c r="D310" s="7">
        <v>0</v>
      </c>
      <c r="E310" s="7">
        <v>405</v>
      </c>
      <c r="F310" s="8" t="s">
        <v>243</v>
      </c>
      <c r="G310" s="163"/>
      <c r="J310" s="73"/>
    </row>
    <row r="311" spans="1:10" ht="15" x14ac:dyDescent="0.3">
      <c r="A311" s="7">
        <v>3</v>
      </c>
      <c r="B311" s="8" t="s">
        <v>112</v>
      </c>
      <c r="C311" s="7">
        <f>(29.18+6.02)*10.764</f>
        <v>378.89280000000002</v>
      </c>
      <c r="D311" s="7">
        <v>0</v>
      </c>
      <c r="E311" s="7">
        <v>595</v>
      </c>
      <c r="F311" s="8" t="s">
        <v>243</v>
      </c>
      <c r="G311" s="163"/>
      <c r="J311" s="73"/>
    </row>
    <row r="312" spans="1:10" ht="15" x14ac:dyDescent="0.3">
      <c r="A312" s="7">
        <v>4</v>
      </c>
      <c r="B312" s="8" t="s">
        <v>112</v>
      </c>
      <c r="C312" s="7">
        <f>(28.54+5.55)*10.764</f>
        <v>366.94475999999992</v>
      </c>
      <c r="D312" s="7">
        <v>0</v>
      </c>
      <c r="E312" s="7">
        <v>575</v>
      </c>
      <c r="F312" s="8" t="s">
        <v>243</v>
      </c>
      <c r="G312" s="163"/>
      <c r="J312" s="73"/>
    </row>
    <row r="313" spans="1:10" ht="15" x14ac:dyDescent="0.3">
      <c r="A313" s="7">
        <v>5</v>
      </c>
      <c r="B313" s="8" t="s">
        <v>112</v>
      </c>
      <c r="C313" s="7">
        <f>(28.76+5.03)*10.764</f>
        <v>363.71555999999998</v>
      </c>
      <c r="D313" s="7">
        <v>0</v>
      </c>
      <c r="E313" s="7">
        <v>570</v>
      </c>
      <c r="F313" s="8" t="s">
        <v>243</v>
      </c>
      <c r="G313" s="163"/>
      <c r="J313" s="73"/>
    </row>
    <row r="314" spans="1:10" ht="15" x14ac:dyDescent="0.3">
      <c r="A314" s="7">
        <v>6</v>
      </c>
      <c r="B314" s="8" t="s">
        <v>113</v>
      </c>
      <c r="C314" s="7">
        <f>(44.17)*10.764</f>
        <v>475.44587999999999</v>
      </c>
      <c r="D314" s="7">
        <f>(7.24)*10.764</f>
        <v>77.931359999999998</v>
      </c>
      <c r="E314" s="7">
        <v>860</v>
      </c>
      <c r="F314" s="8" t="s">
        <v>243</v>
      </c>
      <c r="G314" s="163"/>
      <c r="J314" s="73"/>
    </row>
    <row r="315" spans="1:10" ht="15" x14ac:dyDescent="0.3">
      <c r="A315" s="7">
        <v>7</v>
      </c>
      <c r="B315" s="8" t="s">
        <v>112</v>
      </c>
      <c r="C315" s="7">
        <f>(30.28+5.55)*10.764</f>
        <v>385.67411999999996</v>
      </c>
      <c r="D315" s="7">
        <v>0</v>
      </c>
      <c r="E315" s="7">
        <v>605</v>
      </c>
      <c r="F315" s="8" t="s">
        <v>243</v>
      </c>
      <c r="G315" s="163"/>
      <c r="J315" s="73"/>
    </row>
    <row r="316" spans="1:10" ht="15" x14ac:dyDescent="0.3">
      <c r="A316" s="7">
        <v>8</v>
      </c>
      <c r="B316" s="8" t="s">
        <v>110</v>
      </c>
      <c r="C316" s="7">
        <f>(20.63+1.87)*10.764</f>
        <v>242.19</v>
      </c>
      <c r="D316" s="7">
        <v>0</v>
      </c>
      <c r="E316" s="7">
        <v>385</v>
      </c>
      <c r="F316" s="8" t="s">
        <v>243</v>
      </c>
      <c r="G316" s="163"/>
      <c r="J316" s="73"/>
    </row>
    <row r="317" spans="1:10" ht="15" x14ac:dyDescent="0.3">
      <c r="A317" s="7">
        <v>9</v>
      </c>
      <c r="B317" s="8" t="s">
        <v>110</v>
      </c>
      <c r="C317" s="7">
        <f>(20.63+1.87)*10.764</f>
        <v>242.19</v>
      </c>
      <c r="D317" s="7">
        <v>0</v>
      </c>
      <c r="E317" s="7">
        <v>385</v>
      </c>
      <c r="F317" s="8" t="s">
        <v>243</v>
      </c>
      <c r="G317" s="163"/>
      <c r="J317" s="73"/>
    </row>
    <row r="318" spans="1:10" ht="15" x14ac:dyDescent="0.3">
      <c r="A318" s="7">
        <v>10</v>
      </c>
      <c r="B318" s="8" t="s">
        <v>112</v>
      </c>
      <c r="C318" s="7">
        <f>(28.93+2.43)*10.764</f>
        <v>337.55903999999998</v>
      </c>
      <c r="D318" s="7">
        <v>0</v>
      </c>
      <c r="E318" s="7">
        <v>575</v>
      </c>
      <c r="F318" s="8" t="s">
        <v>243</v>
      </c>
      <c r="G318" s="163"/>
      <c r="J318" s="73"/>
    </row>
    <row r="319" spans="1:10" ht="15" x14ac:dyDescent="0.3">
      <c r="A319" s="7">
        <v>11</v>
      </c>
      <c r="B319" s="8" t="s">
        <v>112</v>
      </c>
      <c r="C319" s="7">
        <f>(29.87+5.55)*10.764</f>
        <v>381.26087999999999</v>
      </c>
      <c r="D319" s="7">
        <v>0</v>
      </c>
      <c r="E319" s="7">
        <v>600</v>
      </c>
      <c r="F319" s="8" t="s">
        <v>243</v>
      </c>
      <c r="G319" s="167"/>
      <c r="J319" s="73"/>
    </row>
    <row r="320" spans="1:10" ht="14.5" x14ac:dyDescent="0.3">
      <c r="A320" s="164" t="s">
        <v>251</v>
      </c>
      <c r="B320" s="165"/>
      <c r="C320" s="165"/>
      <c r="D320" s="165"/>
      <c r="E320" s="165"/>
      <c r="F320" s="165"/>
      <c r="G320" s="166"/>
      <c r="J320" s="73"/>
    </row>
    <row r="321" spans="1:10" ht="14.25" customHeight="1" x14ac:dyDescent="0.3">
      <c r="A321" s="164" t="s">
        <v>252</v>
      </c>
      <c r="B321" s="165"/>
      <c r="C321" s="165"/>
      <c r="D321" s="165"/>
      <c r="E321" s="165"/>
      <c r="F321" s="165"/>
      <c r="G321" s="166"/>
      <c r="J321" s="73"/>
    </row>
    <row r="322" spans="1:10" ht="15" customHeight="1" x14ac:dyDescent="0.3">
      <c r="A322" s="7">
        <v>1</v>
      </c>
      <c r="B322" s="8" t="s">
        <v>189</v>
      </c>
      <c r="C322" s="7">
        <f>(21.37+5.19)*10.764</f>
        <v>285.89184</v>
      </c>
      <c r="D322" s="7">
        <v>0</v>
      </c>
      <c r="E322" s="7">
        <v>450</v>
      </c>
      <c r="F322" s="8" t="s">
        <v>243</v>
      </c>
      <c r="G322" s="162" t="str">
        <f>A321</f>
        <v>Ground Floor For  Residential &amp; Parking</v>
      </c>
      <c r="J322" s="73"/>
    </row>
    <row r="323" spans="1:10" ht="15" x14ac:dyDescent="0.3">
      <c r="A323" s="7">
        <v>2</v>
      </c>
      <c r="B323" s="8" t="s">
        <v>189</v>
      </c>
      <c r="C323" s="7">
        <f>(20.63+1.87)*10.764</f>
        <v>242.19</v>
      </c>
      <c r="D323" s="7">
        <v>0</v>
      </c>
      <c r="E323" s="7">
        <v>385</v>
      </c>
      <c r="F323" s="8" t="s">
        <v>243</v>
      </c>
      <c r="G323" s="163"/>
      <c r="J323" s="73"/>
    </row>
    <row r="324" spans="1:10" ht="15" x14ac:dyDescent="0.3">
      <c r="A324" s="7">
        <v>3</v>
      </c>
      <c r="B324" s="8" t="s">
        <v>187</v>
      </c>
      <c r="C324" s="7">
        <f>(29.26+4.25)*10.764</f>
        <v>360.70164000000005</v>
      </c>
      <c r="D324" s="7">
        <v>0</v>
      </c>
      <c r="E324" s="7">
        <v>565</v>
      </c>
      <c r="F324" s="8" t="s">
        <v>243</v>
      </c>
      <c r="G324" s="163"/>
      <c r="J324" s="73"/>
    </row>
    <row r="325" spans="1:10" ht="15" x14ac:dyDescent="0.3">
      <c r="A325" s="7">
        <v>4</v>
      </c>
      <c r="B325" s="8" t="s">
        <v>187</v>
      </c>
      <c r="C325" s="7">
        <f>(29.26+4.25)*10.764</f>
        <v>360.70164000000005</v>
      </c>
      <c r="D325" s="7">
        <v>0</v>
      </c>
      <c r="E325" s="7">
        <v>565</v>
      </c>
      <c r="F325" s="8" t="s">
        <v>243</v>
      </c>
      <c r="G325" s="163"/>
      <c r="J325" s="73"/>
    </row>
    <row r="326" spans="1:10" ht="15" x14ac:dyDescent="0.3">
      <c r="A326" s="7">
        <v>5</v>
      </c>
      <c r="B326" s="8" t="s">
        <v>189</v>
      </c>
      <c r="C326" s="7">
        <f>(20.3)*10.764</f>
        <v>218.50919999999999</v>
      </c>
      <c r="D326" s="7">
        <v>0</v>
      </c>
      <c r="E326" s="7">
        <v>345</v>
      </c>
      <c r="F326" s="8" t="s">
        <v>243</v>
      </c>
      <c r="G326" s="163"/>
      <c r="J326" s="73"/>
    </row>
    <row r="327" spans="1:10" ht="15" x14ac:dyDescent="0.3">
      <c r="A327" s="7">
        <v>6</v>
      </c>
      <c r="B327" s="8" t="s">
        <v>189</v>
      </c>
      <c r="C327" s="7">
        <f>(21.02+2.78)*10.764</f>
        <v>256.1832</v>
      </c>
      <c r="D327" s="7">
        <v>0</v>
      </c>
      <c r="E327" s="7">
        <v>405</v>
      </c>
      <c r="F327" s="8" t="s">
        <v>243</v>
      </c>
      <c r="G327" s="167"/>
      <c r="J327" s="73"/>
    </row>
    <row r="328" spans="1:10" ht="14.5" x14ac:dyDescent="0.3">
      <c r="A328" s="164" t="s">
        <v>109</v>
      </c>
      <c r="B328" s="165"/>
      <c r="C328" s="165"/>
      <c r="D328" s="165"/>
      <c r="E328" s="165"/>
      <c r="F328" s="165"/>
      <c r="G328" s="166"/>
      <c r="J328" s="73"/>
    </row>
    <row r="329" spans="1:10" ht="15" customHeight="1" x14ac:dyDescent="0.3">
      <c r="A329" s="7">
        <v>1</v>
      </c>
      <c r="B329" s="8" t="s">
        <v>189</v>
      </c>
      <c r="C329" s="7">
        <f>(21.37+5.19)*10.764</f>
        <v>285.89184</v>
      </c>
      <c r="D329" s="7">
        <f>(0)*10.764</f>
        <v>0</v>
      </c>
      <c r="E329" s="7">
        <v>450</v>
      </c>
      <c r="F329" s="8" t="s">
        <v>243</v>
      </c>
      <c r="G329" s="162" t="s">
        <v>111</v>
      </c>
      <c r="J329" s="73"/>
    </row>
    <row r="330" spans="1:10" ht="15" x14ac:dyDescent="0.3">
      <c r="A330" s="7">
        <v>2</v>
      </c>
      <c r="B330" s="8" t="s">
        <v>189</v>
      </c>
      <c r="C330" s="7">
        <f>(21.2+1.87)*10.764</f>
        <v>248.32548</v>
      </c>
      <c r="D330" s="7">
        <f>(2.65)*10.764</f>
        <v>28.524599999999996</v>
      </c>
      <c r="E330" s="7">
        <v>430</v>
      </c>
      <c r="F330" s="8" t="s">
        <v>243</v>
      </c>
      <c r="G330" s="163"/>
      <c r="J330" s="73"/>
    </row>
    <row r="331" spans="1:10" ht="15" x14ac:dyDescent="0.3">
      <c r="A331" s="7">
        <v>3</v>
      </c>
      <c r="B331" s="8" t="s">
        <v>187</v>
      </c>
      <c r="C331" s="7">
        <f>(29.82+4.25)*10.764</f>
        <v>366.72947999999997</v>
      </c>
      <c r="D331" s="7">
        <f>(2.65)*10.764</f>
        <v>28.524599999999996</v>
      </c>
      <c r="E331" s="7">
        <v>615</v>
      </c>
      <c r="F331" s="8" t="s">
        <v>243</v>
      </c>
      <c r="G331" s="163"/>
      <c r="J331" s="73"/>
    </row>
    <row r="332" spans="1:10" ht="15" x14ac:dyDescent="0.3">
      <c r="A332" s="7">
        <v>4</v>
      </c>
      <c r="B332" s="8" t="s">
        <v>187</v>
      </c>
      <c r="C332" s="7">
        <f>(29.2+5.25)*10.764</f>
        <v>370.81979999999999</v>
      </c>
      <c r="D332" s="7">
        <f>(3.7)*10.764</f>
        <v>39.826799999999999</v>
      </c>
      <c r="E332" s="7">
        <v>635</v>
      </c>
      <c r="F332" s="8" t="s">
        <v>243</v>
      </c>
      <c r="G332" s="163"/>
      <c r="J332" s="73"/>
    </row>
    <row r="333" spans="1:10" ht="15" x14ac:dyDescent="0.3">
      <c r="A333" s="7">
        <v>5</v>
      </c>
      <c r="B333" s="8" t="s">
        <v>187</v>
      </c>
      <c r="C333" s="7">
        <f>(29.5+5.58)*10.764</f>
        <v>377.60111999999998</v>
      </c>
      <c r="D333" s="7">
        <f>(3.7)*10.764</f>
        <v>39.826799999999999</v>
      </c>
      <c r="E333" s="7">
        <v>645</v>
      </c>
      <c r="F333" s="8" t="s">
        <v>243</v>
      </c>
      <c r="G333" s="163"/>
      <c r="J333" s="73"/>
    </row>
    <row r="334" spans="1:10" ht="15" x14ac:dyDescent="0.3">
      <c r="A334" s="7">
        <v>6</v>
      </c>
      <c r="B334" s="8" t="s">
        <v>188</v>
      </c>
      <c r="C334" s="7">
        <f>(43.54)*10.764</f>
        <v>468.66455999999994</v>
      </c>
      <c r="D334" s="7">
        <f>(0)*10.764</f>
        <v>0</v>
      </c>
      <c r="E334" s="7">
        <v>735</v>
      </c>
      <c r="F334" s="8" t="s">
        <v>243</v>
      </c>
      <c r="G334" s="163"/>
      <c r="J334" s="73"/>
    </row>
    <row r="335" spans="1:10" ht="15" x14ac:dyDescent="0.3">
      <c r="A335" s="7">
        <v>7</v>
      </c>
      <c r="B335" s="8" t="s">
        <v>187</v>
      </c>
      <c r="C335" s="7">
        <f>(29.5+5.85)*10.764</f>
        <v>380.50740000000002</v>
      </c>
      <c r="D335" s="7">
        <f>(3.7)*10.764</f>
        <v>39.826799999999999</v>
      </c>
      <c r="E335" s="7">
        <v>650</v>
      </c>
      <c r="F335" s="8" t="s">
        <v>243</v>
      </c>
      <c r="G335" s="163"/>
      <c r="J335" s="73"/>
    </row>
    <row r="336" spans="1:10" ht="15" x14ac:dyDescent="0.3">
      <c r="A336" s="7">
        <v>8</v>
      </c>
      <c r="B336" s="8" t="s">
        <v>187</v>
      </c>
      <c r="C336" s="7">
        <f>(29.2+5.25)*10.764</f>
        <v>370.81979999999999</v>
      </c>
      <c r="D336" s="7">
        <f>(3.7)*10.764</f>
        <v>39.826799999999999</v>
      </c>
      <c r="E336" s="7">
        <v>635</v>
      </c>
      <c r="F336" s="8" t="s">
        <v>243</v>
      </c>
      <c r="G336" s="163"/>
      <c r="J336" s="73"/>
    </row>
    <row r="337" spans="1:10" ht="15" x14ac:dyDescent="0.3">
      <c r="A337" s="7">
        <v>9</v>
      </c>
      <c r="B337" s="8" t="s">
        <v>187</v>
      </c>
      <c r="C337" s="7">
        <f>(29.82+4.25)*10.764</f>
        <v>366.72947999999997</v>
      </c>
      <c r="D337" s="7">
        <f>(2.65)*10.764</f>
        <v>28.524599999999996</v>
      </c>
      <c r="E337" s="7">
        <v>615</v>
      </c>
      <c r="F337" s="8" t="s">
        <v>243</v>
      </c>
      <c r="G337" s="163"/>
      <c r="J337" s="73"/>
    </row>
    <row r="338" spans="1:10" ht="15" x14ac:dyDescent="0.3">
      <c r="A338" s="7">
        <v>10</v>
      </c>
      <c r="B338" s="8" t="s">
        <v>189</v>
      </c>
      <c r="C338" s="7">
        <f>(21.2+1.87)*10.764</f>
        <v>248.32548</v>
      </c>
      <c r="D338" s="7">
        <f>(2.65)*10.764</f>
        <v>28.524599999999996</v>
      </c>
      <c r="E338" s="7">
        <v>430</v>
      </c>
      <c r="F338" s="8" t="s">
        <v>243</v>
      </c>
      <c r="G338" s="163"/>
      <c r="J338" s="73"/>
    </row>
    <row r="339" spans="1:10" ht="15" x14ac:dyDescent="0.3">
      <c r="A339" s="7">
        <v>11</v>
      </c>
      <c r="B339" s="8" t="s">
        <v>189</v>
      </c>
      <c r="C339" s="7">
        <f>(21.37+5.19)*10.764</f>
        <v>285.89184</v>
      </c>
      <c r="D339" s="7">
        <v>0</v>
      </c>
      <c r="E339" s="7">
        <v>450</v>
      </c>
      <c r="F339" s="8" t="s">
        <v>243</v>
      </c>
      <c r="G339" s="167"/>
      <c r="J339" s="73"/>
    </row>
    <row r="340" spans="1:10" ht="14.5" x14ac:dyDescent="0.3">
      <c r="A340" s="164" t="s">
        <v>233</v>
      </c>
      <c r="B340" s="165"/>
      <c r="C340" s="165"/>
      <c r="D340" s="165"/>
      <c r="E340" s="165"/>
      <c r="F340" s="165"/>
      <c r="G340" s="166"/>
      <c r="J340" s="73"/>
    </row>
    <row r="341" spans="1:10" ht="15" x14ac:dyDescent="0.3">
      <c r="A341" s="7">
        <v>1</v>
      </c>
      <c r="B341" s="8" t="s">
        <v>110</v>
      </c>
      <c r="C341" s="7">
        <f>(21.37+5.19)*10.764</f>
        <v>285.89184</v>
      </c>
      <c r="D341" s="7">
        <v>0</v>
      </c>
      <c r="E341" s="7">
        <v>450</v>
      </c>
      <c r="F341" s="8" t="s">
        <v>243</v>
      </c>
      <c r="G341" s="162" t="str">
        <f>A340</f>
        <v>2nd &amp; 4th Floor</v>
      </c>
      <c r="J341" s="73"/>
    </row>
    <row r="342" spans="1:10" ht="15" x14ac:dyDescent="0.3">
      <c r="A342" s="7">
        <v>2</v>
      </c>
      <c r="B342" s="8" t="s">
        <v>110</v>
      </c>
      <c r="C342" s="7">
        <f>(20.63+1.87)*10.764</f>
        <v>242.19</v>
      </c>
      <c r="D342" s="7">
        <v>0</v>
      </c>
      <c r="E342" s="7">
        <v>385</v>
      </c>
      <c r="F342" s="8" t="s">
        <v>243</v>
      </c>
      <c r="G342" s="163"/>
      <c r="J342" s="73"/>
    </row>
    <row r="343" spans="1:10" ht="15" x14ac:dyDescent="0.3">
      <c r="A343" s="7">
        <v>3</v>
      </c>
      <c r="B343" s="8" t="s">
        <v>112</v>
      </c>
      <c r="C343" s="7">
        <f>(29.26+4.25)*10.764</f>
        <v>360.70164000000005</v>
      </c>
      <c r="D343" s="7">
        <v>0</v>
      </c>
      <c r="E343" s="7">
        <v>565</v>
      </c>
      <c r="F343" s="8" t="s">
        <v>243</v>
      </c>
      <c r="G343" s="163"/>
      <c r="J343" s="73"/>
    </row>
    <row r="344" spans="1:10" ht="15" x14ac:dyDescent="0.3">
      <c r="A344" s="7">
        <v>4</v>
      </c>
      <c r="B344" s="8" t="s">
        <v>112</v>
      </c>
      <c r="C344" s="7">
        <f>(28.5+5.25)*10.764</f>
        <v>363.28499999999997</v>
      </c>
      <c r="D344" s="7">
        <v>0</v>
      </c>
      <c r="E344" s="7">
        <v>570</v>
      </c>
      <c r="F344" s="8" t="s">
        <v>243</v>
      </c>
      <c r="G344" s="163"/>
      <c r="J344" s="73"/>
    </row>
    <row r="345" spans="1:10" ht="15" x14ac:dyDescent="0.3">
      <c r="A345" s="7">
        <v>5</v>
      </c>
      <c r="B345" s="8" t="s">
        <v>112</v>
      </c>
      <c r="C345" s="7">
        <f>(28.9+5.58)*10.764</f>
        <v>371.14271999999994</v>
      </c>
      <c r="D345" s="7">
        <v>0</v>
      </c>
      <c r="E345" s="7">
        <v>565</v>
      </c>
      <c r="F345" s="8" t="s">
        <v>243</v>
      </c>
      <c r="G345" s="163"/>
      <c r="J345" s="73"/>
    </row>
    <row r="346" spans="1:10" ht="15" x14ac:dyDescent="0.3">
      <c r="A346" s="7">
        <v>6</v>
      </c>
      <c r="B346" s="8" t="s">
        <v>113</v>
      </c>
      <c r="C346" s="7">
        <f>(43.54)*10.764</f>
        <v>468.66455999999994</v>
      </c>
      <c r="D346" s="7">
        <v>0</v>
      </c>
      <c r="E346" s="7">
        <v>735</v>
      </c>
      <c r="F346" s="8" t="s">
        <v>243</v>
      </c>
      <c r="G346" s="163"/>
      <c r="J346" s="73"/>
    </row>
    <row r="347" spans="1:10" ht="15" x14ac:dyDescent="0.3">
      <c r="A347" s="7">
        <v>7</v>
      </c>
      <c r="B347" s="8" t="s">
        <v>112</v>
      </c>
      <c r="C347" s="7">
        <f>(28.9+5.85)*10.764</f>
        <v>374.04899999999998</v>
      </c>
      <c r="D347" s="7">
        <v>0</v>
      </c>
      <c r="E347" s="7">
        <v>585</v>
      </c>
      <c r="F347" s="8" t="s">
        <v>243</v>
      </c>
      <c r="G347" s="163"/>
      <c r="J347" s="73"/>
    </row>
    <row r="348" spans="1:10" ht="15" x14ac:dyDescent="0.3">
      <c r="A348" s="7">
        <v>8</v>
      </c>
      <c r="B348" s="8" t="s">
        <v>112</v>
      </c>
      <c r="C348" s="7">
        <f>(28.6+5.25)*10.764</f>
        <v>364.3614</v>
      </c>
      <c r="D348" s="7">
        <v>0</v>
      </c>
      <c r="E348" s="7">
        <v>570</v>
      </c>
      <c r="F348" s="8" t="s">
        <v>243</v>
      </c>
      <c r="G348" s="163"/>
      <c r="J348" s="73"/>
    </row>
    <row r="349" spans="1:10" ht="15" x14ac:dyDescent="0.3">
      <c r="A349" s="7">
        <v>9</v>
      </c>
      <c r="B349" s="8" t="s">
        <v>112</v>
      </c>
      <c r="C349" s="7">
        <f>(29.26+4.25)*10.764</f>
        <v>360.70164000000005</v>
      </c>
      <c r="D349" s="7">
        <v>0</v>
      </c>
      <c r="E349" s="7">
        <v>565</v>
      </c>
      <c r="F349" s="8" t="s">
        <v>243</v>
      </c>
      <c r="G349" s="163"/>
      <c r="J349" s="73"/>
    </row>
    <row r="350" spans="1:10" ht="15" x14ac:dyDescent="0.3">
      <c r="A350" s="7">
        <v>10</v>
      </c>
      <c r="B350" s="8" t="s">
        <v>110</v>
      </c>
      <c r="C350" s="7">
        <f>(20.63+1.87)*10.764</f>
        <v>242.19</v>
      </c>
      <c r="D350" s="7">
        <v>0</v>
      </c>
      <c r="E350" s="7">
        <v>385</v>
      </c>
      <c r="F350" s="8" t="s">
        <v>243</v>
      </c>
      <c r="G350" s="163"/>
      <c r="J350" s="73"/>
    </row>
    <row r="351" spans="1:10" ht="15" x14ac:dyDescent="0.3">
      <c r="A351" s="7">
        <v>11</v>
      </c>
      <c r="B351" s="8" t="s">
        <v>110</v>
      </c>
      <c r="C351" s="7">
        <f>(21.37+5.19)*10.764</f>
        <v>285.89184</v>
      </c>
      <c r="D351" s="7">
        <v>0</v>
      </c>
      <c r="E351" s="7">
        <v>450</v>
      </c>
      <c r="F351" s="8" t="s">
        <v>243</v>
      </c>
      <c r="G351" s="167"/>
      <c r="J351" s="73"/>
    </row>
    <row r="352" spans="1:10" ht="14.5" x14ac:dyDescent="0.3">
      <c r="A352" s="164" t="s">
        <v>253</v>
      </c>
      <c r="B352" s="165"/>
      <c r="C352" s="165"/>
      <c r="D352" s="165"/>
      <c r="E352" s="165"/>
      <c r="F352" s="165"/>
      <c r="G352" s="166"/>
      <c r="J352" s="73"/>
    </row>
    <row r="353" spans="1:10" ht="14.25" customHeight="1" x14ac:dyDescent="0.3">
      <c r="A353" s="164" t="s">
        <v>108</v>
      </c>
      <c r="B353" s="165"/>
      <c r="C353" s="165"/>
      <c r="D353" s="165"/>
      <c r="E353" s="165"/>
      <c r="F353" s="165"/>
      <c r="G353" s="166"/>
      <c r="J353" s="73"/>
    </row>
    <row r="354" spans="1:10" ht="15" customHeight="1" x14ac:dyDescent="0.3">
      <c r="A354" s="7">
        <v>1</v>
      </c>
      <c r="B354" s="8" t="s">
        <v>187</v>
      </c>
      <c r="C354" s="7">
        <f>(30.19+4.71)*10.764</f>
        <v>375.66359999999997</v>
      </c>
      <c r="D354" s="7">
        <v>0</v>
      </c>
      <c r="E354" s="7">
        <v>590</v>
      </c>
      <c r="F354" s="8" t="s">
        <v>243</v>
      </c>
      <c r="G354" s="162" t="str">
        <f>A353</f>
        <v>Ground Floor for Parking</v>
      </c>
      <c r="J354" s="73"/>
    </row>
    <row r="355" spans="1:10" ht="15" x14ac:dyDescent="0.3">
      <c r="A355" s="7">
        <v>2</v>
      </c>
      <c r="B355" s="8" t="s">
        <v>188</v>
      </c>
      <c r="C355" s="7">
        <f>(39.14+7.01)*10.764</f>
        <v>496.75859999999994</v>
      </c>
      <c r="D355" s="7">
        <v>0</v>
      </c>
      <c r="E355" s="7">
        <v>775</v>
      </c>
      <c r="F355" s="8" t="s">
        <v>243</v>
      </c>
      <c r="G355" s="163"/>
      <c r="J355" s="73"/>
    </row>
    <row r="356" spans="1:10" ht="15" x14ac:dyDescent="0.3">
      <c r="A356" s="7">
        <v>3</v>
      </c>
      <c r="B356" s="8" t="s">
        <v>187</v>
      </c>
      <c r="C356" s="7">
        <f>(29.19+4.17)*10.764</f>
        <v>359.08703999999994</v>
      </c>
      <c r="D356" s="7">
        <v>0</v>
      </c>
      <c r="E356" s="7">
        <v>565</v>
      </c>
      <c r="F356" s="8" t="s">
        <v>243</v>
      </c>
      <c r="G356" s="163"/>
      <c r="J356" s="73"/>
    </row>
    <row r="357" spans="1:10" ht="15" x14ac:dyDescent="0.3">
      <c r="A357" s="7">
        <v>4</v>
      </c>
      <c r="B357" s="8" t="s">
        <v>187</v>
      </c>
      <c r="C357" s="7">
        <f>(28.89)*10.764</f>
        <v>310.97195999999997</v>
      </c>
      <c r="D357" s="7">
        <v>0</v>
      </c>
      <c r="E357" s="7">
        <v>485</v>
      </c>
      <c r="F357" s="8" t="s">
        <v>243</v>
      </c>
      <c r="G357" s="163"/>
      <c r="J357" s="73"/>
    </row>
    <row r="358" spans="1:10" ht="15" x14ac:dyDescent="0.3">
      <c r="A358" s="7">
        <v>5</v>
      </c>
      <c r="B358" s="8" t="s">
        <v>187</v>
      </c>
      <c r="C358" s="7">
        <f>(30.37)*10.764</f>
        <v>326.90267999999998</v>
      </c>
      <c r="D358" s="7">
        <v>0</v>
      </c>
      <c r="E358" s="7">
        <v>515</v>
      </c>
      <c r="F358" s="8" t="s">
        <v>243</v>
      </c>
      <c r="G358" s="163"/>
      <c r="J358" s="73"/>
    </row>
    <row r="359" spans="1:10" ht="15" x14ac:dyDescent="0.3">
      <c r="A359" s="7">
        <v>6</v>
      </c>
      <c r="B359" s="8" t="s">
        <v>187</v>
      </c>
      <c r="C359" s="7">
        <f>(31.12+2.31)*10.764</f>
        <v>359.84051999999997</v>
      </c>
      <c r="D359" s="7">
        <v>0</v>
      </c>
      <c r="E359" s="7">
        <v>565</v>
      </c>
      <c r="F359" s="8" t="s">
        <v>243</v>
      </c>
      <c r="G359" s="163"/>
      <c r="J359" s="73"/>
    </row>
    <row r="360" spans="1:10" ht="15" x14ac:dyDescent="0.3">
      <c r="A360" s="7">
        <v>7</v>
      </c>
      <c r="B360" s="8" t="s">
        <v>187</v>
      </c>
      <c r="C360" s="7">
        <f>(29.19+4.16)*10.764</f>
        <v>358.9794</v>
      </c>
      <c r="D360" s="7">
        <v>0</v>
      </c>
      <c r="E360" s="7">
        <v>565</v>
      </c>
      <c r="F360" s="8" t="s">
        <v>243</v>
      </c>
      <c r="G360" s="163"/>
      <c r="J360" s="73"/>
    </row>
    <row r="361" spans="1:10" ht="15" x14ac:dyDescent="0.3">
      <c r="A361" s="7">
        <v>8</v>
      </c>
      <c r="B361" s="8" t="s">
        <v>187</v>
      </c>
      <c r="C361" s="7">
        <f>(28.54+4.81)*10.764</f>
        <v>358.9794</v>
      </c>
      <c r="D361" s="7">
        <v>0</v>
      </c>
      <c r="E361" s="7">
        <v>565</v>
      </c>
      <c r="F361" s="8" t="s">
        <v>243</v>
      </c>
      <c r="G361" s="163"/>
      <c r="J361" s="73"/>
    </row>
    <row r="362" spans="1:10" ht="15" x14ac:dyDescent="0.3">
      <c r="A362" s="7">
        <v>9</v>
      </c>
      <c r="B362" s="8" t="s">
        <v>187</v>
      </c>
      <c r="C362" s="7">
        <f>(28.76+5.03)*10.764</f>
        <v>363.71555999999998</v>
      </c>
      <c r="D362" s="7">
        <v>0</v>
      </c>
      <c r="E362" s="7">
        <v>570</v>
      </c>
      <c r="F362" s="8" t="s">
        <v>243</v>
      </c>
      <c r="G362" s="163"/>
      <c r="J362" s="73"/>
    </row>
    <row r="363" spans="1:10" ht="15" x14ac:dyDescent="0.3">
      <c r="A363" s="7">
        <v>10</v>
      </c>
      <c r="B363" s="8" t="s">
        <v>187</v>
      </c>
      <c r="C363" s="7">
        <f>(30.56+4.71)*10.764</f>
        <v>379.64627999999993</v>
      </c>
      <c r="D363" s="7">
        <v>0</v>
      </c>
      <c r="E363" s="7">
        <v>595</v>
      </c>
      <c r="F363" s="8" t="s">
        <v>243</v>
      </c>
      <c r="G363" s="167"/>
      <c r="J363" s="73"/>
    </row>
    <row r="364" spans="1:10" ht="14.5" x14ac:dyDescent="0.3">
      <c r="A364" s="164" t="s">
        <v>109</v>
      </c>
      <c r="B364" s="165"/>
      <c r="C364" s="165"/>
      <c r="D364" s="165"/>
      <c r="E364" s="165"/>
      <c r="F364" s="165"/>
      <c r="G364" s="166"/>
      <c r="J364" s="73"/>
    </row>
    <row r="365" spans="1:10" ht="15" customHeight="1" x14ac:dyDescent="0.3">
      <c r="A365" s="7">
        <v>1</v>
      </c>
      <c r="B365" s="8" t="s">
        <v>187</v>
      </c>
      <c r="C365" s="7">
        <f>(30.79+4.71)*10.764</f>
        <v>382.12199999999996</v>
      </c>
      <c r="D365" s="7">
        <f>(3.7)*10.764</f>
        <v>39.826799999999999</v>
      </c>
      <c r="E365" s="7">
        <v>655</v>
      </c>
      <c r="F365" s="8" t="s">
        <v>243</v>
      </c>
      <c r="G365" s="162" t="s">
        <v>111</v>
      </c>
      <c r="J365" s="73"/>
    </row>
    <row r="366" spans="1:10" ht="15" x14ac:dyDescent="0.3">
      <c r="A366" s="7">
        <v>2</v>
      </c>
      <c r="B366" s="8" t="s">
        <v>188</v>
      </c>
      <c r="C366" s="7">
        <f>(39.79+7)*10.764</f>
        <v>503.64755999999994</v>
      </c>
      <c r="D366" s="7">
        <f>(4.3)*10.764</f>
        <v>46.285199999999996</v>
      </c>
      <c r="E366" s="7">
        <v>855</v>
      </c>
      <c r="F366" s="8" t="s">
        <v>243</v>
      </c>
      <c r="G366" s="163"/>
      <c r="J366" s="73"/>
    </row>
    <row r="367" spans="1:10" ht="15" x14ac:dyDescent="0.3">
      <c r="A367" s="7">
        <v>3</v>
      </c>
      <c r="B367" s="8" t="s">
        <v>187</v>
      </c>
      <c r="C367" s="7">
        <f>(29.79+4.17)*10.764</f>
        <v>365.54543999999999</v>
      </c>
      <c r="D367" s="7">
        <f>(3.7)*10.764</f>
        <v>39.826799999999999</v>
      </c>
      <c r="E367" s="7">
        <v>630</v>
      </c>
      <c r="F367" s="8" t="s">
        <v>243</v>
      </c>
      <c r="G367" s="163"/>
      <c r="J367" s="73"/>
    </row>
    <row r="368" spans="1:10" ht="15" x14ac:dyDescent="0.3">
      <c r="A368" s="7">
        <v>4</v>
      </c>
      <c r="B368" s="8" t="s">
        <v>187</v>
      </c>
      <c r="C368" s="7">
        <f>(30.22+4.17)*10.764</f>
        <v>370.17395999999997</v>
      </c>
      <c r="D368" s="7">
        <f>(3.7)*10.764</f>
        <v>39.826799999999999</v>
      </c>
      <c r="E368" s="7">
        <v>635</v>
      </c>
      <c r="F368" s="8" t="s">
        <v>243</v>
      </c>
      <c r="G368" s="163"/>
      <c r="J368" s="73"/>
    </row>
    <row r="369" spans="1:10" ht="15" x14ac:dyDescent="0.3">
      <c r="A369" s="7">
        <v>5</v>
      </c>
      <c r="B369" s="8" t="s">
        <v>187</v>
      </c>
      <c r="C369" s="7">
        <f>(31.79+4.17)*10.764</f>
        <v>387.07344000000001</v>
      </c>
      <c r="D369" s="7">
        <f>(4.8)*10.764</f>
        <v>51.667199999999994</v>
      </c>
      <c r="E369" s="7">
        <v>680</v>
      </c>
      <c r="F369" s="8" t="s">
        <v>243</v>
      </c>
      <c r="G369" s="163"/>
      <c r="J369" s="73"/>
    </row>
    <row r="370" spans="1:10" ht="15" x14ac:dyDescent="0.3">
      <c r="A370" s="7">
        <v>6</v>
      </c>
      <c r="B370" s="8" t="s">
        <v>187</v>
      </c>
      <c r="C370" s="7">
        <f>(31.75+2.31)*10.764</f>
        <v>366.62184000000002</v>
      </c>
      <c r="D370" s="7">
        <f>(3.98)*10.764</f>
        <v>42.840719999999997</v>
      </c>
      <c r="E370" s="7">
        <v>635</v>
      </c>
      <c r="F370" s="8" t="s">
        <v>243</v>
      </c>
      <c r="G370" s="163"/>
      <c r="J370" s="73"/>
    </row>
    <row r="371" spans="1:10" ht="15" x14ac:dyDescent="0.3">
      <c r="A371" s="7">
        <v>7</v>
      </c>
      <c r="B371" s="8" t="s">
        <v>187</v>
      </c>
      <c r="C371" s="7">
        <f>(29.81+4.17)*10.764</f>
        <v>365.76071999999994</v>
      </c>
      <c r="D371" s="7">
        <f>(3.98)*10.764</f>
        <v>42.840719999999997</v>
      </c>
      <c r="E371" s="7">
        <v>635</v>
      </c>
      <c r="F371" s="8" t="s">
        <v>243</v>
      </c>
      <c r="G371" s="163"/>
      <c r="J371" s="73"/>
    </row>
    <row r="372" spans="1:10" ht="15" x14ac:dyDescent="0.3">
      <c r="A372" s="7">
        <v>8</v>
      </c>
      <c r="B372" s="8" t="s">
        <v>187</v>
      </c>
      <c r="C372" s="7">
        <f>(29.16+4.81)*10.764</f>
        <v>365.65307999999999</v>
      </c>
      <c r="D372" s="7">
        <f>(3.98)*10.764</f>
        <v>42.840719999999997</v>
      </c>
      <c r="E372" s="7">
        <v>635</v>
      </c>
      <c r="F372" s="8" t="s">
        <v>243</v>
      </c>
      <c r="G372" s="163"/>
      <c r="J372" s="73"/>
    </row>
    <row r="373" spans="1:10" ht="15" x14ac:dyDescent="0.3">
      <c r="A373" s="7">
        <v>9</v>
      </c>
      <c r="B373" s="8" t="s">
        <v>187</v>
      </c>
      <c r="C373" s="7">
        <f>(29.38+5.03)*10.764</f>
        <v>370.38923999999992</v>
      </c>
      <c r="D373" s="7">
        <f>(3.98)*10.764</f>
        <v>42.840719999999997</v>
      </c>
      <c r="E373" s="7">
        <v>640</v>
      </c>
      <c r="F373" s="8" t="s">
        <v>243</v>
      </c>
      <c r="G373" s="163"/>
      <c r="J373" s="73"/>
    </row>
    <row r="374" spans="1:10" ht="15" x14ac:dyDescent="0.3">
      <c r="A374" s="7">
        <v>10</v>
      </c>
      <c r="B374" s="8" t="s">
        <v>187</v>
      </c>
      <c r="C374" s="7">
        <f>(31.26+4.71)*10.764</f>
        <v>387.18107999999995</v>
      </c>
      <c r="D374" s="7">
        <f>(5.16)*10.764</f>
        <v>55.54224</v>
      </c>
      <c r="E374" s="7">
        <v>685</v>
      </c>
      <c r="F374" s="8" t="s">
        <v>243</v>
      </c>
      <c r="G374" s="163"/>
      <c r="J374" s="73"/>
    </row>
    <row r="375" spans="1:10" ht="14.5" x14ac:dyDescent="0.3">
      <c r="A375" s="164" t="s">
        <v>279</v>
      </c>
      <c r="B375" s="165"/>
      <c r="C375" s="165"/>
      <c r="D375" s="165"/>
      <c r="E375" s="165"/>
      <c r="F375" s="165"/>
      <c r="G375" s="166"/>
      <c r="J375" s="73"/>
    </row>
    <row r="376" spans="1:10" ht="15" x14ac:dyDescent="0.3">
      <c r="A376" s="7">
        <v>1</v>
      </c>
      <c r="B376" s="8" t="s">
        <v>187</v>
      </c>
      <c r="C376" s="7">
        <f>(30.19+4.71)*10.764</f>
        <v>375.66359999999997</v>
      </c>
      <c r="D376" s="7">
        <v>0</v>
      </c>
      <c r="E376" s="7">
        <v>590</v>
      </c>
      <c r="F376" s="8" t="s">
        <v>243</v>
      </c>
      <c r="G376" s="162" t="str">
        <f>A375</f>
        <v>2nd Floor</v>
      </c>
      <c r="J376" s="73"/>
    </row>
    <row r="377" spans="1:10" ht="15" x14ac:dyDescent="0.3">
      <c r="A377" s="7">
        <v>2</v>
      </c>
      <c r="B377" s="8" t="s">
        <v>188</v>
      </c>
      <c r="C377" s="7">
        <f>(39.14+7)*10.764</f>
        <v>496.65096</v>
      </c>
      <c r="D377" s="7">
        <v>0</v>
      </c>
      <c r="E377" s="7">
        <v>775</v>
      </c>
      <c r="F377" s="8" t="s">
        <v>243</v>
      </c>
      <c r="G377" s="163"/>
      <c r="J377" s="73"/>
    </row>
    <row r="378" spans="1:10" ht="15" x14ac:dyDescent="0.3">
      <c r="A378" s="7">
        <v>3</v>
      </c>
      <c r="B378" s="8" t="s">
        <v>187</v>
      </c>
      <c r="C378" s="7">
        <f>(29.19+4.17)*10.764</f>
        <v>359.08703999999994</v>
      </c>
      <c r="D378" s="7">
        <v>0</v>
      </c>
      <c r="E378" s="7">
        <v>565</v>
      </c>
      <c r="F378" s="8" t="s">
        <v>243</v>
      </c>
      <c r="G378" s="163"/>
      <c r="J378" s="73"/>
    </row>
    <row r="379" spans="1:10" ht="15" x14ac:dyDescent="0.3">
      <c r="A379" s="7">
        <v>4</v>
      </c>
      <c r="B379" s="8" t="s">
        <v>187</v>
      </c>
      <c r="C379" s="7">
        <f>(29.62+4.17)*10.764</f>
        <v>363.71555999999998</v>
      </c>
      <c r="D379" s="7">
        <v>0</v>
      </c>
      <c r="E379" s="7">
        <v>570</v>
      </c>
      <c r="F379" s="8" t="s">
        <v>243</v>
      </c>
      <c r="G379" s="163"/>
      <c r="H379" s="78"/>
      <c r="J379" s="73"/>
    </row>
    <row r="380" spans="1:10" ht="15" x14ac:dyDescent="0.3">
      <c r="A380" s="7">
        <v>5</v>
      </c>
      <c r="B380" s="8" t="s">
        <v>187</v>
      </c>
      <c r="C380" s="7">
        <f>(31.11+4.17)*10.764</f>
        <v>379.75391999999999</v>
      </c>
      <c r="D380" s="7">
        <v>0</v>
      </c>
      <c r="E380" s="7">
        <v>595</v>
      </c>
      <c r="F380" s="8" t="s">
        <v>243</v>
      </c>
      <c r="G380" s="163"/>
      <c r="H380" s="78"/>
      <c r="J380" s="73"/>
    </row>
    <row r="381" spans="1:10" ht="15" x14ac:dyDescent="0.3">
      <c r="A381" s="7">
        <v>6</v>
      </c>
      <c r="B381" s="8" t="s">
        <v>187</v>
      </c>
      <c r="C381" s="7">
        <f>(31.12+2.31)*10.764</f>
        <v>359.84051999999997</v>
      </c>
      <c r="D381" s="7">
        <v>0</v>
      </c>
      <c r="E381" s="7">
        <v>565</v>
      </c>
      <c r="F381" s="8" t="s">
        <v>243</v>
      </c>
      <c r="G381" s="163"/>
      <c r="H381" s="78"/>
      <c r="J381" s="73"/>
    </row>
    <row r="382" spans="1:10" ht="15" x14ac:dyDescent="0.3">
      <c r="A382" s="7">
        <v>7</v>
      </c>
      <c r="B382" s="8" t="s">
        <v>187</v>
      </c>
      <c r="C382" s="7">
        <f>(29.19+4.17)*10.764</f>
        <v>359.08703999999994</v>
      </c>
      <c r="D382" s="7">
        <v>0</v>
      </c>
      <c r="E382" s="7">
        <v>565</v>
      </c>
      <c r="F382" s="8" t="s">
        <v>243</v>
      </c>
      <c r="G382" s="163"/>
      <c r="H382" s="78"/>
      <c r="I382">
        <f>E381/C381</f>
        <v>1.5701400164717416</v>
      </c>
      <c r="J382" s="73"/>
    </row>
    <row r="383" spans="1:10" ht="15" x14ac:dyDescent="0.3">
      <c r="A383" s="7">
        <v>8</v>
      </c>
      <c r="B383" s="8" t="s">
        <v>187</v>
      </c>
      <c r="C383" s="7">
        <f>(28.54+4.81)*10.764</f>
        <v>358.9794</v>
      </c>
      <c r="D383" s="7">
        <v>0</v>
      </c>
      <c r="E383" s="7">
        <v>565</v>
      </c>
      <c r="F383" s="8" t="s">
        <v>243</v>
      </c>
      <c r="G383" s="163"/>
      <c r="I383">
        <f t="shared" ref="I383:I385" si="4">E382/C382</f>
        <v>1.5734346747796859</v>
      </c>
      <c r="J383" s="73"/>
    </row>
    <row r="384" spans="1:10" ht="15" x14ac:dyDescent="0.3">
      <c r="A384" s="7">
        <v>9</v>
      </c>
      <c r="B384" s="8" t="s">
        <v>187</v>
      </c>
      <c r="C384" s="7">
        <f>(28.76+5.03)*10.764</f>
        <v>363.71555999999998</v>
      </c>
      <c r="D384" s="7">
        <v>0</v>
      </c>
      <c r="E384" s="7">
        <v>570</v>
      </c>
      <c r="F384" s="8" t="s">
        <v>243</v>
      </c>
      <c r="G384" s="163"/>
      <c r="I384">
        <f t="shared" si="4"/>
        <v>1.573906469284867</v>
      </c>
      <c r="J384" s="73"/>
    </row>
    <row r="385" spans="1:11" ht="15" x14ac:dyDescent="0.3">
      <c r="A385" s="7">
        <v>10</v>
      </c>
      <c r="B385" s="8" t="s">
        <v>187</v>
      </c>
      <c r="C385" s="7">
        <f>(30.56+4.71)*10.764</f>
        <v>379.64627999999993</v>
      </c>
      <c r="D385" s="7">
        <v>0</v>
      </c>
      <c r="E385" s="7">
        <v>595</v>
      </c>
      <c r="F385" s="8" t="s">
        <v>243</v>
      </c>
      <c r="G385" s="163"/>
      <c r="I385">
        <f t="shared" si="4"/>
        <v>1.5671586885092297</v>
      </c>
      <c r="J385" s="73"/>
    </row>
    <row r="386" spans="1:11" ht="14.5" x14ac:dyDescent="0.3">
      <c r="A386" s="164" t="s">
        <v>280</v>
      </c>
      <c r="B386" s="165"/>
      <c r="C386" s="165"/>
      <c r="D386" s="165"/>
      <c r="E386" s="165"/>
      <c r="F386" s="165"/>
      <c r="G386" s="166"/>
      <c r="J386" s="73"/>
    </row>
    <row r="387" spans="1:11" ht="15" x14ac:dyDescent="0.3">
      <c r="A387" s="7">
        <v>1</v>
      </c>
      <c r="B387" s="8" t="s">
        <v>187</v>
      </c>
      <c r="C387" s="7">
        <f>(30.19+4.71)*10.764</f>
        <v>375.66359999999997</v>
      </c>
      <c r="D387" s="7">
        <v>0</v>
      </c>
      <c r="E387" s="7">
        <v>590</v>
      </c>
      <c r="F387" s="8" t="s">
        <v>243</v>
      </c>
      <c r="G387" s="162" t="str">
        <f>A386</f>
        <v>4th Floor</v>
      </c>
      <c r="J387" s="73"/>
    </row>
    <row r="388" spans="1:11" ht="15" x14ac:dyDescent="0.3">
      <c r="A388" s="7">
        <v>2</v>
      </c>
      <c r="B388" s="8" t="s">
        <v>188</v>
      </c>
      <c r="C388" s="7">
        <f>(39.14+7)*10.764</f>
        <v>496.65096</v>
      </c>
      <c r="D388" s="7">
        <v>0</v>
      </c>
      <c r="E388" s="7">
        <v>775</v>
      </c>
      <c r="F388" s="8" t="s">
        <v>243</v>
      </c>
      <c r="G388" s="163"/>
      <c r="J388" s="73"/>
    </row>
    <row r="389" spans="1:11" ht="15" x14ac:dyDescent="0.3">
      <c r="A389" s="7">
        <v>3</v>
      </c>
      <c r="B389" s="8" t="s">
        <v>187</v>
      </c>
      <c r="C389" s="7">
        <f>(29.19+4.17)*10.764</f>
        <v>359.08703999999994</v>
      </c>
      <c r="D389" s="7">
        <v>0</v>
      </c>
      <c r="E389" s="7">
        <v>565</v>
      </c>
      <c r="F389" s="8" t="s">
        <v>243</v>
      </c>
      <c r="G389" s="163"/>
      <c r="J389" s="73"/>
    </row>
    <row r="390" spans="1:11" ht="15" x14ac:dyDescent="0.3">
      <c r="A390" s="7">
        <v>4</v>
      </c>
      <c r="B390" s="8" t="s">
        <v>187</v>
      </c>
      <c r="C390" s="7">
        <f>(29.62+4.17)*10.764</f>
        <v>363.71555999999998</v>
      </c>
      <c r="D390" s="7">
        <v>0</v>
      </c>
      <c r="E390" s="7">
        <v>570</v>
      </c>
      <c r="F390" s="8" t="s">
        <v>243</v>
      </c>
      <c r="G390" s="163"/>
      <c r="H390" s="78"/>
      <c r="J390" s="73"/>
    </row>
    <row r="391" spans="1:11" ht="15" x14ac:dyDescent="0.3">
      <c r="A391" s="7">
        <v>5</v>
      </c>
      <c r="B391" s="8" t="s">
        <v>187</v>
      </c>
      <c r="C391" s="7">
        <f>(31.11+4.17)*10.764</f>
        <v>379.75391999999999</v>
      </c>
      <c r="D391" s="7">
        <v>0</v>
      </c>
      <c r="E391" s="7">
        <v>595</v>
      </c>
      <c r="F391" s="8" t="s">
        <v>243</v>
      </c>
      <c r="G391" s="163"/>
      <c r="H391" s="78"/>
      <c r="J391" s="73"/>
    </row>
    <row r="392" spans="1:11" ht="15" x14ac:dyDescent="0.3">
      <c r="A392" s="7">
        <v>6</v>
      </c>
      <c r="B392" s="8" t="s">
        <v>187</v>
      </c>
      <c r="C392" s="7">
        <f>(31.12+2.31)*10.764</f>
        <v>359.84051999999997</v>
      </c>
      <c r="D392" s="7">
        <v>0</v>
      </c>
      <c r="E392" s="7">
        <v>565</v>
      </c>
      <c r="F392" s="8" t="s">
        <v>243</v>
      </c>
      <c r="G392" s="163"/>
      <c r="H392" s="78"/>
      <c r="J392" s="73"/>
    </row>
    <row r="393" spans="1:11" ht="15" x14ac:dyDescent="0.3">
      <c r="A393" s="7">
        <v>7</v>
      </c>
      <c r="B393" s="8" t="s">
        <v>187</v>
      </c>
      <c r="C393" s="7">
        <f>(29.19+4.17)*10.764</f>
        <v>359.08703999999994</v>
      </c>
      <c r="D393" s="7">
        <v>0</v>
      </c>
      <c r="E393" s="7">
        <f>C393*1.65</f>
        <v>592.49361599999986</v>
      </c>
      <c r="F393" s="8" t="s">
        <v>243</v>
      </c>
      <c r="G393" s="163"/>
      <c r="H393" s="78">
        <f>E393*5000+200000</f>
        <v>3162468.0799999991</v>
      </c>
      <c r="I393">
        <f>E392/C392</f>
        <v>1.5701400164717416</v>
      </c>
      <c r="J393" s="73"/>
    </row>
    <row r="394" spans="1:11" ht="15" x14ac:dyDescent="0.3">
      <c r="A394" s="7">
        <v>8</v>
      </c>
      <c r="B394" s="8" t="s">
        <v>187</v>
      </c>
      <c r="C394" s="7">
        <f>(28.54+4.81)*10.764</f>
        <v>358.9794</v>
      </c>
      <c r="D394" s="7">
        <v>0</v>
      </c>
      <c r="E394" s="7">
        <v>565</v>
      </c>
      <c r="F394" s="8" t="s">
        <v>243</v>
      </c>
      <c r="G394" s="163"/>
      <c r="I394">
        <f t="shared" ref="I394:I396" si="5">E393/C393</f>
        <v>1.65</v>
      </c>
      <c r="J394" s="73"/>
    </row>
    <row r="395" spans="1:11" ht="15" x14ac:dyDescent="0.3">
      <c r="A395" s="7">
        <v>9</v>
      </c>
      <c r="B395" s="8" t="s">
        <v>187</v>
      </c>
      <c r="C395" s="7">
        <f>(28.76+5.03)*10.764</f>
        <v>363.71555999999998</v>
      </c>
      <c r="D395" s="7">
        <v>0</v>
      </c>
      <c r="E395" s="7">
        <v>570</v>
      </c>
      <c r="F395" s="8" t="s">
        <v>243</v>
      </c>
      <c r="G395" s="163"/>
      <c r="I395">
        <f t="shared" si="5"/>
        <v>1.573906469284867</v>
      </c>
      <c r="J395" s="73"/>
    </row>
    <row r="396" spans="1:11" ht="15" x14ac:dyDescent="0.3">
      <c r="A396" s="7">
        <v>10</v>
      </c>
      <c r="B396" s="8" t="s">
        <v>187</v>
      </c>
      <c r="C396" s="7">
        <f>(30.56+4.71)*10.764</f>
        <v>379.64627999999993</v>
      </c>
      <c r="D396" s="7">
        <v>0</v>
      </c>
      <c r="E396" s="7">
        <v>595</v>
      </c>
      <c r="F396" s="8" t="s">
        <v>243</v>
      </c>
      <c r="G396" s="163"/>
      <c r="I396">
        <f t="shared" si="5"/>
        <v>1.5671586885092297</v>
      </c>
      <c r="J396" s="73"/>
    </row>
    <row r="397" spans="1:11" ht="14.5" x14ac:dyDescent="0.3">
      <c r="A397" s="164" t="s">
        <v>236</v>
      </c>
      <c r="B397" s="165"/>
      <c r="C397" s="165"/>
      <c r="D397" s="165"/>
      <c r="E397" s="165"/>
      <c r="F397" s="165"/>
      <c r="G397" s="166"/>
      <c r="J397" s="73"/>
    </row>
    <row r="398" spans="1:11" ht="14.5" x14ac:dyDescent="0.3">
      <c r="A398" s="164" t="s">
        <v>237</v>
      </c>
      <c r="B398" s="165"/>
      <c r="C398" s="165"/>
      <c r="D398" s="165"/>
      <c r="E398" s="165"/>
      <c r="F398" s="165"/>
      <c r="G398" s="166"/>
      <c r="J398" s="73"/>
    </row>
    <row r="399" spans="1:11" ht="15" customHeight="1" x14ac:dyDescent="0.3">
      <c r="A399" s="7">
        <v>1</v>
      </c>
      <c r="B399" s="8" t="s">
        <v>188</v>
      </c>
      <c r="C399" s="7">
        <f>(43.21)*10.764</f>
        <v>465.11243999999999</v>
      </c>
      <c r="D399" s="7">
        <v>0</v>
      </c>
      <c r="E399" s="7">
        <v>730</v>
      </c>
      <c r="F399" s="8" t="s">
        <v>247</v>
      </c>
      <c r="G399" s="162" t="str">
        <f>A398</f>
        <v>Ground Floor For Entrance Lobby, Meter Room, Residential &amp; Parking</v>
      </c>
      <c r="H399" s="73">
        <f>E399/C399</f>
        <v>1.5695129547599287</v>
      </c>
      <c r="I399">
        <f>730/C399</f>
        <v>1.5695129547599287</v>
      </c>
      <c r="J399" s="73"/>
    </row>
    <row r="400" spans="1:11" ht="15" x14ac:dyDescent="0.3">
      <c r="A400" s="7">
        <v>2</v>
      </c>
      <c r="B400" s="8" t="s">
        <v>187</v>
      </c>
      <c r="C400" s="7">
        <f>(33.48)*10.764</f>
        <v>360.37871999999993</v>
      </c>
      <c r="D400" s="7">
        <v>0</v>
      </c>
      <c r="E400" s="7">
        <v>565</v>
      </c>
      <c r="F400" s="8" t="s">
        <v>247</v>
      </c>
      <c r="G400" s="163"/>
      <c r="J400" s="73"/>
      <c r="K400">
        <f>2.7*4.1+1.2*1.3+2.8*2.4+2.1*2.4+0.9*1.4+1.2*1+0.9*1+1*3.1+1*2.55</f>
        <v>33.4</v>
      </c>
    </row>
    <row r="401" spans="1:11" ht="15" x14ac:dyDescent="0.3">
      <c r="A401" s="7">
        <v>3</v>
      </c>
      <c r="B401" s="8" t="s">
        <v>187</v>
      </c>
      <c r="C401" s="7">
        <f>(36.35)*10.764</f>
        <v>391.27139999999997</v>
      </c>
      <c r="D401" s="7">
        <v>0</v>
      </c>
      <c r="E401" s="7">
        <v>615</v>
      </c>
      <c r="F401" s="8" t="s">
        <v>247</v>
      </c>
      <c r="G401" s="163"/>
      <c r="J401" s="73"/>
      <c r="K401" s="73">
        <f>C401/10.764</f>
        <v>36.35</v>
      </c>
    </row>
    <row r="402" spans="1:11" ht="15" x14ac:dyDescent="0.3">
      <c r="A402" s="7">
        <v>4</v>
      </c>
      <c r="B402" s="8" t="s">
        <v>187</v>
      </c>
      <c r="C402" s="7">
        <f>(35.99)*10.764</f>
        <v>387.39636000000002</v>
      </c>
      <c r="D402" s="7">
        <v>0</v>
      </c>
      <c r="E402" s="7">
        <v>605</v>
      </c>
      <c r="F402" s="8" t="s">
        <v>247</v>
      </c>
      <c r="G402" s="163"/>
      <c r="J402" s="73"/>
    </row>
    <row r="403" spans="1:11" ht="15" x14ac:dyDescent="0.3">
      <c r="A403" s="7">
        <v>5</v>
      </c>
      <c r="B403" s="8" t="s">
        <v>187</v>
      </c>
      <c r="C403" s="7">
        <f>(35.99)*10.764</f>
        <v>387.39636000000002</v>
      </c>
      <c r="D403" s="7">
        <v>0</v>
      </c>
      <c r="E403" s="7">
        <v>605</v>
      </c>
      <c r="F403" s="8" t="s">
        <v>247</v>
      </c>
      <c r="G403" s="163"/>
      <c r="J403" s="73"/>
    </row>
    <row r="404" spans="1:11" ht="15" x14ac:dyDescent="0.3">
      <c r="A404" s="7">
        <v>6</v>
      </c>
      <c r="B404" s="8" t="s">
        <v>188</v>
      </c>
      <c r="C404" s="7">
        <f>(46.22)*10.764</f>
        <v>497.51207999999997</v>
      </c>
      <c r="D404" s="7">
        <v>0</v>
      </c>
      <c r="E404" s="7">
        <v>780</v>
      </c>
      <c r="F404" s="8" t="s">
        <v>247</v>
      </c>
      <c r="G404" s="163"/>
      <c r="J404" s="73"/>
    </row>
    <row r="405" spans="1:11" ht="15" x14ac:dyDescent="0.3">
      <c r="A405" s="7">
        <v>7</v>
      </c>
      <c r="B405" s="8" t="s">
        <v>187</v>
      </c>
      <c r="C405" s="7">
        <f>(39.07)*10.764</f>
        <v>420.54947999999996</v>
      </c>
      <c r="D405" s="7">
        <v>0</v>
      </c>
      <c r="E405" s="7">
        <v>660</v>
      </c>
      <c r="F405" s="8" t="s">
        <v>247</v>
      </c>
      <c r="G405" s="163"/>
      <c r="J405" s="73"/>
    </row>
    <row r="406" spans="1:11" ht="15" x14ac:dyDescent="0.3">
      <c r="A406" s="7">
        <v>8</v>
      </c>
      <c r="B406" s="8" t="s">
        <v>187</v>
      </c>
      <c r="C406" s="7">
        <f>(33.49)*10.764</f>
        <v>360.48635999999999</v>
      </c>
      <c r="D406" s="7">
        <v>0</v>
      </c>
      <c r="E406" s="7">
        <v>565</v>
      </c>
      <c r="F406" s="8" t="s">
        <v>247</v>
      </c>
      <c r="G406" s="163"/>
      <c r="J406" s="73"/>
    </row>
    <row r="407" spans="1:11" ht="15" x14ac:dyDescent="0.3">
      <c r="A407" s="7">
        <v>9</v>
      </c>
      <c r="B407" s="8" t="s">
        <v>187</v>
      </c>
      <c r="C407" s="7">
        <f>(33.49)*10.764</f>
        <v>360.48635999999999</v>
      </c>
      <c r="D407" s="7">
        <v>0</v>
      </c>
      <c r="E407" s="7">
        <v>565</v>
      </c>
      <c r="F407" s="8" t="s">
        <v>247</v>
      </c>
      <c r="G407" s="163"/>
      <c r="J407" s="73"/>
    </row>
    <row r="408" spans="1:11" ht="15" x14ac:dyDescent="0.3">
      <c r="A408" s="7">
        <v>10</v>
      </c>
      <c r="B408" s="8" t="s">
        <v>187</v>
      </c>
      <c r="C408" s="7">
        <f>(39.07)*10.764</f>
        <v>420.54947999999996</v>
      </c>
      <c r="D408" s="7">
        <v>0</v>
      </c>
      <c r="E408" s="7">
        <v>660</v>
      </c>
      <c r="F408" s="8" t="s">
        <v>247</v>
      </c>
      <c r="G408" s="163"/>
      <c r="J408" s="73"/>
    </row>
    <row r="409" spans="1:11" ht="15" x14ac:dyDescent="0.3">
      <c r="A409" s="7">
        <v>11</v>
      </c>
      <c r="B409" s="8" t="s">
        <v>187</v>
      </c>
      <c r="C409" s="7">
        <f>(39.07)*10.764</f>
        <v>420.54947999999996</v>
      </c>
      <c r="D409" s="7">
        <v>0</v>
      </c>
      <c r="E409" s="7">
        <v>635</v>
      </c>
      <c r="F409" s="8" t="s">
        <v>247</v>
      </c>
      <c r="G409" s="167"/>
      <c r="J409" s="73"/>
    </row>
    <row r="410" spans="1:11" ht="14.5" x14ac:dyDescent="0.3">
      <c r="A410" s="164" t="s">
        <v>238</v>
      </c>
      <c r="B410" s="165"/>
      <c r="C410" s="165"/>
      <c r="D410" s="165"/>
      <c r="E410" s="165"/>
      <c r="F410" s="165"/>
      <c r="G410" s="166"/>
      <c r="J410" s="73"/>
    </row>
    <row r="411" spans="1:11" ht="15" customHeight="1" x14ac:dyDescent="0.3">
      <c r="A411" s="7">
        <v>1</v>
      </c>
      <c r="B411" s="8" t="s">
        <v>187</v>
      </c>
      <c r="C411" s="7">
        <f>(37.6)*10.764</f>
        <v>404.72640000000001</v>
      </c>
      <c r="D411" s="7">
        <v>0</v>
      </c>
      <c r="E411" s="7">
        <v>635</v>
      </c>
      <c r="F411" s="8" t="s">
        <v>247</v>
      </c>
      <c r="G411" s="162" t="str">
        <f>A410</f>
        <v>1st to 4th Floor</v>
      </c>
      <c r="H411" s="73">
        <f>E411/C411</f>
        <v>1.5689611549926072</v>
      </c>
      <c r="I411">
        <f>635/C411</f>
        <v>1.5689611549926072</v>
      </c>
      <c r="J411" s="73"/>
    </row>
    <row r="412" spans="1:11" ht="15" x14ac:dyDescent="0.3">
      <c r="A412" s="7">
        <v>2</v>
      </c>
      <c r="B412" s="8" t="s">
        <v>188</v>
      </c>
      <c r="C412" s="7">
        <f>(43.21)*10.764</f>
        <v>465.11243999999999</v>
      </c>
      <c r="D412" s="7">
        <v>0</v>
      </c>
      <c r="E412" s="7">
        <v>730</v>
      </c>
      <c r="F412" s="8" t="s">
        <v>247</v>
      </c>
      <c r="G412" s="163"/>
      <c r="J412" s="73"/>
      <c r="K412">
        <f>2.7*4.1+1.2*1.3+2.8*2.4+2.1*2.4+0.9*1.4+1.2*1+0.9*1+1*3.1+1*2.55</f>
        <v>33.4</v>
      </c>
    </row>
    <row r="413" spans="1:11" ht="15" x14ac:dyDescent="0.3">
      <c r="A413" s="7">
        <v>3</v>
      </c>
      <c r="B413" s="8" t="s">
        <v>187</v>
      </c>
      <c r="C413" s="7">
        <f>(33.48)*10.764</f>
        <v>360.37871999999993</v>
      </c>
      <c r="D413" s="7">
        <v>0</v>
      </c>
      <c r="E413" s="7">
        <v>565</v>
      </c>
      <c r="F413" s="8" t="s">
        <v>247</v>
      </c>
      <c r="G413" s="163"/>
      <c r="J413" s="73"/>
      <c r="K413" s="73">
        <f>C413/10.764</f>
        <v>33.479999999999997</v>
      </c>
    </row>
    <row r="414" spans="1:11" ht="15" x14ac:dyDescent="0.3">
      <c r="A414" s="7">
        <v>4</v>
      </c>
      <c r="B414" s="8" t="s">
        <v>187</v>
      </c>
      <c r="C414" s="7">
        <f>(36.35)*10.764</f>
        <v>391.27139999999997</v>
      </c>
      <c r="D414" s="7">
        <v>0</v>
      </c>
      <c r="E414" s="7">
        <v>615</v>
      </c>
      <c r="F414" s="8" t="s">
        <v>247</v>
      </c>
      <c r="G414" s="163"/>
      <c r="J414" s="73"/>
    </row>
    <row r="415" spans="1:11" ht="15" x14ac:dyDescent="0.3">
      <c r="A415" s="7">
        <v>5</v>
      </c>
      <c r="B415" s="8" t="s">
        <v>187</v>
      </c>
      <c r="C415" s="7">
        <f>(35.99)*10.764</f>
        <v>387.39636000000002</v>
      </c>
      <c r="D415" s="7">
        <v>0</v>
      </c>
      <c r="E415" s="7">
        <v>605</v>
      </c>
      <c r="F415" s="8" t="s">
        <v>247</v>
      </c>
      <c r="G415" s="163"/>
      <c r="J415" s="73"/>
    </row>
    <row r="416" spans="1:11" ht="15" x14ac:dyDescent="0.3">
      <c r="A416" s="7">
        <v>6</v>
      </c>
      <c r="B416" s="8" t="s">
        <v>187</v>
      </c>
      <c r="C416" s="7">
        <f>(35.99)*10.764</f>
        <v>387.39636000000002</v>
      </c>
      <c r="D416" s="7">
        <v>0</v>
      </c>
      <c r="E416" s="7">
        <v>605</v>
      </c>
      <c r="F416" s="8" t="s">
        <v>247</v>
      </c>
      <c r="G416" s="163"/>
      <c r="J416" s="73"/>
    </row>
    <row r="417" spans="1:11" ht="15" x14ac:dyDescent="0.3">
      <c r="A417" s="7">
        <v>7</v>
      </c>
      <c r="B417" s="8" t="s">
        <v>188</v>
      </c>
      <c r="C417" s="7">
        <f>(46.22)*10.764</f>
        <v>497.51207999999997</v>
      </c>
      <c r="D417" s="7">
        <v>0</v>
      </c>
      <c r="E417" s="7">
        <v>780</v>
      </c>
      <c r="F417" s="8" t="s">
        <v>247</v>
      </c>
      <c r="G417" s="163"/>
      <c r="J417" s="73"/>
    </row>
    <row r="418" spans="1:11" ht="15" x14ac:dyDescent="0.3">
      <c r="A418" s="7">
        <v>8</v>
      </c>
      <c r="B418" s="8" t="s">
        <v>187</v>
      </c>
      <c r="C418" s="7">
        <f>(39.07)*10.764</f>
        <v>420.54947999999996</v>
      </c>
      <c r="D418" s="7">
        <v>0</v>
      </c>
      <c r="E418" s="7">
        <v>660</v>
      </c>
      <c r="F418" s="8" t="s">
        <v>247</v>
      </c>
      <c r="G418" s="163"/>
      <c r="J418" s="73"/>
    </row>
    <row r="419" spans="1:11" ht="15" x14ac:dyDescent="0.3">
      <c r="A419" s="7">
        <v>9</v>
      </c>
      <c r="B419" s="8" t="s">
        <v>187</v>
      </c>
      <c r="C419" s="7">
        <f>(33.48)*10.764</f>
        <v>360.37871999999993</v>
      </c>
      <c r="D419" s="7">
        <v>0</v>
      </c>
      <c r="E419" s="7">
        <v>565</v>
      </c>
      <c r="F419" s="8" t="s">
        <v>247</v>
      </c>
      <c r="G419" s="163"/>
      <c r="J419" s="73"/>
    </row>
    <row r="420" spans="1:11" ht="15" x14ac:dyDescent="0.3">
      <c r="A420" s="7">
        <v>10</v>
      </c>
      <c r="B420" s="8" t="s">
        <v>187</v>
      </c>
      <c r="C420" s="7">
        <f>(33.48)*10.764</f>
        <v>360.37871999999993</v>
      </c>
      <c r="D420" s="7">
        <v>0</v>
      </c>
      <c r="E420" s="7">
        <v>565</v>
      </c>
      <c r="F420" s="8" t="s">
        <v>247</v>
      </c>
      <c r="G420" s="163"/>
      <c r="J420" s="73"/>
    </row>
    <row r="421" spans="1:11" ht="15" x14ac:dyDescent="0.3">
      <c r="A421" s="7">
        <v>11</v>
      </c>
      <c r="B421" s="8" t="s">
        <v>187</v>
      </c>
      <c r="C421" s="7">
        <f>(39.07)*10.764</f>
        <v>420.54947999999996</v>
      </c>
      <c r="D421" s="7">
        <v>0</v>
      </c>
      <c r="E421" s="7">
        <v>660</v>
      </c>
      <c r="F421" s="8" t="s">
        <v>247</v>
      </c>
      <c r="G421" s="163"/>
      <c r="J421" s="73"/>
    </row>
    <row r="422" spans="1:11" ht="15" x14ac:dyDescent="0.3">
      <c r="A422" s="7">
        <v>12</v>
      </c>
      <c r="B422" s="8" t="s">
        <v>187</v>
      </c>
      <c r="C422" s="7">
        <f>(39.07)*10.764</f>
        <v>420.54947999999996</v>
      </c>
      <c r="D422" s="7">
        <v>0</v>
      </c>
      <c r="E422" s="7">
        <v>635</v>
      </c>
      <c r="F422" s="8" t="s">
        <v>247</v>
      </c>
      <c r="G422" s="167"/>
      <c r="J422" s="73"/>
    </row>
    <row r="423" spans="1:11" ht="14.5" x14ac:dyDescent="0.3">
      <c r="A423" s="164" t="s">
        <v>239</v>
      </c>
      <c r="B423" s="165"/>
      <c r="C423" s="165"/>
      <c r="D423" s="165"/>
      <c r="E423" s="165"/>
      <c r="F423" s="165"/>
      <c r="G423" s="166"/>
      <c r="J423" s="73"/>
    </row>
    <row r="424" spans="1:11" ht="14.25" customHeight="1" x14ac:dyDescent="0.3">
      <c r="A424" s="164" t="s">
        <v>240</v>
      </c>
      <c r="B424" s="165"/>
      <c r="C424" s="165"/>
      <c r="D424" s="165"/>
      <c r="E424" s="165"/>
      <c r="F424" s="165"/>
      <c r="G424" s="166"/>
      <c r="J424" s="73"/>
    </row>
    <row r="425" spans="1:11" ht="15" customHeight="1" x14ac:dyDescent="0.3">
      <c r="A425" s="7">
        <v>1</v>
      </c>
      <c r="B425" s="8" t="s">
        <v>187</v>
      </c>
      <c r="C425" s="7">
        <f>(30.05+4.94)*10.764</f>
        <v>376.63236000000001</v>
      </c>
      <c r="D425" s="7">
        <v>0</v>
      </c>
      <c r="E425" s="7">
        <v>585</v>
      </c>
      <c r="F425" s="8" t="s">
        <v>243</v>
      </c>
      <c r="G425" s="162" t="str">
        <f>A424</f>
        <v>Ground Floor For Entrance Lobby &amp; Residential</v>
      </c>
      <c r="H425" s="73">
        <f>E425/C425</f>
        <v>1.5532388135740647</v>
      </c>
      <c r="J425" s="73"/>
    </row>
    <row r="426" spans="1:11" ht="15" x14ac:dyDescent="0.3">
      <c r="A426" s="7">
        <v>2</v>
      </c>
      <c r="B426" s="8" t="s">
        <v>187</v>
      </c>
      <c r="C426" s="7">
        <f>(30.2+4.94)*10.764</f>
        <v>378.24696</v>
      </c>
      <c r="D426" s="7">
        <v>0</v>
      </c>
      <c r="E426" s="7">
        <v>585</v>
      </c>
      <c r="F426" s="8" t="s">
        <v>243</v>
      </c>
      <c r="G426" s="163"/>
      <c r="J426" s="73"/>
      <c r="K426">
        <f>2.7*4.1+1.2*1.3+2.8*2.4+2.1*2.4+0.9*1.4+1.2*1+0.9*1+1*3.1+1*2.55</f>
        <v>33.4</v>
      </c>
    </row>
    <row r="427" spans="1:11" ht="15" x14ac:dyDescent="0.3">
      <c r="A427" s="7">
        <v>3</v>
      </c>
      <c r="B427" s="8" t="s">
        <v>188</v>
      </c>
      <c r="C427" s="7">
        <f>(40.64)*10.764</f>
        <v>437.44896</v>
      </c>
      <c r="D427" s="7">
        <v>0</v>
      </c>
      <c r="E427" s="7">
        <v>685</v>
      </c>
      <c r="F427" s="8" t="s">
        <v>243</v>
      </c>
      <c r="G427" s="163"/>
      <c r="J427" s="73"/>
      <c r="K427" s="73">
        <f>C427/10.764</f>
        <v>40.64</v>
      </c>
    </row>
    <row r="428" spans="1:11" ht="15" x14ac:dyDescent="0.3">
      <c r="A428" s="7">
        <v>4</v>
      </c>
      <c r="B428" s="8" t="s">
        <v>188</v>
      </c>
      <c r="C428" s="7">
        <f>(40.64)*10.764</f>
        <v>437.44896</v>
      </c>
      <c r="D428" s="7">
        <v>0</v>
      </c>
      <c r="E428" s="7">
        <v>685</v>
      </c>
      <c r="F428" s="8" t="s">
        <v>243</v>
      </c>
      <c r="G428" s="163"/>
      <c r="J428" s="73"/>
    </row>
    <row r="429" spans="1:11" ht="15" x14ac:dyDescent="0.3">
      <c r="A429" s="7">
        <v>5</v>
      </c>
      <c r="B429" s="8" t="s">
        <v>187</v>
      </c>
      <c r="C429" s="7">
        <f>(29.73)*10.764</f>
        <v>320.01371999999998</v>
      </c>
      <c r="D429" s="7">
        <v>0</v>
      </c>
      <c r="E429" s="7">
        <v>500</v>
      </c>
      <c r="F429" s="8" t="s">
        <v>243</v>
      </c>
      <c r="G429" s="163"/>
      <c r="J429" s="73"/>
    </row>
    <row r="430" spans="1:11" ht="15" x14ac:dyDescent="0.3">
      <c r="A430" s="7">
        <v>6</v>
      </c>
      <c r="B430" s="8" t="s">
        <v>187</v>
      </c>
      <c r="C430" s="7">
        <f>(28.99)*10.764</f>
        <v>312.04835999999995</v>
      </c>
      <c r="D430" s="7">
        <v>0</v>
      </c>
      <c r="E430" s="7">
        <v>490</v>
      </c>
      <c r="F430" s="8" t="s">
        <v>243</v>
      </c>
      <c r="G430" s="163"/>
      <c r="J430" s="73"/>
    </row>
    <row r="431" spans="1:11" ht="14.25" customHeight="1" x14ac:dyDescent="0.3">
      <c r="A431" s="164" t="s">
        <v>241</v>
      </c>
      <c r="B431" s="165"/>
      <c r="C431" s="165"/>
      <c r="D431" s="165"/>
      <c r="E431" s="165"/>
      <c r="F431" s="165"/>
      <c r="G431" s="166"/>
      <c r="J431" s="73"/>
    </row>
    <row r="432" spans="1:11" ht="15" customHeight="1" x14ac:dyDescent="0.3">
      <c r="A432" s="7">
        <v>1</v>
      </c>
      <c r="B432" s="8" t="s">
        <v>187</v>
      </c>
      <c r="C432" s="7">
        <f>(30.73+4.94)*10.764</f>
        <v>383.95188000000002</v>
      </c>
      <c r="D432" s="7">
        <f>(2.35)*10.764</f>
        <v>25.295400000000001</v>
      </c>
      <c r="E432" s="7">
        <v>625</v>
      </c>
      <c r="F432" s="8" t="s">
        <v>243</v>
      </c>
      <c r="G432" s="162" t="str">
        <f>A431</f>
        <v>1st Floor</v>
      </c>
      <c r="H432" s="73">
        <f>E432/C432</f>
        <v>1.6278081513756359</v>
      </c>
      <c r="J432" s="73"/>
    </row>
    <row r="433" spans="1:11" ht="15" x14ac:dyDescent="0.3">
      <c r="A433" s="7">
        <v>2</v>
      </c>
      <c r="B433" s="8" t="s">
        <v>187</v>
      </c>
      <c r="C433" s="7">
        <f>(30.8+4.94)*10.764</f>
        <v>384.70535999999998</v>
      </c>
      <c r="D433" s="7">
        <f>(3.7)*10.764</f>
        <v>39.826799999999999</v>
      </c>
      <c r="E433" s="7">
        <v>650</v>
      </c>
      <c r="F433" s="8" t="s">
        <v>243</v>
      </c>
      <c r="G433" s="163"/>
      <c r="J433" s="73"/>
      <c r="K433">
        <f>2.7*4.1+1.2*1.3+2.8*2.4+2.1*2.4+0.9*1.4+1.2*1+0.9*1+1*3.1+1*2.55</f>
        <v>33.4</v>
      </c>
    </row>
    <row r="434" spans="1:11" ht="15" x14ac:dyDescent="0.3">
      <c r="A434" s="7">
        <v>3</v>
      </c>
      <c r="B434" s="8" t="s">
        <v>188</v>
      </c>
      <c r="C434" s="7">
        <f>(42.04+4.96)*10.764</f>
        <v>505.90799999999996</v>
      </c>
      <c r="D434" s="7">
        <f>(4.3)*10.764</f>
        <v>46.285199999999996</v>
      </c>
      <c r="E434" s="7">
        <v>845</v>
      </c>
      <c r="F434" s="8" t="s">
        <v>243</v>
      </c>
      <c r="G434" s="163"/>
      <c r="J434" s="73"/>
      <c r="K434" s="73">
        <f>C434/10.764</f>
        <v>47</v>
      </c>
    </row>
    <row r="435" spans="1:11" ht="15" x14ac:dyDescent="0.3">
      <c r="A435" s="7">
        <v>4</v>
      </c>
      <c r="B435" s="8" t="s">
        <v>188</v>
      </c>
      <c r="C435" s="7">
        <f>(42.04+4.96)*10.764</f>
        <v>505.90799999999996</v>
      </c>
      <c r="D435" s="7">
        <f>(4.3)*10.764</f>
        <v>46.285199999999996</v>
      </c>
      <c r="E435" s="7">
        <v>845</v>
      </c>
      <c r="F435" s="8" t="s">
        <v>243</v>
      </c>
      <c r="G435" s="163"/>
      <c r="J435" s="73"/>
    </row>
    <row r="436" spans="1:11" ht="15" x14ac:dyDescent="0.3">
      <c r="A436" s="7">
        <v>5</v>
      </c>
      <c r="B436" s="8" t="s">
        <v>187</v>
      </c>
      <c r="C436" s="7">
        <f>(30.8+4.94)*10.764</f>
        <v>384.70535999999998</v>
      </c>
      <c r="D436" s="7">
        <f>(3.7)*10.764</f>
        <v>39.826799999999999</v>
      </c>
      <c r="E436" s="7">
        <v>650</v>
      </c>
      <c r="F436" s="8" t="s">
        <v>243</v>
      </c>
      <c r="G436" s="163"/>
      <c r="J436" s="73"/>
    </row>
    <row r="437" spans="1:11" ht="15" x14ac:dyDescent="0.3">
      <c r="A437" s="7">
        <v>6</v>
      </c>
      <c r="B437" s="8" t="s">
        <v>187</v>
      </c>
      <c r="C437" s="7">
        <f>(30.43+4.94)*10.764</f>
        <v>380.72267999999997</v>
      </c>
      <c r="D437" s="7">
        <f>(4.8)*10.764</f>
        <v>51.667199999999994</v>
      </c>
      <c r="E437" s="7">
        <v>660</v>
      </c>
      <c r="F437" s="8" t="s">
        <v>243</v>
      </c>
      <c r="G437" s="163"/>
      <c r="J437" s="73"/>
    </row>
    <row r="438" spans="1:11" ht="14.5" x14ac:dyDescent="0.3">
      <c r="A438" s="164" t="s">
        <v>233</v>
      </c>
      <c r="B438" s="165"/>
      <c r="C438" s="165"/>
      <c r="D438" s="165"/>
      <c r="E438" s="165"/>
      <c r="F438" s="165"/>
      <c r="G438" s="166"/>
      <c r="J438" s="73"/>
    </row>
    <row r="439" spans="1:11" ht="15" x14ac:dyDescent="0.3">
      <c r="A439" s="7">
        <v>1</v>
      </c>
      <c r="B439" s="8" t="s">
        <v>110</v>
      </c>
      <c r="C439" s="7">
        <f>(30.05+4.94)*10.764</f>
        <v>376.63236000000001</v>
      </c>
      <c r="D439" s="7">
        <v>0</v>
      </c>
      <c r="E439" s="7">
        <v>585</v>
      </c>
      <c r="F439" s="8" t="s">
        <v>243</v>
      </c>
      <c r="G439" s="162" t="str">
        <f>A438</f>
        <v>2nd &amp; 4th Floor</v>
      </c>
      <c r="J439" s="73"/>
    </row>
    <row r="440" spans="1:11" ht="15" x14ac:dyDescent="0.3">
      <c r="A440" s="7">
        <v>2</v>
      </c>
      <c r="B440" s="8" t="s">
        <v>110</v>
      </c>
      <c r="C440" s="7">
        <f>(30.2+4.94)*10.764</f>
        <v>378.24696</v>
      </c>
      <c r="D440" s="7">
        <v>0</v>
      </c>
      <c r="E440" s="7">
        <v>585</v>
      </c>
      <c r="F440" s="8" t="s">
        <v>243</v>
      </c>
      <c r="G440" s="163"/>
      <c r="J440" s="73"/>
    </row>
    <row r="441" spans="1:11" ht="15" x14ac:dyDescent="0.3">
      <c r="A441" s="7">
        <v>3</v>
      </c>
      <c r="B441" s="8" t="s">
        <v>112</v>
      </c>
      <c r="C441" s="7">
        <f>(41.4+4.96)*10.764</f>
        <v>499.01903999999996</v>
      </c>
      <c r="D441" s="7">
        <v>0</v>
      </c>
      <c r="E441" s="7">
        <v>775</v>
      </c>
      <c r="F441" s="8" t="s">
        <v>243</v>
      </c>
      <c r="G441" s="163"/>
      <c r="J441" s="73"/>
    </row>
    <row r="442" spans="1:11" ht="15" x14ac:dyDescent="0.3">
      <c r="A442" s="7">
        <v>4</v>
      </c>
      <c r="B442" s="8" t="s">
        <v>112</v>
      </c>
      <c r="C442" s="7">
        <f>(41.4+4.96)*10.764</f>
        <v>499.01903999999996</v>
      </c>
      <c r="D442" s="7">
        <v>0</v>
      </c>
      <c r="E442" s="7">
        <v>775</v>
      </c>
      <c r="F442" s="8" t="s">
        <v>243</v>
      </c>
      <c r="G442" s="163"/>
      <c r="J442" s="73"/>
    </row>
    <row r="443" spans="1:11" ht="15" x14ac:dyDescent="0.3">
      <c r="A443" s="7">
        <v>5</v>
      </c>
      <c r="B443" s="8" t="s">
        <v>112</v>
      </c>
      <c r="C443" s="7">
        <f>(30.2+4.94)*10.764</f>
        <v>378.24696</v>
      </c>
      <c r="D443" s="7">
        <v>0</v>
      </c>
      <c r="E443" s="7">
        <v>585</v>
      </c>
      <c r="F443" s="8" t="s">
        <v>243</v>
      </c>
      <c r="G443" s="163"/>
      <c r="J443" s="73"/>
    </row>
    <row r="444" spans="1:11" ht="15" x14ac:dyDescent="0.3">
      <c r="A444" s="7">
        <v>6</v>
      </c>
      <c r="B444" s="8" t="s">
        <v>113</v>
      </c>
      <c r="C444" s="7">
        <f>(29.75+4.94)*10.764</f>
        <v>373.40315999999996</v>
      </c>
      <c r="D444" s="7">
        <v>0</v>
      </c>
      <c r="E444" s="7">
        <v>580</v>
      </c>
      <c r="F444" s="8" t="s">
        <v>243</v>
      </c>
      <c r="G444" s="163"/>
      <c r="H444">
        <f>860*2</f>
        <v>1720</v>
      </c>
      <c r="J444" s="73"/>
    </row>
    <row r="445" spans="1:11" ht="14.25" customHeight="1" x14ac:dyDescent="0.3">
      <c r="A445" s="164" t="s">
        <v>242</v>
      </c>
      <c r="B445" s="165"/>
      <c r="C445" s="165"/>
      <c r="D445" s="165"/>
      <c r="E445" s="165"/>
      <c r="F445" s="165"/>
      <c r="G445" s="166"/>
      <c r="J445" s="73"/>
    </row>
    <row r="446" spans="1:11" ht="15" customHeight="1" x14ac:dyDescent="0.3">
      <c r="A446" s="7">
        <v>1</v>
      </c>
      <c r="B446" s="8" t="s">
        <v>187</v>
      </c>
      <c r="C446" s="7">
        <f>(30.73+4.94)*10.764</f>
        <v>383.95188000000002</v>
      </c>
      <c r="D446" s="7">
        <f>(2.35)*10.764</f>
        <v>25.295400000000001</v>
      </c>
      <c r="E446" s="7">
        <v>625</v>
      </c>
      <c r="F446" s="8" t="s">
        <v>243</v>
      </c>
      <c r="G446" s="162" t="str">
        <f>A445</f>
        <v>3rd Floor</v>
      </c>
      <c r="H446" s="73">
        <f>E446/C446</f>
        <v>1.6278081513756359</v>
      </c>
      <c r="J446" s="73"/>
    </row>
    <row r="447" spans="1:11" ht="15" x14ac:dyDescent="0.3">
      <c r="A447" s="7">
        <v>2</v>
      </c>
      <c r="B447" s="8" t="s">
        <v>187</v>
      </c>
      <c r="C447" s="7">
        <f>(30.8+4.94)*10.764</f>
        <v>384.70535999999998</v>
      </c>
      <c r="D447" s="7">
        <f>(3.7)*10.764</f>
        <v>39.826799999999999</v>
      </c>
      <c r="E447" s="7">
        <v>650</v>
      </c>
      <c r="F447" s="8" t="s">
        <v>243</v>
      </c>
      <c r="G447" s="163"/>
      <c r="J447" s="73"/>
      <c r="K447">
        <f>2.7*4.1+1.2*1.3+2.8*2.4+2.1*2.4+0.9*1.4+1.2*1+0.9*1+1*3.1+1*2.55</f>
        <v>33.4</v>
      </c>
    </row>
    <row r="448" spans="1:11" ht="15" x14ac:dyDescent="0.3">
      <c r="A448" s="7">
        <v>3</v>
      </c>
      <c r="B448" s="8" t="s">
        <v>188</v>
      </c>
      <c r="C448" s="7">
        <f>(42.04+4.96)*10.764</f>
        <v>505.90799999999996</v>
      </c>
      <c r="D448" s="7">
        <f>(4.3)*10.764</f>
        <v>46.285199999999996</v>
      </c>
      <c r="E448" s="7">
        <v>845</v>
      </c>
      <c r="F448" s="8" t="s">
        <v>243</v>
      </c>
      <c r="G448" s="163"/>
      <c r="J448" s="73"/>
      <c r="K448" s="73">
        <f>C448/10.764</f>
        <v>47</v>
      </c>
    </row>
    <row r="449" spans="1:10" ht="15" x14ac:dyDescent="0.3">
      <c r="A449" s="7">
        <v>4</v>
      </c>
      <c r="B449" s="8" t="s">
        <v>188</v>
      </c>
      <c r="C449" s="7">
        <f>(42.04+4.96)*10.764</f>
        <v>505.90799999999996</v>
      </c>
      <c r="D449" s="7">
        <f>(4.3)*10.764</f>
        <v>46.285199999999996</v>
      </c>
      <c r="E449" s="7">
        <v>845</v>
      </c>
      <c r="F449" s="8" t="s">
        <v>243</v>
      </c>
      <c r="G449" s="163"/>
      <c r="J449" s="73"/>
    </row>
    <row r="450" spans="1:10" ht="15" x14ac:dyDescent="0.3">
      <c r="A450" s="7">
        <v>5</v>
      </c>
      <c r="B450" s="8" t="s">
        <v>187</v>
      </c>
      <c r="C450" s="7">
        <f>(30.8+4.94)*10.764</f>
        <v>384.70535999999998</v>
      </c>
      <c r="D450" s="7">
        <f>(3.7)*10.764</f>
        <v>39.826799999999999</v>
      </c>
      <c r="E450" s="7">
        <v>650</v>
      </c>
      <c r="F450" s="8" t="s">
        <v>243</v>
      </c>
      <c r="G450" s="163"/>
      <c r="J450" s="73"/>
    </row>
    <row r="451" spans="1:10" ht="15" x14ac:dyDescent="0.3">
      <c r="A451" s="7">
        <v>6</v>
      </c>
      <c r="B451" s="8" t="s">
        <v>187</v>
      </c>
      <c r="C451" s="7">
        <f>(30.43+4.94)*10.764</f>
        <v>380.72267999999997</v>
      </c>
      <c r="D451" s="7">
        <f>(4.8)*10.764</f>
        <v>51.667199999999994</v>
      </c>
      <c r="E451" s="7">
        <v>660</v>
      </c>
      <c r="F451" s="8" t="s">
        <v>243</v>
      </c>
      <c r="G451" s="163"/>
      <c r="J451" s="73"/>
    </row>
    <row r="452" spans="1:10" ht="14.5" x14ac:dyDescent="0.3">
      <c r="A452" s="164" t="s">
        <v>246</v>
      </c>
      <c r="B452" s="165"/>
      <c r="C452" s="165"/>
      <c r="D452" s="165"/>
      <c r="E452" s="165"/>
      <c r="F452" s="165"/>
      <c r="G452" s="166"/>
      <c r="J452" s="73"/>
    </row>
    <row r="453" spans="1:10" ht="14.25" customHeight="1" x14ac:dyDescent="0.3">
      <c r="A453" s="164" t="s">
        <v>108</v>
      </c>
      <c r="B453" s="165"/>
      <c r="C453" s="165"/>
      <c r="D453" s="165"/>
      <c r="E453" s="165"/>
      <c r="F453" s="165"/>
      <c r="G453" s="166"/>
      <c r="J453" s="73"/>
    </row>
    <row r="454" spans="1:10" ht="15" customHeight="1" x14ac:dyDescent="0.3">
      <c r="A454" s="7">
        <v>1</v>
      </c>
      <c r="B454" s="8" t="s">
        <v>189</v>
      </c>
      <c r="C454" s="7">
        <f>(20.85)*10.764</f>
        <v>224.42940000000002</v>
      </c>
      <c r="D454" s="7">
        <v>0</v>
      </c>
      <c r="E454" s="7">
        <v>355</v>
      </c>
      <c r="F454" s="8" t="s">
        <v>243</v>
      </c>
      <c r="G454" s="162" t="str">
        <f>A453</f>
        <v>Ground Floor for Parking</v>
      </c>
      <c r="J454" s="73"/>
    </row>
    <row r="455" spans="1:10" ht="15" x14ac:dyDescent="0.3">
      <c r="A455" s="7">
        <v>2</v>
      </c>
      <c r="B455" s="8" t="s">
        <v>189</v>
      </c>
      <c r="C455" s="7">
        <f>(20.3)*10.764</f>
        <v>218.50919999999999</v>
      </c>
      <c r="D455" s="7">
        <v>0</v>
      </c>
      <c r="E455" s="7">
        <v>345</v>
      </c>
      <c r="F455" s="8" t="s">
        <v>243</v>
      </c>
      <c r="G455" s="163"/>
      <c r="J455" s="73"/>
    </row>
    <row r="456" spans="1:10" ht="15" x14ac:dyDescent="0.3">
      <c r="A456" s="7">
        <v>3</v>
      </c>
      <c r="B456" s="8" t="s">
        <v>189</v>
      </c>
      <c r="C456" s="7">
        <f>(21.6+2.35)*10.764</f>
        <v>257.7978</v>
      </c>
      <c r="D456" s="7">
        <v>0</v>
      </c>
      <c r="E456" s="7">
        <v>400</v>
      </c>
      <c r="F456" s="8" t="s">
        <v>243</v>
      </c>
      <c r="G456" s="163"/>
      <c r="J456" s="73"/>
    </row>
    <row r="457" spans="1:10" ht="18.75" customHeight="1" x14ac:dyDescent="0.3">
      <c r="A457" s="7">
        <v>4</v>
      </c>
      <c r="B457" s="8" t="s">
        <v>187</v>
      </c>
      <c r="C457" s="7">
        <f>(45.2)*10.764</f>
        <v>486.53280000000001</v>
      </c>
      <c r="D457" s="7">
        <v>0</v>
      </c>
      <c r="E457" s="7">
        <v>765</v>
      </c>
      <c r="F457" s="4" t="s">
        <v>244</v>
      </c>
      <c r="G457" s="163"/>
      <c r="J457" s="73"/>
    </row>
    <row r="458" spans="1:10" ht="15" x14ac:dyDescent="0.3">
      <c r="A458" s="7">
        <v>5</v>
      </c>
      <c r="B458" s="8" t="s">
        <v>189</v>
      </c>
      <c r="C458" s="7">
        <f>(22.89)*10.764</f>
        <v>246.38795999999999</v>
      </c>
      <c r="D458" s="7">
        <v>0</v>
      </c>
      <c r="E458" s="7">
        <v>390</v>
      </c>
      <c r="F458" s="8" t="s">
        <v>243</v>
      </c>
      <c r="G458" s="163"/>
      <c r="J458" s="73"/>
    </row>
    <row r="459" spans="1:10" ht="15" x14ac:dyDescent="0.3">
      <c r="A459" s="7">
        <v>6</v>
      </c>
      <c r="B459" s="8" t="s">
        <v>189</v>
      </c>
      <c r="C459" s="7">
        <f>(22.36)*10.764</f>
        <v>240.68303999999998</v>
      </c>
      <c r="D459" s="7">
        <v>0</v>
      </c>
      <c r="E459" s="7">
        <v>380</v>
      </c>
      <c r="F459" s="8" t="s">
        <v>243</v>
      </c>
      <c r="G459" s="163"/>
      <c r="J459" s="73"/>
    </row>
    <row r="460" spans="1:10" ht="30" x14ac:dyDescent="0.3">
      <c r="A460" s="7">
        <v>7</v>
      </c>
      <c r="B460" s="8" t="s">
        <v>187</v>
      </c>
      <c r="C460" s="7">
        <f>(31.64)*10.764</f>
        <v>340.57295999999997</v>
      </c>
      <c r="D460" s="7">
        <v>0</v>
      </c>
      <c r="E460" s="7">
        <v>535</v>
      </c>
      <c r="F460" s="8" t="s">
        <v>244</v>
      </c>
      <c r="G460" s="163"/>
      <c r="J460" s="73"/>
    </row>
    <row r="461" spans="1:10" ht="15" x14ac:dyDescent="0.3">
      <c r="A461" s="7">
        <v>8</v>
      </c>
      <c r="B461" s="8" t="s">
        <v>189</v>
      </c>
      <c r="C461" s="7">
        <f>(21.6+1.87)*10.764</f>
        <v>252.63108</v>
      </c>
      <c r="D461" s="7">
        <v>0</v>
      </c>
      <c r="E461" s="7">
        <v>400</v>
      </c>
      <c r="F461" s="8" t="s">
        <v>243</v>
      </c>
      <c r="G461" s="163"/>
      <c r="J461" s="73"/>
    </row>
    <row r="462" spans="1:10" ht="15" x14ac:dyDescent="0.3">
      <c r="A462" s="7">
        <v>9</v>
      </c>
      <c r="B462" s="8" t="s">
        <v>189</v>
      </c>
      <c r="C462" s="7">
        <f>(20.3)*10.764</f>
        <v>218.50919999999999</v>
      </c>
      <c r="D462" s="7">
        <v>0</v>
      </c>
      <c r="E462" s="7">
        <v>345</v>
      </c>
      <c r="F462" s="8" t="s">
        <v>243</v>
      </c>
      <c r="G462" s="163"/>
      <c r="J462" s="73"/>
    </row>
    <row r="463" spans="1:10" ht="15" x14ac:dyDescent="0.3">
      <c r="A463" s="7">
        <v>10</v>
      </c>
      <c r="B463" s="8" t="s">
        <v>189</v>
      </c>
      <c r="C463" s="7">
        <f>(20.86)*10.764</f>
        <v>224.53703999999999</v>
      </c>
      <c r="D463" s="7">
        <v>0</v>
      </c>
      <c r="E463" s="7">
        <v>355</v>
      </c>
      <c r="F463" s="8" t="s">
        <v>243</v>
      </c>
      <c r="G463" s="163"/>
      <c r="J463" s="73"/>
    </row>
    <row r="464" spans="1:10" ht="14.5" x14ac:dyDescent="0.3">
      <c r="A464" s="164" t="s">
        <v>245</v>
      </c>
      <c r="B464" s="165"/>
      <c r="C464" s="165"/>
      <c r="D464" s="165"/>
      <c r="E464" s="165"/>
      <c r="F464" s="165"/>
      <c r="G464" s="166"/>
      <c r="J464" s="73"/>
    </row>
    <row r="465" spans="1:10" ht="15" x14ac:dyDescent="0.3">
      <c r="A465" s="7">
        <v>1</v>
      </c>
      <c r="B465" s="8" t="s">
        <v>189</v>
      </c>
      <c r="C465" s="7">
        <f>(21.37+5.19)*10.764</f>
        <v>285.89184</v>
      </c>
      <c r="D465" s="7">
        <v>0</v>
      </c>
      <c r="E465" s="7">
        <v>450</v>
      </c>
      <c r="F465" s="8" t="s">
        <v>243</v>
      </c>
      <c r="G465" s="162" t="str">
        <f>A464</f>
        <v>1st &amp; 3rd Floor</v>
      </c>
      <c r="J465" s="73"/>
    </row>
    <row r="466" spans="1:10" ht="15" x14ac:dyDescent="0.3">
      <c r="A466" s="7">
        <v>2</v>
      </c>
      <c r="B466" s="8" t="s">
        <v>189</v>
      </c>
      <c r="C466" s="7">
        <f>(21.2+1.87)*10.764</f>
        <v>248.32548</v>
      </c>
      <c r="D466" s="7">
        <f>(2.65)*10.764</f>
        <v>28.524599999999996</v>
      </c>
      <c r="E466" s="7">
        <v>430</v>
      </c>
      <c r="F466" s="8" t="s">
        <v>243</v>
      </c>
      <c r="G466" s="163"/>
      <c r="J466" s="73"/>
    </row>
    <row r="467" spans="1:10" ht="15" x14ac:dyDescent="0.3">
      <c r="A467" s="7">
        <v>3</v>
      </c>
      <c r="B467" s="8" t="s">
        <v>187</v>
      </c>
      <c r="C467" s="7">
        <f>(29.82+4.25)*10.764</f>
        <v>366.72947999999997</v>
      </c>
      <c r="D467" s="7">
        <f>(2.65)*10.764</f>
        <v>28.524599999999996</v>
      </c>
      <c r="E467" s="7">
        <v>615</v>
      </c>
      <c r="F467" s="8" t="s">
        <v>243</v>
      </c>
      <c r="G467" s="163"/>
      <c r="J467" s="73"/>
    </row>
    <row r="468" spans="1:10" ht="15" x14ac:dyDescent="0.3">
      <c r="A468" s="7">
        <v>4</v>
      </c>
      <c r="B468" s="8" t="s">
        <v>187</v>
      </c>
      <c r="C468" s="7">
        <f>(29.2+5.25)*10.764</f>
        <v>370.81979999999999</v>
      </c>
      <c r="D468" s="7">
        <f>(3.7)*10.764</f>
        <v>39.826799999999999</v>
      </c>
      <c r="E468" s="7">
        <v>630</v>
      </c>
      <c r="F468" s="8" t="s">
        <v>243</v>
      </c>
      <c r="G468" s="163"/>
      <c r="J468" s="73"/>
    </row>
    <row r="469" spans="1:10" ht="15" x14ac:dyDescent="0.3">
      <c r="A469" s="7">
        <v>5</v>
      </c>
      <c r="B469" s="8" t="s">
        <v>187</v>
      </c>
      <c r="C469" s="7">
        <f>(29.5+5.58)*10.764</f>
        <v>377.60111999999998</v>
      </c>
      <c r="D469" s="7">
        <f>(3.7)*10.764</f>
        <v>39.826799999999999</v>
      </c>
      <c r="E469" s="7">
        <v>630</v>
      </c>
      <c r="F469" s="8" t="s">
        <v>243</v>
      </c>
      <c r="G469" s="163"/>
      <c r="J469" s="73"/>
    </row>
    <row r="470" spans="1:10" ht="15" x14ac:dyDescent="0.3">
      <c r="A470" s="7">
        <v>6</v>
      </c>
      <c r="B470" s="8" t="s">
        <v>188</v>
      </c>
      <c r="C470" s="7">
        <f>(43.54)*10.764</f>
        <v>468.66455999999994</v>
      </c>
      <c r="D470" s="7">
        <v>0</v>
      </c>
      <c r="E470" s="7">
        <v>735</v>
      </c>
      <c r="F470" s="8" t="s">
        <v>243</v>
      </c>
      <c r="G470" s="163"/>
      <c r="J470" s="73"/>
    </row>
    <row r="471" spans="1:10" ht="15" x14ac:dyDescent="0.3">
      <c r="A471" s="7">
        <v>7</v>
      </c>
      <c r="B471" s="8" t="s">
        <v>187</v>
      </c>
      <c r="C471" s="7">
        <f>(29.5+5.82)*10.764</f>
        <v>380.18448000000001</v>
      </c>
      <c r="D471" s="7">
        <f>(3.7)*10.764</f>
        <v>39.826799999999999</v>
      </c>
      <c r="E471" s="7">
        <v>630</v>
      </c>
      <c r="F471" s="8" t="s">
        <v>243</v>
      </c>
      <c r="G471" s="163"/>
      <c r="J471" s="73"/>
    </row>
    <row r="472" spans="1:10" ht="15" x14ac:dyDescent="0.3">
      <c r="A472" s="7">
        <v>8</v>
      </c>
      <c r="B472" s="8" t="s">
        <v>187</v>
      </c>
      <c r="C472" s="7">
        <f>(29.2+5.25)*10.764</f>
        <v>370.81979999999999</v>
      </c>
      <c r="D472" s="7">
        <f>(3.7)*10.764</f>
        <v>39.826799999999999</v>
      </c>
      <c r="E472" s="7">
        <v>630</v>
      </c>
      <c r="F472" s="8" t="s">
        <v>243</v>
      </c>
      <c r="G472" s="163"/>
      <c r="J472" s="73"/>
    </row>
    <row r="473" spans="1:10" ht="15" x14ac:dyDescent="0.3">
      <c r="A473" s="7">
        <v>9</v>
      </c>
      <c r="B473" s="8" t="s">
        <v>187</v>
      </c>
      <c r="C473" s="7">
        <f>(29.82+4.25)*10.764</f>
        <v>366.72947999999997</v>
      </c>
      <c r="D473" s="7">
        <f>(2.65)*10.764</f>
        <v>28.524599999999996</v>
      </c>
      <c r="E473" s="7">
        <v>615</v>
      </c>
      <c r="F473" s="8" t="s">
        <v>243</v>
      </c>
      <c r="G473" s="163"/>
      <c r="J473" s="73"/>
    </row>
    <row r="474" spans="1:10" ht="15" x14ac:dyDescent="0.3">
      <c r="A474" s="7">
        <v>10</v>
      </c>
      <c r="B474" s="8" t="s">
        <v>189</v>
      </c>
      <c r="C474" s="7">
        <f>(21.2+1.87)*10.764</f>
        <v>248.32548</v>
      </c>
      <c r="D474" s="7">
        <f>(2.65)*10.764</f>
        <v>28.524599999999996</v>
      </c>
      <c r="E474" s="7">
        <v>430</v>
      </c>
      <c r="F474" s="8" t="s">
        <v>243</v>
      </c>
      <c r="G474" s="163"/>
      <c r="J474" s="73"/>
    </row>
    <row r="475" spans="1:10" ht="15" x14ac:dyDescent="0.3">
      <c r="A475" s="7">
        <v>11</v>
      </c>
      <c r="B475" s="8" t="s">
        <v>189</v>
      </c>
      <c r="C475" s="7">
        <f>(21.37+5.19)*10.764</f>
        <v>285.89184</v>
      </c>
      <c r="D475" s="7">
        <v>0</v>
      </c>
      <c r="E475" s="7">
        <v>450</v>
      </c>
      <c r="F475" s="8" t="s">
        <v>243</v>
      </c>
      <c r="G475" s="167"/>
      <c r="J475" s="73"/>
    </row>
    <row r="476" spans="1:10" ht="14.5" x14ac:dyDescent="0.3">
      <c r="A476" s="164" t="s">
        <v>233</v>
      </c>
      <c r="B476" s="165"/>
      <c r="C476" s="165"/>
      <c r="D476" s="165"/>
      <c r="E476" s="165"/>
      <c r="F476" s="165"/>
      <c r="G476" s="166"/>
      <c r="J476" s="73"/>
    </row>
    <row r="477" spans="1:10" ht="15" x14ac:dyDescent="0.3">
      <c r="A477" s="7">
        <v>1</v>
      </c>
      <c r="B477" s="8" t="s">
        <v>189</v>
      </c>
      <c r="C477" s="7">
        <f>(21.37+5.19)*10.764</f>
        <v>285.89184</v>
      </c>
      <c r="D477" s="7">
        <v>0</v>
      </c>
      <c r="E477" s="7">
        <v>450</v>
      </c>
      <c r="F477" s="8" t="s">
        <v>243</v>
      </c>
      <c r="G477" s="162" t="str">
        <f>A476</f>
        <v>2nd &amp; 4th Floor</v>
      </c>
      <c r="J477" s="73"/>
    </row>
    <row r="478" spans="1:10" ht="15" x14ac:dyDescent="0.3">
      <c r="A478" s="7">
        <v>2</v>
      </c>
      <c r="B478" s="8" t="s">
        <v>189</v>
      </c>
      <c r="C478" s="7">
        <f>(20.63+1.87)*10.764</f>
        <v>242.19</v>
      </c>
      <c r="D478" s="7">
        <v>0</v>
      </c>
      <c r="E478" s="7">
        <v>385</v>
      </c>
      <c r="F478" s="8" t="s">
        <v>243</v>
      </c>
      <c r="G478" s="163"/>
      <c r="J478" s="73"/>
    </row>
    <row r="479" spans="1:10" ht="15" x14ac:dyDescent="0.3">
      <c r="A479" s="7">
        <v>3</v>
      </c>
      <c r="B479" s="8" t="s">
        <v>187</v>
      </c>
      <c r="C479" s="7">
        <f>(29.26+4.25)*10.764</f>
        <v>360.70164000000005</v>
      </c>
      <c r="D479" s="7">
        <v>0</v>
      </c>
      <c r="E479" s="7">
        <v>565</v>
      </c>
      <c r="F479" s="8" t="s">
        <v>243</v>
      </c>
      <c r="G479" s="163"/>
      <c r="J479" s="73"/>
    </row>
    <row r="480" spans="1:10" ht="15" x14ac:dyDescent="0.3">
      <c r="A480" s="7">
        <v>4</v>
      </c>
      <c r="B480" s="8" t="s">
        <v>187</v>
      </c>
      <c r="C480" s="7">
        <f>(28.6+5.25)*10.764</f>
        <v>364.3614</v>
      </c>
      <c r="D480" s="7">
        <v>0</v>
      </c>
      <c r="E480" s="7">
        <v>565</v>
      </c>
      <c r="F480" s="8" t="s">
        <v>243</v>
      </c>
      <c r="G480" s="163"/>
      <c r="J480" s="73"/>
    </row>
    <row r="481" spans="1:10" ht="15" x14ac:dyDescent="0.3">
      <c r="A481" s="7">
        <v>5</v>
      </c>
      <c r="B481" s="8" t="s">
        <v>187</v>
      </c>
      <c r="C481" s="7">
        <f>(28.9+5.58)*10.764</f>
        <v>371.14271999999994</v>
      </c>
      <c r="D481" s="7">
        <v>0</v>
      </c>
      <c r="E481" s="7">
        <v>565</v>
      </c>
      <c r="F481" s="8" t="s">
        <v>243</v>
      </c>
      <c r="G481" s="163"/>
      <c r="J481" s="73"/>
    </row>
    <row r="482" spans="1:10" ht="15" x14ac:dyDescent="0.3">
      <c r="A482" s="7">
        <v>6</v>
      </c>
      <c r="B482" s="8" t="s">
        <v>188</v>
      </c>
      <c r="C482" s="7">
        <f>(43.54)*10.764</f>
        <v>468.66455999999994</v>
      </c>
      <c r="D482" s="7">
        <v>0</v>
      </c>
      <c r="E482" s="7">
        <v>735</v>
      </c>
      <c r="F482" s="8" t="s">
        <v>243</v>
      </c>
      <c r="G482" s="163"/>
      <c r="J482" s="73"/>
    </row>
    <row r="483" spans="1:10" ht="15" x14ac:dyDescent="0.3">
      <c r="A483" s="7">
        <v>7</v>
      </c>
      <c r="B483" s="8" t="s">
        <v>187</v>
      </c>
      <c r="C483" s="7">
        <f>(28.9+5.82)*10.764</f>
        <v>373.72607999999997</v>
      </c>
      <c r="D483" s="7">
        <v>0</v>
      </c>
      <c r="E483" s="7">
        <v>565</v>
      </c>
      <c r="F483" s="8" t="s">
        <v>243</v>
      </c>
      <c r="G483" s="163"/>
      <c r="J483" s="73"/>
    </row>
    <row r="484" spans="1:10" ht="15" x14ac:dyDescent="0.3">
      <c r="A484" s="7">
        <v>8</v>
      </c>
      <c r="B484" s="8" t="s">
        <v>187</v>
      </c>
      <c r="C484" s="7">
        <f>(28.6+5.25)*10.764</f>
        <v>364.3614</v>
      </c>
      <c r="D484" s="7">
        <v>0</v>
      </c>
      <c r="E484" s="7">
        <v>565</v>
      </c>
      <c r="F484" s="8" t="s">
        <v>243</v>
      </c>
      <c r="G484" s="163"/>
      <c r="J484" s="73"/>
    </row>
    <row r="485" spans="1:10" ht="15" x14ac:dyDescent="0.3">
      <c r="A485" s="7">
        <v>9</v>
      </c>
      <c r="B485" s="8" t="s">
        <v>187</v>
      </c>
      <c r="C485" s="7">
        <f>(29.26+4.25)*10.764</f>
        <v>360.70164000000005</v>
      </c>
      <c r="D485" s="7">
        <v>0</v>
      </c>
      <c r="E485" s="7">
        <v>565</v>
      </c>
      <c r="F485" s="8" t="s">
        <v>243</v>
      </c>
      <c r="G485" s="163"/>
      <c r="J485" s="73"/>
    </row>
    <row r="486" spans="1:10" ht="15" x14ac:dyDescent="0.3">
      <c r="A486" s="7">
        <v>10</v>
      </c>
      <c r="B486" s="8" t="s">
        <v>189</v>
      </c>
      <c r="C486" s="7">
        <f>(20.63+1.87)*10.764</f>
        <v>242.19</v>
      </c>
      <c r="D486" s="7">
        <v>0</v>
      </c>
      <c r="E486" s="7">
        <v>385</v>
      </c>
      <c r="F486" s="8" t="s">
        <v>243</v>
      </c>
      <c r="G486" s="163"/>
      <c r="J486" s="73"/>
    </row>
    <row r="487" spans="1:10" ht="15" x14ac:dyDescent="0.3">
      <c r="A487" s="7">
        <v>11</v>
      </c>
      <c r="B487" s="8" t="s">
        <v>189</v>
      </c>
      <c r="C487" s="7">
        <f>(21.37+5.19)*10.764</f>
        <v>285.89184</v>
      </c>
      <c r="D487" s="7">
        <v>0</v>
      </c>
      <c r="E487" s="7">
        <v>450</v>
      </c>
      <c r="F487" s="8" t="s">
        <v>243</v>
      </c>
      <c r="G487" s="167"/>
      <c r="J487" s="73"/>
    </row>
    <row r="488" spans="1:10" ht="14.5" x14ac:dyDescent="0.3">
      <c r="A488" s="164" t="s">
        <v>254</v>
      </c>
      <c r="B488" s="165"/>
      <c r="C488" s="165"/>
      <c r="D488" s="165"/>
      <c r="E488" s="165"/>
      <c r="F488" s="165"/>
      <c r="G488" s="166"/>
      <c r="J488" s="73"/>
    </row>
    <row r="489" spans="1:10" ht="14.25" customHeight="1" x14ac:dyDescent="0.3">
      <c r="A489" s="164" t="s">
        <v>108</v>
      </c>
      <c r="B489" s="165"/>
      <c r="C489" s="165"/>
      <c r="D489" s="165"/>
      <c r="E489" s="165"/>
      <c r="F489" s="165"/>
      <c r="G489" s="166"/>
      <c r="J489" s="73"/>
    </row>
    <row r="490" spans="1:10" ht="15" customHeight="1" x14ac:dyDescent="0.3">
      <c r="A490" s="7">
        <v>1</v>
      </c>
      <c r="B490" s="8" t="s">
        <v>110</v>
      </c>
      <c r="C490" s="7">
        <f>(21.02+2.78)*10.764</f>
        <v>256.1832</v>
      </c>
      <c r="D490" s="7">
        <v>0</v>
      </c>
      <c r="E490" s="7">
        <v>405</v>
      </c>
      <c r="F490" s="8" t="s">
        <v>243</v>
      </c>
      <c r="G490" s="162" t="str">
        <f>A489</f>
        <v>Ground Floor for Parking</v>
      </c>
      <c r="J490" s="73"/>
    </row>
    <row r="491" spans="1:10" ht="15" x14ac:dyDescent="0.3">
      <c r="A491" s="7">
        <v>2</v>
      </c>
      <c r="B491" s="8" t="s">
        <v>110</v>
      </c>
      <c r="C491" s="7">
        <f>(20.3+0)*10.764</f>
        <v>218.50919999999999</v>
      </c>
      <c r="D491" s="7">
        <v>0</v>
      </c>
      <c r="E491" s="7">
        <v>345</v>
      </c>
      <c r="F491" s="8" t="s">
        <v>243</v>
      </c>
      <c r="G491" s="163"/>
      <c r="J491" s="73"/>
    </row>
    <row r="492" spans="1:10" ht="15" x14ac:dyDescent="0.3">
      <c r="A492" s="7">
        <v>3</v>
      </c>
      <c r="B492" s="8" t="s">
        <v>112</v>
      </c>
      <c r="C492" s="7">
        <f>(28.84+1.87)*10.764</f>
        <v>330.56243999999998</v>
      </c>
      <c r="D492" s="7">
        <v>0</v>
      </c>
      <c r="E492" s="7">
        <v>515</v>
      </c>
      <c r="F492" s="8" t="s">
        <v>243</v>
      </c>
      <c r="G492" s="163"/>
      <c r="J492" s="73"/>
    </row>
    <row r="493" spans="1:10" ht="15" x14ac:dyDescent="0.3">
      <c r="A493" s="7">
        <v>4</v>
      </c>
      <c r="B493" s="8" t="s">
        <v>112</v>
      </c>
      <c r="C493" s="7">
        <f>(28.84+1.87)*10.764</f>
        <v>330.56243999999998</v>
      </c>
      <c r="D493" s="7">
        <v>0</v>
      </c>
      <c r="E493" s="7">
        <v>515</v>
      </c>
      <c r="F493" s="8" t="s">
        <v>243</v>
      </c>
      <c r="G493" s="163"/>
      <c r="J493" s="73"/>
    </row>
    <row r="494" spans="1:10" ht="15" x14ac:dyDescent="0.3">
      <c r="A494" s="7">
        <v>5</v>
      </c>
      <c r="B494" s="8" t="s">
        <v>110</v>
      </c>
      <c r="C494" s="7">
        <f>(20.3)*10.764</f>
        <v>218.50919999999999</v>
      </c>
      <c r="D494" s="7">
        <v>0</v>
      </c>
      <c r="E494" s="7">
        <v>345</v>
      </c>
      <c r="F494" s="8" t="s">
        <v>243</v>
      </c>
      <c r="G494" s="163"/>
      <c r="J494" s="73"/>
    </row>
    <row r="495" spans="1:10" ht="15" x14ac:dyDescent="0.3">
      <c r="A495" s="7">
        <v>6</v>
      </c>
      <c r="B495" s="8" t="s">
        <v>110</v>
      </c>
      <c r="C495" s="7">
        <f>(21.02+2.78)*10.764</f>
        <v>256.1832</v>
      </c>
      <c r="D495" s="7">
        <v>0</v>
      </c>
      <c r="E495" s="7">
        <v>405</v>
      </c>
      <c r="F495" s="8" t="s">
        <v>243</v>
      </c>
      <c r="G495" s="167"/>
      <c r="J495" s="73"/>
    </row>
    <row r="496" spans="1:10" ht="14.5" x14ac:dyDescent="0.3">
      <c r="A496" s="164" t="s">
        <v>109</v>
      </c>
      <c r="B496" s="165"/>
      <c r="C496" s="165"/>
      <c r="D496" s="165"/>
      <c r="E496" s="165"/>
      <c r="F496" s="165"/>
      <c r="G496" s="166"/>
      <c r="J496" s="73"/>
    </row>
    <row r="497" spans="1:10" ht="15" customHeight="1" x14ac:dyDescent="0.3">
      <c r="A497" s="7">
        <v>1</v>
      </c>
      <c r="B497" s="8" t="s">
        <v>187</v>
      </c>
      <c r="C497" s="7">
        <f>(21.37+5.19)*10.764</f>
        <v>285.89184</v>
      </c>
      <c r="D497" s="7">
        <v>0</v>
      </c>
      <c r="E497" s="7">
        <v>450</v>
      </c>
      <c r="F497" s="8" t="s">
        <v>243</v>
      </c>
      <c r="G497" s="162" t="s">
        <v>111</v>
      </c>
      <c r="J497" s="73"/>
    </row>
    <row r="498" spans="1:10" ht="15" x14ac:dyDescent="0.3">
      <c r="A498" s="7">
        <v>2</v>
      </c>
      <c r="B498" s="8" t="s">
        <v>189</v>
      </c>
      <c r="C498" s="7">
        <f>(21.2+1.87)*10.764</f>
        <v>248.32548</v>
      </c>
      <c r="D498" s="7">
        <f>(2.65)*10.764</f>
        <v>28.524599999999996</v>
      </c>
      <c r="E498" s="7">
        <v>430</v>
      </c>
      <c r="F498" s="8" t="s">
        <v>243</v>
      </c>
      <c r="G498" s="163"/>
      <c r="J498" s="73"/>
    </row>
    <row r="499" spans="1:10" ht="15" x14ac:dyDescent="0.3">
      <c r="A499" s="7">
        <v>3</v>
      </c>
      <c r="B499" s="8" t="s">
        <v>187</v>
      </c>
      <c r="C499" s="7">
        <f>(29.82+4.25)*10.764</f>
        <v>366.72947999999997</v>
      </c>
      <c r="D499" s="7">
        <f>(2.65)*10.764</f>
        <v>28.524599999999996</v>
      </c>
      <c r="E499" s="7">
        <v>615</v>
      </c>
      <c r="F499" s="8" t="s">
        <v>243</v>
      </c>
      <c r="G499" s="163"/>
      <c r="J499" s="73"/>
    </row>
    <row r="500" spans="1:10" ht="15" x14ac:dyDescent="0.3">
      <c r="A500" s="7">
        <v>4</v>
      </c>
      <c r="B500" s="8" t="s">
        <v>187</v>
      </c>
      <c r="C500" s="7">
        <f>(29.2+5.25)*10.764</f>
        <v>370.81979999999999</v>
      </c>
      <c r="D500" s="7">
        <f>(3.7)*10.764</f>
        <v>39.826799999999999</v>
      </c>
      <c r="E500" s="7">
        <v>635</v>
      </c>
      <c r="F500" s="8" t="s">
        <v>243</v>
      </c>
      <c r="G500" s="163"/>
      <c r="J500" s="73"/>
    </row>
    <row r="501" spans="1:10" ht="15" x14ac:dyDescent="0.3">
      <c r="A501" s="7">
        <v>5</v>
      </c>
      <c r="B501" s="8" t="s">
        <v>187</v>
      </c>
      <c r="C501" s="7">
        <f>(29.5+5.58)*10.764</f>
        <v>377.60111999999998</v>
      </c>
      <c r="D501" s="7">
        <f>(3.7)*10.764</f>
        <v>39.826799999999999</v>
      </c>
      <c r="E501" s="7">
        <v>645</v>
      </c>
      <c r="F501" s="8" t="s">
        <v>243</v>
      </c>
      <c r="G501" s="163"/>
      <c r="J501" s="73"/>
    </row>
    <row r="502" spans="1:10" ht="15" x14ac:dyDescent="0.3">
      <c r="A502" s="7">
        <v>6</v>
      </c>
      <c r="B502" s="8" t="s">
        <v>188</v>
      </c>
      <c r="C502" s="7">
        <f>(43.54)*10.764</f>
        <v>468.66455999999994</v>
      </c>
      <c r="D502" s="7">
        <v>0</v>
      </c>
      <c r="E502" s="7">
        <v>735</v>
      </c>
      <c r="F502" s="8" t="s">
        <v>243</v>
      </c>
      <c r="G502" s="163"/>
      <c r="J502" s="73"/>
    </row>
    <row r="503" spans="1:10" ht="15" x14ac:dyDescent="0.3">
      <c r="A503" s="7">
        <v>7</v>
      </c>
      <c r="B503" s="8" t="s">
        <v>187</v>
      </c>
      <c r="C503" s="7">
        <f>(29.5+5.82)*10.764</f>
        <v>380.18448000000001</v>
      </c>
      <c r="D503" s="7">
        <f>(3.7)*10.764</f>
        <v>39.826799999999999</v>
      </c>
      <c r="E503" s="7">
        <v>650</v>
      </c>
      <c r="F503" s="8" t="s">
        <v>243</v>
      </c>
      <c r="G503" s="163"/>
      <c r="J503" s="73"/>
    </row>
    <row r="504" spans="1:10" ht="15" x14ac:dyDescent="0.3">
      <c r="A504" s="7">
        <v>8</v>
      </c>
      <c r="B504" s="8" t="s">
        <v>187</v>
      </c>
      <c r="C504" s="7">
        <f>(29.2+5.25)*10.764</f>
        <v>370.81979999999999</v>
      </c>
      <c r="D504" s="7">
        <f>(3.7)*10.764</f>
        <v>39.826799999999999</v>
      </c>
      <c r="E504" s="7">
        <v>635</v>
      </c>
      <c r="F504" s="8" t="s">
        <v>243</v>
      </c>
      <c r="G504" s="163"/>
      <c r="J504" s="73"/>
    </row>
    <row r="505" spans="1:10" ht="15" x14ac:dyDescent="0.3">
      <c r="A505" s="7">
        <v>9</v>
      </c>
      <c r="B505" s="8" t="s">
        <v>187</v>
      </c>
      <c r="C505" s="7">
        <f>(29.82+4.25)*10.764</f>
        <v>366.72947999999997</v>
      </c>
      <c r="D505" s="7">
        <f>(2.65)*10.764</f>
        <v>28.524599999999996</v>
      </c>
      <c r="E505" s="7">
        <v>615</v>
      </c>
      <c r="F505" s="8" t="s">
        <v>243</v>
      </c>
      <c r="G505" s="163"/>
      <c r="J505" s="73"/>
    </row>
    <row r="506" spans="1:10" ht="15" x14ac:dyDescent="0.3">
      <c r="A506" s="7">
        <v>10</v>
      </c>
      <c r="B506" s="8" t="s">
        <v>187</v>
      </c>
      <c r="C506" s="7">
        <f>(21.2+1.87)*10.764</f>
        <v>248.32548</v>
      </c>
      <c r="D506" s="7">
        <f>(2.65)*10.764</f>
        <v>28.524599999999996</v>
      </c>
      <c r="E506" s="7">
        <v>430</v>
      </c>
      <c r="F506" s="8" t="s">
        <v>243</v>
      </c>
      <c r="G506" s="163"/>
      <c r="J506" s="73"/>
    </row>
    <row r="507" spans="1:10" ht="15" x14ac:dyDescent="0.3">
      <c r="A507" s="7">
        <v>11</v>
      </c>
      <c r="B507" s="8" t="s">
        <v>187</v>
      </c>
      <c r="C507" s="7">
        <f>(21.37+5.19)*10.764</f>
        <v>285.89184</v>
      </c>
      <c r="D507" s="7">
        <v>0</v>
      </c>
      <c r="E507" s="7">
        <v>450</v>
      </c>
      <c r="F507" s="8" t="s">
        <v>243</v>
      </c>
      <c r="G507" s="167"/>
      <c r="J507" s="73"/>
    </row>
    <row r="508" spans="1:10" ht="14.5" x14ac:dyDescent="0.3">
      <c r="A508" s="164" t="s">
        <v>233</v>
      </c>
      <c r="B508" s="165"/>
      <c r="C508" s="165"/>
      <c r="D508" s="165"/>
      <c r="E508" s="165"/>
      <c r="F508" s="165"/>
      <c r="G508" s="166"/>
      <c r="J508" s="73"/>
    </row>
    <row r="509" spans="1:10" ht="15" x14ac:dyDescent="0.3">
      <c r="A509" s="7">
        <v>1</v>
      </c>
      <c r="B509" s="8" t="s">
        <v>187</v>
      </c>
      <c r="C509" s="7">
        <f>(21.37+5.19)*10.764</f>
        <v>285.89184</v>
      </c>
      <c r="D509" s="7">
        <v>0</v>
      </c>
      <c r="E509" s="7">
        <v>450</v>
      </c>
      <c r="F509" s="8" t="s">
        <v>243</v>
      </c>
      <c r="G509" s="162" t="str">
        <f>A508</f>
        <v>2nd &amp; 4th Floor</v>
      </c>
      <c r="J509" s="73"/>
    </row>
    <row r="510" spans="1:10" ht="15" x14ac:dyDescent="0.3">
      <c r="A510" s="7">
        <v>2</v>
      </c>
      <c r="B510" s="8" t="s">
        <v>189</v>
      </c>
      <c r="C510" s="7">
        <f>(20.63+1.87)*10.764</f>
        <v>242.19</v>
      </c>
      <c r="D510" s="7">
        <v>0</v>
      </c>
      <c r="E510" s="7">
        <v>385</v>
      </c>
      <c r="F510" s="8" t="s">
        <v>243</v>
      </c>
      <c r="G510" s="163"/>
      <c r="J510" s="73"/>
    </row>
    <row r="511" spans="1:10" ht="15" x14ac:dyDescent="0.3">
      <c r="A511" s="7">
        <v>3</v>
      </c>
      <c r="B511" s="8" t="s">
        <v>187</v>
      </c>
      <c r="C511" s="7">
        <f>(29.26+4.25)*10.764</f>
        <v>360.70164000000005</v>
      </c>
      <c r="D511" s="7">
        <v>0</v>
      </c>
      <c r="E511" s="7">
        <v>565</v>
      </c>
      <c r="F511" s="8" t="s">
        <v>243</v>
      </c>
      <c r="G511" s="163"/>
      <c r="J511" s="73"/>
    </row>
    <row r="512" spans="1:10" ht="15" x14ac:dyDescent="0.3">
      <c r="A512" s="7">
        <v>4</v>
      </c>
      <c r="B512" s="8" t="s">
        <v>187</v>
      </c>
      <c r="C512" s="7">
        <f>(28.6+5.25)*10.764</f>
        <v>364.3614</v>
      </c>
      <c r="D512" s="7">
        <v>0</v>
      </c>
      <c r="E512" s="7">
        <v>570</v>
      </c>
      <c r="F512" s="8" t="s">
        <v>243</v>
      </c>
      <c r="G512" s="163"/>
      <c r="J512" s="73"/>
    </row>
    <row r="513" spans="1:10" ht="15" x14ac:dyDescent="0.3">
      <c r="A513" s="7">
        <v>5</v>
      </c>
      <c r="B513" s="8" t="s">
        <v>187</v>
      </c>
      <c r="C513" s="7">
        <f>(28.9+5.58)*10.764</f>
        <v>371.14271999999994</v>
      </c>
      <c r="D513" s="7">
        <v>0</v>
      </c>
      <c r="E513" s="7">
        <v>585</v>
      </c>
      <c r="F513" s="8" t="s">
        <v>243</v>
      </c>
      <c r="G513" s="163"/>
      <c r="J513" s="73"/>
    </row>
    <row r="514" spans="1:10" ht="15" x14ac:dyDescent="0.3">
      <c r="A514" s="7">
        <v>6</v>
      </c>
      <c r="B514" s="8" t="s">
        <v>188</v>
      </c>
      <c r="C514" s="7">
        <f>(43.54)*10.764</f>
        <v>468.66455999999994</v>
      </c>
      <c r="D514" s="7">
        <v>0</v>
      </c>
      <c r="E514" s="7">
        <v>735</v>
      </c>
      <c r="F514" s="8" t="s">
        <v>243</v>
      </c>
      <c r="G514" s="163"/>
      <c r="J514" s="73"/>
    </row>
    <row r="515" spans="1:10" ht="15" x14ac:dyDescent="0.3">
      <c r="A515" s="7">
        <v>7</v>
      </c>
      <c r="B515" s="8" t="s">
        <v>187</v>
      </c>
      <c r="C515" s="7">
        <f>(28.9+5.82)*10.764</f>
        <v>373.72607999999997</v>
      </c>
      <c r="D515" s="7">
        <v>0</v>
      </c>
      <c r="E515" s="7">
        <v>585</v>
      </c>
      <c r="F515" s="8" t="s">
        <v>243</v>
      </c>
      <c r="G515" s="163"/>
      <c r="J515" s="73"/>
    </row>
    <row r="516" spans="1:10" ht="15" x14ac:dyDescent="0.3">
      <c r="A516" s="7">
        <v>8</v>
      </c>
      <c r="B516" s="8" t="s">
        <v>187</v>
      </c>
      <c r="C516" s="7">
        <f>(28.6+5.25)*10.764</f>
        <v>364.3614</v>
      </c>
      <c r="D516" s="7">
        <v>0</v>
      </c>
      <c r="E516" s="7">
        <v>570</v>
      </c>
      <c r="F516" s="8" t="s">
        <v>243</v>
      </c>
      <c r="G516" s="163"/>
      <c r="J516" s="73"/>
    </row>
    <row r="517" spans="1:10" ht="15" x14ac:dyDescent="0.3">
      <c r="A517" s="7">
        <v>9</v>
      </c>
      <c r="B517" s="8" t="s">
        <v>187</v>
      </c>
      <c r="C517" s="7">
        <f>(29.26+4.25)*10.764</f>
        <v>360.70164000000005</v>
      </c>
      <c r="D517" s="7">
        <v>0</v>
      </c>
      <c r="E517" s="7">
        <v>565</v>
      </c>
      <c r="F517" s="8" t="s">
        <v>243</v>
      </c>
      <c r="G517" s="163"/>
      <c r="J517" s="73"/>
    </row>
    <row r="518" spans="1:10" ht="15" x14ac:dyDescent="0.3">
      <c r="A518" s="7">
        <v>10</v>
      </c>
      <c r="B518" s="8" t="s">
        <v>187</v>
      </c>
      <c r="C518" s="7">
        <f>(20.63+1.87)*10.764</f>
        <v>242.19</v>
      </c>
      <c r="D518" s="7">
        <v>0</v>
      </c>
      <c r="E518" s="7">
        <v>385</v>
      </c>
      <c r="F518" s="8" t="s">
        <v>243</v>
      </c>
      <c r="G518" s="163"/>
      <c r="J518" s="73"/>
    </row>
    <row r="519" spans="1:10" ht="15" x14ac:dyDescent="0.3">
      <c r="A519" s="7">
        <v>11</v>
      </c>
      <c r="B519" s="8" t="s">
        <v>187</v>
      </c>
      <c r="C519" s="7">
        <f>(21.37+5.19)*10.764</f>
        <v>285.89184</v>
      </c>
      <c r="D519" s="7">
        <v>0</v>
      </c>
      <c r="E519" s="7">
        <v>450</v>
      </c>
      <c r="F519" s="8" t="s">
        <v>243</v>
      </c>
      <c r="G519" s="167"/>
      <c r="J519" s="73"/>
    </row>
    <row r="520" spans="1:10" ht="14.5" x14ac:dyDescent="0.3">
      <c r="A520" s="164" t="s">
        <v>255</v>
      </c>
      <c r="B520" s="165"/>
      <c r="C520" s="165"/>
      <c r="D520" s="165"/>
      <c r="E520" s="165"/>
      <c r="F520" s="165"/>
      <c r="G520" s="166"/>
      <c r="J520" s="73"/>
    </row>
    <row r="521" spans="1:10" ht="14.25" customHeight="1" x14ac:dyDescent="0.3">
      <c r="A521" s="164" t="s">
        <v>108</v>
      </c>
      <c r="B521" s="165"/>
      <c r="C521" s="165"/>
      <c r="D521" s="165"/>
      <c r="E521" s="165"/>
      <c r="F521" s="165"/>
      <c r="G521" s="166"/>
      <c r="J521" s="73"/>
    </row>
    <row r="522" spans="1:10" ht="14.5" x14ac:dyDescent="0.3">
      <c r="A522" s="164" t="s">
        <v>109</v>
      </c>
      <c r="B522" s="165"/>
      <c r="C522" s="165"/>
      <c r="D522" s="165"/>
      <c r="E522" s="165"/>
      <c r="F522" s="165"/>
      <c r="G522" s="166"/>
      <c r="J522" s="73"/>
    </row>
    <row r="523" spans="1:10" ht="15" customHeight="1" x14ac:dyDescent="0.3">
      <c r="A523" s="7">
        <v>1</v>
      </c>
      <c r="B523" s="8" t="s">
        <v>189</v>
      </c>
      <c r="C523" s="7">
        <f>(21.37+5.23)*10.764</f>
        <v>286.32240000000002</v>
      </c>
      <c r="D523" s="7">
        <v>0</v>
      </c>
      <c r="E523" s="7">
        <v>450</v>
      </c>
      <c r="F523" s="8" t="s">
        <v>243</v>
      </c>
      <c r="G523" s="162" t="s">
        <v>111</v>
      </c>
      <c r="J523" s="73"/>
    </row>
    <row r="524" spans="1:10" ht="15" x14ac:dyDescent="0.3">
      <c r="A524" s="7">
        <v>2</v>
      </c>
      <c r="B524" s="8" t="s">
        <v>189</v>
      </c>
      <c r="C524" s="7">
        <f>(21.2+2.31)*10.764</f>
        <v>253.06163999999995</v>
      </c>
      <c r="D524" s="7">
        <f>(2.65)*10.764</f>
        <v>28.524599999999996</v>
      </c>
      <c r="E524" s="7">
        <v>440</v>
      </c>
      <c r="F524" s="8" t="s">
        <v>243</v>
      </c>
      <c r="G524" s="163"/>
      <c r="J524" s="73"/>
    </row>
    <row r="525" spans="1:10" ht="15" x14ac:dyDescent="0.3">
      <c r="A525" s="7">
        <v>3</v>
      </c>
      <c r="B525" s="8" t="s">
        <v>187</v>
      </c>
      <c r="C525" s="7">
        <f>(29.71+4.78)*10.764</f>
        <v>371.25036</v>
      </c>
      <c r="D525" s="7">
        <f>(2.65)*10.764</f>
        <v>28.524599999999996</v>
      </c>
      <c r="E525" s="7">
        <v>620</v>
      </c>
      <c r="F525" s="8" t="s">
        <v>243</v>
      </c>
      <c r="G525" s="163"/>
      <c r="J525" s="73"/>
    </row>
    <row r="526" spans="1:10" ht="15" x14ac:dyDescent="0.3">
      <c r="A526" s="7">
        <v>4</v>
      </c>
      <c r="B526" s="8" t="s">
        <v>187</v>
      </c>
      <c r="C526" s="7">
        <f>(29.39+4.57)*10.764</f>
        <v>365.54543999999999</v>
      </c>
      <c r="D526" s="7">
        <f>(3.7)*10.764</f>
        <v>39.826799999999999</v>
      </c>
      <c r="E526" s="7">
        <v>630</v>
      </c>
      <c r="F526" s="8" t="s">
        <v>243</v>
      </c>
      <c r="G526" s="163"/>
      <c r="J526" s="73"/>
    </row>
    <row r="527" spans="1:10" ht="15" x14ac:dyDescent="0.3">
      <c r="A527" s="7">
        <v>5</v>
      </c>
      <c r="B527" s="8" t="s">
        <v>187</v>
      </c>
      <c r="C527" s="7">
        <f>(29.4+5.08)*10.764</f>
        <v>371.14271999999994</v>
      </c>
      <c r="D527" s="7">
        <f>(3.7)*10.764</f>
        <v>39.826799999999999</v>
      </c>
      <c r="E527" s="7">
        <v>635</v>
      </c>
      <c r="F527" s="8" t="s">
        <v>243</v>
      </c>
      <c r="G527" s="163"/>
      <c r="J527" s="73"/>
    </row>
    <row r="528" spans="1:10" ht="15" x14ac:dyDescent="0.3">
      <c r="A528" s="7">
        <v>6</v>
      </c>
      <c r="B528" s="8" t="s">
        <v>188</v>
      </c>
      <c r="C528" s="7">
        <f>(44.26)*10.764</f>
        <v>476.41463999999996</v>
      </c>
      <c r="D528" s="7">
        <f>6.15*10.764</f>
        <v>66.198599999999999</v>
      </c>
      <c r="E528" s="7">
        <v>840</v>
      </c>
      <c r="F528" s="8" t="s">
        <v>243</v>
      </c>
      <c r="G528" s="163"/>
      <c r="J528" s="73"/>
    </row>
    <row r="529" spans="1:10" ht="15" x14ac:dyDescent="0.3">
      <c r="A529" s="7">
        <v>7</v>
      </c>
      <c r="B529" s="8" t="s">
        <v>187</v>
      </c>
      <c r="C529" s="7">
        <f>(29.03+4.12)*10.764</f>
        <v>356.82659999999998</v>
      </c>
      <c r="D529" s="7">
        <v>0</v>
      </c>
      <c r="E529" s="7">
        <v>560</v>
      </c>
      <c r="F529" s="8" t="s">
        <v>243</v>
      </c>
      <c r="G529" s="163"/>
      <c r="J529" s="73"/>
    </row>
    <row r="530" spans="1:10" ht="15" x14ac:dyDescent="0.3">
      <c r="A530" s="7">
        <v>8</v>
      </c>
      <c r="B530" s="8" t="s">
        <v>187</v>
      </c>
      <c r="C530" s="7">
        <f>(26.92+6.59)*10.764</f>
        <v>360.70164000000005</v>
      </c>
      <c r="D530" s="7">
        <v>0</v>
      </c>
      <c r="E530" s="7">
        <v>565</v>
      </c>
      <c r="F530" s="8" t="s">
        <v>243</v>
      </c>
      <c r="G530" s="163"/>
      <c r="J530" s="73"/>
    </row>
    <row r="531" spans="1:10" ht="15" x14ac:dyDescent="0.3">
      <c r="A531" s="7">
        <v>9</v>
      </c>
      <c r="B531" s="8" t="s">
        <v>189</v>
      </c>
      <c r="C531" s="7">
        <f>(20.63+2.31)*10.764</f>
        <v>246.92615999999995</v>
      </c>
      <c r="D531" s="7">
        <v>0</v>
      </c>
      <c r="E531" s="7">
        <v>390</v>
      </c>
      <c r="F531" s="8" t="s">
        <v>243</v>
      </c>
      <c r="G531" s="163"/>
      <c r="J531" s="73"/>
    </row>
    <row r="532" spans="1:10" ht="15" x14ac:dyDescent="0.3">
      <c r="A532" s="7">
        <v>10</v>
      </c>
      <c r="B532" s="8" t="s">
        <v>189</v>
      </c>
      <c r="C532" s="7">
        <f>(21.37+5.23)*10.764</f>
        <v>286.32240000000002</v>
      </c>
      <c r="D532" s="7">
        <v>0</v>
      </c>
      <c r="E532" s="7">
        <v>450</v>
      </c>
      <c r="F532" s="8" t="s">
        <v>243</v>
      </c>
      <c r="G532" s="167"/>
      <c r="J532" s="73"/>
    </row>
    <row r="533" spans="1:10" ht="14.5" x14ac:dyDescent="0.3">
      <c r="A533" s="164" t="s">
        <v>233</v>
      </c>
      <c r="B533" s="165"/>
      <c r="C533" s="165"/>
      <c r="D533" s="165"/>
      <c r="E533" s="165"/>
      <c r="F533" s="165"/>
      <c r="G533" s="166"/>
      <c r="J533" s="73"/>
    </row>
    <row r="534" spans="1:10" ht="15" x14ac:dyDescent="0.3">
      <c r="A534" s="7">
        <v>1</v>
      </c>
      <c r="B534" s="8" t="s">
        <v>110</v>
      </c>
      <c r="C534" s="7">
        <f>(21.37+5.23)*10.764</f>
        <v>286.32240000000002</v>
      </c>
      <c r="D534" s="7">
        <v>0</v>
      </c>
      <c r="E534" s="7">
        <v>450</v>
      </c>
      <c r="F534" s="8" t="s">
        <v>243</v>
      </c>
      <c r="G534" s="162" t="str">
        <f>A533</f>
        <v>2nd &amp; 4th Floor</v>
      </c>
      <c r="J534" s="73"/>
    </row>
    <row r="535" spans="1:10" ht="15" x14ac:dyDescent="0.3">
      <c r="A535" s="7">
        <v>2</v>
      </c>
      <c r="B535" s="8" t="s">
        <v>110</v>
      </c>
      <c r="C535" s="7">
        <f>(20.63+2.31)*10.764</f>
        <v>246.92615999999995</v>
      </c>
      <c r="D535" s="7">
        <v>0</v>
      </c>
      <c r="E535" s="7">
        <v>390</v>
      </c>
      <c r="F535" s="8" t="s">
        <v>243</v>
      </c>
      <c r="G535" s="163"/>
      <c r="J535" s="73"/>
    </row>
    <row r="536" spans="1:10" ht="15" x14ac:dyDescent="0.3">
      <c r="A536" s="7">
        <v>3</v>
      </c>
      <c r="B536" s="8" t="s">
        <v>112</v>
      </c>
      <c r="C536" s="7">
        <f>(29.15+4.78)*10.764</f>
        <v>365.22251999999997</v>
      </c>
      <c r="D536" s="7">
        <v>0</v>
      </c>
      <c r="E536" s="7">
        <v>575</v>
      </c>
      <c r="F536" s="8" t="s">
        <v>243</v>
      </c>
      <c r="G536" s="163"/>
      <c r="J536" s="73"/>
    </row>
    <row r="537" spans="1:10" ht="15" x14ac:dyDescent="0.3">
      <c r="A537" s="7">
        <v>4</v>
      </c>
      <c r="B537" s="8" t="s">
        <v>112</v>
      </c>
      <c r="C537" s="7">
        <f>(28.79+4.57)*10.764</f>
        <v>359.08703999999994</v>
      </c>
      <c r="D537" s="7">
        <v>0</v>
      </c>
      <c r="E537" s="7">
        <v>565</v>
      </c>
      <c r="F537" s="8" t="s">
        <v>243</v>
      </c>
      <c r="G537" s="163"/>
      <c r="J537" s="73"/>
    </row>
    <row r="538" spans="1:10" ht="15" x14ac:dyDescent="0.3">
      <c r="A538" s="7">
        <v>5</v>
      </c>
      <c r="B538" s="8" t="s">
        <v>112</v>
      </c>
      <c r="C538" s="7">
        <f>(28.8+5.08)*10.764</f>
        <v>364.68432000000001</v>
      </c>
      <c r="D538" s="7">
        <v>0</v>
      </c>
      <c r="E538" s="7">
        <v>570</v>
      </c>
      <c r="F538" s="8" t="s">
        <v>243</v>
      </c>
      <c r="G538" s="163"/>
      <c r="J538" s="73"/>
    </row>
    <row r="539" spans="1:10" ht="15" x14ac:dyDescent="0.3">
      <c r="A539" s="7">
        <v>6</v>
      </c>
      <c r="B539" s="8" t="s">
        <v>113</v>
      </c>
      <c r="C539" s="7">
        <f>(44.27)*10.764</f>
        <v>476.52228000000002</v>
      </c>
      <c r="D539" s="7">
        <f>7.41*10.761</f>
        <v>79.739009999999993</v>
      </c>
      <c r="E539" s="7">
        <v>860</v>
      </c>
      <c r="F539" s="8" t="s">
        <v>243</v>
      </c>
      <c r="G539" s="163"/>
      <c r="J539" s="73"/>
    </row>
    <row r="540" spans="1:10" ht="15" x14ac:dyDescent="0.3">
      <c r="A540" s="7">
        <v>7</v>
      </c>
      <c r="B540" s="8" t="s">
        <v>112</v>
      </c>
      <c r="C540" s="7">
        <f>(29.03+4.12)*10.764</f>
        <v>356.82659999999998</v>
      </c>
      <c r="D540" s="7">
        <v>0</v>
      </c>
      <c r="E540" s="7">
        <v>560</v>
      </c>
      <c r="F540" s="8" t="s">
        <v>243</v>
      </c>
      <c r="G540" s="163"/>
      <c r="J540" s="73"/>
    </row>
    <row r="541" spans="1:10" ht="15" x14ac:dyDescent="0.3">
      <c r="A541" s="7">
        <v>8</v>
      </c>
      <c r="B541" s="8" t="s">
        <v>112</v>
      </c>
      <c r="C541" s="7">
        <f>(26.96+6.59)*10.764</f>
        <v>361.13219999999995</v>
      </c>
      <c r="D541" s="7">
        <v>0</v>
      </c>
      <c r="E541" s="7">
        <v>565</v>
      </c>
      <c r="F541" s="8" t="s">
        <v>243</v>
      </c>
      <c r="G541" s="163"/>
      <c r="J541" s="73"/>
    </row>
    <row r="542" spans="1:10" ht="15" x14ac:dyDescent="0.3">
      <c r="A542" s="7">
        <v>9</v>
      </c>
      <c r="B542" s="8" t="s">
        <v>110</v>
      </c>
      <c r="C542" s="7">
        <f>(20.63+2.31)*10.764</f>
        <v>246.92615999999995</v>
      </c>
      <c r="D542" s="7">
        <v>0</v>
      </c>
      <c r="E542" s="7">
        <v>390</v>
      </c>
      <c r="F542" s="8" t="s">
        <v>243</v>
      </c>
      <c r="G542" s="163"/>
      <c r="J542" s="73"/>
    </row>
    <row r="543" spans="1:10" ht="15" x14ac:dyDescent="0.3">
      <c r="A543" s="7">
        <v>10</v>
      </c>
      <c r="B543" s="8" t="s">
        <v>110</v>
      </c>
      <c r="C543" s="7">
        <f>(21.37+5.23)*10.764</f>
        <v>286.32240000000002</v>
      </c>
      <c r="D543" s="7">
        <v>0</v>
      </c>
      <c r="E543" s="7">
        <v>450</v>
      </c>
      <c r="F543" s="8" t="s">
        <v>243</v>
      </c>
      <c r="G543" s="167"/>
      <c r="J543" s="73"/>
    </row>
    <row r="544" spans="1:10" ht="14.5" x14ac:dyDescent="0.3">
      <c r="A544" s="164" t="s">
        <v>256</v>
      </c>
      <c r="B544" s="165"/>
      <c r="C544" s="165"/>
      <c r="D544" s="165"/>
      <c r="E544" s="165"/>
      <c r="F544" s="165"/>
      <c r="G544" s="166"/>
      <c r="J544" s="73"/>
    </row>
    <row r="545" spans="1:10" ht="14.25" customHeight="1" x14ac:dyDescent="0.3">
      <c r="A545" s="164" t="s">
        <v>108</v>
      </c>
      <c r="B545" s="165"/>
      <c r="C545" s="165"/>
      <c r="D545" s="165"/>
      <c r="E545" s="165"/>
      <c r="F545" s="165"/>
      <c r="G545" s="166"/>
      <c r="J545" s="73"/>
    </row>
    <row r="546" spans="1:10" ht="14.5" x14ac:dyDescent="0.3">
      <c r="A546" s="164" t="s">
        <v>109</v>
      </c>
      <c r="B546" s="165"/>
      <c r="C546" s="165"/>
      <c r="D546" s="165"/>
      <c r="E546" s="165"/>
      <c r="F546" s="165"/>
      <c r="G546" s="166"/>
      <c r="J546" s="73"/>
    </row>
    <row r="547" spans="1:10" ht="15" customHeight="1" x14ac:dyDescent="0.3">
      <c r="A547" s="7">
        <v>1</v>
      </c>
      <c r="B547" s="8" t="s">
        <v>112</v>
      </c>
      <c r="C547" s="7">
        <f>(28.25+4.46)*10.764</f>
        <v>352.09044</v>
      </c>
      <c r="D547" s="7">
        <f>(3.4)*10.764</f>
        <v>36.5976</v>
      </c>
      <c r="E547" s="7">
        <v>605</v>
      </c>
      <c r="F547" s="8" t="s">
        <v>243</v>
      </c>
      <c r="G547" s="162" t="s">
        <v>111</v>
      </c>
      <c r="J547" s="73"/>
    </row>
    <row r="548" spans="1:10" ht="15" x14ac:dyDescent="0.3">
      <c r="A548" s="7">
        <v>2</v>
      </c>
      <c r="B548" s="8" t="s">
        <v>112</v>
      </c>
      <c r="C548" s="7">
        <f>(28.54+4.17)*10.764</f>
        <v>352.09044</v>
      </c>
      <c r="D548" s="7">
        <f>(3.4)*10.764</f>
        <v>36.5976</v>
      </c>
      <c r="E548" s="7">
        <v>605</v>
      </c>
      <c r="F548" s="8" t="s">
        <v>243</v>
      </c>
      <c r="G548" s="163"/>
      <c r="J548" s="73"/>
    </row>
    <row r="549" spans="1:10" ht="15" x14ac:dyDescent="0.3">
      <c r="A549" s="7">
        <v>3</v>
      </c>
      <c r="B549" s="8" t="s">
        <v>112</v>
      </c>
      <c r="C549" s="7">
        <f>(28.54+4.17)*10.764</f>
        <v>352.09044</v>
      </c>
      <c r="D549" s="7">
        <f>(3.4)*10.764</f>
        <v>36.5976</v>
      </c>
      <c r="E549" s="7">
        <v>605</v>
      </c>
      <c r="F549" s="8" t="s">
        <v>243</v>
      </c>
      <c r="G549" s="163"/>
      <c r="J549" s="73"/>
    </row>
    <row r="550" spans="1:10" ht="15" x14ac:dyDescent="0.3">
      <c r="A550" s="7">
        <v>4</v>
      </c>
      <c r="B550" s="8" t="s">
        <v>112</v>
      </c>
      <c r="C550" s="7">
        <f>(28.29+4.27)*10.764</f>
        <v>350.47584000000001</v>
      </c>
      <c r="D550" s="7">
        <f>(3.4)*10.764</f>
        <v>36.5976</v>
      </c>
      <c r="E550" s="7">
        <v>545</v>
      </c>
      <c r="F550" s="8" t="s">
        <v>243</v>
      </c>
      <c r="G550" s="167"/>
      <c r="J550" s="73"/>
    </row>
    <row r="551" spans="1:10" ht="14.5" x14ac:dyDescent="0.3">
      <c r="A551" s="164" t="s">
        <v>233</v>
      </c>
      <c r="B551" s="165"/>
      <c r="C551" s="165"/>
      <c r="D551" s="165"/>
      <c r="E551" s="165"/>
      <c r="F551" s="165"/>
      <c r="G551" s="166"/>
      <c r="J551" s="73"/>
    </row>
    <row r="552" spans="1:10" ht="15" x14ac:dyDescent="0.3">
      <c r="A552" s="7">
        <v>1</v>
      </c>
      <c r="B552" s="8" t="s">
        <v>112</v>
      </c>
      <c r="C552" s="7">
        <f>(27.69+4.46)*10.764</f>
        <v>346.06259999999997</v>
      </c>
      <c r="D552" s="7">
        <v>0</v>
      </c>
      <c r="E552" s="7">
        <v>545</v>
      </c>
      <c r="F552" s="8" t="s">
        <v>243</v>
      </c>
      <c r="G552" s="162" t="str">
        <f>A551</f>
        <v>2nd &amp; 4th Floor</v>
      </c>
      <c r="J552" s="73"/>
    </row>
    <row r="553" spans="1:10" ht="15" x14ac:dyDescent="0.3">
      <c r="A553" s="7">
        <v>2</v>
      </c>
      <c r="B553" s="8" t="s">
        <v>112</v>
      </c>
      <c r="C553" s="7">
        <f>(27.96+4.17)*10.764</f>
        <v>345.84732000000002</v>
      </c>
      <c r="D553" s="7">
        <v>0</v>
      </c>
      <c r="E553" s="7">
        <v>545</v>
      </c>
      <c r="F553" s="8" t="s">
        <v>243</v>
      </c>
      <c r="G553" s="163"/>
      <c r="J553" s="73"/>
    </row>
    <row r="554" spans="1:10" ht="15" x14ac:dyDescent="0.3">
      <c r="A554" s="7">
        <v>3</v>
      </c>
      <c r="B554" s="8" t="s">
        <v>112</v>
      </c>
      <c r="C554" s="7">
        <f>(27.96+4.17)*10.764</f>
        <v>345.84732000000002</v>
      </c>
      <c r="D554" s="7">
        <v>0</v>
      </c>
      <c r="E554" s="7">
        <v>545</v>
      </c>
      <c r="F554" s="8" t="s">
        <v>243</v>
      </c>
      <c r="G554" s="163"/>
      <c r="J554" s="73"/>
    </row>
    <row r="555" spans="1:10" ht="15" x14ac:dyDescent="0.3">
      <c r="A555" s="7">
        <v>4</v>
      </c>
      <c r="B555" s="8" t="s">
        <v>112</v>
      </c>
      <c r="C555" s="7">
        <f>(27.71+4.27)*10.764</f>
        <v>344.23271999999997</v>
      </c>
      <c r="D555" s="7">
        <v>0</v>
      </c>
      <c r="E555" s="7">
        <v>545</v>
      </c>
      <c r="F555" s="8" t="s">
        <v>243</v>
      </c>
      <c r="G555" s="167"/>
      <c r="J555" s="73"/>
    </row>
    <row r="556" spans="1:10" ht="14.5" x14ac:dyDescent="0.3">
      <c r="A556" s="177" t="s">
        <v>114</v>
      </c>
      <c r="B556" s="178"/>
      <c r="C556" s="178"/>
      <c r="D556" s="178"/>
      <c r="E556" s="178"/>
      <c r="F556" s="178"/>
      <c r="G556" s="179"/>
      <c r="J556" s="73"/>
    </row>
    <row r="557" spans="1:10" ht="193" customHeight="1" x14ac:dyDescent="0.3">
      <c r="A557" s="174" t="s">
        <v>289</v>
      </c>
      <c r="B557" s="175"/>
      <c r="C557" s="175"/>
      <c r="D557" s="175"/>
      <c r="E557" s="175"/>
      <c r="F557" s="175"/>
      <c r="G557" s="176"/>
      <c r="H557" s="70" t="s">
        <v>282</v>
      </c>
      <c r="I557" s="70"/>
    </row>
    <row r="558" spans="1:10" ht="15" customHeight="1" x14ac:dyDescent="0.3">
      <c r="A558" s="168" t="s">
        <v>115</v>
      </c>
      <c r="B558" s="169"/>
      <c r="C558" s="169"/>
      <c r="D558" s="169"/>
      <c r="E558" s="169"/>
      <c r="F558" s="169"/>
      <c r="G558" s="170"/>
    </row>
    <row r="559" spans="1:10" ht="15" customHeight="1" x14ac:dyDescent="0.3">
      <c r="A559" s="168" t="s">
        <v>116</v>
      </c>
      <c r="B559" s="169"/>
      <c r="C559" s="169"/>
      <c r="D559" s="169"/>
      <c r="E559" s="169"/>
      <c r="F559" s="169"/>
      <c r="G559" s="170"/>
    </row>
    <row r="560" spans="1:10" ht="15" customHeight="1" x14ac:dyDescent="0.3">
      <c r="A560" s="168" t="s">
        <v>117</v>
      </c>
      <c r="B560" s="169"/>
      <c r="C560" s="169"/>
      <c r="D560" s="169"/>
      <c r="E560" s="169"/>
      <c r="F560" s="169"/>
      <c r="G560" s="170"/>
    </row>
    <row r="561" spans="1:7" ht="15" customHeight="1" x14ac:dyDescent="0.3">
      <c r="A561" s="168" t="s">
        <v>118</v>
      </c>
      <c r="B561" s="169"/>
      <c r="C561" s="169"/>
      <c r="D561" s="169"/>
      <c r="E561" s="169"/>
      <c r="F561" s="169"/>
      <c r="G561" s="170"/>
    </row>
    <row r="562" spans="1:7" ht="15" customHeight="1" x14ac:dyDescent="0.3">
      <c r="A562" s="168" t="s">
        <v>119</v>
      </c>
      <c r="B562" s="169"/>
      <c r="C562" s="169"/>
      <c r="D562" s="169"/>
      <c r="E562" s="169"/>
      <c r="F562" s="169"/>
      <c r="G562" s="170"/>
    </row>
    <row r="563" spans="1:7" ht="15" customHeight="1" x14ac:dyDescent="0.3">
      <c r="A563" s="168" t="s">
        <v>120</v>
      </c>
      <c r="B563" s="169"/>
      <c r="C563" s="169"/>
      <c r="D563" s="169"/>
      <c r="E563" s="169"/>
      <c r="F563" s="169"/>
      <c r="G563" s="170"/>
    </row>
    <row r="564" spans="1:7" ht="28.5" customHeight="1" x14ac:dyDescent="0.3">
      <c r="A564" s="168" t="s">
        <v>121</v>
      </c>
      <c r="B564" s="169"/>
      <c r="C564" s="169"/>
      <c r="D564" s="169"/>
      <c r="E564" s="169"/>
      <c r="F564" s="169"/>
      <c r="G564" s="170"/>
    </row>
    <row r="565" spans="1:7" ht="13.5" customHeight="1" x14ac:dyDescent="0.3">
      <c r="A565" s="67" t="s">
        <v>122</v>
      </c>
      <c r="B565" s="120" t="s">
        <v>216</v>
      </c>
      <c r="C565" s="121"/>
      <c r="D565" s="120" t="s">
        <v>175</v>
      </c>
      <c r="E565" s="121"/>
      <c r="F565" s="120" t="s">
        <v>288</v>
      </c>
      <c r="G565" s="121"/>
    </row>
    <row r="566" spans="1:7" ht="57" customHeight="1" x14ac:dyDescent="0.3">
      <c r="A566" s="171" t="s">
        <v>125</v>
      </c>
      <c r="B566" s="172"/>
      <c r="C566" s="172"/>
      <c r="D566" s="172"/>
      <c r="E566" s="172"/>
      <c r="F566" s="172"/>
      <c r="G566" s="173"/>
    </row>
    <row r="567" spans="1:7" ht="17.25" customHeight="1" x14ac:dyDescent="0.3">
      <c r="A567" s="96" t="s">
        <v>123</v>
      </c>
      <c r="B567" s="96"/>
      <c r="C567" s="96"/>
      <c r="D567" s="96"/>
      <c r="E567" s="96"/>
    </row>
    <row r="616" ht="17.25" customHeight="1" x14ac:dyDescent="0.3"/>
    <row r="629" spans="1:5" x14ac:dyDescent="0.3">
      <c r="A629" s="96" t="s">
        <v>123</v>
      </c>
      <c r="B629" s="96"/>
      <c r="C629" s="96"/>
      <c r="D629" s="96"/>
      <c r="E629" s="96"/>
    </row>
    <row r="685" spans="1:7" ht="15" x14ac:dyDescent="0.3">
      <c r="A685" s="75" t="s">
        <v>266</v>
      </c>
    </row>
    <row r="686" spans="1:7" ht="14.5" x14ac:dyDescent="0.3">
      <c r="A686" s="117"/>
      <c r="B686" s="117"/>
      <c r="C686" s="117"/>
      <c r="D686" s="117"/>
      <c r="E686" s="117"/>
      <c r="F686" s="117"/>
      <c r="G686" s="117"/>
    </row>
    <row r="713" spans="1:7" ht="14.5" x14ac:dyDescent="0.3">
      <c r="A713" s="117" t="s">
        <v>124</v>
      </c>
      <c r="B713" s="117"/>
      <c r="C713" s="117"/>
      <c r="D713" s="117"/>
      <c r="E713" s="117"/>
      <c r="F713" s="117"/>
      <c r="G713" s="117"/>
    </row>
    <row r="751" hidden="1" x14ac:dyDescent="0.3"/>
    <row r="752" hidden="1" x14ac:dyDescent="0.3"/>
    <row r="753" hidden="1" x14ac:dyDescent="0.3"/>
    <row r="754" hidden="1" x14ac:dyDescent="0.3"/>
    <row r="755" hidden="1" x14ac:dyDescent="0.3"/>
    <row r="756" hidden="1" x14ac:dyDescent="0.3"/>
    <row r="757" hidden="1" x14ac:dyDescent="0.3"/>
    <row r="758" hidden="1" x14ac:dyDescent="0.3"/>
    <row r="759" hidden="1" x14ac:dyDescent="0.3"/>
    <row r="760" hidden="1" x14ac:dyDescent="0.3"/>
    <row r="761" hidden="1" x14ac:dyDescent="0.3"/>
    <row r="762" hidden="1" x14ac:dyDescent="0.3"/>
    <row r="763" hidden="1" x14ac:dyDescent="0.3"/>
    <row r="764" hidden="1" x14ac:dyDescent="0.3"/>
    <row r="765" hidden="1" x14ac:dyDescent="0.3"/>
  </sheetData>
  <mergeCells count="316">
    <mergeCell ref="B30:G30"/>
    <mergeCell ref="A397:G397"/>
    <mergeCell ref="C228:D228"/>
    <mergeCell ref="A57:G57"/>
    <mergeCell ref="B101:G101"/>
    <mergeCell ref="B103:G103"/>
    <mergeCell ref="D104:E104"/>
    <mergeCell ref="F104:G104"/>
    <mergeCell ref="D105:E114"/>
    <mergeCell ref="F105:G114"/>
    <mergeCell ref="A321:G321"/>
    <mergeCell ref="A296:G296"/>
    <mergeCell ref="G297:G307"/>
    <mergeCell ref="A308:G308"/>
    <mergeCell ref="G309:G319"/>
    <mergeCell ref="A320:G320"/>
    <mergeCell ref="A283:G283"/>
    <mergeCell ref="E228:G228"/>
    <mergeCell ref="C232:D232"/>
    <mergeCell ref="A386:G386"/>
    <mergeCell ref="G387:G396"/>
    <mergeCell ref="D91:E100"/>
    <mergeCell ref="F91:G100"/>
    <mergeCell ref="B143:G143"/>
    <mergeCell ref="F132:G132"/>
    <mergeCell ref="B129:G129"/>
    <mergeCell ref="B131:G131"/>
    <mergeCell ref="D133:E142"/>
    <mergeCell ref="F133:G142"/>
    <mergeCell ref="D132:E132"/>
    <mergeCell ref="B61:G61"/>
    <mergeCell ref="D62:E62"/>
    <mergeCell ref="F62:G62"/>
    <mergeCell ref="D63:E72"/>
    <mergeCell ref="F63:G72"/>
    <mergeCell ref="B87:G87"/>
    <mergeCell ref="B89:G89"/>
    <mergeCell ref="D90:E90"/>
    <mergeCell ref="F90:G90"/>
    <mergeCell ref="B50:D50"/>
    <mergeCell ref="A56:B56"/>
    <mergeCell ref="C56:G56"/>
    <mergeCell ref="A58:G58"/>
    <mergeCell ref="A52:G52"/>
    <mergeCell ref="A53:B53"/>
    <mergeCell ref="D53:E53"/>
    <mergeCell ref="F53:G53"/>
    <mergeCell ref="B59:G59"/>
    <mergeCell ref="G322:G327"/>
    <mergeCell ref="G354:G363"/>
    <mergeCell ref="A328:G328"/>
    <mergeCell ref="G329:G339"/>
    <mergeCell ref="A340:G340"/>
    <mergeCell ref="G341:G351"/>
    <mergeCell ref="B55:G55"/>
    <mergeCell ref="B54:G54"/>
    <mergeCell ref="E231:G231"/>
    <mergeCell ref="D203:E212"/>
    <mergeCell ref="F203:G212"/>
    <mergeCell ref="B171:G171"/>
    <mergeCell ref="B173:G173"/>
    <mergeCell ref="D174:E174"/>
    <mergeCell ref="F174:G174"/>
    <mergeCell ref="D175:E184"/>
    <mergeCell ref="F175:G184"/>
    <mergeCell ref="B199:G199"/>
    <mergeCell ref="B201:G201"/>
    <mergeCell ref="D202:E202"/>
    <mergeCell ref="F202:G202"/>
    <mergeCell ref="B185:G185"/>
    <mergeCell ref="B187:G187"/>
    <mergeCell ref="D188:E188"/>
    <mergeCell ref="A713:G713"/>
    <mergeCell ref="G273:G282"/>
    <mergeCell ref="G376:G385"/>
    <mergeCell ref="G454:G463"/>
    <mergeCell ref="A567:E567"/>
    <mergeCell ref="A562:G562"/>
    <mergeCell ref="A563:G563"/>
    <mergeCell ref="A564:G564"/>
    <mergeCell ref="F565:G565"/>
    <mergeCell ref="A566:G566"/>
    <mergeCell ref="A557:G557"/>
    <mergeCell ref="A558:G558"/>
    <mergeCell ref="A559:G559"/>
    <mergeCell ref="A560:G560"/>
    <mergeCell ref="A561:G561"/>
    <mergeCell ref="A546:G546"/>
    <mergeCell ref="G547:G550"/>
    <mergeCell ref="A551:G551"/>
    <mergeCell ref="G552:G555"/>
    <mergeCell ref="A556:G556"/>
    <mergeCell ref="G523:G532"/>
    <mergeCell ref="A533:G533"/>
    <mergeCell ref="G534:G543"/>
    <mergeCell ref="A544:G544"/>
    <mergeCell ref="A545:G545"/>
    <mergeCell ref="A520:G520"/>
    <mergeCell ref="A521:G521"/>
    <mergeCell ref="A522:G522"/>
    <mergeCell ref="A488:G488"/>
    <mergeCell ref="A489:G489"/>
    <mergeCell ref="A496:G496"/>
    <mergeCell ref="G497:G507"/>
    <mergeCell ref="A508:G508"/>
    <mergeCell ref="G490:G495"/>
    <mergeCell ref="G509:G519"/>
    <mergeCell ref="A476:G476"/>
    <mergeCell ref="G477:G487"/>
    <mergeCell ref="A452:G452"/>
    <mergeCell ref="A453:G453"/>
    <mergeCell ref="A352:G352"/>
    <mergeCell ref="A353:G353"/>
    <mergeCell ref="A364:G364"/>
    <mergeCell ref="G365:G374"/>
    <mergeCell ref="A375:G375"/>
    <mergeCell ref="G411:G422"/>
    <mergeCell ref="A438:G438"/>
    <mergeCell ref="G439:G444"/>
    <mergeCell ref="A431:G431"/>
    <mergeCell ref="G432:G437"/>
    <mergeCell ref="A445:G445"/>
    <mergeCell ref="G446:G451"/>
    <mergeCell ref="A464:G464"/>
    <mergeCell ref="G465:G475"/>
    <mergeCell ref="A424:G424"/>
    <mergeCell ref="A398:G398"/>
    <mergeCell ref="G399:G409"/>
    <mergeCell ref="A410:G410"/>
    <mergeCell ref="A423:G423"/>
    <mergeCell ref="G425:G430"/>
    <mergeCell ref="G284:G293"/>
    <mergeCell ref="A294:G294"/>
    <mergeCell ref="A295:G295"/>
    <mergeCell ref="A258:G258"/>
    <mergeCell ref="G259:G269"/>
    <mergeCell ref="A270:G270"/>
    <mergeCell ref="A271:G271"/>
    <mergeCell ref="A272:G272"/>
    <mergeCell ref="A242:G242"/>
    <mergeCell ref="A244:G244"/>
    <mergeCell ref="A245:G245"/>
    <mergeCell ref="A246:G246"/>
    <mergeCell ref="G247:G257"/>
    <mergeCell ref="C225:D225"/>
    <mergeCell ref="C235:D235"/>
    <mergeCell ref="E235:G235"/>
    <mergeCell ref="C236:D236"/>
    <mergeCell ref="E236:G236"/>
    <mergeCell ref="A241:G241"/>
    <mergeCell ref="C229:D229"/>
    <mergeCell ref="E229:G229"/>
    <mergeCell ref="C234:D234"/>
    <mergeCell ref="E234:G234"/>
    <mergeCell ref="C237:D237"/>
    <mergeCell ref="E237:G237"/>
    <mergeCell ref="C238:D238"/>
    <mergeCell ref="E238:G238"/>
    <mergeCell ref="C240:D240"/>
    <mergeCell ref="E240:G240"/>
    <mergeCell ref="C239:D239"/>
    <mergeCell ref="E239:G239"/>
    <mergeCell ref="E232:G232"/>
    <mergeCell ref="C233:D233"/>
    <mergeCell ref="E233:G233"/>
    <mergeCell ref="C230:D230"/>
    <mergeCell ref="E230:G230"/>
    <mergeCell ref="C231:D231"/>
    <mergeCell ref="A38:C38"/>
    <mergeCell ref="D38:G38"/>
    <mergeCell ref="D34:G34"/>
    <mergeCell ref="A35:G35"/>
    <mergeCell ref="F50:G50"/>
    <mergeCell ref="A51:B51"/>
    <mergeCell ref="D51:E51"/>
    <mergeCell ref="F51:G51"/>
    <mergeCell ref="A42:G42"/>
    <mergeCell ref="B43:D43"/>
    <mergeCell ref="F43:G43"/>
    <mergeCell ref="B44:D44"/>
    <mergeCell ref="F44:G44"/>
    <mergeCell ref="F45:G45"/>
    <mergeCell ref="A45:A46"/>
    <mergeCell ref="B46:G46"/>
    <mergeCell ref="B47:D47"/>
    <mergeCell ref="F47:G47"/>
    <mergeCell ref="A48:A49"/>
    <mergeCell ref="B48:D48"/>
    <mergeCell ref="F48:G48"/>
    <mergeCell ref="B49:G49"/>
    <mergeCell ref="B45:D45"/>
    <mergeCell ref="D15:E15"/>
    <mergeCell ref="F15:G15"/>
    <mergeCell ref="A11:C11"/>
    <mergeCell ref="D11:G11"/>
    <mergeCell ref="A12:C12"/>
    <mergeCell ref="D12:G12"/>
    <mergeCell ref="B13:G13"/>
    <mergeCell ref="A8:C8"/>
    <mergeCell ref="D8:G8"/>
    <mergeCell ref="A9:C9"/>
    <mergeCell ref="D9:G9"/>
    <mergeCell ref="A10:C10"/>
    <mergeCell ref="D10:G10"/>
    <mergeCell ref="A1:G1"/>
    <mergeCell ref="A2:G2"/>
    <mergeCell ref="A3:C3"/>
    <mergeCell ref="D3:G3"/>
    <mergeCell ref="A4:C4"/>
    <mergeCell ref="D4:G4"/>
    <mergeCell ref="A19:C19"/>
    <mergeCell ref="D19:G19"/>
    <mergeCell ref="A20:C20"/>
    <mergeCell ref="D20:G20"/>
    <mergeCell ref="B17:C17"/>
    <mergeCell ref="D17:E17"/>
    <mergeCell ref="F17:G17"/>
    <mergeCell ref="B18:C18"/>
    <mergeCell ref="D18:E18"/>
    <mergeCell ref="F18:G18"/>
    <mergeCell ref="A5:C5"/>
    <mergeCell ref="D5:G5"/>
    <mergeCell ref="A6:C6"/>
    <mergeCell ref="D6:G6"/>
    <mergeCell ref="A7:C7"/>
    <mergeCell ref="D7:G7"/>
    <mergeCell ref="B14:G14"/>
    <mergeCell ref="B15:C15"/>
    <mergeCell ref="A33:C33"/>
    <mergeCell ref="D33:G33"/>
    <mergeCell ref="A34:C34"/>
    <mergeCell ref="B75:G75"/>
    <mergeCell ref="D76:E76"/>
    <mergeCell ref="F76:G76"/>
    <mergeCell ref="D77:E86"/>
    <mergeCell ref="F77:G86"/>
    <mergeCell ref="A28:G28"/>
    <mergeCell ref="A29:G29"/>
    <mergeCell ref="B73:G73"/>
    <mergeCell ref="A32:G32"/>
    <mergeCell ref="B31:G31"/>
    <mergeCell ref="A39:C39"/>
    <mergeCell ref="D39:G39"/>
    <mergeCell ref="A40:C40"/>
    <mergeCell ref="D40:G40"/>
    <mergeCell ref="A41:C41"/>
    <mergeCell ref="D41:G41"/>
    <mergeCell ref="A36:C36"/>
    <mergeCell ref="D36:G36"/>
    <mergeCell ref="A37:C37"/>
    <mergeCell ref="D37:G37"/>
    <mergeCell ref="B16:C16"/>
    <mergeCell ref="D16:E16"/>
    <mergeCell ref="F16:G16"/>
    <mergeCell ref="A21:C21"/>
    <mergeCell ref="D21:G21"/>
    <mergeCell ref="C25:D25"/>
    <mergeCell ref="C26:D26"/>
    <mergeCell ref="C27:D27"/>
    <mergeCell ref="A22:C22"/>
    <mergeCell ref="D22:G22"/>
    <mergeCell ref="A23:C23"/>
    <mergeCell ref="D23:G23"/>
    <mergeCell ref="A24:C24"/>
    <mergeCell ref="D24:G24"/>
    <mergeCell ref="F25:G25"/>
    <mergeCell ref="F26:G26"/>
    <mergeCell ref="F27:G27"/>
    <mergeCell ref="A686:G686"/>
    <mergeCell ref="B115:G115"/>
    <mergeCell ref="B117:G117"/>
    <mergeCell ref="D118:E118"/>
    <mergeCell ref="F118:G118"/>
    <mergeCell ref="D119:E128"/>
    <mergeCell ref="F119:G128"/>
    <mergeCell ref="B157:G157"/>
    <mergeCell ref="B159:G159"/>
    <mergeCell ref="D160:E160"/>
    <mergeCell ref="F160:G160"/>
    <mergeCell ref="D161:E170"/>
    <mergeCell ref="F161:G170"/>
    <mergeCell ref="D565:E565"/>
    <mergeCell ref="B565:C565"/>
    <mergeCell ref="A213:G213"/>
    <mergeCell ref="A214:G214"/>
    <mergeCell ref="B215:G215"/>
    <mergeCell ref="A219:D219"/>
    <mergeCell ref="E219:G219"/>
    <mergeCell ref="A220:D220"/>
    <mergeCell ref="E220:G220"/>
    <mergeCell ref="A222:D222"/>
    <mergeCell ref="E222:G222"/>
    <mergeCell ref="B145:G145"/>
    <mergeCell ref="D146:E146"/>
    <mergeCell ref="F146:G146"/>
    <mergeCell ref="D147:E156"/>
    <mergeCell ref="F147:G156"/>
    <mergeCell ref="F188:G188"/>
    <mergeCell ref="D189:E198"/>
    <mergeCell ref="F189:G198"/>
    <mergeCell ref="A629:E629"/>
    <mergeCell ref="A216:G216"/>
    <mergeCell ref="A217:D217"/>
    <mergeCell ref="E217:G217"/>
    <mergeCell ref="A218:D218"/>
    <mergeCell ref="E218:G218"/>
    <mergeCell ref="E225:G225"/>
    <mergeCell ref="C226:D226"/>
    <mergeCell ref="E226:G226"/>
    <mergeCell ref="C227:D227"/>
    <mergeCell ref="E227:G227"/>
    <mergeCell ref="A221:D221"/>
    <mergeCell ref="E221:G221"/>
    <mergeCell ref="A223:D223"/>
    <mergeCell ref="E223:G223"/>
    <mergeCell ref="A224:G224"/>
  </mergeCells>
  <hyperlinks>
    <hyperlink ref="B31" r:id="rId1"/>
  </hyperlinks>
  <printOptions horizontalCentered="1"/>
  <pageMargins left="0.19685039370078741" right="0.19685039370078741" top="0.74803149606299213" bottom="0.55118110236220474" header="0.19685039370078741" footer="0.19685039370078741"/>
  <pageSetup scale="87" fitToHeight="0" orientation="portrait" r:id="rId2"/>
  <headerFooter>
    <oddHeader>&amp;C&amp;G</oddHeader>
    <oddFooter>&amp;L&amp;"Times New Roman,Bold"&amp;11&amp;F&amp;C&amp;G&amp;R&amp;"Times New Roman,Bold"&amp;11                                                                  &amp;P</oddFooter>
  </headerFooter>
  <rowBreaks count="7" manualBreakCount="7">
    <brk id="86" max="16383" man="1"/>
    <brk id="128" max="16383" man="1"/>
    <brk id="170" max="16383" man="1"/>
    <brk id="566" max="16383" man="1"/>
    <brk id="628" max="16383" man="1"/>
    <brk id="684" max="16383" man="1"/>
    <brk id="71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workbookViewId="0">
      <selection activeCell="G10" sqref="G10"/>
    </sheetView>
  </sheetViews>
  <sheetFormatPr defaultColWidth="10.19921875" defaultRowHeight="14.5" x14ac:dyDescent="0.35"/>
  <cols>
    <col min="1" max="1" width="10.19921875" style="24"/>
    <col min="2" max="2" width="25.796875" style="24" customWidth="1"/>
    <col min="3" max="3" width="43.19921875" style="24" customWidth="1"/>
    <col min="4" max="5" width="13.296875" style="24" customWidth="1"/>
    <col min="6" max="6" width="16.296875" style="24" customWidth="1"/>
    <col min="7" max="7" width="23.296875" style="24" customWidth="1"/>
    <col min="8" max="8" width="19.19921875" style="24" customWidth="1"/>
    <col min="9" max="16384" width="10.19921875" style="24"/>
  </cols>
  <sheetData>
    <row r="1" spans="1:9" ht="15" customHeight="1" x14ac:dyDescent="0.35"/>
    <row r="2" spans="1:9" ht="15" customHeight="1" x14ac:dyDescent="0.35">
      <c r="A2" s="25"/>
      <c r="B2" s="25"/>
      <c r="C2" s="25"/>
      <c r="D2" s="25"/>
      <c r="E2" s="25"/>
      <c r="F2" s="25"/>
      <c r="G2" s="25"/>
      <c r="H2" s="25"/>
    </row>
    <row r="3" spans="1:9" x14ac:dyDescent="0.35">
      <c r="A3" s="25"/>
      <c r="B3" s="181" t="s">
        <v>176</v>
      </c>
      <c r="C3" s="181"/>
      <c r="D3" s="181"/>
      <c r="E3" s="181"/>
      <c r="F3" s="181"/>
      <c r="G3" s="181"/>
      <c r="H3" s="181"/>
    </row>
    <row r="4" spans="1:9" x14ac:dyDescent="0.35">
      <c r="A4" s="25"/>
      <c r="B4" s="26" t="s">
        <v>177</v>
      </c>
      <c r="C4" s="26" t="s">
        <v>178</v>
      </c>
      <c r="D4" s="26" t="s">
        <v>179</v>
      </c>
      <c r="E4" s="26" t="s">
        <v>180</v>
      </c>
      <c r="F4" s="26" t="s">
        <v>181</v>
      </c>
      <c r="G4" s="26" t="s">
        <v>182</v>
      </c>
      <c r="H4" s="26" t="s">
        <v>183</v>
      </c>
    </row>
    <row r="5" spans="1:9" ht="15" customHeight="1" x14ac:dyDescent="0.35">
      <c r="A5" s="25"/>
      <c r="B5" s="27" t="s">
        <v>184</v>
      </c>
      <c r="C5" s="28" t="s">
        <v>126</v>
      </c>
      <c r="D5" s="27" t="s">
        <v>187</v>
      </c>
      <c r="E5" s="27">
        <v>344</v>
      </c>
      <c r="F5" s="29">
        <v>555</v>
      </c>
      <c r="G5" s="29">
        <f>H5/F5</f>
        <v>5153.1531531531527</v>
      </c>
      <c r="H5" s="30">
        <v>2860000</v>
      </c>
    </row>
    <row r="6" spans="1:9" x14ac:dyDescent="0.35">
      <c r="A6" s="25"/>
      <c r="B6" s="27" t="s">
        <v>184</v>
      </c>
      <c r="C6" s="28" t="s">
        <v>126</v>
      </c>
      <c r="D6" s="27" t="s">
        <v>188</v>
      </c>
      <c r="E6" s="27">
        <v>481</v>
      </c>
      <c r="F6" s="29">
        <v>835</v>
      </c>
      <c r="G6" s="29">
        <f t="shared" ref="G6:G7" si="0">H6/F6</f>
        <v>4754.4910179640719</v>
      </c>
      <c r="H6" s="30">
        <v>3970000</v>
      </c>
    </row>
    <row r="7" spans="1:9" ht="15" customHeight="1" x14ac:dyDescent="0.35">
      <c r="A7" s="25"/>
      <c r="B7" s="27" t="s">
        <v>184</v>
      </c>
      <c r="C7" s="28" t="s">
        <v>126</v>
      </c>
      <c r="D7" s="27" t="s">
        <v>189</v>
      </c>
      <c r="E7" s="27">
        <v>236</v>
      </c>
      <c r="F7" s="29">
        <v>395</v>
      </c>
      <c r="G7" s="29">
        <f t="shared" si="0"/>
        <v>5005.0632911392404</v>
      </c>
      <c r="H7" s="30">
        <v>1977000</v>
      </c>
    </row>
    <row r="8" spans="1:9" ht="15" customHeight="1" x14ac:dyDescent="0.35">
      <c r="A8" s="25"/>
      <c r="B8" s="31" t="s">
        <v>185</v>
      </c>
      <c r="C8" s="27"/>
      <c r="D8" s="27"/>
      <c r="E8" s="27"/>
      <c r="F8" s="27"/>
      <c r="G8" s="32">
        <f>AVERAGE(G5:G7)</f>
        <v>4970.9024874188217</v>
      </c>
      <c r="H8" s="27"/>
    </row>
    <row r="9" spans="1:9" ht="15" customHeight="1" x14ac:dyDescent="0.35">
      <c r="B9" s="31" t="s">
        <v>186</v>
      </c>
      <c r="C9" s="27"/>
      <c r="D9" s="27"/>
      <c r="E9" s="27"/>
      <c r="F9" s="33"/>
      <c r="G9" s="31">
        <v>5000</v>
      </c>
      <c r="H9" s="31"/>
      <c r="I9" s="34"/>
    </row>
    <row r="10" spans="1:9" ht="15" customHeight="1" x14ac:dyDescent="0.35"/>
    <row r="11" spans="1:9" ht="15" customHeight="1" x14ac:dyDescent="0.35"/>
    <row r="12" spans="1:9" ht="15" customHeight="1" x14ac:dyDescent="0.35"/>
  </sheetData>
  <mergeCells count="1">
    <mergeCell ref="B3:H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9"/>
  <sheetViews>
    <sheetView workbookViewId="0">
      <selection activeCell="C6" sqref="C6"/>
    </sheetView>
  </sheetViews>
  <sheetFormatPr defaultRowHeight="14" x14ac:dyDescent="0.3"/>
  <cols>
    <col min="1" max="1" width="24" style="10" customWidth="1"/>
    <col min="2" max="2" width="13.69921875" style="10" customWidth="1"/>
    <col min="3" max="4" width="9.296875" style="10"/>
    <col min="5" max="5" width="11.796875" style="10" customWidth="1"/>
    <col min="6" max="6" width="12.5" style="10" customWidth="1"/>
    <col min="7" max="7" width="9.296875" style="10"/>
    <col min="8" max="8" width="12.19921875" style="10" customWidth="1"/>
    <col min="9" max="9" width="18" style="10" customWidth="1"/>
    <col min="10" max="258" width="9.296875" style="10"/>
    <col min="259" max="259" width="13.69921875" style="10" customWidth="1"/>
    <col min="260" max="260" width="9.296875" style="10"/>
    <col min="261" max="261" width="17.19921875" style="10" customWidth="1"/>
    <col min="262" max="262" width="12.5" style="10" customWidth="1"/>
    <col min="263" max="514" width="9.296875" style="10"/>
    <col min="515" max="515" width="13.69921875" style="10" customWidth="1"/>
    <col min="516" max="516" width="9.296875" style="10"/>
    <col min="517" max="517" width="17.19921875" style="10" customWidth="1"/>
    <col min="518" max="518" width="12.5" style="10" customWidth="1"/>
    <col min="519" max="770" width="9.296875" style="10"/>
    <col min="771" max="771" width="13.69921875" style="10" customWidth="1"/>
    <col min="772" max="772" width="9.296875" style="10"/>
    <col min="773" max="773" width="17.19921875" style="10" customWidth="1"/>
    <col min="774" max="774" width="12.5" style="10" customWidth="1"/>
    <col min="775" max="1026" width="9.296875" style="10"/>
    <col min="1027" max="1027" width="13.69921875" style="10" customWidth="1"/>
    <col min="1028" max="1028" width="9.296875" style="10"/>
    <col min="1029" max="1029" width="17.19921875" style="10" customWidth="1"/>
    <col min="1030" max="1030" width="12.5" style="10" customWidth="1"/>
    <col min="1031" max="1282" width="9.296875" style="10"/>
    <col min="1283" max="1283" width="13.69921875" style="10" customWidth="1"/>
    <col min="1284" max="1284" width="9.296875" style="10"/>
    <col min="1285" max="1285" width="17.19921875" style="10" customWidth="1"/>
    <col min="1286" max="1286" width="12.5" style="10" customWidth="1"/>
    <col min="1287" max="1538" width="9.296875" style="10"/>
    <col min="1539" max="1539" width="13.69921875" style="10" customWidth="1"/>
    <col min="1540" max="1540" width="9.296875" style="10"/>
    <col min="1541" max="1541" width="17.19921875" style="10" customWidth="1"/>
    <col min="1542" max="1542" width="12.5" style="10" customWidth="1"/>
    <col min="1543" max="1794" width="9.296875" style="10"/>
    <col min="1795" max="1795" width="13.69921875" style="10" customWidth="1"/>
    <col min="1796" max="1796" width="9.296875" style="10"/>
    <col min="1797" max="1797" width="17.19921875" style="10" customWidth="1"/>
    <col min="1798" max="1798" width="12.5" style="10" customWidth="1"/>
    <col min="1799" max="2050" width="9.296875" style="10"/>
    <col min="2051" max="2051" width="13.69921875" style="10" customWidth="1"/>
    <col min="2052" max="2052" width="9.296875" style="10"/>
    <col min="2053" max="2053" width="17.19921875" style="10" customWidth="1"/>
    <col min="2054" max="2054" width="12.5" style="10" customWidth="1"/>
    <col min="2055" max="2306" width="9.296875" style="10"/>
    <col min="2307" max="2307" width="13.69921875" style="10" customWidth="1"/>
    <col min="2308" max="2308" width="9.296875" style="10"/>
    <col min="2309" max="2309" width="17.19921875" style="10" customWidth="1"/>
    <col min="2310" max="2310" width="12.5" style="10" customWidth="1"/>
    <col min="2311" max="2562" width="9.296875" style="10"/>
    <col min="2563" max="2563" width="13.69921875" style="10" customWidth="1"/>
    <col min="2564" max="2564" width="9.296875" style="10"/>
    <col min="2565" max="2565" width="17.19921875" style="10" customWidth="1"/>
    <col min="2566" max="2566" width="12.5" style="10" customWidth="1"/>
    <col min="2567" max="2818" width="9.296875" style="10"/>
    <col min="2819" max="2819" width="13.69921875" style="10" customWidth="1"/>
    <col min="2820" max="2820" width="9.296875" style="10"/>
    <col min="2821" max="2821" width="17.19921875" style="10" customWidth="1"/>
    <col min="2822" max="2822" width="12.5" style="10" customWidth="1"/>
    <col min="2823" max="3074" width="9.296875" style="10"/>
    <col min="3075" max="3075" width="13.69921875" style="10" customWidth="1"/>
    <col min="3076" max="3076" width="9.296875" style="10"/>
    <col min="3077" max="3077" width="17.19921875" style="10" customWidth="1"/>
    <col min="3078" max="3078" width="12.5" style="10" customWidth="1"/>
    <col min="3079" max="3330" width="9.296875" style="10"/>
    <col min="3331" max="3331" width="13.69921875" style="10" customWidth="1"/>
    <col min="3332" max="3332" width="9.296875" style="10"/>
    <col min="3333" max="3333" width="17.19921875" style="10" customWidth="1"/>
    <col min="3334" max="3334" width="12.5" style="10" customWidth="1"/>
    <col min="3335" max="3586" width="9.296875" style="10"/>
    <col min="3587" max="3587" width="13.69921875" style="10" customWidth="1"/>
    <col min="3588" max="3588" width="9.296875" style="10"/>
    <col min="3589" max="3589" width="17.19921875" style="10" customWidth="1"/>
    <col min="3590" max="3590" width="12.5" style="10" customWidth="1"/>
    <col min="3591" max="3842" width="9.296875" style="10"/>
    <col min="3843" max="3843" width="13.69921875" style="10" customWidth="1"/>
    <col min="3844" max="3844" width="9.296875" style="10"/>
    <col min="3845" max="3845" width="17.19921875" style="10" customWidth="1"/>
    <col min="3846" max="3846" width="12.5" style="10" customWidth="1"/>
    <col min="3847" max="4098" width="9.296875" style="10"/>
    <col min="4099" max="4099" width="13.69921875" style="10" customWidth="1"/>
    <col min="4100" max="4100" width="9.296875" style="10"/>
    <col min="4101" max="4101" width="17.19921875" style="10" customWidth="1"/>
    <col min="4102" max="4102" width="12.5" style="10" customWidth="1"/>
    <col min="4103" max="4354" width="9.296875" style="10"/>
    <col min="4355" max="4355" width="13.69921875" style="10" customWidth="1"/>
    <col min="4356" max="4356" width="9.296875" style="10"/>
    <col min="4357" max="4357" width="17.19921875" style="10" customWidth="1"/>
    <col min="4358" max="4358" width="12.5" style="10" customWidth="1"/>
    <col min="4359" max="4610" width="9.296875" style="10"/>
    <col min="4611" max="4611" width="13.69921875" style="10" customWidth="1"/>
    <col min="4612" max="4612" width="9.296875" style="10"/>
    <col min="4613" max="4613" width="17.19921875" style="10" customWidth="1"/>
    <col min="4614" max="4614" width="12.5" style="10" customWidth="1"/>
    <col min="4615" max="4866" width="9.296875" style="10"/>
    <col min="4867" max="4867" width="13.69921875" style="10" customWidth="1"/>
    <col min="4868" max="4868" width="9.296875" style="10"/>
    <col min="4869" max="4869" width="17.19921875" style="10" customWidth="1"/>
    <col min="4870" max="4870" width="12.5" style="10" customWidth="1"/>
    <col min="4871" max="5122" width="9.296875" style="10"/>
    <col min="5123" max="5123" width="13.69921875" style="10" customWidth="1"/>
    <col min="5124" max="5124" width="9.296875" style="10"/>
    <col min="5125" max="5125" width="17.19921875" style="10" customWidth="1"/>
    <col min="5126" max="5126" width="12.5" style="10" customWidth="1"/>
    <col min="5127" max="5378" width="9.296875" style="10"/>
    <col min="5379" max="5379" width="13.69921875" style="10" customWidth="1"/>
    <col min="5380" max="5380" width="9.296875" style="10"/>
    <col min="5381" max="5381" width="17.19921875" style="10" customWidth="1"/>
    <col min="5382" max="5382" width="12.5" style="10" customWidth="1"/>
    <col min="5383" max="5634" width="9.296875" style="10"/>
    <col min="5635" max="5635" width="13.69921875" style="10" customWidth="1"/>
    <col min="5636" max="5636" width="9.296875" style="10"/>
    <col min="5637" max="5637" width="17.19921875" style="10" customWidth="1"/>
    <col min="5638" max="5638" width="12.5" style="10" customWidth="1"/>
    <col min="5639" max="5890" width="9.296875" style="10"/>
    <col min="5891" max="5891" width="13.69921875" style="10" customWidth="1"/>
    <col min="5892" max="5892" width="9.296875" style="10"/>
    <col min="5893" max="5893" width="17.19921875" style="10" customWidth="1"/>
    <col min="5894" max="5894" width="12.5" style="10" customWidth="1"/>
    <col min="5895" max="6146" width="9.296875" style="10"/>
    <col min="6147" max="6147" width="13.69921875" style="10" customWidth="1"/>
    <col min="6148" max="6148" width="9.296875" style="10"/>
    <col min="6149" max="6149" width="17.19921875" style="10" customWidth="1"/>
    <col min="6150" max="6150" width="12.5" style="10" customWidth="1"/>
    <col min="6151" max="6402" width="9.296875" style="10"/>
    <col min="6403" max="6403" width="13.69921875" style="10" customWidth="1"/>
    <col min="6404" max="6404" width="9.296875" style="10"/>
    <col min="6405" max="6405" width="17.19921875" style="10" customWidth="1"/>
    <col min="6406" max="6406" width="12.5" style="10" customWidth="1"/>
    <col min="6407" max="6658" width="9.296875" style="10"/>
    <col min="6659" max="6659" width="13.69921875" style="10" customWidth="1"/>
    <col min="6660" max="6660" width="9.296875" style="10"/>
    <col min="6661" max="6661" width="17.19921875" style="10" customWidth="1"/>
    <col min="6662" max="6662" width="12.5" style="10" customWidth="1"/>
    <col min="6663" max="6914" width="9.296875" style="10"/>
    <col min="6915" max="6915" width="13.69921875" style="10" customWidth="1"/>
    <col min="6916" max="6916" width="9.296875" style="10"/>
    <col min="6917" max="6917" width="17.19921875" style="10" customWidth="1"/>
    <col min="6918" max="6918" width="12.5" style="10" customWidth="1"/>
    <col min="6919" max="7170" width="9.296875" style="10"/>
    <col min="7171" max="7171" width="13.69921875" style="10" customWidth="1"/>
    <col min="7172" max="7172" width="9.296875" style="10"/>
    <col min="7173" max="7173" width="17.19921875" style="10" customWidth="1"/>
    <col min="7174" max="7174" width="12.5" style="10" customWidth="1"/>
    <col min="7175" max="7426" width="9.296875" style="10"/>
    <col min="7427" max="7427" width="13.69921875" style="10" customWidth="1"/>
    <col min="7428" max="7428" width="9.296875" style="10"/>
    <col min="7429" max="7429" width="17.19921875" style="10" customWidth="1"/>
    <col min="7430" max="7430" width="12.5" style="10" customWidth="1"/>
    <col min="7431" max="7682" width="9.296875" style="10"/>
    <col min="7683" max="7683" width="13.69921875" style="10" customWidth="1"/>
    <col min="7684" max="7684" width="9.296875" style="10"/>
    <col min="7685" max="7685" width="17.19921875" style="10" customWidth="1"/>
    <col min="7686" max="7686" width="12.5" style="10" customWidth="1"/>
    <col min="7687" max="7938" width="9.296875" style="10"/>
    <col min="7939" max="7939" width="13.69921875" style="10" customWidth="1"/>
    <col min="7940" max="7940" width="9.296875" style="10"/>
    <col min="7941" max="7941" width="17.19921875" style="10" customWidth="1"/>
    <col min="7942" max="7942" width="12.5" style="10" customWidth="1"/>
    <col min="7943" max="8194" width="9.296875" style="10"/>
    <col min="8195" max="8195" width="13.69921875" style="10" customWidth="1"/>
    <col min="8196" max="8196" width="9.296875" style="10"/>
    <col min="8197" max="8197" width="17.19921875" style="10" customWidth="1"/>
    <col min="8198" max="8198" width="12.5" style="10" customWidth="1"/>
    <col min="8199" max="8450" width="9.296875" style="10"/>
    <col min="8451" max="8451" width="13.69921875" style="10" customWidth="1"/>
    <col min="8452" max="8452" width="9.296875" style="10"/>
    <col min="8453" max="8453" width="17.19921875" style="10" customWidth="1"/>
    <col min="8454" max="8454" width="12.5" style="10" customWidth="1"/>
    <col min="8455" max="8706" width="9.296875" style="10"/>
    <col min="8707" max="8707" width="13.69921875" style="10" customWidth="1"/>
    <col min="8708" max="8708" width="9.296875" style="10"/>
    <col min="8709" max="8709" width="17.19921875" style="10" customWidth="1"/>
    <col min="8710" max="8710" width="12.5" style="10" customWidth="1"/>
    <col min="8711" max="8962" width="9.296875" style="10"/>
    <col min="8963" max="8963" width="13.69921875" style="10" customWidth="1"/>
    <col min="8964" max="8964" width="9.296875" style="10"/>
    <col min="8965" max="8965" width="17.19921875" style="10" customWidth="1"/>
    <col min="8966" max="8966" width="12.5" style="10" customWidth="1"/>
    <col min="8967" max="9218" width="9.296875" style="10"/>
    <col min="9219" max="9219" width="13.69921875" style="10" customWidth="1"/>
    <col min="9220" max="9220" width="9.296875" style="10"/>
    <col min="9221" max="9221" width="17.19921875" style="10" customWidth="1"/>
    <col min="9222" max="9222" width="12.5" style="10" customWidth="1"/>
    <col min="9223" max="9474" width="9.296875" style="10"/>
    <col min="9475" max="9475" width="13.69921875" style="10" customWidth="1"/>
    <col min="9476" max="9476" width="9.296875" style="10"/>
    <col min="9477" max="9477" width="17.19921875" style="10" customWidth="1"/>
    <col min="9478" max="9478" width="12.5" style="10" customWidth="1"/>
    <col min="9479" max="9730" width="9.296875" style="10"/>
    <col min="9731" max="9731" width="13.69921875" style="10" customWidth="1"/>
    <col min="9732" max="9732" width="9.296875" style="10"/>
    <col min="9733" max="9733" width="17.19921875" style="10" customWidth="1"/>
    <col min="9734" max="9734" width="12.5" style="10" customWidth="1"/>
    <col min="9735" max="9986" width="9.296875" style="10"/>
    <col min="9987" max="9987" width="13.69921875" style="10" customWidth="1"/>
    <col min="9988" max="9988" width="9.296875" style="10"/>
    <col min="9989" max="9989" width="17.19921875" style="10" customWidth="1"/>
    <col min="9990" max="9990" width="12.5" style="10" customWidth="1"/>
    <col min="9991" max="10242" width="9.296875" style="10"/>
    <col min="10243" max="10243" width="13.69921875" style="10" customWidth="1"/>
    <col min="10244" max="10244" width="9.296875" style="10"/>
    <col min="10245" max="10245" width="17.19921875" style="10" customWidth="1"/>
    <col min="10246" max="10246" width="12.5" style="10" customWidth="1"/>
    <col min="10247" max="10498" width="9.296875" style="10"/>
    <col min="10499" max="10499" width="13.69921875" style="10" customWidth="1"/>
    <col min="10500" max="10500" width="9.296875" style="10"/>
    <col min="10501" max="10501" width="17.19921875" style="10" customWidth="1"/>
    <col min="10502" max="10502" width="12.5" style="10" customWidth="1"/>
    <col min="10503" max="10754" width="9.296875" style="10"/>
    <col min="10755" max="10755" width="13.69921875" style="10" customWidth="1"/>
    <col min="10756" max="10756" width="9.296875" style="10"/>
    <col min="10757" max="10757" width="17.19921875" style="10" customWidth="1"/>
    <col min="10758" max="10758" width="12.5" style="10" customWidth="1"/>
    <col min="10759" max="11010" width="9.296875" style="10"/>
    <col min="11011" max="11011" width="13.69921875" style="10" customWidth="1"/>
    <col min="11012" max="11012" width="9.296875" style="10"/>
    <col min="11013" max="11013" width="17.19921875" style="10" customWidth="1"/>
    <col min="11014" max="11014" width="12.5" style="10" customWidth="1"/>
    <col min="11015" max="11266" width="9.296875" style="10"/>
    <col min="11267" max="11267" width="13.69921875" style="10" customWidth="1"/>
    <col min="11268" max="11268" width="9.296875" style="10"/>
    <col min="11269" max="11269" width="17.19921875" style="10" customWidth="1"/>
    <col min="11270" max="11270" width="12.5" style="10" customWidth="1"/>
    <col min="11271" max="11522" width="9.296875" style="10"/>
    <col min="11523" max="11523" width="13.69921875" style="10" customWidth="1"/>
    <col min="11524" max="11524" width="9.296875" style="10"/>
    <col min="11525" max="11525" width="17.19921875" style="10" customWidth="1"/>
    <col min="11526" max="11526" width="12.5" style="10" customWidth="1"/>
    <col min="11527" max="11778" width="9.296875" style="10"/>
    <col min="11779" max="11779" width="13.69921875" style="10" customWidth="1"/>
    <col min="11780" max="11780" width="9.296875" style="10"/>
    <col min="11781" max="11781" width="17.19921875" style="10" customWidth="1"/>
    <col min="11782" max="11782" width="12.5" style="10" customWidth="1"/>
    <col min="11783" max="12034" width="9.296875" style="10"/>
    <col min="12035" max="12035" width="13.69921875" style="10" customWidth="1"/>
    <col min="12036" max="12036" width="9.296875" style="10"/>
    <col min="12037" max="12037" width="17.19921875" style="10" customWidth="1"/>
    <col min="12038" max="12038" width="12.5" style="10" customWidth="1"/>
    <col min="12039" max="12290" width="9.296875" style="10"/>
    <col min="12291" max="12291" width="13.69921875" style="10" customWidth="1"/>
    <col min="12292" max="12292" width="9.296875" style="10"/>
    <col min="12293" max="12293" width="17.19921875" style="10" customWidth="1"/>
    <col min="12294" max="12294" width="12.5" style="10" customWidth="1"/>
    <col min="12295" max="12546" width="9.296875" style="10"/>
    <col min="12547" max="12547" width="13.69921875" style="10" customWidth="1"/>
    <col min="12548" max="12548" width="9.296875" style="10"/>
    <col min="12549" max="12549" width="17.19921875" style="10" customWidth="1"/>
    <col min="12550" max="12550" width="12.5" style="10" customWidth="1"/>
    <col min="12551" max="12802" width="9.296875" style="10"/>
    <col min="12803" max="12803" width="13.69921875" style="10" customWidth="1"/>
    <col min="12804" max="12804" width="9.296875" style="10"/>
    <col min="12805" max="12805" width="17.19921875" style="10" customWidth="1"/>
    <col min="12806" max="12806" width="12.5" style="10" customWidth="1"/>
    <col min="12807" max="13058" width="9.296875" style="10"/>
    <col min="13059" max="13059" width="13.69921875" style="10" customWidth="1"/>
    <col min="13060" max="13060" width="9.296875" style="10"/>
    <col min="13061" max="13061" width="17.19921875" style="10" customWidth="1"/>
    <col min="13062" max="13062" width="12.5" style="10" customWidth="1"/>
    <col min="13063" max="13314" width="9.296875" style="10"/>
    <col min="13315" max="13315" width="13.69921875" style="10" customWidth="1"/>
    <col min="13316" max="13316" width="9.296875" style="10"/>
    <col min="13317" max="13317" width="17.19921875" style="10" customWidth="1"/>
    <col min="13318" max="13318" width="12.5" style="10" customWidth="1"/>
    <col min="13319" max="13570" width="9.296875" style="10"/>
    <col min="13571" max="13571" width="13.69921875" style="10" customWidth="1"/>
    <col min="13572" max="13572" width="9.296875" style="10"/>
    <col min="13573" max="13573" width="17.19921875" style="10" customWidth="1"/>
    <col min="13574" max="13574" width="12.5" style="10" customWidth="1"/>
    <col min="13575" max="13826" width="9.296875" style="10"/>
    <col min="13827" max="13827" width="13.69921875" style="10" customWidth="1"/>
    <col min="13828" max="13828" width="9.296875" style="10"/>
    <col min="13829" max="13829" width="17.19921875" style="10" customWidth="1"/>
    <col min="13830" max="13830" width="12.5" style="10" customWidth="1"/>
    <col min="13831" max="14082" width="9.296875" style="10"/>
    <col min="14083" max="14083" width="13.69921875" style="10" customWidth="1"/>
    <col min="14084" max="14084" width="9.296875" style="10"/>
    <col min="14085" max="14085" width="17.19921875" style="10" customWidth="1"/>
    <col min="14086" max="14086" width="12.5" style="10" customWidth="1"/>
    <col min="14087" max="14338" width="9.296875" style="10"/>
    <col min="14339" max="14339" width="13.69921875" style="10" customWidth="1"/>
    <col min="14340" max="14340" width="9.296875" style="10"/>
    <col min="14341" max="14341" width="17.19921875" style="10" customWidth="1"/>
    <col min="14342" max="14342" width="12.5" style="10" customWidth="1"/>
    <col min="14343" max="14594" width="9.296875" style="10"/>
    <col min="14595" max="14595" width="13.69921875" style="10" customWidth="1"/>
    <col min="14596" max="14596" width="9.296875" style="10"/>
    <col min="14597" max="14597" width="17.19921875" style="10" customWidth="1"/>
    <col min="14598" max="14598" width="12.5" style="10" customWidth="1"/>
    <col min="14599" max="14850" width="9.296875" style="10"/>
    <col min="14851" max="14851" width="13.69921875" style="10" customWidth="1"/>
    <col min="14852" max="14852" width="9.296875" style="10"/>
    <col min="14853" max="14853" width="17.19921875" style="10" customWidth="1"/>
    <col min="14854" max="14854" width="12.5" style="10" customWidth="1"/>
    <col min="14855" max="15106" width="9.296875" style="10"/>
    <col min="15107" max="15107" width="13.69921875" style="10" customWidth="1"/>
    <col min="15108" max="15108" width="9.296875" style="10"/>
    <col min="15109" max="15109" width="17.19921875" style="10" customWidth="1"/>
    <col min="15110" max="15110" width="12.5" style="10" customWidth="1"/>
    <col min="15111" max="15362" width="9.296875" style="10"/>
    <col min="15363" max="15363" width="13.69921875" style="10" customWidth="1"/>
    <col min="15364" max="15364" width="9.296875" style="10"/>
    <col min="15365" max="15365" width="17.19921875" style="10" customWidth="1"/>
    <col min="15366" max="15366" width="12.5" style="10" customWidth="1"/>
    <col min="15367" max="15618" width="9.296875" style="10"/>
    <col min="15619" max="15619" width="13.69921875" style="10" customWidth="1"/>
    <col min="15620" max="15620" width="9.296875" style="10"/>
    <col min="15621" max="15621" width="17.19921875" style="10" customWidth="1"/>
    <col min="15622" max="15622" width="12.5" style="10" customWidth="1"/>
    <col min="15623" max="15874" width="9.296875" style="10"/>
    <col min="15875" max="15875" width="13.69921875" style="10" customWidth="1"/>
    <col min="15876" max="15876" width="9.296875" style="10"/>
    <col min="15877" max="15877" width="17.19921875" style="10" customWidth="1"/>
    <col min="15878" max="15878" width="12.5" style="10" customWidth="1"/>
    <col min="15879" max="16130" width="9.296875" style="10"/>
    <col min="16131" max="16131" width="13.69921875" style="10" customWidth="1"/>
    <col min="16132" max="16132" width="9.296875" style="10"/>
    <col min="16133" max="16133" width="17.19921875" style="10" customWidth="1"/>
    <col min="16134" max="16134" width="12.5" style="10" customWidth="1"/>
    <col min="16135" max="16384" width="9.296875" style="10"/>
  </cols>
  <sheetData>
    <row r="2" spans="1:13" x14ac:dyDescent="0.3">
      <c r="A2" s="9" t="s">
        <v>128</v>
      </c>
      <c r="B2" s="9" t="s">
        <v>129</v>
      </c>
      <c r="C2" s="9" t="s">
        <v>130</v>
      </c>
      <c r="D2" s="183" t="s">
        <v>131</v>
      </c>
      <c r="E2" s="183"/>
    </row>
    <row r="3" spans="1:13" x14ac:dyDescent="0.3">
      <c r="A3" s="11">
        <v>1</v>
      </c>
      <c r="B3" s="11">
        <v>0</v>
      </c>
      <c r="C3" s="11">
        <v>1</v>
      </c>
      <c r="D3" s="184">
        <v>23</v>
      </c>
      <c r="E3" s="184"/>
    </row>
    <row r="5" spans="1:13" hidden="1" x14ac:dyDescent="0.3">
      <c r="A5" s="10" t="s">
        <v>132</v>
      </c>
      <c r="B5" s="12" t="s">
        <v>133</v>
      </c>
      <c r="C5" s="12">
        <f>D3</f>
        <v>23</v>
      </c>
      <c r="D5" s="13"/>
    </row>
    <row r="6" spans="1:13" x14ac:dyDescent="0.3">
      <c r="A6" s="10" t="s">
        <v>134</v>
      </c>
      <c r="B6" s="14">
        <v>10</v>
      </c>
      <c r="C6" s="15">
        <v>5</v>
      </c>
      <c r="D6" s="16">
        <f>((100/B6)*C6)/100</f>
        <v>0.5</v>
      </c>
    </row>
    <row r="7" spans="1:13" x14ac:dyDescent="0.3">
      <c r="A7" s="10" t="s">
        <v>135</v>
      </c>
      <c r="B7" s="14">
        <f>A3+B3+C3+D3</f>
        <v>25</v>
      </c>
      <c r="C7" s="15">
        <v>0</v>
      </c>
      <c r="D7" s="16">
        <f>((100/B7)*C7)/100</f>
        <v>0</v>
      </c>
      <c r="F7" s="185" t="s">
        <v>136</v>
      </c>
      <c r="G7" s="185"/>
      <c r="H7" s="17" t="s">
        <v>137</v>
      </c>
      <c r="J7" s="18"/>
    </row>
    <row r="8" spans="1:13" x14ac:dyDescent="0.3">
      <c r="A8" s="10" t="s">
        <v>138</v>
      </c>
      <c r="B8" s="14">
        <f>C5</f>
        <v>23</v>
      </c>
      <c r="C8" s="15">
        <v>0</v>
      </c>
      <c r="D8" s="16">
        <f t="shared" ref="D8:D12" si="0">((100/B8)*C8)/100</f>
        <v>0</v>
      </c>
      <c r="F8" s="182" t="s">
        <v>139</v>
      </c>
      <c r="G8" s="182"/>
      <c r="H8" s="14" t="s">
        <v>140</v>
      </c>
    </row>
    <row r="9" spans="1:13" x14ac:dyDescent="0.3">
      <c r="A9" s="10" t="s">
        <v>141</v>
      </c>
      <c r="B9" s="14">
        <f>C5</f>
        <v>23</v>
      </c>
      <c r="C9" s="15">
        <v>0</v>
      </c>
      <c r="D9" s="16">
        <f t="shared" si="0"/>
        <v>0</v>
      </c>
      <c r="F9" s="182" t="s">
        <v>142</v>
      </c>
      <c r="G9" s="182"/>
      <c r="H9" s="14" t="s">
        <v>143</v>
      </c>
    </row>
    <row r="10" spans="1:13" x14ac:dyDescent="0.3">
      <c r="A10" s="10" t="s">
        <v>144</v>
      </c>
      <c r="B10" s="14">
        <f>C5</f>
        <v>23</v>
      </c>
      <c r="C10" s="15">
        <v>0</v>
      </c>
      <c r="D10" s="16">
        <f t="shared" si="0"/>
        <v>0</v>
      </c>
      <c r="F10" s="182" t="s">
        <v>145</v>
      </c>
      <c r="G10" s="182"/>
      <c r="H10" s="14" t="s">
        <v>146</v>
      </c>
    </row>
    <row r="11" spans="1:13" x14ac:dyDescent="0.3">
      <c r="A11" s="19" t="s">
        <v>147</v>
      </c>
      <c r="B11" s="14">
        <f>C5</f>
        <v>23</v>
      </c>
      <c r="C11" s="15">
        <v>0</v>
      </c>
      <c r="D11" s="16">
        <f t="shared" si="0"/>
        <v>0</v>
      </c>
      <c r="F11" s="182" t="s">
        <v>148</v>
      </c>
      <c r="G11" s="182"/>
      <c r="H11" s="14" t="s">
        <v>149</v>
      </c>
    </row>
    <row r="12" spans="1:13" x14ac:dyDescent="0.3">
      <c r="A12" s="10" t="s">
        <v>150</v>
      </c>
      <c r="B12" s="14">
        <f>C5</f>
        <v>23</v>
      </c>
      <c r="C12" s="15">
        <v>0</v>
      </c>
      <c r="D12" s="16">
        <f t="shared" si="0"/>
        <v>0</v>
      </c>
      <c r="F12" s="182" t="s">
        <v>151</v>
      </c>
      <c r="G12" s="182"/>
      <c r="H12" s="14" t="s">
        <v>152</v>
      </c>
    </row>
    <row r="13" spans="1:13" x14ac:dyDescent="0.3">
      <c r="F13" s="182" t="s">
        <v>153</v>
      </c>
      <c r="G13" s="182"/>
      <c r="H13" s="14" t="s">
        <v>154</v>
      </c>
    </row>
    <row r="14" spans="1:13" hidden="1" x14ac:dyDescent="0.3">
      <c r="A14" s="9"/>
      <c r="B14" s="9" t="s">
        <v>155</v>
      </c>
      <c r="C14" s="9" t="s">
        <v>156</v>
      </c>
      <c r="G14" s="9" t="s">
        <v>134</v>
      </c>
      <c r="H14" s="9" t="s">
        <v>157</v>
      </c>
      <c r="I14" s="9" t="s">
        <v>158</v>
      </c>
      <c r="J14" s="9" t="s">
        <v>159</v>
      </c>
      <c r="K14" s="9" t="s">
        <v>144</v>
      </c>
      <c r="L14" s="9" t="s">
        <v>147</v>
      </c>
      <c r="M14" s="9" t="s">
        <v>150</v>
      </c>
    </row>
    <row r="15" spans="1:13" hidden="1" x14ac:dyDescent="0.3">
      <c r="A15" s="9" t="s">
        <v>160</v>
      </c>
      <c r="B15" s="9">
        <f>G15</f>
        <v>5</v>
      </c>
      <c r="C15" s="9">
        <f>G16</f>
        <v>25</v>
      </c>
      <c r="E15" s="183" t="s">
        <v>155</v>
      </c>
      <c r="F15" s="183"/>
      <c r="G15" s="20">
        <f>C6</f>
        <v>5</v>
      </c>
      <c r="H15" s="20">
        <f>40/B7*C7</f>
        <v>0</v>
      </c>
      <c r="I15" s="20">
        <f>15/B8*C8</f>
        <v>0</v>
      </c>
      <c r="J15" s="20">
        <f>10/B9*C9</f>
        <v>0</v>
      </c>
      <c r="K15" s="20">
        <f>10/B10*C10</f>
        <v>0</v>
      </c>
      <c r="L15" s="20">
        <f>5/B11*C11</f>
        <v>0</v>
      </c>
      <c r="M15" s="20">
        <f>5/B12*C12</f>
        <v>0</v>
      </c>
    </row>
    <row r="16" spans="1:13" hidden="1" x14ac:dyDescent="0.3">
      <c r="A16" s="9" t="s">
        <v>161</v>
      </c>
      <c r="B16" s="9">
        <f>H15</f>
        <v>0</v>
      </c>
      <c r="C16" s="9">
        <f>H16</f>
        <v>0</v>
      </c>
      <c r="E16" s="183" t="s">
        <v>162</v>
      </c>
      <c r="F16" s="183"/>
      <c r="G16" s="9">
        <f>G15+20</f>
        <v>25</v>
      </c>
      <c r="H16" s="9">
        <f>30/B7*C7</f>
        <v>0</v>
      </c>
      <c r="I16" s="9">
        <f>15/B8*C8</f>
        <v>0</v>
      </c>
      <c r="J16" s="9">
        <f>10/B9*C9</f>
        <v>0</v>
      </c>
      <c r="K16" s="9">
        <f>5/B10*C10</f>
        <v>0</v>
      </c>
      <c r="L16" s="9">
        <f>5/B11*C11</f>
        <v>0</v>
      </c>
      <c r="M16" s="9">
        <f>5/B12*C12</f>
        <v>0</v>
      </c>
    </row>
    <row r="17" spans="1:14" hidden="1" x14ac:dyDescent="0.3">
      <c r="A17" s="9" t="s">
        <v>158</v>
      </c>
      <c r="B17" s="9">
        <f>I15</f>
        <v>0</v>
      </c>
      <c r="C17" s="9">
        <f>I16</f>
        <v>0</v>
      </c>
    </row>
    <row r="18" spans="1:14" hidden="1" x14ac:dyDescent="0.3">
      <c r="A18" s="9" t="s">
        <v>159</v>
      </c>
      <c r="B18" s="9">
        <f>J15</f>
        <v>0</v>
      </c>
      <c r="C18" s="9">
        <f>J16</f>
        <v>0</v>
      </c>
    </row>
    <row r="19" spans="1:14" hidden="1" x14ac:dyDescent="0.3">
      <c r="A19" s="9" t="s">
        <v>144</v>
      </c>
      <c r="B19" s="9">
        <f>K15</f>
        <v>0</v>
      </c>
      <c r="C19" s="9">
        <f>K16</f>
        <v>0</v>
      </c>
    </row>
    <row r="20" spans="1:14" hidden="1" x14ac:dyDescent="0.3">
      <c r="A20" s="21" t="s">
        <v>147</v>
      </c>
      <c r="B20" s="9">
        <f>L15</f>
        <v>0</v>
      </c>
      <c r="C20" s="9">
        <f>L16</f>
        <v>0</v>
      </c>
    </row>
    <row r="21" spans="1:14" hidden="1" x14ac:dyDescent="0.3">
      <c r="A21" s="9" t="s">
        <v>150</v>
      </c>
      <c r="B21" s="9">
        <f>M15</f>
        <v>0</v>
      </c>
      <c r="C21" s="9">
        <f>M16</f>
        <v>0</v>
      </c>
    </row>
    <row r="22" spans="1:14" x14ac:dyDescent="0.3">
      <c r="A22" s="9" t="s">
        <v>163</v>
      </c>
      <c r="B22" s="22">
        <f>(B15+B16+B17+B18+B19+B20+B21)/100</f>
        <v>0.05</v>
      </c>
      <c r="C22" s="22">
        <f>(C15+C16+C17+C18+C19+C20+C21)/100</f>
        <v>0.25</v>
      </c>
      <c r="F22" s="182" t="s">
        <v>164</v>
      </c>
      <c r="G22" s="182"/>
      <c r="H22" s="14" t="s">
        <v>143</v>
      </c>
    </row>
    <row r="23" spans="1:14" x14ac:dyDescent="0.3">
      <c r="F23" s="182" t="s">
        <v>165</v>
      </c>
      <c r="G23" s="182"/>
      <c r="H23" s="14" t="s">
        <v>166</v>
      </c>
    </row>
    <row r="24" spans="1:14" x14ac:dyDescent="0.3">
      <c r="A24" s="10" t="s">
        <v>167</v>
      </c>
      <c r="B24" s="23">
        <v>0.01</v>
      </c>
      <c r="C24" s="23">
        <v>0.02</v>
      </c>
      <c r="F24" s="182" t="s">
        <v>168</v>
      </c>
      <c r="G24" s="182"/>
      <c r="H24" s="14" t="s">
        <v>169</v>
      </c>
    </row>
    <row r="25" spans="1:14" x14ac:dyDescent="0.3">
      <c r="A25" s="10" t="s">
        <v>170</v>
      </c>
      <c r="B25" s="23">
        <v>0.01</v>
      </c>
      <c r="C25" s="23">
        <v>0.03</v>
      </c>
    </row>
    <row r="26" spans="1:14" x14ac:dyDescent="0.3">
      <c r="A26" s="10" t="s">
        <v>171</v>
      </c>
      <c r="B26" s="23">
        <v>0.03</v>
      </c>
      <c r="C26" s="23">
        <v>0.08</v>
      </c>
    </row>
    <row r="27" spans="1:14" x14ac:dyDescent="0.3">
      <c r="A27" s="10" t="s">
        <v>172</v>
      </c>
      <c r="B27" s="23">
        <v>0.05</v>
      </c>
      <c r="C27" s="23">
        <v>0.15</v>
      </c>
    </row>
    <row r="28" spans="1:14" x14ac:dyDescent="0.3">
      <c r="A28" s="10" t="s">
        <v>173</v>
      </c>
      <c r="B28" s="23">
        <v>7.0000000000000007E-2</v>
      </c>
      <c r="C28" s="23">
        <v>0.2</v>
      </c>
      <c r="N28" s="10" t="s">
        <v>190</v>
      </c>
    </row>
    <row r="29" spans="1:14" x14ac:dyDescent="0.3">
      <c r="A29" s="10" t="s">
        <v>174</v>
      </c>
      <c r="B29" s="23">
        <v>0.1</v>
      </c>
      <c r="C29" s="23">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A31" sqref="A31"/>
    </sheetView>
  </sheetViews>
  <sheetFormatPr defaultRowHeight="14" x14ac:dyDescent="0.3"/>
  <cols>
    <col min="1" max="1" width="24" style="10" customWidth="1"/>
    <col min="2" max="2" width="13.69921875" style="10" customWidth="1"/>
    <col min="3" max="4" width="9.296875" style="10"/>
    <col min="5" max="5" width="11.796875" style="10" customWidth="1"/>
    <col min="6" max="6" width="12.5" style="10" customWidth="1"/>
    <col min="7" max="7" width="9.296875" style="10"/>
    <col min="8" max="8" width="12.19921875" style="10" customWidth="1"/>
    <col min="9" max="9" width="18" style="10" customWidth="1"/>
    <col min="10" max="258" width="9.296875" style="10"/>
    <col min="259" max="259" width="13.69921875" style="10" customWidth="1"/>
    <col min="260" max="260" width="9.296875" style="10"/>
    <col min="261" max="261" width="17.19921875" style="10" customWidth="1"/>
    <col min="262" max="262" width="12.5" style="10" customWidth="1"/>
    <col min="263" max="514" width="9.296875" style="10"/>
    <col min="515" max="515" width="13.69921875" style="10" customWidth="1"/>
    <col min="516" max="516" width="9.296875" style="10"/>
    <col min="517" max="517" width="17.19921875" style="10" customWidth="1"/>
    <col min="518" max="518" width="12.5" style="10" customWidth="1"/>
    <col min="519" max="770" width="9.296875" style="10"/>
    <col min="771" max="771" width="13.69921875" style="10" customWidth="1"/>
    <col min="772" max="772" width="9.296875" style="10"/>
    <col min="773" max="773" width="17.19921875" style="10" customWidth="1"/>
    <col min="774" max="774" width="12.5" style="10" customWidth="1"/>
    <col min="775" max="1026" width="9.296875" style="10"/>
    <col min="1027" max="1027" width="13.69921875" style="10" customWidth="1"/>
    <col min="1028" max="1028" width="9.296875" style="10"/>
    <col min="1029" max="1029" width="17.19921875" style="10" customWidth="1"/>
    <col min="1030" max="1030" width="12.5" style="10" customWidth="1"/>
    <col min="1031" max="1282" width="9.296875" style="10"/>
    <col min="1283" max="1283" width="13.69921875" style="10" customWidth="1"/>
    <col min="1284" max="1284" width="9.296875" style="10"/>
    <col min="1285" max="1285" width="17.19921875" style="10" customWidth="1"/>
    <col min="1286" max="1286" width="12.5" style="10" customWidth="1"/>
    <col min="1287" max="1538" width="9.296875" style="10"/>
    <col min="1539" max="1539" width="13.69921875" style="10" customWidth="1"/>
    <col min="1540" max="1540" width="9.296875" style="10"/>
    <col min="1541" max="1541" width="17.19921875" style="10" customWidth="1"/>
    <col min="1542" max="1542" width="12.5" style="10" customWidth="1"/>
    <col min="1543" max="1794" width="9.296875" style="10"/>
    <col min="1795" max="1795" width="13.69921875" style="10" customWidth="1"/>
    <col min="1796" max="1796" width="9.296875" style="10"/>
    <col min="1797" max="1797" width="17.19921875" style="10" customWidth="1"/>
    <col min="1798" max="1798" width="12.5" style="10" customWidth="1"/>
    <col min="1799" max="2050" width="9.296875" style="10"/>
    <col min="2051" max="2051" width="13.69921875" style="10" customWidth="1"/>
    <col min="2052" max="2052" width="9.296875" style="10"/>
    <col min="2053" max="2053" width="17.19921875" style="10" customWidth="1"/>
    <col min="2054" max="2054" width="12.5" style="10" customWidth="1"/>
    <col min="2055" max="2306" width="9.296875" style="10"/>
    <col min="2307" max="2307" width="13.69921875" style="10" customWidth="1"/>
    <col min="2308" max="2308" width="9.296875" style="10"/>
    <col min="2309" max="2309" width="17.19921875" style="10" customWidth="1"/>
    <col min="2310" max="2310" width="12.5" style="10" customWidth="1"/>
    <col min="2311" max="2562" width="9.296875" style="10"/>
    <col min="2563" max="2563" width="13.69921875" style="10" customWidth="1"/>
    <col min="2564" max="2564" width="9.296875" style="10"/>
    <col min="2565" max="2565" width="17.19921875" style="10" customWidth="1"/>
    <col min="2566" max="2566" width="12.5" style="10" customWidth="1"/>
    <col min="2567" max="2818" width="9.296875" style="10"/>
    <col min="2819" max="2819" width="13.69921875" style="10" customWidth="1"/>
    <col min="2820" max="2820" width="9.296875" style="10"/>
    <col min="2821" max="2821" width="17.19921875" style="10" customWidth="1"/>
    <col min="2822" max="2822" width="12.5" style="10" customWidth="1"/>
    <col min="2823" max="3074" width="9.296875" style="10"/>
    <col min="3075" max="3075" width="13.69921875" style="10" customWidth="1"/>
    <col min="3076" max="3076" width="9.296875" style="10"/>
    <col min="3077" max="3077" width="17.19921875" style="10" customWidth="1"/>
    <col min="3078" max="3078" width="12.5" style="10" customWidth="1"/>
    <col min="3079" max="3330" width="9.296875" style="10"/>
    <col min="3331" max="3331" width="13.69921875" style="10" customWidth="1"/>
    <col min="3332" max="3332" width="9.296875" style="10"/>
    <col min="3333" max="3333" width="17.19921875" style="10" customWidth="1"/>
    <col min="3334" max="3334" width="12.5" style="10" customWidth="1"/>
    <col min="3335" max="3586" width="9.296875" style="10"/>
    <col min="3587" max="3587" width="13.69921875" style="10" customWidth="1"/>
    <col min="3588" max="3588" width="9.296875" style="10"/>
    <col min="3589" max="3589" width="17.19921875" style="10" customWidth="1"/>
    <col min="3590" max="3590" width="12.5" style="10" customWidth="1"/>
    <col min="3591" max="3842" width="9.296875" style="10"/>
    <col min="3843" max="3843" width="13.69921875" style="10" customWidth="1"/>
    <col min="3844" max="3844" width="9.296875" style="10"/>
    <col min="3845" max="3845" width="17.19921875" style="10" customWidth="1"/>
    <col min="3846" max="3846" width="12.5" style="10" customWidth="1"/>
    <col min="3847" max="4098" width="9.296875" style="10"/>
    <col min="4099" max="4099" width="13.69921875" style="10" customWidth="1"/>
    <col min="4100" max="4100" width="9.296875" style="10"/>
    <col min="4101" max="4101" width="17.19921875" style="10" customWidth="1"/>
    <col min="4102" max="4102" width="12.5" style="10" customWidth="1"/>
    <col min="4103" max="4354" width="9.296875" style="10"/>
    <col min="4355" max="4355" width="13.69921875" style="10" customWidth="1"/>
    <col min="4356" max="4356" width="9.296875" style="10"/>
    <col min="4357" max="4357" width="17.19921875" style="10" customWidth="1"/>
    <col min="4358" max="4358" width="12.5" style="10" customWidth="1"/>
    <col min="4359" max="4610" width="9.296875" style="10"/>
    <col min="4611" max="4611" width="13.69921875" style="10" customWidth="1"/>
    <col min="4612" max="4612" width="9.296875" style="10"/>
    <col min="4613" max="4613" width="17.19921875" style="10" customWidth="1"/>
    <col min="4614" max="4614" width="12.5" style="10" customWidth="1"/>
    <col min="4615" max="4866" width="9.296875" style="10"/>
    <col min="4867" max="4867" width="13.69921875" style="10" customWidth="1"/>
    <col min="4868" max="4868" width="9.296875" style="10"/>
    <col min="4869" max="4869" width="17.19921875" style="10" customWidth="1"/>
    <col min="4870" max="4870" width="12.5" style="10" customWidth="1"/>
    <col min="4871" max="5122" width="9.296875" style="10"/>
    <col min="5123" max="5123" width="13.69921875" style="10" customWidth="1"/>
    <col min="5124" max="5124" width="9.296875" style="10"/>
    <col min="5125" max="5125" width="17.19921875" style="10" customWidth="1"/>
    <col min="5126" max="5126" width="12.5" style="10" customWidth="1"/>
    <col min="5127" max="5378" width="9.296875" style="10"/>
    <col min="5379" max="5379" width="13.69921875" style="10" customWidth="1"/>
    <col min="5380" max="5380" width="9.296875" style="10"/>
    <col min="5381" max="5381" width="17.19921875" style="10" customWidth="1"/>
    <col min="5382" max="5382" width="12.5" style="10" customWidth="1"/>
    <col min="5383" max="5634" width="9.296875" style="10"/>
    <col min="5635" max="5635" width="13.69921875" style="10" customWidth="1"/>
    <col min="5636" max="5636" width="9.296875" style="10"/>
    <col min="5637" max="5637" width="17.19921875" style="10" customWidth="1"/>
    <col min="5638" max="5638" width="12.5" style="10" customWidth="1"/>
    <col min="5639" max="5890" width="9.296875" style="10"/>
    <col min="5891" max="5891" width="13.69921875" style="10" customWidth="1"/>
    <col min="5892" max="5892" width="9.296875" style="10"/>
    <col min="5893" max="5893" width="17.19921875" style="10" customWidth="1"/>
    <col min="5894" max="5894" width="12.5" style="10" customWidth="1"/>
    <col min="5895" max="6146" width="9.296875" style="10"/>
    <col min="6147" max="6147" width="13.69921875" style="10" customWidth="1"/>
    <col min="6148" max="6148" width="9.296875" style="10"/>
    <col min="6149" max="6149" width="17.19921875" style="10" customWidth="1"/>
    <col min="6150" max="6150" width="12.5" style="10" customWidth="1"/>
    <col min="6151" max="6402" width="9.296875" style="10"/>
    <col min="6403" max="6403" width="13.69921875" style="10" customWidth="1"/>
    <col min="6404" max="6404" width="9.296875" style="10"/>
    <col min="6405" max="6405" width="17.19921875" style="10" customWidth="1"/>
    <col min="6406" max="6406" width="12.5" style="10" customWidth="1"/>
    <col min="6407" max="6658" width="9.296875" style="10"/>
    <col min="6659" max="6659" width="13.69921875" style="10" customWidth="1"/>
    <col min="6660" max="6660" width="9.296875" style="10"/>
    <col min="6661" max="6661" width="17.19921875" style="10" customWidth="1"/>
    <col min="6662" max="6662" width="12.5" style="10" customWidth="1"/>
    <col min="6663" max="6914" width="9.296875" style="10"/>
    <col min="6915" max="6915" width="13.69921875" style="10" customWidth="1"/>
    <col min="6916" max="6916" width="9.296875" style="10"/>
    <col min="6917" max="6917" width="17.19921875" style="10" customWidth="1"/>
    <col min="6918" max="6918" width="12.5" style="10" customWidth="1"/>
    <col min="6919" max="7170" width="9.296875" style="10"/>
    <col min="7171" max="7171" width="13.69921875" style="10" customWidth="1"/>
    <col min="7172" max="7172" width="9.296875" style="10"/>
    <col min="7173" max="7173" width="17.19921875" style="10" customWidth="1"/>
    <col min="7174" max="7174" width="12.5" style="10" customWidth="1"/>
    <col min="7175" max="7426" width="9.296875" style="10"/>
    <col min="7427" max="7427" width="13.69921875" style="10" customWidth="1"/>
    <col min="7428" max="7428" width="9.296875" style="10"/>
    <col min="7429" max="7429" width="17.19921875" style="10" customWidth="1"/>
    <col min="7430" max="7430" width="12.5" style="10" customWidth="1"/>
    <col min="7431" max="7682" width="9.296875" style="10"/>
    <col min="7683" max="7683" width="13.69921875" style="10" customWidth="1"/>
    <col min="7684" max="7684" width="9.296875" style="10"/>
    <col min="7685" max="7685" width="17.19921875" style="10" customWidth="1"/>
    <col min="7686" max="7686" width="12.5" style="10" customWidth="1"/>
    <col min="7687" max="7938" width="9.296875" style="10"/>
    <col min="7939" max="7939" width="13.69921875" style="10" customWidth="1"/>
    <col min="7940" max="7940" width="9.296875" style="10"/>
    <col min="7941" max="7941" width="17.19921875" style="10" customWidth="1"/>
    <col min="7942" max="7942" width="12.5" style="10" customWidth="1"/>
    <col min="7943" max="8194" width="9.296875" style="10"/>
    <col min="8195" max="8195" width="13.69921875" style="10" customWidth="1"/>
    <col min="8196" max="8196" width="9.296875" style="10"/>
    <col min="8197" max="8197" width="17.19921875" style="10" customWidth="1"/>
    <col min="8198" max="8198" width="12.5" style="10" customWidth="1"/>
    <col min="8199" max="8450" width="9.296875" style="10"/>
    <col min="8451" max="8451" width="13.69921875" style="10" customWidth="1"/>
    <col min="8452" max="8452" width="9.296875" style="10"/>
    <col min="8453" max="8453" width="17.19921875" style="10" customWidth="1"/>
    <col min="8454" max="8454" width="12.5" style="10" customWidth="1"/>
    <col min="8455" max="8706" width="9.296875" style="10"/>
    <col min="8707" max="8707" width="13.69921875" style="10" customWidth="1"/>
    <col min="8708" max="8708" width="9.296875" style="10"/>
    <col min="8709" max="8709" width="17.19921875" style="10" customWidth="1"/>
    <col min="8710" max="8710" width="12.5" style="10" customWidth="1"/>
    <col min="8711" max="8962" width="9.296875" style="10"/>
    <col min="8963" max="8963" width="13.69921875" style="10" customWidth="1"/>
    <col min="8964" max="8964" width="9.296875" style="10"/>
    <col min="8965" max="8965" width="17.19921875" style="10" customWidth="1"/>
    <col min="8966" max="8966" width="12.5" style="10" customWidth="1"/>
    <col min="8967" max="9218" width="9.296875" style="10"/>
    <col min="9219" max="9219" width="13.69921875" style="10" customWidth="1"/>
    <col min="9220" max="9220" width="9.296875" style="10"/>
    <col min="9221" max="9221" width="17.19921875" style="10" customWidth="1"/>
    <col min="9222" max="9222" width="12.5" style="10" customWidth="1"/>
    <col min="9223" max="9474" width="9.296875" style="10"/>
    <col min="9475" max="9475" width="13.69921875" style="10" customWidth="1"/>
    <col min="9476" max="9476" width="9.296875" style="10"/>
    <col min="9477" max="9477" width="17.19921875" style="10" customWidth="1"/>
    <col min="9478" max="9478" width="12.5" style="10" customWidth="1"/>
    <col min="9479" max="9730" width="9.296875" style="10"/>
    <col min="9731" max="9731" width="13.69921875" style="10" customWidth="1"/>
    <col min="9732" max="9732" width="9.296875" style="10"/>
    <col min="9733" max="9733" width="17.19921875" style="10" customWidth="1"/>
    <col min="9734" max="9734" width="12.5" style="10" customWidth="1"/>
    <col min="9735" max="9986" width="9.296875" style="10"/>
    <col min="9987" max="9987" width="13.69921875" style="10" customWidth="1"/>
    <col min="9988" max="9988" width="9.296875" style="10"/>
    <col min="9989" max="9989" width="17.19921875" style="10" customWidth="1"/>
    <col min="9990" max="9990" width="12.5" style="10" customWidth="1"/>
    <col min="9991" max="10242" width="9.296875" style="10"/>
    <col min="10243" max="10243" width="13.69921875" style="10" customWidth="1"/>
    <col min="10244" max="10244" width="9.296875" style="10"/>
    <col min="10245" max="10245" width="17.19921875" style="10" customWidth="1"/>
    <col min="10246" max="10246" width="12.5" style="10" customWidth="1"/>
    <col min="10247" max="10498" width="9.296875" style="10"/>
    <col min="10499" max="10499" width="13.69921875" style="10" customWidth="1"/>
    <col min="10500" max="10500" width="9.296875" style="10"/>
    <col min="10501" max="10501" width="17.19921875" style="10" customWidth="1"/>
    <col min="10502" max="10502" width="12.5" style="10" customWidth="1"/>
    <col min="10503" max="10754" width="9.296875" style="10"/>
    <col min="10755" max="10755" width="13.69921875" style="10" customWidth="1"/>
    <col min="10756" max="10756" width="9.296875" style="10"/>
    <col min="10757" max="10757" width="17.19921875" style="10" customWidth="1"/>
    <col min="10758" max="10758" width="12.5" style="10" customWidth="1"/>
    <col min="10759" max="11010" width="9.296875" style="10"/>
    <col min="11011" max="11011" width="13.69921875" style="10" customWidth="1"/>
    <col min="11012" max="11012" width="9.296875" style="10"/>
    <col min="11013" max="11013" width="17.19921875" style="10" customWidth="1"/>
    <col min="11014" max="11014" width="12.5" style="10" customWidth="1"/>
    <col min="11015" max="11266" width="9.296875" style="10"/>
    <col min="11267" max="11267" width="13.69921875" style="10" customWidth="1"/>
    <col min="11268" max="11268" width="9.296875" style="10"/>
    <col min="11269" max="11269" width="17.19921875" style="10" customWidth="1"/>
    <col min="11270" max="11270" width="12.5" style="10" customWidth="1"/>
    <col min="11271" max="11522" width="9.296875" style="10"/>
    <col min="11523" max="11523" width="13.69921875" style="10" customWidth="1"/>
    <col min="11524" max="11524" width="9.296875" style="10"/>
    <col min="11525" max="11525" width="17.19921875" style="10" customWidth="1"/>
    <col min="11526" max="11526" width="12.5" style="10" customWidth="1"/>
    <col min="11527" max="11778" width="9.296875" style="10"/>
    <col min="11779" max="11779" width="13.69921875" style="10" customWidth="1"/>
    <col min="11780" max="11780" width="9.296875" style="10"/>
    <col min="11781" max="11781" width="17.19921875" style="10" customWidth="1"/>
    <col min="11782" max="11782" width="12.5" style="10" customWidth="1"/>
    <col min="11783" max="12034" width="9.296875" style="10"/>
    <col min="12035" max="12035" width="13.69921875" style="10" customWidth="1"/>
    <col min="12036" max="12036" width="9.296875" style="10"/>
    <col min="12037" max="12037" width="17.19921875" style="10" customWidth="1"/>
    <col min="12038" max="12038" width="12.5" style="10" customWidth="1"/>
    <col min="12039" max="12290" width="9.296875" style="10"/>
    <col min="12291" max="12291" width="13.69921875" style="10" customWidth="1"/>
    <col min="12292" max="12292" width="9.296875" style="10"/>
    <col min="12293" max="12293" width="17.19921875" style="10" customWidth="1"/>
    <col min="12294" max="12294" width="12.5" style="10" customWidth="1"/>
    <col min="12295" max="12546" width="9.296875" style="10"/>
    <col min="12547" max="12547" width="13.69921875" style="10" customWidth="1"/>
    <col min="12548" max="12548" width="9.296875" style="10"/>
    <col min="12549" max="12549" width="17.19921875" style="10" customWidth="1"/>
    <col min="12550" max="12550" width="12.5" style="10" customWidth="1"/>
    <col min="12551" max="12802" width="9.296875" style="10"/>
    <col min="12803" max="12803" width="13.69921875" style="10" customWidth="1"/>
    <col min="12804" max="12804" width="9.296875" style="10"/>
    <col min="12805" max="12805" width="17.19921875" style="10" customWidth="1"/>
    <col min="12806" max="12806" width="12.5" style="10" customWidth="1"/>
    <col min="12807" max="13058" width="9.296875" style="10"/>
    <col min="13059" max="13059" width="13.69921875" style="10" customWidth="1"/>
    <col min="13060" max="13060" width="9.296875" style="10"/>
    <col min="13061" max="13061" width="17.19921875" style="10" customWidth="1"/>
    <col min="13062" max="13062" width="12.5" style="10" customWidth="1"/>
    <col min="13063" max="13314" width="9.296875" style="10"/>
    <col min="13315" max="13315" width="13.69921875" style="10" customWidth="1"/>
    <col min="13316" max="13316" width="9.296875" style="10"/>
    <col min="13317" max="13317" width="17.19921875" style="10" customWidth="1"/>
    <col min="13318" max="13318" width="12.5" style="10" customWidth="1"/>
    <col min="13319" max="13570" width="9.296875" style="10"/>
    <col min="13571" max="13571" width="13.69921875" style="10" customWidth="1"/>
    <col min="13572" max="13572" width="9.296875" style="10"/>
    <col min="13573" max="13573" width="17.19921875" style="10" customWidth="1"/>
    <col min="13574" max="13574" width="12.5" style="10" customWidth="1"/>
    <col min="13575" max="13826" width="9.296875" style="10"/>
    <col min="13827" max="13827" width="13.69921875" style="10" customWidth="1"/>
    <col min="13828" max="13828" width="9.296875" style="10"/>
    <col min="13829" max="13829" width="17.19921875" style="10" customWidth="1"/>
    <col min="13830" max="13830" width="12.5" style="10" customWidth="1"/>
    <col min="13831" max="14082" width="9.296875" style="10"/>
    <col min="14083" max="14083" width="13.69921875" style="10" customWidth="1"/>
    <col min="14084" max="14084" width="9.296875" style="10"/>
    <col min="14085" max="14085" width="17.19921875" style="10" customWidth="1"/>
    <col min="14086" max="14086" width="12.5" style="10" customWidth="1"/>
    <col min="14087" max="14338" width="9.296875" style="10"/>
    <col min="14339" max="14339" width="13.69921875" style="10" customWidth="1"/>
    <col min="14340" max="14340" width="9.296875" style="10"/>
    <col min="14341" max="14341" width="17.19921875" style="10" customWidth="1"/>
    <col min="14342" max="14342" width="12.5" style="10" customWidth="1"/>
    <col min="14343" max="14594" width="9.296875" style="10"/>
    <col min="14595" max="14595" width="13.69921875" style="10" customWidth="1"/>
    <col min="14596" max="14596" width="9.296875" style="10"/>
    <col min="14597" max="14597" width="17.19921875" style="10" customWidth="1"/>
    <col min="14598" max="14598" width="12.5" style="10" customWidth="1"/>
    <col min="14599" max="14850" width="9.296875" style="10"/>
    <col min="14851" max="14851" width="13.69921875" style="10" customWidth="1"/>
    <col min="14852" max="14852" width="9.296875" style="10"/>
    <col min="14853" max="14853" width="17.19921875" style="10" customWidth="1"/>
    <col min="14854" max="14854" width="12.5" style="10" customWidth="1"/>
    <col min="14855" max="15106" width="9.296875" style="10"/>
    <col min="15107" max="15107" width="13.69921875" style="10" customWidth="1"/>
    <col min="15108" max="15108" width="9.296875" style="10"/>
    <col min="15109" max="15109" width="17.19921875" style="10" customWidth="1"/>
    <col min="15110" max="15110" width="12.5" style="10" customWidth="1"/>
    <col min="15111" max="15362" width="9.296875" style="10"/>
    <col min="15363" max="15363" width="13.69921875" style="10" customWidth="1"/>
    <col min="15364" max="15364" width="9.296875" style="10"/>
    <col min="15365" max="15365" width="17.19921875" style="10" customWidth="1"/>
    <col min="15366" max="15366" width="12.5" style="10" customWidth="1"/>
    <col min="15367" max="15618" width="9.296875" style="10"/>
    <col min="15619" max="15619" width="13.69921875" style="10" customWidth="1"/>
    <col min="15620" max="15620" width="9.296875" style="10"/>
    <col min="15621" max="15621" width="17.19921875" style="10" customWidth="1"/>
    <col min="15622" max="15622" width="12.5" style="10" customWidth="1"/>
    <col min="15623" max="15874" width="9.296875" style="10"/>
    <col min="15875" max="15875" width="13.69921875" style="10" customWidth="1"/>
    <col min="15876" max="15876" width="9.296875" style="10"/>
    <col min="15877" max="15877" width="17.19921875" style="10" customWidth="1"/>
    <col min="15878" max="15878" width="12.5" style="10" customWidth="1"/>
    <col min="15879" max="16130" width="9.296875" style="10"/>
    <col min="16131" max="16131" width="13.69921875" style="10" customWidth="1"/>
    <col min="16132" max="16132" width="9.296875" style="10"/>
    <col min="16133" max="16133" width="17.19921875" style="10" customWidth="1"/>
    <col min="16134" max="16134" width="12.5" style="10" customWidth="1"/>
    <col min="16135" max="16384" width="9.296875" style="10"/>
  </cols>
  <sheetData>
    <row r="2" spans="1:13" x14ac:dyDescent="0.3">
      <c r="A2" s="9" t="s">
        <v>128</v>
      </c>
      <c r="B2" s="9" t="s">
        <v>129</v>
      </c>
      <c r="C2" s="9" t="s">
        <v>130</v>
      </c>
      <c r="D2" s="183" t="s">
        <v>131</v>
      </c>
      <c r="E2" s="183"/>
    </row>
    <row r="3" spans="1:13" x14ac:dyDescent="0.3">
      <c r="A3" s="11">
        <v>1</v>
      </c>
      <c r="B3" s="11">
        <v>0</v>
      </c>
      <c r="C3" s="11">
        <v>1</v>
      </c>
      <c r="D3" s="184">
        <v>23</v>
      </c>
      <c r="E3" s="184"/>
    </row>
    <row r="5" spans="1:13" hidden="1" x14ac:dyDescent="0.3">
      <c r="A5" s="10" t="s">
        <v>132</v>
      </c>
      <c r="B5" s="12" t="s">
        <v>133</v>
      </c>
      <c r="C5" s="12">
        <f>D3</f>
        <v>23</v>
      </c>
      <c r="D5" s="13"/>
    </row>
    <row r="6" spans="1:13" x14ac:dyDescent="0.3">
      <c r="A6" s="10" t="s">
        <v>134</v>
      </c>
      <c r="B6" s="14">
        <v>10</v>
      </c>
      <c r="C6" s="15">
        <v>3</v>
      </c>
      <c r="D6" s="16">
        <f>((100/B6)*C6)/100</f>
        <v>0.3</v>
      </c>
    </row>
    <row r="7" spans="1:13" x14ac:dyDescent="0.3">
      <c r="A7" s="10" t="s">
        <v>135</v>
      </c>
      <c r="B7" s="14">
        <f>A3+B3+C3+D3</f>
        <v>25</v>
      </c>
      <c r="C7" s="15">
        <v>0</v>
      </c>
      <c r="D7" s="16">
        <f>((100/B7)*C7)/100</f>
        <v>0</v>
      </c>
      <c r="F7" s="185" t="s">
        <v>136</v>
      </c>
      <c r="G7" s="185"/>
      <c r="H7" s="17" t="s">
        <v>137</v>
      </c>
      <c r="J7" s="18"/>
    </row>
    <row r="8" spans="1:13" x14ac:dyDescent="0.3">
      <c r="A8" s="10" t="s">
        <v>138</v>
      </c>
      <c r="B8" s="14">
        <f>C5</f>
        <v>23</v>
      </c>
      <c r="C8" s="15">
        <v>0</v>
      </c>
      <c r="D8" s="16">
        <f t="shared" ref="D8:D12" si="0">((100/B8)*C8)/100</f>
        <v>0</v>
      </c>
      <c r="F8" s="182" t="s">
        <v>139</v>
      </c>
      <c r="G8" s="182"/>
      <c r="H8" s="14" t="s">
        <v>140</v>
      </c>
    </row>
    <row r="9" spans="1:13" x14ac:dyDescent="0.3">
      <c r="A9" s="10" t="s">
        <v>141</v>
      </c>
      <c r="B9" s="14">
        <f>C5</f>
        <v>23</v>
      </c>
      <c r="C9" s="15">
        <v>0</v>
      </c>
      <c r="D9" s="16">
        <f t="shared" si="0"/>
        <v>0</v>
      </c>
      <c r="F9" s="182" t="s">
        <v>142</v>
      </c>
      <c r="G9" s="182"/>
      <c r="H9" s="14" t="s">
        <v>143</v>
      </c>
    </row>
    <row r="10" spans="1:13" x14ac:dyDescent="0.3">
      <c r="A10" s="10" t="s">
        <v>144</v>
      </c>
      <c r="B10" s="14">
        <f>C5</f>
        <v>23</v>
      </c>
      <c r="C10" s="15">
        <v>0</v>
      </c>
      <c r="D10" s="16">
        <f t="shared" si="0"/>
        <v>0</v>
      </c>
      <c r="F10" s="182" t="s">
        <v>145</v>
      </c>
      <c r="G10" s="182"/>
      <c r="H10" s="14" t="s">
        <v>146</v>
      </c>
    </row>
    <row r="11" spans="1:13" x14ac:dyDescent="0.3">
      <c r="A11" s="19" t="s">
        <v>147</v>
      </c>
      <c r="B11" s="14">
        <f>C5</f>
        <v>23</v>
      </c>
      <c r="C11" s="15">
        <v>0</v>
      </c>
      <c r="D11" s="16">
        <f t="shared" si="0"/>
        <v>0</v>
      </c>
      <c r="F11" s="182" t="s">
        <v>148</v>
      </c>
      <c r="G11" s="182"/>
      <c r="H11" s="14" t="s">
        <v>149</v>
      </c>
    </row>
    <row r="12" spans="1:13" x14ac:dyDescent="0.3">
      <c r="A12" s="10" t="s">
        <v>150</v>
      </c>
      <c r="B12" s="14">
        <f>C5</f>
        <v>23</v>
      </c>
      <c r="C12" s="15">
        <v>0</v>
      </c>
      <c r="D12" s="16">
        <f t="shared" si="0"/>
        <v>0</v>
      </c>
      <c r="F12" s="182" t="s">
        <v>151</v>
      </c>
      <c r="G12" s="182"/>
      <c r="H12" s="14" t="s">
        <v>152</v>
      </c>
    </row>
    <row r="13" spans="1:13" x14ac:dyDescent="0.3">
      <c r="F13" s="182" t="s">
        <v>153</v>
      </c>
      <c r="G13" s="182"/>
      <c r="H13" s="14" t="s">
        <v>154</v>
      </c>
    </row>
    <row r="14" spans="1:13" hidden="1" x14ac:dyDescent="0.3">
      <c r="A14" s="9"/>
      <c r="B14" s="9" t="s">
        <v>155</v>
      </c>
      <c r="C14" s="9" t="s">
        <v>156</v>
      </c>
      <c r="G14" s="9" t="s">
        <v>134</v>
      </c>
      <c r="H14" s="9" t="s">
        <v>157</v>
      </c>
      <c r="I14" s="9" t="s">
        <v>158</v>
      </c>
      <c r="J14" s="9" t="s">
        <v>159</v>
      </c>
      <c r="K14" s="9" t="s">
        <v>144</v>
      </c>
      <c r="L14" s="9" t="s">
        <v>147</v>
      </c>
      <c r="M14" s="9" t="s">
        <v>150</v>
      </c>
    </row>
    <row r="15" spans="1:13" hidden="1" x14ac:dyDescent="0.3">
      <c r="A15" s="9" t="s">
        <v>160</v>
      </c>
      <c r="B15" s="9">
        <f>G15</f>
        <v>3</v>
      </c>
      <c r="C15" s="9">
        <f>G16</f>
        <v>23</v>
      </c>
      <c r="E15" s="183" t="s">
        <v>155</v>
      </c>
      <c r="F15" s="183"/>
      <c r="G15" s="20">
        <f>C6</f>
        <v>3</v>
      </c>
      <c r="H15" s="20">
        <f>40/B7*C7</f>
        <v>0</v>
      </c>
      <c r="I15" s="20">
        <f>15/B8*C8</f>
        <v>0</v>
      </c>
      <c r="J15" s="20">
        <f>10/B9*C9</f>
        <v>0</v>
      </c>
      <c r="K15" s="20">
        <f>10/B10*C10</f>
        <v>0</v>
      </c>
      <c r="L15" s="20">
        <f>5/B11*C11</f>
        <v>0</v>
      </c>
      <c r="M15" s="20">
        <f>5/B12*C12</f>
        <v>0</v>
      </c>
    </row>
    <row r="16" spans="1:13" hidden="1" x14ac:dyDescent="0.3">
      <c r="A16" s="9" t="s">
        <v>161</v>
      </c>
      <c r="B16" s="9">
        <f>H15</f>
        <v>0</v>
      </c>
      <c r="C16" s="9">
        <f>H16</f>
        <v>0</v>
      </c>
      <c r="E16" s="183" t="s">
        <v>162</v>
      </c>
      <c r="F16" s="183"/>
      <c r="G16" s="9">
        <f>G15+20</f>
        <v>23</v>
      </c>
      <c r="H16" s="9">
        <f>30/B7*C7</f>
        <v>0</v>
      </c>
      <c r="I16" s="9">
        <f>15/B8*C8</f>
        <v>0</v>
      </c>
      <c r="J16" s="9">
        <f>10/B9*C9</f>
        <v>0</v>
      </c>
      <c r="K16" s="9">
        <f>5/B10*C10</f>
        <v>0</v>
      </c>
      <c r="L16" s="9">
        <f>5/B11*C11</f>
        <v>0</v>
      </c>
      <c r="M16" s="9">
        <f>5/B12*C12</f>
        <v>0</v>
      </c>
    </row>
    <row r="17" spans="1:8" hidden="1" x14ac:dyDescent="0.3">
      <c r="A17" s="9" t="s">
        <v>158</v>
      </c>
      <c r="B17" s="9">
        <f>I15</f>
        <v>0</v>
      </c>
      <c r="C17" s="9">
        <f>I16</f>
        <v>0</v>
      </c>
    </row>
    <row r="18" spans="1:8" hidden="1" x14ac:dyDescent="0.3">
      <c r="A18" s="9" t="s">
        <v>159</v>
      </c>
      <c r="B18" s="9">
        <f>J15</f>
        <v>0</v>
      </c>
      <c r="C18" s="9">
        <f>J16</f>
        <v>0</v>
      </c>
    </row>
    <row r="19" spans="1:8" hidden="1" x14ac:dyDescent="0.3">
      <c r="A19" s="9" t="s">
        <v>144</v>
      </c>
      <c r="B19" s="9">
        <f>K15</f>
        <v>0</v>
      </c>
      <c r="C19" s="9">
        <f>K16</f>
        <v>0</v>
      </c>
    </row>
    <row r="20" spans="1:8" hidden="1" x14ac:dyDescent="0.3">
      <c r="A20" s="21" t="s">
        <v>147</v>
      </c>
      <c r="B20" s="9">
        <f>L15</f>
        <v>0</v>
      </c>
      <c r="C20" s="9">
        <f>L16</f>
        <v>0</v>
      </c>
    </row>
    <row r="21" spans="1:8" hidden="1" x14ac:dyDescent="0.3">
      <c r="A21" s="9" t="s">
        <v>150</v>
      </c>
      <c r="B21" s="9">
        <f>M15</f>
        <v>0</v>
      </c>
      <c r="C21" s="9">
        <f>M16</f>
        <v>0</v>
      </c>
    </row>
    <row r="22" spans="1:8" x14ac:dyDescent="0.3">
      <c r="A22" s="9" t="s">
        <v>163</v>
      </c>
      <c r="B22" s="22">
        <f>(B15+B16+B17+B18+B19+B20+B21)/100</f>
        <v>0.03</v>
      </c>
      <c r="C22" s="22">
        <f>(C15+C16+C17+C18+C19+C20+C21)/100</f>
        <v>0.23</v>
      </c>
      <c r="F22" s="182" t="s">
        <v>164</v>
      </c>
      <c r="G22" s="182"/>
      <c r="H22" s="14" t="s">
        <v>143</v>
      </c>
    </row>
    <row r="23" spans="1:8" x14ac:dyDescent="0.3">
      <c r="F23" s="182" t="s">
        <v>165</v>
      </c>
      <c r="G23" s="182"/>
      <c r="H23" s="14" t="s">
        <v>166</v>
      </c>
    </row>
    <row r="24" spans="1:8" x14ac:dyDescent="0.3">
      <c r="A24" s="10" t="s">
        <v>167</v>
      </c>
      <c r="B24" s="23">
        <v>0.01</v>
      </c>
      <c r="C24" s="23">
        <v>0.02</v>
      </c>
      <c r="F24" s="182" t="s">
        <v>168</v>
      </c>
      <c r="G24" s="182"/>
      <c r="H24" s="14" t="s">
        <v>169</v>
      </c>
    </row>
    <row r="25" spans="1:8" x14ac:dyDescent="0.3">
      <c r="A25" s="10" t="s">
        <v>170</v>
      </c>
      <c r="B25" s="23">
        <v>0.01</v>
      </c>
      <c r="C25" s="23">
        <v>0.03</v>
      </c>
    </row>
    <row r="26" spans="1:8" x14ac:dyDescent="0.3">
      <c r="A26" s="10" t="s">
        <v>171</v>
      </c>
      <c r="B26" s="23">
        <v>0.03</v>
      </c>
      <c r="C26" s="23">
        <v>0.08</v>
      </c>
    </row>
    <row r="27" spans="1:8" x14ac:dyDescent="0.3">
      <c r="A27" s="10" t="s">
        <v>172</v>
      </c>
      <c r="B27" s="23">
        <v>0.05</v>
      </c>
      <c r="C27" s="23">
        <v>0.15</v>
      </c>
    </row>
    <row r="28" spans="1:8" x14ac:dyDescent="0.3">
      <c r="A28" s="10" t="s">
        <v>173</v>
      </c>
      <c r="B28" s="23">
        <v>7.0000000000000007E-2</v>
      </c>
      <c r="C28" s="23">
        <v>0.2</v>
      </c>
    </row>
    <row r="29" spans="1:8" x14ac:dyDescent="0.3">
      <c r="A29" s="10" t="s">
        <v>174</v>
      </c>
      <c r="B29" s="23">
        <v>0.1</v>
      </c>
      <c r="C29" s="23">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4" x14ac:dyDescent="0.3"/>
  <cols>
    <col min="1" max="1" width="24" style="10" customWidth="1"/>
    <col min="2" max="2" width="13.69921875" style="10" customWidth="1"/>
    <col min="3" max="4" width="9.296875" style="10"/>
    <col min="5" max="5" width="11.796875" style="10" customWidth="1"/>
    <col min="6" max="6" width="12.5" style="10" customWidth="1"/>
    <col min="7" max="7" width="9.296875" style="10"/>
    <col min="8" max="8" width="12.19921875" style="10" customWidth="1"/>
    <col min="9" max="9" width="18" style="10" customWidth="1"/>
    <col min="10" max="258" width="9.296875" style="10"/>
    <col min="259" max="259" width="13.69921875" style="10" customWidth="1"/>
    <col min="260" max="260" width="9.296875" style="10"/>
    <col min="261" max="261" width="17.19921875" style="10" customWidth="1"/>
    <col min="262" max="262" width="12.5" style="10" customWidth="1"/>
    <col min="263" max="514" width="9.296875" style="10"/>
    <col min="515" max="515" width="13.69921875" style="10" customWidth="1"/>
    <col min="516" max="516" width="9.296875" style="10"/>
    <col min="517" max="517" width="17.19921875" style="10" customWidth="1"/>
    <col min="518" max="518" width="12.5" style="10" customWidth="1"/>
    <col min="519" max="770" width="9.296875" style="10"/>
    <col min="771" max="771" width="13.69921875" style="10" customWidth="1"/>
    <col min="772" max="772" width="9.296875" style="10"/>
    <col min="773" max="773" width="17.19921875" style="10" customWidth="1"/>
    <col min="774" max="774" width="12.5" style="10" customWidth="1"/>
    <col min="775" max="1026" width="9.296875" style="10"/>
    <col min="1027" max="1027" width="13.69921875" style="10" customWidth="1"/>
    <col min="1028" max="1028" width="9.296875" style="10"/>
    <col min="1029" max="1029" width="17.19921875" style="10" customWidth="1"/>
    <col min="1030" max="1030" width="12.5" style="10" customWidth="1"/>
    <col min="1031" max="1282" width="9.296875" style="10"/>
    <col min="1283" max="1283" width="13.69921875" style="10" customWidth="1"/>
    <col min="1284" max="1284" width="9.296875" style="10"/>
    <col min="1285" max="1285" width="17.19921875" style="10" customWidth="1"/>
    <col min="1286" max="1286" width="12.5" style="10" customWidth="1"/>
    <col min="1287" max="1538" width="9.296875" style="10"/>
    <col min="1539" max="1539" width="13.69921875" style="10" customWidth="1"/>
    <col min="1540" max="1540" width="9.296875" style="10"/>
    <col min="1541" max="1541" width="17.19921875" style="10" customWidth="1"/>
    <col min="1542" max="1542" width="12.5" style="10" customWidth="1"/>
    <col min="1543" max="1794" width="9.296875" style="10"/>
    <col min="1795" max="1795" width="13.69921875" style="10" customWidth="1"/>
    <col min="1796" max="1796" width="9.296875" style="10"/>
    <col min="1797" max="1797" width="17.19921875" style="10" customWidth="1"/>
    <col min="1798" max="1798" width="12.5" style="10" customWidth="1"/>
    <col min="1799" max="2050" width="9.296875" style="10"/>
    <col min="2051" max="2051" width="13.69921875" style="10" customWidth="1"/>
    <col min="2052" max="2052" width="9.296875" style="10"/>
    <col min="2053" max="2053" width="17.19921875" style="10" customWidth="1"/>
    <col min="2054" max="2054" width="12.5" style="10" customWidth="1"/>
    <col min="2055" max="2306" width="9.296875" style="10"/>
    <col min="2307" max="2307" width="13.69921875" style="10" customWidth="1"/>
    <col min="2308" max="2308" width="9.296875" style="10"/>
    <col min="2309" max="2309" width="17.19921875" style="10" customWidth="1"/>
    <col min="2310" max="2310" width="12.5" style="10" customWidth="1"/>
    <col min="2311" max="2562" width="9.296875" style="10"/>
    <col min="2563" max="2563" width="13.69921875" style="10" customWidth="1"/>
    <col min="2564" max="2564" width="9.296875" style="10"/>
    <col min="2565" max="2565" width="17.19921875" style="10" customWidth="1"/>
    <col min="2566" max="2566" width="12.5" style="10" customWidth="1"/>
    <col min="2567" max="2818" width="9.296875" style="10"/>
    <col min="2819" max="2819" width="13.69921875" style="10" customWidth="1"/>
    <col min="2820" max="2820" width="9.296875" style="10"/>
    <col min="2821" max="2821" width="17.19921875" style="10" customWidth="1"/>
    <col min="2822" max="2822" width="12.5" style="10" customWidth="1"/>
    <col min="2823" max="3074" width="9.296875" style="10"/>
    <col min="3075" max="3075" width="13.69921875" style="10" customWidth="1"/>
    <col min="3076" max="3076" width="9.296875" style="10"/>
    <col min="3077" max="3077" width="17.19921875" style="10" customWidth="1"/>
    <col min="3078" max="3078" width="12.5" style="10" customWidth="1"/>
    <col min="3079" max="3330" width="9.296875" style="10"/>
    <col min="3331" max="3331" width="13.69921875" style="10" customWidth="1"/>
    <col min="3332" max="3332" width="9.296875" style="10"/>
    <col min="3333" max="3333" width="17.19921875" style="10" customWidth="1"/>
    <col min="3334" max="3334" width="12.5" style="10" customWidth="1"/>
    <col min="3335" max="3586" width="9.296875" style="10"/>
    <col min="3587" max="3587" width="13.69921875" style="10" customWidth="1"/>
    <col min="3588" max="3588" width="9.296875" style="10"/>
    <col min="3589" max="3589" width="17.19921875" style="10" customWidth="1"/>
    <col min="3590" max="3590" width="12.5" style="10" customWidth="1"/>
    <col min="3591" max="3842" width="9.296875" style="10"/>
    <col min="3843" max="3843" width="13.69921875" style="10" customWidth="1"/>
    <col min="3844" max="3844" width="9.296875" style="10"/>
    <col min="3845" max="3845" width="17.19921875" style="10" customWidth="1"/>
    <col min="3846" max="3846" width="12.5" style="10" customWidth="1"/>
    <col min="3847" max="4098" width="9.296875" style="10"/>
    <col min="4099" max="4099" width="13.69921875" style="10" customWidth="1"/>
    <col min="4100" max="4100" width="9.296875" style="10"/>
    <col min="4101" max="4101" width="17.19921875" style="10" customWidth="1"/>
    <col min="4102" max="4102" width="12.5" style="10" customWidth="1"/>
    <col min="4103" max="4354" width="9.296875" style="10"/>
    <col min="4355" max="4355" width="13.69921875" style="10" customWidth="1"/>
    <col min="4356" max="4356" width="9.296875" style="10"/>
    <col min="4357" max="4357" width="17.19921875" style="10" customWidth="1"/>
    <col min="4358" max="4358" width="12.5" style="10" customWidth="1"/>
    <col min="4359" max="4610" width="9.296875" style="10"/>
    <col min="4611" max="4611" width="13.69921875" style="10" customWidth="1"/>
    <col min="4612" max="4612" width="9.296875" style="10"/>
    <col min="4613" max="4613" width="17.19921875" style="10" customWidth="1"/>
    <col min="4614" max="4614" width="12.5" style="10" customWidth="1"/>
    <col min="4615" max="4866" width="9.296875" style="10"/>
    <col min="4867" max="4867" width="13.69921875" style="10" customWidth="1"/>
    <col min="4868" max="4868" width="9.296875" style="10"/>
    <col min="4869" max="4869" width="17.19921875" style="10" customWidth="1"/>
    <col min="4870" max="4870" width="12.5" style="10" customWidth="1"/>
    <col min="4871" max="5122" width="9.296875" style="10"/>
    <col min="5123" max="5123" width="13.69921875" style="10" customWidth="1"/>
    <col min="5124" max="5124" width="9.296875" style="10"/>
    <col min="5125" max="5125" width="17.19921875" style="10" customWidth="1"/>
    <col min="5126" max="5126" width="12.5" style="10" customWidth="1"/>
    <col min="5127" max="5378" width="9.296875" style="10"/>
    <col min="5379" max="5379" width="13.69921875" style="10" customWidth="1"/>
    <col min="5380" max="5380" width="9.296875" style="10"/>
    <col min="5381" max="5381" width="17.19921875" style="10" customWidth="1"/>
    <col min="5382" max="5382" width="12.5" style="10" customWidth="1"/>
    <col min="5383" max="5634" width="9.296875" style="10"/>
    <col min="5635" max="5635" width="13.69921875" style="10" customWidth="1"/>
    <col min="5636" max="5636" width="9.296875" style="10"/>
    <col min="5637" max="5637" width="17.19921875" style="10" customWidth="1"/>
    <col min="5638" max="5638" width="12.5" style="10" customWidth="1"/>
    <col min="5639" max="5890" width="9.296875" style="10"/>
    <col min="5891" max="5891" width="13.69921875" style="10" customWidth="1"/>
    <col min="5892" max="5892" width="9.296875" style="10"/>
    <col min="5893" max="5893" width="17.19921875" style="10" customWidth="1"/>
    <col min="5894" max="5894" width="12.5" style="10" customWidth="1"/>
    <col min="5895" max="6146" width="9.296875" style="10"/>
    <col min="6147" max="6147" width="13.69921875" style="10" customWidth="1"/>
    <col min="6148" max="6148" width="9.296875" style="10"/>
    <col min="6149" max="6149" width="17.19921875" style="10" customWidth="1"/>
    <col min="6150" max="6150" width="12.5" style="10" customWidth="1"/>
    <col min="6151" max="6402" width="9.296875" style="10"/>
    <col min="6403" max="6403" width="13.69921875" style="10" customWidth="1"/>
    <col min="6404" max="6404" width="9.296875" style="10"/>
    <col min="6405" max="6405" width="17.19921875" style="10" customWidth="1"/>
    <col min="6406" max="6406" width="12.5" style="10" customWidth="1"/>
    <col min="6407" max="6658" width="9.296875" style="10"/>
    <col min="6659" max="6659" width="13.69921875" style="10" customWidth="1"/>
    <col min="6660" max="6660" width="9.296875" style="10"/>
    <col min="6661" max="6661" width="17.19921875" style="10" customWidth="1"/>
    <col min="6662" max="6662" width="12.5" style="10" customWidth="1"/>
    <col min="6663" max="6914" width="9.296875" style="10"/>
    <col min="6915" max="6915" width="13.69921875" style="10" customWidth="1"/>
    <col min="6916" max="6916" width="9.296875" style="10"/>
    <col min="6917" max="6917" width="17.19921875" style="10" customWidth="1"/>
    <col min="6918" max="6918" width="12.5" style="10" customWidth="1"/>
    <col min="6919" max="7170" width="9.296875" style="10"/>
    <col min="7171" max="7171" width="13.69921875" style="10" customWidth="1"/>
    <col min="7172" max="7172" width="9.296875" style="10"/>
    <col min="7173" max="7173" width="17.19921875" style="10" customWidth="1"/>
    <col min="7174" max="7174" width="12.5" style="10" customWidth="1"/>
    <col min="7175" max="7426" width="9.296875" style="10"/>
    <col min="7427" max="7427" width="13.69921875" style="10" customWidth="1"/>
    <col min="7428" max="7428" width="9.296875" style="10"/>
    <col min="7429" max="7429" width="17.19921875" style="10" customWidth="1"/>
    <col min="7430" max="7430" width="12.5" style="10" customWidth="1"/>
    <col min="7431" max="7682" width="9.296875" style="10"/>
    <col min="7683" max="7683" width="13.69921875" style="10" customWidth="1"/>
    <col min="7684" max="7684" width="9.296875" style="10"/>
    <col min="7685" max="7685" width="17.19921875" style="10" customWidth="1"/>
    <col min="7686" max="7686" width="12.5" style="10" customWidth="1"/>
    <col min="7687" max="7938" width="9.296875" style="10"/>
    <col min="7939" max="7939" width="13.69921875" style="10" customWidth="1"/>
    <col min="7940" max="7940" width="9.296875" style="10"/>
    <col min="7941" max="7941" width="17.19921875" style="10" customWidth="1"/>
    <col min="7942" max="7942" width="12.5" style="10" customWidth="1"/>
    <col min="7943" max="8194" width="9.296875" style="10"/>
    <col min="8195" max="8195" width="13.69921875" style="10" customWidth="1"/>
    <col min="8196" max="8196" width="9.296875" style="10"/>
    <col min="8197" max="8197" width="17.19921875" style="10" customWidth="1"/>
    <col min="8198" max="8198" width="12.5" style="10" customWidth="1"/>
    <col min="8199" max="8450" width="9.296875" style="10"/>
    <col min="8451" max="8451" width="13.69921875" style="10" customWidth="1"/>
    <col min="8452" max="8452" width="9.296875" style="10"/>
    <col min="8453" max="8453" width="17.19921875" style="10" customWidth="1"/>
    <col min="8454" max="8454" width="12.5" style="10" customWidth="1"/>
    <col min="8455" max="8706" width="9.296875" style="10"/>
    <col min="8707" max="8707" width="13.69921875" style="10" customWidth="1"/>
    <col min="8708" max="8708" width="9.296875" style="10"/>
    <col min="8709" max="8709" width="17.19921875" style="10" customWidth="1"/>
    <col min="8710" max="8710" width="12.5" style="10" customWidth="1"/>
    <col min="8711" max="8962" width="9.296875" style="10"/>
    <col min="8963" max="8963" width="13.69921875" style="10" customWidth="1"/>
    <col min="8964" max="8964" width="9.296875" style="10"/>
    <col min="8965" max="8965" width="17.19921875" style="10" customWidth="1"/>
    <col min="8966" max="8966" width="12.5" style="10" customWidth="1"/>
    <col min="8967" max="9218" width="9.296875" style="10"/>
    <col min="9219" max="9219" width="13.69921875" style="10" customWidth="1"/>
    <col min="9220" max="9220" width="9.296875" style="10"/>
    <col min="9221" max="9221" width="17.19921875" style="10" customWidth="1"/>
    <col min="9222" max="9222" width="12.5" style="10" customWidth="1"/>
    <col min="9223" max="9474" width="9.296875" style="10"/>
    <col min="9475" max="9475" width="13.69921875" style="10" customWidth="1"/>
    <col min="9476" max="9476" width="9.296875" style="10"/>
    <col min="9477" max="9477" width="17.19921875" style="10" customWidth="1"/>
    <col min="9478" max="9478" width="12.5" style="10" customWidth="1"/>
    <col min="9479" max="9730" width="9.296875" style="10"/>
    <col min="9731" max="9731" width="13.69921875" style="10" customWidth="1"/>
    <col min="9732" max="9732" width="9.296875" style="10"/>
    <col min="9733" max="9733" width="17.19921875" style="10" customWidth="1"/>
    <col min="9734" max="9734" width="12.5" style="10" customWidth="1"/>
    <col min="9735" max="9986" width="9.296875" style="10"/>
    <col min="9987" max="9987" width="13.69921875" style="10" customWidth="1"/>
    <col min="9988" max="9988" width="9.296875" style="10"/>
    <col min="9989" max="9989" width="17.19921875" style="10" customWidth="1"/>
    <col min="9990" max="9990" width="12.5" style="10" customWidth="1"/>
    <col min="9991" max="10242" width="9.296875" style="10"/>
    <col min="10243" max="10243" width="13.69921875" style="10" customWidth="1"/>
    <col min="10244" max="10244" width="9.296875" style="10"/>
    <col min="10245" max="10245" width="17.19921875" style="10" customWidth="1"/>
    <col min="10246" max="10246" width="12.5" style="10" customWidth="1"/>
    <col min="10247" max="10498" width="9.296875" style="10"/>
    <col min="10499" max="10499" width="13.69921875" style="10" customWidth="1"/>
    <col min="10500" max="10500" width="9.296875" style="10"/>
    <col min="10501" max="10501" width="17.19921875" style="10" customWidth="1"/>
    <col min="10502" max="10502" width="12.5" style="10" customWidth="1"/>
    <col min="10503" max="10754" width="9.296875" style="10"/>
    <col min="10755" max="10755" width="13.69921875" style="10" customWidth="1"/>
    <col min="10756" max="10756" width="9.296875" style="10"/>
    <col min="10757" max="10757" width="17.19921875" style="10" customWidth="1"/>
    <col min="10758" max="10758" width="12.5" style="10" customWidth="1"/>
    <col min="10759" max="11010" width="9.296875" style="10"/>
    <col min="11011" max="11011" width="13.69921875" style="10" customWidth="1"/>
    <col min="11012" max="11012" width="9.296875" style="10"/>
    <col min="11013" max="11013" width="17.19921875" style="10" customWidth="1"/>
    <col min="11014" max="11014" width="12.5" style="10" customWidth="1"/>
    <col min="11015" max="11266" width="9.296875" style="10"/>
    <col min="11267" max="11267" width="13.69921875" style="10" customWidth="1"/>
    <col min="11268" max="11268" width="9.296875" style="10"/>
    <col min="11269" max="11269" width="17.19921875" style="10" customWidth="1"/>
    <col min="11270" max="11270" width="12.5" style="10" customWidth="1"/>
    <col min="11271" max="11522" width="9.296875" style="10"/>
    <col min="11523" max="11523" width="13.69921875" style="10" customWidth="1"/>
    <col min="11524" max="11524" width="9.296875" style="10"/>
    <col min="11525" max="11525" width="17.19921875" style="10" customWidth="1"/>
    <col min="11526" max="11526" width="12.5" style="10" customWidth="1"/>
    <col min="11527" max="11778" width="9.296875" style="10"/>
    <col min="11779" max="11779" width="13.69921875" style="10" customWidth="1"/>
    <col min="11780" max="11780" width="9.296875" style="10"/>
    <col min="11781" max="11781" width="17.19921875" style="10" customWidth="1"/>
    <col min="11782" max="11782" width="12.5" style="10" customWidth="1"/>
    <col min="11783" max="12034" width="9.296875" style="10"/>
    <col min="12035" max="12035" width="13.69921875" style="10" customWidth="1"/>
    <col min="12036" max="12036" width="9.296875" style="10"/>
    <col min="12037" max="12037" width="17.19921875" style="10" customWidth="1"/>
    <col min="12038" max="12038" width="12.5" style="10" customWidth="1"/>
    <col min="12039" max="12290" width="9.296875" style="10"/>
    <col min="12291" max="12291" width="13.69921875" style="10" customWidth="1"/>
    <col min="12292" max="12292" width="9.296875" style="10"/>
    <col min="12293" max="12293" width="17.19921875" style="10" customWidth="1"/>
    <col min="12294" max="12294" width="12.5" style="10" customWidth="1"/>
    <col min="12295" max="12546" width="9.296875" style="10"/>
    <col min="12547" max="12547" width="13.69921875" style="10" customWidth="1"/>
    <col min="12548" max="12548" width="9.296875" style="10"/>
    <col min="12549" max="12549" width="17.19921875" style="10" customWidth="1"/>
    <col min="12550" max="12550" width="12.5" style="10" customWidth="1"/>
    <col min="12551" max="12802" width="9.296875" style="10"/>
    <col min="12803" max="12803" width="13.69921875" style="10" customWidth="1"/>
    <col min="12804" max="12804" width="9.296875" style="10"/>
    <col min="12805" max="12805" width="17.19921875" style="10" customWidth="1"/>
    <col min="12806" max="12806" width="12.5" style="10" customWidth="1"/>
    <col min="12807" max="13058" width="9.296875" style="10"/>
    <col min="13059" max="13059" width="13.69921875" style="10" customWidth="1"/>
    <col min="13060" max="13060" width="9.296875" style="10"/>
    <col min="13061" max="13061" width="17.19921875" style="10" customWidth="1"/>
    <col min="13062" max="13062" width="12.5" style="10" customWidth="1"/>
    <col min="13063" max="13314" width="9.296875" style="10"/>
    <col min="13315" max="13315" width="13.69921875" style="10" customWidth="1"/>
    <col min="13316" max="13316" width="9.296875" style="10"/>
    <col min="13317" max="13317" width="17.19921875" style="10" customWidth="1"/>
    <col min="13318" max="13318" width="12.5" style="10" customWidth="1"/>
    <col min="13319" max="13570" width="9.296875" style="10"/>
    <col min="13571" max="13571" width="13.69921875" style="10" customWidth="1"/>
    <col min="13572" max="13572" width="9.296875" style="10"/>
    <col min="13573" max="13573" width="17.19921875" style="10" customWidth="1"/>
    <col min="13574" max="13574" width="12.5" style="10" customWidth="1"/>
    <col min="13575" max="13826" width="9.296875" style="10"/>
    <col min="13827" max="13827" width="13.69921875" style="10" customWidth="1"/>
    <col min="13828" max="13828" width="9.296875" style="10"/>
    <col min="13829" max="13829" width="17.19921875" style="10" customWidth="1"/>
    <col min="13830" max="13830" width="12.5" style="10" customWidth="1"/>
    <col min="13831" max="14082" width="9.296875" style="10"/>
    <col min="14083" max="14083" width="13.69921875" style="10" customWidth="1"/>
    <col min="14084" max="14084" width="9.296875" style="10"/>
    <col min="14085" max="14085" width="17.19921875" style="10" customWidth="1"/>
    <col min="14086" max="14086" width="12.5" style="10" customWidth="1"/>
    <col min="14087" max="14338" width="9.296875" style="10"/>
    <col min="14339" max="14339" width="13.69921875" style="10" customWidth="1"/>
    <col min="14340" max="14340" width="9.296875" style="10"/>
    <col min="14341" max="14341" width="17.19921875" style="10" customWidth="1"/>
    <col min="14342" max="14342" width="12.5" style="10" customWidth="1"/>
    <col min="14343" max="14594" width="9.296875" style="10"/>
    <col min="14595" max="14595" width="13.69921875" style="10" customWidth="1"/>
    <col min="14596" max="14596" width="9.296875" style="10"/>
    <col min="14597" max="14597" width="17.19921875" style="10" customWidth="1"/>
    <col min="14598" max="14598" width="12.5" style="10" customWidth="1"/>
    <col min="14599" max="14850" width="9.296875" style="10"/>
    <col min="14851" max="14851" width="13.69921875" style="10" customWidth="1"/>
    <col min="14852" max="14852" width="9.296875" style="10"/>
    <col min="14853" max="14853" width="17.19921875" style="10" customWidth="1"/>
    <col min="14854" max="14854" width="12.5" style="10" customWidth="1"/>
    <col min="14855" max="15106" width="9.296875" style="10"/>
    <col min="15107" max="15107" width="13.69921875" style="10" customWidth="1"/>
    <col min="15108" max="15108" width="9.296875" style="10"/>
    <col min="15109" max="15109" width="17.19921875" style="10" customWidth="1"/>
    <col min="15110" max="15110" width="12.5" style="10" customWidth="1"/>
    <col min="15111" max="15362" width="9.296875" style="10"/>
    <col min="15363" max="15363" width="13.69921875" style="10" customWidth="1"/>
    <col min="15364" max="15364" width="9.296875" style="10"/>
    <col min="15365" max="15365" width="17.19921875" style="10" customWidth="1"/>
    <col min="15366" max="15366" width="12.5" style="10" customWidth="1"/>
    <col min="15367" max="15618" width="9.296875" style="10"/>
    <col min="15619" max="15619" width="13.69921875" style="10" customWidth="1"/>
    <col min="15620" max="15620" width="9.296875" style="10"/>
    <col min="15621" max="15621" width="17.19921875" style="10" customWidth="1"/>
    <col min="15622" max="15622" width="12.5" style="10" customWidth="1"/>
    <col min="15623" max="15874" width="9.296875" style="10"/>
    <col min="15875" max="15875" width="13.69921875" style="10" customWidth="1"/>
    <col min="15876" max="15876" width="9.296875" style="10"/>
    <col min="15877" max="15877" width="17.19921875" style="10" customWidth="1"/>
    <col min="15878" max="15878" width="12.5" style="10" customWidth="1"/>
    <col min="15879" max="16130" width="9.296875" style="10"/>
    <col min="16131" max="16131" width="13.69921875" style="10" customWidth="1"/>
    <col min="16132" max="16132" width="9.296875" style="10"/>
    <col min="16133" max="16133" width="17.19921875" style="10" customWidth="1"/>
    <col min="16134" max="16134" width="12.5" style="10" customWidth="1"/>
    <col min="16135" max="16384" width="9.296875" style="10"/>
  </cols>
  <sheetData>
    <row r="2" spans="1:13" x14ac:dyDescent="0.3">
      <c r="A2" s="9" t="s">
        <v>128</v>
      </c>
      <c r="B2" s="9" t="s">
        <v>129</v>
      </c>
      <c r="C2" s="9" t="s">
        <v>130</v>
      </c>
      <c r="D2" s="183" t="s">
        <v>131</v>
      </c>
      <c r="E2" s="183"/>
    </row>
    <row r="3" spans="1:13" x14ac:dyDescent="0.3">
      <c r="A3" s="11">
        <v>1</v>
      </c>
      <c r="B3" s="11">
        <v>0</v>
      </c>
      <c r="C3" s="11">
        <v>1</v>
      </c>
      <c r="D3" s="184">
        <v>23</v>
      </c>
      <c r="E3" s="184"/>
    </row>
    <row r="5" spans="1:13" hidden="1" x14ac:dyDescent="0.3">
      <c r="A5" s="10" t="s">
        <v>132</v>
      </c>
      <c r="B5" s="12" t="s">
        <v>133</v>
      </c>
      <c r="C5" s="12">
        <f>D3</f>
        <v>23</v>
      </c>
      <c r="D5" s="13"/>
    </row>
    <row r="6" spans="1:13" x14ac:dyDescent="0.3">
      <c r="A6" s="10" t="s">
        <v>134</v>
      </c>
      <c r="B6" s="14">
        <v>10</v>
      </c>
      <c r="C6" s="15">
        <v>10</v>
      </c>
      <c r="D6" s="16">
        <f>((100/B6)*C6)/100</f>
        <v>1</v>
      </c>
    </row>
    <row r="7" spans="1:13" x14ac:dyDescent="0.3">
      <c r="A7" s="10" t="s">
        <v>135</v>
      </c>
      <c r="B7" s="14">
        <f>A3+B3+C3+D3</f>
        <v>25</v>
      </c>
      <c r="C7" s="15">
        <v>0</v>
      </c>
      <c r="D7" s="16">
        <f>((100/B7)*C7)/100</f>
        <v>0</v>
      </c>
      <c r="F7" s="185" t="s">
        <v>136</v>
      </c>
      <c r="G7" s="185"/>
      <c r="H7" s="17" t="s">
        <v>137</v>
      </c>
      <c r="J7" s="18"/>
    </row>
    <row r="8" spans="1:13" x14ac:dyDescent="0.3">
      <c r="A8" s="10" t="s">
        <v>138</v>
      </c>
      <c r="B8" s="14">
        <f>C5</f>
        <v>23</v>
      </c>
      <c r="C8" s="15">
        <v>0</v>
      </c>
      <c r="D8" s="16">
        <f t="shared" ref="D8:D12" si="0">((100/B8)*C8)/100</f>
        <v>0</v>
      </c>
      <c r="F8" s="182" t="s">
        <v>139</v>
      </c>
      <c r="G8" s="182"/>
      <c r="H8" s="14" t="s">
        <v>140</v>
      </c>
    </row>
    <row r="9" spans="1:13" x14ac:dyDescent="0.3">
      <c r="A9" s="10" t="s">
        <v>141</v>
      </c>
      <c r="B9" s="14">
        <f>C5</f>
        <v>23</v>
      </c>
      <c r="C9" s="15">
        <v>0</v>
      </c>
      <c r="D9" s="16">
        <f t="shared" si="0"/>
        <v>0</v>
      </c>
      <c r="F9" s="182" t="s">
        <v>142</v>
      </c>
      <c r="G9" s="182"/>
      <c r="H9" s="14" t="s">
        <v>143</v>
      </c>
    </row>
    <row r="10" spans="1:13" x14ac:dyDescent="0.3">
      <c r="A10" s="10" t="s">
        <v>144</v>
      </c>
      <c r="B10" s="14">
        <f>C5</f>
        <v>23</v>
      </c>
      <c r="C10" s="15">
        <v>0</v>
      </c>
      <c r="D10" s="16">
        <f t="shared" si="0"/>
        <v>0</v>
      </c>
      <c r="F10" s="182" t="s">
        <v>145</v>
      </c>
      <c r="G10" s="182"/>
      <c r="H10" s="14" t="s">
        <v>146</v>
      </c>
    </row>
    <row r="11" spans="1:13" x14ac:dyDescent="0.3">
      <c r="A11" s="19" t="s">
        <v>147</v>
      </c>
      <c r="B11" s="14">
        <f>C5</f>
        <v>23</v>
      </c>
      <c r="C11" s="15">
        <v>0</v>
      </c>
      <c r="D11" s="16">
        <f t="shared" si="0"/>
        <v>0</v>
      </c>
      <c r="F11" s="182" t="s">
        <v>148</v>
      </c>
      <c r="G11" s="182"/>
      <c r="H11" s="14" t="s">
        <v>149</v>
      </c>
    </row>
    <row r="12" spans="1:13" x14ac:dyDescent="0.3">
      <c r="A12" s="10" t="s">
        <v>150</v>
      </c>
      <c r="B12" s="14">
        <f>C5</f>
        <v>23</v>
      </c>
      <c r="C12" s="15">
        <v>0</v>
      </c>
      <c r="D12" s="16">
        <f t="shared" si="0"/>
        <v>0</v>
      </c>
      <c r="F12" s="182" t="s">
        <v>151</v>
      </c>
      <c r="G12" s="182"/>
      <c r="H12" s="14" t="s">
        <v>152</v>
      </c>
    </row>
    <row r="13" spans="1:13" x14ac:dyDescent="0.3">
      <c r="F13" s="182" t="s">
        <v>153</v>
      </c>
      <c r="G13" s="182"/>
      <c r="H13" s="14" t="s">
        <v>154</v>
      </c>
    </row>
    <row r="14" spans="1:13" hidden="1" x14ac:dyDescent="0.3">
      <c r="A14" s="9"/>
      <c r="B14" s="9" t="s">
        <v>155</v>
      </c>
      <c r="C14" s="9" t="s">
        <v>156</v>
      </c>
      <c r="G14" s="9" t="s">
        <v>134</v>
      </c>
      <c r="H14" s="9" t="s">
        <v>157</v>
      </c>
      <c r="I14" s="9" t="s">
        <v>158</v>
      </c>
      <c r="J14" s="9" t="s">
        <v>159</v>
      </c>
      <c r="K14" s="9" t="s">
        <v>144</v>
      </c>
      <c r="L14" s="9" t="s">
        <v>147</v>
      </c>
      <c r="M14" s="9" t="s">
        <v>150</v>
      </c>
    </row>
    <row r="15" spans="1:13" hidden="1" x14ac:dyDescent="0.3">
      <c r="A15" s="9" t="s">
        <v>160</v>
      </c>
      <c r="B15" s="9">
        <f>G15</f>
        <v>10</v>
      </c>
      <c r="C15" s="9">
        <f>G16</f>
        <v>30</v>
      </c>
      <c r="E15" s="183" t="s">
        <v>155</v>
      </c>
      <c r="F15" s="183"/>
      <c r="G15" s="20">
        <f>C6</f>
        <v>10</v>
      </c>
      <c r="H15" s="20">
        <f>40/B7*C7</f>
        <v>0</v>
      </c>
      <c r="I15" s="20">
        <f>15/B8*C8</f>
        <v>0</v>
      </c>
      <c r="J15" s="20">
        <f>10/B9*C9</f>
        <v>0</v>
      </c>
      <c r="K15" s="20">
        <f>10/B10*C10</f>
        <v>0</v>
      </c>
      <c r="L15" s="20">
        <f>5/B11*C11</f>
        <v>0</v>
      </c>
      <c r="M15" s="20">
        <f>5/B12*C12</f>
        <v>0</v>
      </c>
    </row>
    <row r="16" spans="1:13" hidden="1" x14ac:dyDescent="0.3">
      <c r="A16" s="9" t="s">
        <v>161</v>
      </c>
      <c r="B16" s="9">
        <f>H15</f>
        <v>0</v>
      </c>
      <c r="C16" s="9">
        <f>H16</f>
        <v>0</v>
      </c>
      <c r="E16" s="183" t="s">
        <v>162</v>
      </c>
      <c r="F16" s="183"/>
      <c r="G16" s="9">
        <f>G15+20</f>
        <v>30</v>
      </c>
      <c r="H16" s="9">
        <f>30/B7*C7</f>
        <v>0</v>
      </c>
      <c r="I16" s="9">
        <f>15/B8*C8</f>
        <v>0</v>
      </c>
      <c r="J16" s="9">
        <f>10/B9*C9</f>
        <v>0</v>
      </c>
      <c r="K16" s="9">
        <f>5/B10*C10</f>
        <v>0</v>
      </c>
      <c r="L16" s="9">
        <f>5/B11*C11</f>
        <v>0</v>
      </c>
      <c r="M16" s="9">
        <f>5/B12*C12</f>
        <v>0</v>
      </c>
    </row>
    <row r="17" spans="1:8" hidden="1" x14ac:dyDescent="0.3">
      <c r="A17" s="9" t="s">
        <v>158</v>
      </c>
      <c r="B17" s="9">
        <f>I15</f>
        <v>0</v>
      </c>
      <c r="C17" s="9">
        <f>I16</f>
        <v>0</v>
      </c>
    </row>
    <row r="18" spans="1:8" hidden="1" x14ac:dyDescent="0.3">
      <c r="A18" s="9" t="s">
        <v>159</v>
      </c>
      <c r="B18" s="9">
        <f>J15</f>
        <v>0</v>
      </c>
      <c r="C18" s="9">
        <f>J16</f>
        <v>0</v>
      </c>
    </row>
    <row r="19" spans="1:8" hidden="1" x14ac:dyDescent="0.3">
      <c r="A19" s="9" t="s">
        <v>144</v>
      </c>
      <c r="B19" s="9">
        <f>K15</f>
        <v>0</v>
      </c>
      <c r="C19" s="9">
        <f>K16</f>
        <v>0</v>
      </c>
    </row>
    <row r="20" spans="1:8" hidden="1" x14ac:dyDescent="0.3">
      <c r="A20" s="21" t="s">
        <v>147</v>
      </c>
      <c r="B20" s="9">
        <f>L15</f>
        <v>0</v>
      </c>
      <c r="C20" s="9">
        <f>L16</f>
        <v>0</v>
      </c>
    </row>
    <row r="21" spans="1:8" hidden="1" x14ac:dyDescent="0.3">
      <c r="A21" s="9" t="s">
        <v>150</v>
      </c>
      <c r="B21" s="9">
        <f>M15</f>
        <v>0</v>
      </c>
      <c r="C21" s="9">
        <f>M16</f>
        <v>0</v>
      </c>
    </row>
    <row r="22" spans="1:8" x14ac:dyDescent="0.3">
      <c r="A22" s="9" t="s">
        <v>163</v>
      </c>
      <c r="B22" s="22">
        <f>(B15+B16+B17+B18+B19+B20+B21)/100</f>
        <v>0.1</v>
      </c>
      <c r="C22" s="22">
        <f>(C15+C16+C17+C18+C19+C20+C21)/100</f>
        <v>0.3</v>
      </c>
      <c r="F22" s="182" t="s">
        <v>164</v>
      </c>
      <c r="G22" s="182"/>
      <c r="H22" s="14" t="s">
        <v>143</v>
      </c>
    </row>
    <row r="23" spans="1:8" x14ac:dyDescent="0.3">
      <c r="F23" s="182" t="s">
        <v>165</v>
      </c>
      <c r="G23" s="182"/>
      <c r="H23" s="14" t="s">
        <v>166</v>
      </c>
    </row>
    <row r="24" spans="1:8" x14ac:dyDescent="0.3">
      <c r="A24" s="10" t="s">
        <v>167</v>
      </c>
      <c r="B24" s="23">
        <v>0.01</v>
      </c>
      <c r="C24" s="23">
        <v>0.02</v>
      </c>
      <c r="F24" s="182" t="s">
        <v>168</v>
      </c>
      <c r="G24" s="182"/>
      <c r="H24" s="14" t="s">
        <v>169</v>
      </c>
    </row>
    <row r="25" spans="1:8" x14ac:dyDescent="0.3">
      <c r="A25" s="10" t="s">
        <v>170</v>
      </c>
      <c r="B25" s="23">
        <v>0.01</v>
      </c>
      <c r="C25" s="23">
        <v>0.03</v>
      </c>
    </row>
    <row r="26" spans="1:8" x14ac:dyDescent="0.3">
      <c r="A26" s="10" t="s">
        <v>171</v>
      </c>
      <c r="B26" s="23">
        <v>0.03</v>
      </c>
      <c r="C26" s="23">
        <v>0.08</v>
      </c>
    </row>
    <row r="27" spans="1:8" x14ac:dyDescent="0.3">
      <c r="A27" s="10" t="s">
        <v>172</v>
      </c>
      <c r="B27" s="23">
        <v>0.05</v>
      </c>
      <c r="C27" s="23">
        <v>0.15</v>
      </c>
    </row>
    <row r="28" spans="1:8" x14ac:dyDescent="0.3">
      <c r="A28" s="10" t="s">
        <v>173</v>
      </c>
      <c r="B28" s="23">
        <v>7.0000000000000007E-2</v>
      </c>
      <c r="C28" s="23">
        <v>0.2</v>
      </c>
    </row>
    <row r="29" spans="1:8" x14ac:dyDescent="0.3">
      <c r="A29" s="10" t="s">
        <v>174</v>
      </c>
      <c r="B29" s="23">
        <v>0.1</v>
      </c>
      <c r="C29" s="23">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4" x14ac:dyDescent="0.3"/>
  <cols>
    <col min="1" max="1" width="24" style="10" customWidth="1"/>
    <col min="2" max="2" width="13.69921875" style="10" customWidth="1"/>
    <col min="3" max="4" width="9.296875" style="10"/>
    <col min="5" max="5" width="11.796875" style="10" customWidth="1"/>
    <col min="6" max="6" width="12.5" style="10" customWidth="1"/>
    <col min="7" max="7" width="9.296875" style="10"/>
    <col min="8" max="8" width="12.19921875" style="10" customWidth="1"/>
    <col min="9" max="9" width="18" style="10" customWidth="1"/>
    <col min="10" max="258" width="9.296875" style="10"/>
    <col min="259" max="259" width="13.69921875" style="10" customWidth="1"/>
    <col min="260" max="260" width="9.296875" style="10"/>
    <col min="261" max="261" width="17.19921875" style="10" customWidth="1"/>
    <col min="262" max="262" width="12.5" style="10" customWidth="1"/>
    <col min="263" max="514" width="9.296875" style="10"/>
    <col min="515" max="515" width="13.69921875" style="10" customWidth="1"/>
    <col min="516" max="516" width="9.296875" style="10"/>
    <col min="517" max="517" width="17.19921875" style="10" customWidth="1"/>
    <col min="518" max="518" width="12.5" style="10" customWidth="1"/>
    <col min="519" max="770" width="9.296875" style="10"/>
    <col min="771" max="771" width="13.69921875" style="10" customWidth="1"/>
    <col min="772" max="772" width="9.296875" style="10"/>
    <col min="773" max="773" width="17.19921875" style="10" customWidth="1"/>
    <col min="774" max="774" width="12.5" style="10" customWidth="1"/>
    <col min="775" max="1026" width="9.296875" style="10"/>
    <col min="1027" max="1027" width="13.69921875" style="10" customWidth="1"/>
    <col min="1028" max="1028" width="9.296875" style="10"/>
    <col min="1029" max="1029" width="17.19921875" style="10" customWidth="1"/>
    <col min="1030" max="1030" width="12.5" style="10" customWidth="1"/>
    <col min="1031" max="1282" width="9.296875" style="10"/>
    <col min="1283" max="1283" width="13.69921875" style="10" customWidth="1"/>
    <col min="1284" max="1284" width="9.296875" style="10"/>
    <col min="1285" max="1285" width="17.19921875" style="10" customWidth="1"/>
    <col min="1286" max="1286" width="12.5" style="10" customWidth="1"/>
    <col min="1287" max="1538" width="9.296875" style="10"/>
    <col min="1539" max="1539" width="13.69921875" style="10" customWidth="1"/>
    <col min="1540" max="1540" width="9.296875" style="10"/>
    <col min="1541" max="1541" width="17.19921875" style="10" customWidth="1"/>
    <col min="1542" max="1542" width="12.5" style="10" customWidth="1"/>
    <col min="1543" max="1794" width="9.296875" style="10"/>
    <col min="1795" max="1795" width="13.69921875" style="10" customWidth="1"/>
    <col min="1796" max="1796" width="9.296875" style="10"/>
    <col min="1797" max="1797" width="17.19921875" style="10" customWidth="1"/>
    <col min="1798" max="1798" width="12.5" style="10" customWidth="1"/>
    <col min="1799" max="2050" width="9.296875" style="10"/>
    <col min="2051" max="2051" width="13.69921875" style="10" customWidth="1"/>
    <col min="2052" max="2052" width="9.296875" style="10"/>
    <col min="2053" max="2053" width="17.19921875" style="10" customWidth="1"/>
    <col min="2054" max="2054" width="12.5" style="10" customWidth="1"/>
    <col min="2055" max="2306" width="9.296875" style="10"/>
    <col min="2307" max="2307" width="13.69921875" style="10" customWidth="1"/>
    <col min="2308" max="2308" width="9.296875" style="10"/>
    <col min="2309" max="2309" width="17.19921875" style="10" customWidth="1"/>
    <col min="2310" max="2310" width="12.5" style="10" customWidth="1"/>
    <col min="2311" max="2562" width="9.296875" style="10"/>
    <col min="2563" max="2563" width="13.69921875" style="10" customWidth="1"/>
    <col min="2564" max="2564" width="9.296875" style="10"/>
    <col min="2565" max="2565" width="17.19921875" style="10" customWidth="1"/>
    <col min="2566" max="2566" width="12.5" style="10" customWidth="1"/>
    <col min="2567" max="2818" width="9.296875" style="10"/>
    <col min="2819" max="2819" width="13.69921875" style="10" customWidth="1"/>
    <col min="2820" max="2820" width="9.296875" style="10"/>
    <col min="2821" max="2821" width="17.19921875" style="10" customWidth="1"/>
    <col min="2822" max="2822" width="12.5" style="10" customWidth="1"/>
    <col min="2823" max="3074" width="9.296875" style="10"/>
    <col min="3075" max="3075" width="13.69921875" style="10" customWidth="1"/>
    <col min="3076" max="3076" width="9.296875" style="10"/>
    <col min="3077" max="3077" width="17.19921875" style="10" customWidth="1"/>
    <col min="3078" max="3078" width="12.5" style="10" customWidth="1"/>
    <col min="3079" max="3330" width="9.296875" style="10"/>
    <col min="3331" max="3331" width="13.69921875" style="10" customWidth="1"/>
    <col min="3332" max="3332" width="9.296875" style="10"/>
    <col min="3333" max="3333" width="17.19921875" style="10" customWidth="1"/>
    <col min="3334" max="3334" width="12.5" style="10" customWidth="1"/>
    <col min="3335" max="3586" width="9.296875" style="10"/>
    <col min="3587" max="3587" width="13.69921875" style="10" customWidth="1"/>
    <col min="3588" max="3588" width="9.296875" style="10"/>
    <col min="3589" max="3589" width="17.19921875" style="10" customWidth="1"/>
    <col min="3590" max="3590" width="12.5" style="10" customWidth="1"/>
    <col min="3591" max="3842" width="9.296875" style="10"/>
    <col min="3843" max="3843" width="13.69921875" style="10" customWidth="1"/>
    <col min="3844" max="3844" width="9.296875" style="10"/>
    <col min="3845" max="3845" width="17.19921875" style="10" customWidth="1"/>
    <col min="3846" max="3846" width="12.5" style="10" customWidth="1"/>
    <col min="3847" max="4098" width="9.296875" style="10"/>
    <col min="4099" max="4099" width="13.69921875" style="10" customWidth="1"/>
    <col min="4100" max="4100" width="9.296875" style="10"/>
    <col min="4101" max="4101" width="17.19921875" style="10" customWidth="1"/>
    <col min="4102" max="4102" width="12.5" style="10" customWidth="1"/>
    <col min="4103" max="4354" width="9.296875" style="10"/>
    <col min="4355" max="4355" width="13.69921875" style="10" customWidth="1"/>
    <col min="4356" max="4356" width="9.296875" style="10"/>
    <col min="4357" max="4357" width="17.19921875" style="10" customWidth="1"/>
    <col min="4358" max="4358" width="12.5" style="10" customWidth="1"/>
    <col min="4359" max="4610" width="9.296875" style="10"/>
    <col min="4611" max="4611" width="13.69921875" style="10" customWidth="1"/>
    <col min="4612" max="4612" width="9.296875" style="10"/>
    <col min="4613" max="4613" width="17.19921875" style="10" customWidth="1"/>
    <col min="4614" max="4614" width="12.5" style="10" customWidth="1"/>
    <col min="4615" max="4866" width="9.296875" style="10"/>
    <col min="4867" max="4867" width="13.69921875" style="10" customWidth="1"/>
    <col min="4868" max="4868" width="9.296875" style="10"/>
    <col min="4869" max="4869" width="17.19921875" style="10" customWidth="1"/>
    <col min="4870" max="4870" width="12.5" style="10" customWidth="1"/>
    <col min="4871" max="5122" width="9.296875" style="10"/>
    <col min="5123" max="5123" width="13.69921875" style="10" customWidth="1"/>
    <col min="5124" max="5124" width="9.296875" style="10"/>
    <col min="5125" max="5125" width="17.19921875" style="10" customWidth="1"/>
    <col min="5126" max="5126" width="12.5" style="10" customWidth="1"/>
    <col min="5127" max="5378" width="9.296875" style="10"/>
    <col min="5379" max="5379" width="13.69921875" style="10" customWidth="1"/>
    <col min="5380" max="5380" width="9.296875" style="10"/>
    <col min="5381" max="5381" width="17.19921875" style="10" customWidth="1"/>
    <col min="5382" max="5382" width="12.5" style="10" customWidth="1"/>
    <col min="5383" max="5634" width="9.296875" style="10"/>
    <col min="5635" max="5635" width="13.69921875" style="10" customWidth="1"/>
    <col min="5636" max="5636" width="9.296875" style="10"/>
    <col min="5637" max="5637" width="17.19921875" style="10" customWidth="1"/>
    <col min="5638" max="5638" width="12.5" style="10" customWidth="1"/>
    <col min="5639" max="5890" width="9.296875" style="10"/>
    <col min="5891" max="5891" width="13.69921875" style="10" customWidth="1"/>
    <col min="5892" max="5892" width="9.296875" style="10"/>
    <col min="5893" max="5893" width="17.19921875" style="10" customWidth="1"/>
    <col min="5894" max="5894" width="12.5" style="10" customWidth="1"/>
    <col min="5895" max="6146" width="9.296875" style="10"/>
    <col min="6147" max="6147" width="13.69921875" style="10" customWidth="1"/>
    <col min="6148" max="6148" width="9.296875" style="10"/>
    <col min="6149" max="6149" width="17.19921875" style="10" customWidth="1"/>
    <col min="6150" max="6150" width="12.5" style="10" customWidth="1"/>
    <col min="6151" max="6402" width="9.296875" style="10"/>
    <col min="6403" max="6403" width="13.69921875" style="10" customWidth="1"/>
    <col min="6404" max="6404" width="9.296875" style="10"/>
    <col min="6405" max="6405" width="17.19921875" style="10" customWidth="1"/>
    <col min="6406" max="6406" width="12.5" style="10" customWidth="1"/>
    <col min="6407" max="6658" width="9.296875" style="10"/>
    <col min="6659" max="6659" width="13.69921875" style="10" customWidth="1"/>
    <col min="6660" max="6660" width="9.296875" style="10"/>
    <col min="6661" max="6661" width="17.19921875" style="10" customWidth="1"/>
    <col min="6662" max="6662" width="12.5" style="10" customWidth="1"/>
    <col min="6663" max="6914" width="9.296875" style="10"/>
    <col min="6915" max="6915" width="13.69921875" style="10" customWidth="1"/>
    <col min="6916" max="6916" width="9.296875" style="10"/>
    <col min="6917" max="6917" width="17.19921875" style="10" customWidth="1"/>
    <col min="6918" max="6918" width="12.5" style="10" customWidth="1"/>
    <col min="6919" max="7170" width="9.296875" style="10"/>
    <col min="7171" max="7171" width="13.69921875" style="10" customWidth="1"/>
    <col min="7172" max="7172" width="9.296875" style="10"/>
    <col min="7173" max="7173" width="17.19921875" style="10" customWidth="1"/>
    <col min="7174" max="7174" width="12.5" style="10" customWidth="1"/>
    <col min="7175" max="7426" width="9.296875" style="10"/>
    <col min="7427" max="7427" width="13.69921875" style="10" customWidth="1"/>
    <col min="7428" max="7428" width="9.296875" style="10"/>
    <col min="7429" max="7429" width="17.19921875" style="10" customWidth="1"/>
    <col min="7430" max="7430" width="12.5" style="10" customWidth="1"/>
    <col min="7431" max="7682" width="9.296875" style="10"/>
    <col min="7683" max="7683" width="13.69921875" style="10" customWidth="1"/>
    <col min="7684" max="7684" width="9.296875" style="10"/>
    <col min="7685" max="7685" width="17.19921875" style="10" customWidth="1"/>
    <col min="7686" max="7686" width="12.5" style="10" customWidth="1"/>
    <col min="7687" max="7938" width="9.296875" style="10"/>
    <col min="7939" max="7939" width="13.69921875" style="10" customWidth="1"/>
    <col min="7940" max="7940" width="9.296875" style="10"/>
    <col min="7941" max="7941" width="17.19921875" style="10" customWidth="1"/>
    <col min="7942" max="7942" width="12.5" style="10" customWidth="1"/>
    <col min="7943" max="8194" width="9.296875" style="10"/>
    <col min="8195" max="8195" width="13.69921875" style="10" customWidth="1"/>
    <col min="8196" max="8196" width="9.296875" style="10"/>
    <col min="8197" max="8197" width="17.19921875" style="10" customWidth="1"/>
    <col min="8198" max="8198" width="12.5" style="10" customWidth="1"/>
    <col min="8199" max="8450" width="9.296875" style="10"/>
    <col min="8451" max="8451" width="13.69921875" style="10" customWidth="1"/>
    <col min="8452" max="8452" width="9.296875" style="10"/>
    <col min="8453" max="8453" width="17.19921875" style="10" customWidth="1"/>
    <col min="8454" max="8454" width="12.5" style="10" customWidth="1"/>
    <col min="8455" max="8706" width="9.296875" style="10"/>
    <col min="8707" max="8707" width="13.69921875" style="10" customWidth="1"/>
    <col min="8708" max="8708" width="9.296875" style="10"/>
    <col min="8709" max="8709" width="17.19921875" style="10" customWidth="1"/>
    <col min="8710" max="8710" width="12.5" style="10" customWidth="1"/>
    <col min="8711" max="8962" width="9.296875" style="10"/>
    <col min="8963" max="8963" width="13.69921875" style="10" customWidth="1"/>
    <col min="8964" max="8964" width="9.296875" style="10"/>
    <col min="8965" max="8965" width="17.19921875" style="10" customWidth="1"/>
    <col min="8966" max="8966" width="12.5" style="10" customWidth="1"/>
    <col min="8967" max="9218" width="9.296875" style="10"/>
    <col min="9219" max="9219" width="13.69921875" style="10" customWidth="1"/>
    <col min="9220" max="9220" width="9.296875" style="10"/>
    <col min="9221" max="9221" width="17.19921875" style="10" customWidth="1"/>
    <col min="9222" max="9222" width="12.5" style="10" customWidth="1"/>
    <col min="9223" max="9474" width="9.296875" style="10"/>
    <col min="9475" max="9475" width="13.69921875" style="10" customWidth="1"/>
    <col min="9476" max="9476" width="9.296875" style="10"/>
    <col min="9477" max="9477" width="17.19921875" style="10" customWidth="1"/>
    <col min="9478" max="9478" width="12.5" style="10" customWidth="1"/>
    <col min="9479" max="9730" width="9.296875" style="10"/>
    <col min="9731" max="9731" width="13.69921875" style="10" customWidth="1"/>
    <col min="9732" max="9732" width="9.296875" style="10"/>
    <col min="9733" max="9733" width="17.19921875" style="10" customWidth="1"/>
    <col min="9734" max="9734" width="12.5" style="10" customWidth="1"/>
    <col min="9735" max="9986" width="9.296875" style="10"/>
    <col min="9987" max="9987" width="13.69921875" style="10" customWidth="1"/>
    <col min="9988" max="9988" width="9.296875" style="10"/>
    <col min="9989" max="9989" width="17.19921875" style="10" customWidth="1"/>
    <col min="9990" max="9990" width="12.5" style="10" customWidth="1"/>
    <col min="9991" max="10242" width="9.296875" style="10"/>
    <col min="10243" max="10243" width="13.69921875" style="10" customWidth="1"/>
    <col min="10244" max="10244" width="9.296875" style="10"/>
    <col min="10245" max="10245" width="17.19921875" style="10" customWidth="1"/>
    <col min="10246" max="10246" width="12.5" style="10" customWidth="1"/>
    <col min="10247" max="10498" width="9.296875" style="10"/>
    <col min="10499" max="10499" width="13.69921875" style="10" customWidth="1"/>
    <col min="10500" max="10500" width="9.296875" style="10"/>
    <col min="10501" max="10501" width="17.19921875" style="10" customWidth="1"/>
    <col min="10502" max="10502" width="12.5" style="10" customWidth="1"/>
    <col min="10503" max="10754" width="9.296875" style="10"/>
    <col min="10755" max="10755" width="13.69921875" style="10" customWidth="1"/>
    <col min="10756" max="10756" width="9.296875" style="10"/>
    <col min="10757" max="10757" width="17.19921875" style="10" customWidth="1"/>
    <col min="10758" max="10758" width="12.5" style="10" customWidth="1"/>
    <col min="10759" max="11010" width="9.296875" style="10"/>
    <col min="11011" max="11011" width="13.69921875" style="10" customWidth="1"/>
    <col min="11012" max="11012" width="9.296875" style="10"/>
    <col min="11013" max="11013" width="17.19921875" style="10" customWidth="1"/>
    <col min="11014" max="11014" width="12.5" style="10" customWidth="1"/>
    <col min="11015" max="11266" width="9.296875" style="10"/>
    <col min="11267" max="11267" width="13.69921875" style="10" customWidth="1"/>
    <col min="11268" max="11268" width="9.296875" style="10"/>
    <col min="11269" max="11269" width="17.19921875" style="10" customWidth="1"/>
    <col min="11270" max="11270" width="12.5" style="10" customWidth="1"/>
    <col min="11271" max="11522" width="9.296875" style="10"/>
    <col min="11523" max="11523" width="13.69921875" style="10" customWidth="1"/>
    <col min="11524" max="11524" width="9.296875" style="10"/>
    <col min="11525" max="11525" width="17.19921875" style="10" customWidth="1"/>
    <col min="11526" max="11526" width="12.5" style="10" customWidth="1"/>
    <col min="11527" max="11778" width="9.296875" style="10"/>
    <col min="11779" max="11779" width="13.69921875" style="10" customWidth="1"/>
    <col min="11780" max="11780" width="9.296875" style="10"/>
    <col min="11781" max="11781" width="17.19921875" style="10" customWidth="1"/>
    <col min="11782" max="11782" width="12.5" style="10" customWidth="1"/>
    <col min="11783" max="12034" width="9.296875" style="10"/>
    <col min="12035" max="12035" width="13.69921875" style="10" customWidth="1"/>
    <col min="12036" max="12036" width="9.296875" style="10"/>
    <col min="12037" max="12037" width="17.19921875" style="10" customWidth="1"/>
    <col min="12038" max="12038" width="12.5" style="10" customWidth="1"/>
    <col min="12039" max="12290" width="9.296875" style="10"/>
    <col min="12291" max="12291" width="13.69921875" style="10" customWidth="1"/>
    <col min="12292" max="12292" width="9.296875" style="10"/>
    <col min="12293" max="12293" width="17.19921875" style="10" customWidth="1"/>
    <col min="12294" max="12294" width="12.5" style="10" customWidth="1"/>
    <col min="12295" max="12546" width="9.296875" style="10"/>
    <col min="12547" max="12547" width="13.69921875" style="10" customWidth="1"/>
    <col min="12548" max="12548" width="9.296875" style="10"/>
    <col min="12549" max="12549" width="17.19921875" style="10" customWidth="1"/>
    <col min="12550" max="12550" width="12.5" style="10" customWidth="1"/>
    <col min="12551" max="12802" width="9.296875" style="10"/>
    <col min="12803" max="12803" width="13.69921875" style="10" customWidth="1"/>
    <col min="12804" max="12804" width="9.296875" style="10"/>
    <col min="12805" max="12805" width="17.19921875" style="10" customWidth="1"/>
    <col min="12806" max="12806" width="12.5" style="10" customWidth="1"/>
    <col min="12807" max="13058" width="9.296875" style="10"/>
    <col min="13059" max="13059" width="13.69921875" style="10" customWidth="1"/>
    <col min="13060" max="13060" width="9.296875" style="10"/>
    <col min="13061" max="13061" width="17.19921875" style="10" customWidth="1"/>
    <col min="13062" max="13062" width="12.5" style="10" customWidth="1"/>
    <col min="13063" max="13314" width="9.296875" style="10"/>
    <col min="13315" max="13315" width="13.69921875" style="10" customWidth="1"/>
    <col min="13316" max="13316" width="9.296875" style="10"/>
    <col min="13317" max="13317" width="17.19921875" style="10" customWidth="1"/>
    <col min="13318" max="13318" width="12.5" style="10" customWidth="1"/>
    <col min="13319" max="13570" width="9.296875" style="10"/>
    <col min="13571" max="13571" width="13.69921875" style="10" customWidth="1"/>
    <col min="13572" max="13572" width="9.296875" style="10"/>
    <col min="13573" max="13573" width="17.19921875" style="10" customWidth="1"/>
    <col min="13574" max="13574" width="12.5" style="10" customWidth="1"/>
    <col min="13575" max="13826" width="9.296875" style="10"/>
    <col min="13827" max="13827" width="13.69921875" style="10" customWidth="1"/>
    <col min="13828" max="13828" width="9.296875" style="10"/>
    <col min="13829" max="13829" width="17.19921875" style="10" customWidth="1"/>
    <col min="13830" max="13830" width="12.5" style="10" customWidth="1"/>
    <col min="13831" max="14082" width="9.296875" style="10"/>
    <col min="14083" max="14083" width="13.69921875" style="10" customWidth="1"/>
    <col min="14084" max="14084" width="9.296875" style="10"/>
    <col min="14085" max="14085" width="17.19921875" style="10" customWidth="1"/>
    <col min="14086" max="14086" width="12.5" style="10" customWidth="1"/>
    <col min="14087" max="14338" width="9.296875" style="10"/>
    <col min="14339" max="14339" width="13.69921875" style="10" customWidth="1"/>
    <col min="14340" max="14340" width="9.296875" style="10"/>
    <col min="14341" max="14341" width="17.19921875" style="10" customWidth="1"/>
    <col min="14342" max="14342" width="12.5" style="10" customWidth="1"/>
    <col min="14343" max="14594" width="9.296875" style="10"/>
    <col min="14595" max="14595" width="13.69921875" style="10" customWidth="1"/>
    <col min="14596" max="14596" width="9.296875" style="10"/>
    <col min="14597" max="14597" width="17.19921875" style="10" customWidth="1"/>
    <col min="14598" max="14598" width="12.5" style="10" customWidth="1"/>
    <col min="14599" max="14850" width="9.296875" style="10"/>
    <col min="14851" max="14851" width="13.69921875" style="10" customWidth="1"/>
    <col min="14852" max="14852" width="9.296875" style="10"/>
    <col min="14853" max="14853" width="17.19921875" style="10" customWidth="1"/>
    <col min="14854" max="14854" width="12.5" style="10" customWidth="1"/>
    <col min="14855" max="15106" width="9.296875" style="10"/>
    <col min="15107" max="15107" width="13.69921875" style="10" customWidth="1"/>
    <col min="15108" max="15108" width="9.296875" style="10"/>
    <col min="15109" max="15109" width="17.19921875" style="10" customWidth="1"/>
    <col min="15110" max="15110" width="12.5" style="10" customWidth="1"/>
    <col min="15111" max="15362" width="9.296875" style="10"/>
    <col min="15363" max="15363" width="13.69921875" style="10" customWidth="1"/>
    <col min="15364" max="15364" width="9.296875" style="10"/>
    <col min="15365" max="15365" width="17.19921875" style="10" customWidth="1"/>
    <col min="15366" max="15366" width="12.5" style="10" customWidth="1"/>
    <col min="15367" max="15618" width="9.296875" style="10"/>
    <col min="15619" max="15619" width="13.69921875" style="10" customWidth="1"/>
    <col min="15620" max="15620" width="9.296875" style="10"/>
    <col min="15621" max="15621" width="17.19921875" style="10" customWidth="1"/>
    <col min="15622" max="15622" width="12.5" style="10" customWidth="1"/>
    <col min="15623" max="15874" width="9.296875" style="10"/>
    <col min="15875" max="15875" width="13.69921875" style="10" customWidth="1"/>
    <col min="15876" max="15876" width="9.296875" style="10"/>
    <col min="15877" max="15877" width="17.19921875" style="10" customWidth="1"/>
    <col min="15878" max="15878" width="12.5" style="10" customWidth="1"/>
    <col min="15879" max="16130" width="9.296875" style="10"/>
    <col min="16131" max="16131" width="13.69921875" style="10" customWidth="1"/>
    <col min="16132" max="16132" width="9.296875" style="10"/>
    <col min="16133" max="16133" width="17.19921875" style="10" customWidth="1"/>
    <col min="16134" max="16134" width="12.5" style="10" customWidth="1"/>
    <col min="16135" max="16384" width="9.296875" style="10"/>
  </cols>
  <sheetData>
    <row r="2" spans="1:13" x14ac:dyDescent="0.3">
      <c r="A2" s="9" t="s">
        <v>128</v>
      </c>
      <c r="B2" s="9" t="s">
        <v>129</v>
      </c>
      <c r="C2" s="9" t="s">
        <v>130</v>
      </c>
      <c r="D2" s="183" t="s">
        <v>131</v>
      </c>
      <c r="E2" s="183"/>
    </row>
    <row r="3" spans="1:13" x14ac:dyDescent="0.3">
      <c r="A3" s="11">
        <v>1</v>
      </c>
      <c r="B3" s="11">
        <v>0</v>
      </c>
      <c r="C3" s="11">
        <v>1</v>
      </c>
      <c r="D3" s="184">
        <v>23</v>
      </c>
      <c r="E3" s="184"/>
    </row>
    <row r="5" spans="1:13" hidden="1" x14ac:dyDescent="0.3">
      <c r="A5" s="10" t="s">
        <v>132</v>
      </c>
      <c r="B5" s="12" t="s">
        <v>133</v>
      </c>
      <c r="C5" s="12">
        <f>D3</f>
        <v>23</v>
      </c>
      <c r="D5" s="13"/>
    </row>
    <row r="6" spans="1:13" x14ac:dyDescent="0.3">
      <c r="A6" s="10" t="s">
        <v>134</v>
      </c>
      <c r="B6" s="14">
        <v>10</v>
      </c>
      <c r="C6" s="15">
        <v>5</v>
      </c>
      <c r="D6" s="16">
        <f>((100/B6)*C6)/100</f>
        <v>0.5</v>
      </c>
    </row>
    <row r="7" spans="1:13" x14ac:dyDescent="0.3">
      <c r="A7" s="10" t="s">
        <v>135</v>
      </c>
      <c r="B7" s="14">
        <f>A3+B3+C3+D3</f>
        <v>25</v>
      </c>
      <c r="C7" s="15">
        <v>0</v>
      </c>
      <c r="D7" s="16">
        <f>((100/B7)*C7)/100</f>
        <v>0</v>
      </c>
      <c r="F7" s="185" t="s">
        <v>136</v>
      </c>
      <c r="G7" s="185"/>
      <c r="H7" s="17" t="s">
        <v>137</v>
      </c>
      <c r="J7" s="18"/>
    </row>
    <row r="8" spans="1:13" x14ac:dyDescent="0.3">
      <c r="A8" s="10" t="s">
        <v>138</v>
      </c>
      <c r="B8" s="14">
        <f>C5</f>
        <v>23</v>
      </c>
      <c r="C8" s="15">
        <v>0</v>
      </c>
      <c r="D8" s="16">
        <f t="shared" ref="D8:D12" si="0">((100/B8)*C8)/100</f>
        <v>0</v>
      </c>
      <c r="F8" s="182" t="s">
        <v>139</v>
      </c>
      <c r="G8" s="182"/>
      <c r="H8" s="14" t="s">
        <v>140</v>
      </c>
    </row>
    <row r="9" spans="1:13" x14ac:dyDescent="0.3">
      <c r="A9" s="10" t="s">
        <v>141</v>
      </c>
      <c r="B9" s="14">
        <f>C5</f>
        <v>23</v>
      </c>
      <c r="C9" s="15">
        <v>0</v>
      </c>
      <c r="D9" s="16">
        <f t="shared" si="0"/>
        <v>0</v>
      </c>
      <c r="F9" s="182" t="s">
        <v>142</v>
      </c>
      <c r="G9" s="182"/>
      <c r="H9" s="14" t="s">
        <v>143</v>
      </c>
    </row>
    <row r="10" spans="1:13" x14ac:dyDescent="0.3">
      <c r="A10" s="10" t="s">
        <v>144</v>
      </c>
      <c r="B10" s="14">
        <f>C5</f>
        <v>23</v>
      </c>
      <c r="C10" s="15">
        <v>0</v>
      </c>
      <c r="D10" s="16">
        <f t="shared" si="0"/>
        <v>0</v>
      </c>
      <c r="F10" s="182" t="s">
        <v>145</v>
      </c>
      <c r="G10" s="182"/>
      <c r="H10" s="14" t="s">
        <v>146</v>
      </c>
    </row>
    <row r="11" spans="1:13" x14ac:dyDescent="0.3">
      <c r="A11" s="19" t="s">
        <v>147</v>
      </c>
      <c r="B11" s="14">
        <f>C5</f>
        <v>23</v>
      </c>
      <c r="C11" s="15">
        <v>0</v>
      </c>
      <c r="D11" s="16">
        <f t="shared" si="0"/>
        <v>0</v>
      </c>
      <c r="F11" s="182" t="s">
        <v>148</v>
      </c>
      <c r="G11" s="182"/>
      <c r="H11" s="14" t="s">
        <v>149</v>
      </c>
    </row>
    <row r="12" spans="1:13" x14ac:dyDescent="0.3">
      <c r="A12" s="10" t="s">
        <v>150</v>
      </c>
      <c r="B12" s="14">
        <f>C5</f>
        <v>23</v>
      </c>
      <c r="C12" s="15">
        <v>0</v>
      </c>
      <c r="D12" s="16">
        <f t="shared" si="0"/>
        <v>0</v>
      </c>
      <c r="F12" s="182" t="s">
        <v>151</v>
      </c>
      <c r="G12" s="182"/>
      <c r="H12" s="14" t="s">
        <v>152</v>
      </c>
    </row>
    <row r="13" spans="1:13" x14ac:dyDescent="0.3">
      <c r="F13" s="182" t="s">
        <v>153</v>
      </c>
      <c r="G13" s="182"/>
      <c r="H13" s="14" t="s">
        <v>154</v>
      </c>
    </row>
    <row r="14" spans="1:13" hidden="1" x14ac:dyDescent="0.3">
      <c r="A14" s="9"/>
      <c r="B14" s="9" t="s">
        <v>155</v>
      </c>
      <c r="C14" s="9" t="s">
        <v>156</v>
      </c>
      <c r="G14" s="9" t="s">
        <v>134</v>
      </c>
      <c r="H14" s="9" t="s">
        <v>157</v>
      </c>
      <c r="I14" s="9" t="s">
        <v>158</v>
      </c>
      <c r="J14" s="9" t="s">
        <v>159</v>
      </c>
      <c r="K14" s="9" t="s">
        <v>144</v>
      </c>
      <c r="L14" s="9" t="s">
        <v>147</v>
      </c>
      <c r="M14" s="9" t="s">
        <v>150</v>
      </c>
    </row>
    <row r="15" spans="1:13" hidden="1" x14ac:dyDescent="0.3">
      <c r="A15" s="9" t="s">
        <v>160</v>
      </c>
      <c r="B15" s="9">
        <f>G15</f>
        <v>5</v>
      </c>
      <c r="C15" s="9">
        <f>G16</f>
        <v>25</v>
      </c>
      <c r="E15" s="183" t="s">
        <v>155</v>
      </c>
      <c r="F15" s="183"/>
      <c r="G15" s="20">
        <f>C6</f>
        <v>5</v>
      </c>
      <c r="H15" s="20">
        <f>40/B7*C7</f>
        <v>0</v>
      </c>
      <c r="I15" s="20">
        <f>15/B8*C8</f>
        <v>0</v>
      </c>
      <c r="J15" s="20">
        <f>10/B9*C9</f>
        <v>0</v>
      </c>
      <c r="K15" s="20">
        <f>10/B10*C10</f>
        <v>0</v>
      </c>
      <c r="L15" s="20">
        <f>5/B11*C11</f>
        <v>0</v>
      </c>
      <c r="M15" s="20">
        <f>5/B12*C12</f>
        <v>0</v>
      </c>
    </row>
    <row r="16" spans="1:13" hidden="1" x14ac:dyDescent="0.3">
      <c r="A16" s="9" t="s">
        <v>161</v>
      </c>
      <c r="B16" s="9">
        <f>H15</f>
        <v>0</v>
      </c>
      <c r="C16" s="9">
        <f>H16</f>
        <v>0</v>
      </c>
      <c r="E16" s="183" t="s">
        <v>162</v>
      </c>
      <c r="F16" s="183"/>
      <c r="G16" s="9">
        <f>G15+20</f>
        <v>25</v>
      </c>
      <c r="H16" s="9">
        <f>30/B7*C7</f>
        <v>0</v>
      </c>
      <c r="I16" s="9">
        <f>15/B8*C8</f>
        <v>0</v>
      </c>
      <c r="J16" s="9">
        <f>10/B9*C9</f>
        <v>0</v>
      </c>
      <c r="K16" s="9">
        <f>5/B10*C10</f>
        <v>0</v>
      </c>
      <c r="L16" s="9">
        <f>5/B11*C11</f>
        <v>0</v>
      </c>
      <c r="M16" s="9">
        <f>5/B12*C12</f>
        <v>0</v>
      </c>
    </row>
    <row r="17" spans="1:8" hidden="1" x14ac:dyDescent="0.3">
      <c r="A17" s="9" t="s">
        <v>158</v>
      </c>
      <c r="B17" s="9">
        <f>I15</f>
        <v>0</v>
      </c>
      <c r="C17" s="9">
        <f>I16</f>
        <v>0</v>
      </c>
    </row>
    <row r="18" spans="1:8" hidden="1" x14ac:dyDescent="0.3">
      <c r="A18" s="9" t="s">
        <v>159</v>
      </c>
      <c r="B18" s="9">
        <f>J15</f>
        <v>0</v>
      </c>
      <c r="C18" s="9">
        <f>J16</f>
        <v>0</v>
      </c>
    </row>
    <row r="19" spans="1:8" hidden="1" x14ac:dyDescent="0.3">
      <c r="A19" s="9" t="s">
        <v>144</v>
      </c>
      <c r="B19" s="9">
        <f>K15</f>
        <v>0</v>
      </c>
      <c r="C19" s="9">
        <f>K16</f>
        <v>0</v>
      </c>
    </row>
    <row r="20" spans="1:8" hidden="1" x14ac:dyDescent="0.3">
      <c r="A20" s="21" t="s">
        <v>147</v>
      </c>
      <c r="B20" s="9">
        <f>L15</f>
        <v>0</v>
      </c>
      <c r="C20" s="9">
        <f>L16</f>
        <v>0</v>
      </c>
    </row>
    <row r="21" spans="1:8" hidden="1" x14ac:dyDescent="0.3">
      <c r="A21" s="9" t="s">
        <v>150</v>
      </c>
      <c r="B21" s="9">
        <f>M15</f>
        <v>0</v>
      </c>
      <c r="C21" s="9">
        <f>M16</f>
        <v>0</v>
      </c>
    </row>
    <row r="22" spans="1:8" x14ac:dyDescent="0.3">
      <c r="A22" s="9" t="s">
        <v>163</v>
      </c>
      <c r="B22" s="22">
        <f>(B15+B16+B17+B18+B19+B20+B21)/100</f>
        <v>0.05</v>
      </c>
      <c r="C22" s="22">
        <f>(C15+C16+C17+C18+C19+C20+C21)/100</f>
        <v>0.25</v>
      </c>
      <c r="F22" s="182" t="s">
        <v>164</v>
      </c>
      <c r="G22" s="182"/>
      <c r="H22" s="14" t="s">
        <v>143</v>
      </c>
    </row>
    <row r="23" spans="1:8" x14ac:dyDescent="0.3">
      <c r="F23" s="182" t="s">
        <v>165</v>
      </c>
      <c r="G23" s="182"/>
      <c r="H23" s="14" t="s">
        <v>166</v>
      </c>
    </row>
    <row r="24" spans="1:8" x14ac:dyDescent="0.3">
      <c r="A24" s="10" t="s">
        <v>167</v>
      </c>
      <c r="B24" s="23">
        <v>0.01</v>
      </c>
      <c r="C24" s="23">
        <v>0.02</v>
      </c>
      <c r="F24" s="182" t="s">
        <v>168</v>
      </c>
      <c r="G24" s="182"/>
      <c r="H24" s="14" t="s">
        <v>169</v>
      </c>
    </row>
    <row r="25" spans="1:8" x14ac:dyDescent="0.3">
      <c r="A25" s="10" t="s">
        <v>170</v>
      </c>
      <c r="B25" s="23">
        <v>0.01</v>
      </c>
      <c r="C25" s="23">
        <v>0.03</v>
      </c>
    </row>
    <row r="26" spans="1:8" x14ac:dyDescent="0.3">
      <c r="A26" s="10" t="s">
        <v>171</v>
      </c>
      <c r="B26" s="23">
        <v>0.03</v>
      </c>
      <c r="C26" s="23">
        <v>0.08</v>
      </c>
    </row>
    <row r="27" spans="1:8" x14ac:dyDescent="0.3">
      <c r="A27" s="10" t="s">
        <v>172</v>
      </c>
      <c r="B27" s="23">
        <v>0.05</v>
      </c>
      <c r="C27" s="23">
        <v>0.15</v>
      </c>
    </row>
    <row r="28" spans="1:8" x14ac:dyDescent="0.3">
      <c r="A28" s="10" t="s">
        <v>173</v>
      </c>
      <c r="B28" s="23">
        <v>7.0000000000000007E-2</v>
      </c>
      <c r="C28" s="23">
        <v>0.2</v>
      </c>
    </row>
    <row r="29" spans="1:8" x14ac:dyDescent="0.3">
      <c r="A29" s="10" t="s">
        <v>174</v>
      </c>
      <c r="B29" s="23">
        <v>0.1</v>
      </c>
      <c r="C29" s="23">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9"/>
  <sheetViews>
    <sheetView workbookViewId="0">
      <selection activeCell="C7" sqref="C7"/>
    </sheetView>
  </sheetViews>
  <sheetFormatPr defaultRowHeight="14" x14ac:dyDescent="0.3"/>
  <cols>
    <col min="1" max="1" width="24" style="10" customWidth="1"/>
    <col min="2" max="2" width="13.69921875" style="10" customWidth="1"/>
    <col min="3" max="4" width="9.296875" style="10"/>
    <col min="5" max="5" width="11.796875" style="10" customWidth="1"/>
    <col min="6" max="6" width="12.5" style="10" customWidth="1"/>
    <col min="7" max="7" width="9.296875" style="10"/>
    <col min="8" max="8" width="12.19921875" style="10" customWidth="1"/>
    <col min="9" max="9" width="18" style="10" customWidth="1"/>
    <col min="10" max="258" width="9.296875" style="10"/>
    <col min="259" max="259" width="13.69921875" style="10" customWidth="1"/>
    <col min="260" max="260" width="9.296875" style="10"/>
    <col min="261" max="261" width="17.19921875" style="10" customWidth="1"/>
    <col min="262" max="262" width="12.5" style="10" customWidth="1"/>
    <col min="263" max="514" width="9.296875" style="10"/>
    <col min="515" max="515" width="13.69921875" style="10" customWidth="1"/>
    <col min="516" max="516" width="9.296875" style="10"/>
    <col min="517" max="517" width="17.19921875" style="10" customWidth="1"/>
    <col min="518" max="518" width="12.5" style="10" customWidth="1"/>
    <col min="519" max="770" width="9.296875" style="10"/>
    <col min="771" max="771" width="13.69921875" style="10" customWidth="1"/>
    <col min="772" max="772" width="9.296875" style="10"/>
    <col min="773" max="773" width="17.19921875" style="10" customWidth="1"/>
    <col min="774" max="774" width="12.5" style="10" customWidth="1"/>
    <col min="775" max="1026" width="9.296875" style="10"/>
    <col min="1027" max="1027" width="13.69921875" style="10" customWidth="1"/>
    <col min="1028" max="1028" width="9.296875" style="10"/>
    <col min="1029" max="1029" width="17.19921875" style="10" customWidth="1"/>
    <col min="1030" max="1030" width="12.5" style="10" customWidth="1"/>
    <col min="1031" max="1282" width="9.296875" style="10"/>
    <col min="1283" max="1283" width="13.69921875" style="10" customWidth="1"/>
    <col min="1284" max="1284" width="9.296875" style="10"/>
    <col min="1285" max="1285" width="17.19921875" style="10" customWidth="1"/>
    <col min="1286" max="1286" width="12.5" style="10" customWidth="1"/>
    <col min="1287" max="1538" width="9.296875" style="10"/>
    <col min="1539" max="1539" width="13.69921875" style="10" customWidth="1"/>
    <col min="1540" max="1540" width="9.296875" style="10"/>
    <col min="1541" max="1541" width="17.19921875" style="10" customWidth="1"/>
    <col min="1542" max="1542" width="12.5" style="10" customWidth="1"/>
    <col min="1543" max="1794" width="9.296875" style="10"/>
    <col min="1795" max="1795" width="13.69921875" style="10" customWidth="1"/>
    <col min="1796" max="1796" width="9.296875" style="10"/>
    <col min="1797" max="1797" width="17.19921875" style="10" customWidth="1"/>
    <col min="1798" max="1798" width="12.5" style="10" customWidth="1"/>
    <col min="1799" max="2050" width="9.296875" style="10"/>
    <col min="2051" max="2051" width="13.69921875" style="10" customWidth="1"/>
    <col min="2052" max="2052" width="9.296875" style="10"/>
    <col min="2053" max="2053" width="17.19921875" style="10" customWidth="1"/>
    <col min="2054" max="2054" width="12.5" style="10" customWidth="1"/>
    <col min="2055" max="2306" width="9.296875" style="10"/>
    <col min="2307" max="2307" width="13.69921875" style="10" customWidth="1"/>
    <col min="2308" max="2308" width="9.296875" style="10"/>
    <col min="2309" max="2309" width="17.19921875" style="10" customWidth="1"/>
    <col min="2310" max="2310" width="12.5" style="10" customWidth="1"/>
    <col min="2311" max="2562" width="9.296875" style="10"/>
    <col min="2563" max="2563" width="13.69921875" style="10" customWidth="1"/>
    <col min="2564" max="2564" width="9.296875" style="10"/>
    <col min="2565" max="2565" width="17.19921875" style="10" customWidth="1"/>
    <col min="2566" max="2566" width="12.5" style="10" customWidth="1"/>
    <col min="2567" max="2818" width="9.296875" style="10"/>
    <col min="2819" max="2819" width="13.69921875" style="10" customWidth="1"/>
    <col min="2820" max="2820" width="9.296875" style="10"/>
    <col min="2821" max="2821" width="17.19921875" style="10" customWidth="1"/>
    <col min="2822" max="2822" width="12.5" style="10" customWidth="1"/>
    <col min="2823" max="3074" width="9.296875" style="10"/>
    <col min="3075" max="3075" width="13.69921875" style="10" customWidth="1"/>
    <col min="3076" max="3076" width="9.296875" style="10"/>
    <col min="3077" max="3077" width="17.19921875" style="10" customWidth="1"/>
    <col min="3078" max="3078" width="12.5" style="10" customWidth="1"/>
    <col min="3079" max="3330" width="9.296875" style="10"/>
    <col min="3331" max="3331" width="13.69921875" style="10" customWidth="1"/>
    <col min="3332" max="3332" width="9.296875" style="10"/>
    <col min="3333" max="3333" width="17.19921875" style="10" customWidth="1"/>
    <col min="3334" max="3334" width="12.5" style="10" customWidth="1"/>
    <col min="3335" max="3586" width="9.296875" style="10"/>
    <col min="3587" max="3587" width="13.69921875" style="10" customWidth="1"/>
    <col min="3588" max="3588" width="9.296875" style="10"/>
    <col min="3589" max="3589" width="17.19921875" style="10" customWidth="1"/>
    <col min="3590" max="3590" width="12.5" style="10" customWidth="1"/>
    <col min="3591" max="3842" width="9.296875" style="10"/>
    <col min="3843" max="3843" width="13.69921875" style="10" customWidth="1"/>
    <col min="3844" max="3844" width="9.296875" style="10"/>
    <col min="3845" max="3845" width="17.19921875" style="10" customWidth="1"/>
    <col min="3846" max="3846" width="12.5" style="10" customWidth="1"/>
    <col min="3847" max="4098" width="9.296875" style="10"/>
    <col min="4099" max="4099" width="13.69921875" style="10" customWidth="1"/>
    <col min="4100" max="4100" width="9.296875" style="10"/>
    <col min="4101" max="4101" width="17.19921875" style="10" customWidth="1"/>
    <col min="4102" max="4102" width="12.5" style="10" customWidth="1"/>
    <col min="4103" max="4354" width="9.296875" style="10"/>
    <col min="4355" max="4355" width="13.69921875" style="10" customWidth="1"/>
    <col min="4356" max="4356" width="9.296875" style="10"/>
    <col min="4357" max="4357" width="17.19921875" style="10" customWidth="1"/>
    <col min="4358" max="4358" width="12.5" style="10" customWidth="1"/>
    <col min="4359" max="4610" width="9.296875" style="10"/>
    <col min="4611" max="4611" width="13.69921875" style="10" customWidth="1"/>
    <col min="4612" max="4612" width="9.296875" style="10"/>
    <col min="4613" max="4613" width="17.19921875" style="10" customWidth="1"/>
    <col min="4614" max="4614" width="12.5" style="10" customWidth="1"/>
    <col min="4615" max="4866" width="9.296875" style="10"/>
    <col min="4867" max="4867" width="13.69921875" style="10" customWidth="1"/>
    <col min="4868" max="4868" width="9.296875" style="10"/>
    <col min="4869" max="4869" width="17.19921875" style="10" customWidth="1"/>
    <col min="4870" max="4870" width="12.5" style="10" customWidth="1"/>
    <col min="4871" max="5122" width="9.296875" style="10"/>
    <col min="5123" max="5123" width="13.69921875" style="10" customWidth="1"/>
    <col min="5124" max="5124" width="9.296875" style="10"/>
    <col min="5125" max="5125" width="17.19921875" style="10" customWidth="1"/>
    <col min="5126" max="5126" width="12.5" style="10" customWidth="1"/>
    <col min="5127" max="5378" width="9.296875" style="10"/>
    <col min="5379" max="5379" width="13.69921875" style="10" customWidth="1"/>
    <col min="5380" max="5380" width="9.296875" style="10"/>
    <col min="5381" max="5381" width="17.19921875" style="10" customWidth="1"/>
    <col min="5382" max="5382" width="12.5" style="10" customWidth="1"/>
    <col min="5383" max="5634" width="9.296875" style="10"/>
    <col min="5635" max="5635" width="13.69921875" style="10" customWidth="1"/>
    <col min="5636" max="5636" width="9.296875" style="10"/>
    <col min="5637" max="5637" width="17.19921875" style="10" customWidth="1"/>
    <col min="5638" max="5638" width="12.5" style="10" customWidth="1"/>
    <col min="5639" max="5890" width="9.296875" style="10"/>
    <col min="5891" max="5891" width="13.69921875" style="10" customWidth="1"/>
    <col min="5892" max="5892" width="9.296875" style="10"/>
    <col min="5893" max="5893" width="17.19921875" style="10" customWidth="1"/>
    <col min="5894" max="5894" width="12.5" style="10" customWidth="1"/>
    <col min="5895" max="6146" width="9.296875" style="10"/>
    <col min="6147" max="6147" width="13.69921875" style="10" customWidth="1"/>
    <col min="6148" max="6148" width="9.296875" style="10"/>
    <col min="6149" max="6149" width="17.19921875" style="10" customWidth="1"/>
    <col min="6150" max="6150" width="12.5" style="10" customWidth="1"/>
    <col min="6151" max="6402" width="9.296875" style="10"/>
    <col min="6403" max="6403" width="13.69921875" style="10" customWidth="1"/>
    <col min="6404" max="6404" width="9.296875" style="10"/>
    <col min="6405" max="6405" width="17.19921875" style="10" customWidth="1"/>
    <col min="6406" max="6406" width="12.5" style="10" customWidth="1"/>
    <col min="6407" max="6658" width="9.296875" style="10"/>
    <col min="6659" max="6659" width="13.69921875" style="10" customWidth="1"/>
    <col min="6660" max="6660" width="9.296875" style="10"/>
    <col min="6661" max="6661" width="17.19921875" style="10" customWidth="1"/>
    <col min="6662" max="6662" width="12.5" style="10" customWidth="1"/>
    <col min="6663" max="6914" width="9.296875" style="10"/>
    <col min="6915" max="6915" width="13.69921875" style="10" customWidth="1"/>
    <col min="6916" max="6916" width="9.296875" style="10"/>
    <col min="6917" max="6917" width="17.19921875" style="10" customWidth="1"/>
    <col min="6918" max="6918" width="12.5" style="10" customWidth="1"/>
    <col min="6919" max="7170" width="9.296875" style="10"/>
    <col min="7171" max="7171" width="13.69921875" style="10" customWidth="1"/>
    <col min="7172" max="7172" width="9.296875" style="10"/>
    <col min="7173" max="7173" width="17.19921875" style="10" customWidth="1"/>
    <col min="7174" max="7174" width="12.5" style="10" customWidth="1"/>
    <col min="7175" max="7426" width="9.296875" style="10"/>
    <col min="7427" max="7427" width="13.69921875" style="10" customWidth="1"/>
    <col min="7428" max="7428" width="9.296875" style="10"/>
    <col min="7429" max="7429" width="17.19921875" style="10" customWidth="1"/>
    <col min="7430" max="7430" width="12.5" style="10" customWidth="1"/>
    <col min="7431" max="7682" width="9.296875" style="10"/>
    <col min="7683" max="7683" width="13.69921875" style="10" customWidth="1"/>
    <col min="7684" max="7684" width="9.296875" style="10"/>
    <col min="7685" max="7685" width="17.19921875" style="10" customWidth="1"/>
    <col min="7686" max="7686" width="12.5" style="10" customWidth="1"/>
    <col min="7687" max="7938" width="9.296875" style="10"/>
    <col min="7939" max="7939" width="13.69921875" style="10" customWidth="1"/>
    <col min="7940" max="7940" width="9.296875" style="10"/>
    <col min="7941" max="7941" width="17.19921875" style="10" customWidth="1"/>
    <col min="7942" max="7942" width="12.5" style="10" customWidth="1"/>
    <col min="7943" max="8194" width="9.296875" style="10"/>
    <col min="8195" max="8195" width="13.69921875" style="10" customWidth="1"/>
    <col min="8196" max="8196" width="9.296875" style="10"/>
    <col min="8197" max="8197" width="17.19921875" style="10" customWidth="1"/>
    <col min="8198" max="8198" width="12.5" style="10" customWidth="1"/>
    <col min="8199" max="8450" width="9.296875" style="10"/>
    <col min="8451" max="8451" width="13.69921875" style="10" customWidth="1"/>
    <col min="8452" max="8452" width="9.296875" style="10"/>
    <col min="8453" max="8453" width="17.19921875" style="10" customWidth="1"/>
    <col min="8454" max="8454" width="12.5" style="10" customWidth="1"/>
    <col min="8455" max="8706" width="9.296875" style="10"/>
    <col min="8707" max="8707" width="13.69921875" style="10" customWidth="1"/>
    <col min="8708" max="8708" width="9.296875" style="10"/>
    <col min="8709" max="8709" width="17.19921875" style="10" customWidth="1"/>
    <col min="8710" max="8710" width="12.5" style="10" customWidth="1"/>
    <col min="8711" max="8962" width="9.296875" style="10"/>
    <col min="8963" max="8963" width="13.69921875" style="10" customWidth="1"/>
    <col min="8964" max="8964" width="9.296875" style="10"/>
    <col min="8965" max="8965" width="17.19921875" style="10" customWidth="1"/>
    <col min="8966" max="8966" width="12.5" style="10" customWidth="1"/>
    <col min="8967" max="9218" width="9.296875" style="10"/>
    <col min="9219" max="9219" width="13.69921875" style="10" customWidth="1"/>
    <col min="9220" max="9220" width="9.296875" style="10"/>
    <col min="9221" max="9221" width="17.19921875" style="10" customWidth="1"/>
    <col min="9222" max="9222" width="12.5" style="10" customWidth="1"/>
    <col min="9223" max="9474" width="9.296875" style="10"/>
    <col min="9475" max="9475" width="13.69921875" style="10" customWidth="1"/>
    <col min="9476" max="9476" width="9.296875" style="10"/>
    <col min="9477" max="9477" width="17.19921875" style="10" customWidth="1"/>
    <col min="9478" max="9478" width="12.5" style="10" customWidth="1"/>
    <col min="9479" max="9730" width="9.296875" style="10"/>
    <col min="9731" max="9731" width="13.69921875" style="10" customWidth="1"/>
    <col min="9732" max="9732" width="9.296875" style="10"/>
    <col min="9733" max="9733" width="17.19921875" style="10" customWidth="1"/>
    <col min="9734" max="9734" width="12.5" style="10" customWidth="1"/>
    <col min="9735" max="9986" width="9.296875" style="10"/>
    <col min="9987" max="9987" width="13.69921875" style="10" customWidth="1"/>
    <col min="9988" max="9988" width="9.296875" style="10"/>
    <col min="9989" max="9989" width="17.19921875" style="10" customWidth="1"/>
    <col min="9990" max="9990" width="12.5" style="10" customWidth="1"/>
    <col min="9991" max="10242" width="9.296875" style="10"/>
    <col min="10243" max="10243" width="13.69921875" style="10" customWidth="1"/>
    <col min="10244" max="10244" width="9.296875" style="10"/>
    <col min="10245" max="10245" width="17.19921875" style="10" customWidth="1"/>
    <col min="10246" max="10246" width="12.5" style="10" customWidth="1"/>
    <col min="10247" max="10498" width="9.296875" style="10"/>
    <col min="10499" max="10499" width="13.69921875" style="10" customWidth="1"/>
    <col min="10500" max="10500" width="9.296875" style="10"/>
    <col min="10501" max="10501" width="17.19921875" style="10" customWidth="1"/>
    <col min="10502" max="10502" width="12.5" style="10" customWidth="1"/>
    <col min="10503" max="10754" width="9.296875" style="10"/>
    <col min="10755" max="10755" width="13.69921875" style="10" customWidth="1"/>
    <col min="10756" max="10756" width="9.296875" style="10"/>
    <col min="10757" max="10757" width="17.19921875" style="10" customWidth="1"/>
    <col min="10758" max="10758" width="12.5" style="10" customWidth="1"/>
    <col min="10759" max="11010" width="9.296875" style="10"/>
    <col min="11011" max="11011" width="13.69921875" style="10" customWidth="1"/>
    <col min="11012" max="11012" width="9.296875" style="10"/>
    <col min="11013" max="11013" width="17.19921875" style="10" customWidth="1"/>
    <col min="11014" max="11014" width="12.5" style="10" customWidth="1"/>
    <col min="11015" max="11266" width="9.296875" style="10"/>
    <col min="11267" max="11267" width="13.69921875" style="10" customWidth="1"/>
    <col min="11268" max="11268" width="9.296875" style="10"/>
    <col min="11269" max="11269" width="17.19921875" style="10" customWidth="1"/>
    <col min="11270" max="11270" width="12.5" style="10" customWidth="1"/>
    <col min="11271" max="11522" width="9.296875" style="10"/>
    <col min="11523" max="11523" width="13.69921875" style="10" customWidth="1"/>
    <col min="11524" max="11524" width="9.296875" style="10"/>
    <col min="11525" max="11525" width="17.19921875" style="10" customWidth="1"/>
    <col min="11526" max="11526" width="12.5" style="10" customWidth="1"/>
    <col min="11527" max="11778" width="9.296875" style="10"/>
    <col min="11779" max="11779" width="13.69921875" style="10" customWidth="1"/>
    <col min="11780" max="11780" width="9.296875" style="10"/>
    <col min="11781" max="11781" width="17.19921875" style="10" customWidth="1"/>
    <col min="11782" max="11782" width="12.5" style="10" customWidth="1"/>
    <col min="11783" max="12034" width="9.296875" style="10"/>
    <col min="12035" max="12035" width="13.69921875" style="10" customWidth="1"/>
    <col min="12036" max="12036" width="9.296875" style="10"/>
    <col min="12037" max="12037" width="17.19921875" style="10" customWidth="1"/>
    <col min="12038" max="12038" width="12.5" style="10" customWidth="1"/>
    <col min="12039" max="12290" width="9.296875" style="10"/>
    <col min="12291" max="12291" width="13.69921875" style="10" customWidth="1"/>
    <col min="12292" max="12292" width="9.296875" style="10"/>
    <col min="12293" max="12293" width="17.19921875" style="10" customWidth="1"/>
    <col min="12294" max="12294" width="12.5" style="10" customWidth="1"/>
    <col min="12295" max="12546" width="9.296875" style="10"/>
    <col min="12547" max="12547" width="13.69921875" style="10" customWidth="1"/>
    <col min="12548" max="12548" width="9.296875" style="10"/>
    <col min="12549" max="12549" width="17.19921875" style="10" customWidth="1"/>
    <col min="12550" max="12550" width="12.5" style="10" customWidth="1"/>
    <col min="12551" max="12802" width="9.296875" style="10"/>
    <col min="12803" max="12803" width="13.69921875" style="10" customWidth="1"/>
    <col min="12804" max="12804" width="9.296875" style="10"/>
    <col min="12805" max="12805" width="17.19921875" style="10" customWidth="1"/>
    <col min="12806" max="12806" width="12.5" style="10" customWidth="1"/>
    <col min="12807" max="13058" width="9.296875" style="10"/>
    <col min="13059" max="13059" width="13.69921875" style="10" customWidth="1"/>
    <col min="13060" max="13060" width="9.296875" style="10"/>
    <col min="13061" max="13061" width="17.19921875" style="10" customWidth="1"/>
    <col min="13062" max="13062" width="12.5" style="10" customWidth="1"/>
    <col min="13063" max="13314" width="9.296875" style="10"/>
    <col min="13315" max="13315" width="13.69921875" style="10" customWidth="1"/>
    <col min="13316" max="13316" width="9.296875" style="10"/>
    <col min="13317" max="13317" width="17.19921875" style="10" customWidth="1"/>
    <col min="13318" max="13318" width="12.5" style="10" customWidth="1"/>
    <col min="13319" max="13570" width="9.296875" style="10"/>
    <col min="13571" max="13571" width="13.69921875" style="10" customWidth="1"/>
    <col min="13572" max="13572" width="9.296875" style="10"/>
    <col min="13573" max="13573" width="17.19921875" style="10" customWidth="1"/>
    <col min="13574" max="13574" width="12.5" style="10" customWidth="1"/>
    <col min="13575" max="13826" width="9.296875" style="10"/>
    <col min="13827" max="13827" width="13.69921875" style="10" customWidth="1"/>
    <col min="13828" max="13828" width="9.296875" style="10"/>
    <col min="13829" max="13829" width="17.19921875" style="10" customWidth="1"/>
    <col min="13830" max="13830" width="12.5" style="10" customWidth="1"/>
    <col min="13831" max="14082" width="9.296875" style="10"/>
    <col min="14083" max="14083" width="13.69921875" style="10" customWidth="1"/>
    <col min="14084" max="14084" width="9.296875" style="10"/>
    <col min="14085" max="14085" width="17.19921875" style="10" customWidth="1"/>
    <col min="14086" max="14086" width="12.5" style="10" customWidth="1"/>
    <col min="14087" max="14338" width="9.296875" style="10"/>
    <col min="14339" max="14339" width="13.69921875" style="10" customWidth="1"/>
    <col min="14340" max="14340" width="9.296875" style="10"/>
    <col min="14341" max="14341" width="17.19921875" style="10" customWidth="1"/>
    <col min="14342" max="14342" width="12.5" style="10" customWidth="1"/>
    <col min="14343" max="14594" width="9.296875" style="10"/>
    <col min="14595" max="14595" width="13.69921875" style="10" customWidth="1"/>
    <col min="14596" max="14596" width="9.296875" style="10"/>
    <col min="14597" max="14597" width="17.19921875" style="10" customWidth="1"/>
    <col min="14598" max="14598" width="12.5" style="10" customWidth="1"/>
    <col min="14599" max="14850" width="9.296875" style="10"/>
    <col min="14851" max="14851" width="13.69921875" style="10" customWidth="1"/>
    <col min="14852" max="14852" width="9.296875" style="10"/>
    <col min="14853" max="14853" width="17.19921875" style="10" customWidth="1"/>
    <col min="14854" max="14854" width="12.5" style="10" customWidth="1"/>
    <col min="14855" max="15106" width="9.296875" style="10"/>
    <col min="15107" max="15107" width="13.69921875" style="10" customWidth="1"/>
    <col min="15108" max="15108" width="9.296875" style="10"/>
    <col min="15109" max="15109" width="17.19921875" style="10" customWidth="1"/>
    <col min="15110" max="15110" width="12.5" style="10" customWidth="1"/>
    <col min="15111" max="15362" width="9.296875" style="10"/>
    <col min="15363" max="15363" width="13.69921875" style="10" customWidth="1"/>
    <col min="15364" max="15364" width="9.296875" style="10"/>
    <col min="15365" max="15365" width="17.19921875" style="10" customWidth="1"/>
    <col min="15366" max="15366" width="12.5" style="10" customWidth="1"/>
    <col min="15367" max="15618" width="9.296875" style="10"/>
    <col min="15619" max="15619" width="13.69921875" style="10" customWidth="1"/>
    <col min="15620" max="15620" width="9.296875" style="10"/>
    <col min="15621" max="15621" width="17.19921875" style="10" customWidth="1"/>
    <col min="15622" max="15622" width="12.5" style="10" customWidth="1"/>
    <col min="15623" max="15874" width="9.296875" style="10"/>
    <col min="15875" max="15875" width="13.69921875" style="10" customWidth="1"/>
    <col min="15876" max="15876" width="9.296875" style="10"/>
    <col min="15877" max="15877" width="17.19921875" style="10" customWidth="1"/>
    <col min="15878" max="15878" width="12.5" style="10" customWidth="1"/>
    <col min="15879" max="16130" width="9.296875" style="10"/>
    <col min="16131" max="16131" width="13.69921875" style="10" customWidth="1"/>
    <col min="16132" max="16132" width="9.296875" style="10"/>
    <col min="16133" max="16133" width="17.19921875" style="10" customWidth="1"/>
    <col min="16134" max="16134" width="12.5" style="10" customWidth="1"/>
    <col min="16135" max="16384" width="9.296875" style="10"/>
  </cols>
  <sheetData>
    <row r="2" spans="1:13" x14ac:dyDescent="0.3">
      <c r="A2" s="9" t="s">
        <v>128</v>
      </c>
      <c r="B2" s="9" t="s">
        <v>129</v>
      </c>
      <c r="C2" s="9" t="s">
        <v>130</v>
      </c>
      <c r="D2" s="183" t="s">
        <v>131</v>
      </c>
      <c r="E2" s="183"/>
    </row>
    <row r="3" spans="1:13" x14ac:dyDescent="0.3">
      <c r="A3" s="11">
        <v>1</v>
      </c>
      <c r="B3" s="11">
        <v>0</v>
      </c>
      <c r="C3" s="11">
        <v>1</v>
      </c>
      <c r="D3" s="184">
        <v>23</v>
      </c>
      <c r="E3" s="184"/>
    </row>
    <row r="5" spans="1:13" hidden="1" x14ac:dyDescent="0.3">
      <c r="A5" s="10" t="s">
        <v>132</v>
      </c>
      <c r="B5" s="12" t="s">
        <v>133</v>
      </c>
      <c r="C5" s="12">
        <f>D3</f>
        <v>23</v>
      </c>
      <c r="D5" s="13"/>
    </row>
    <row r="6" spans="1:13" x14ac:dyDescent="0.3">
      <c r="A6" s="10" t="s">
        <v>134</v>
      </c>
      <c r="B6" s="14">
        <v>10</v>
      </c>
      <c r="C6" s="15">
        <v>10</v>
      </c>
      <c r="D6" s="16">
        <f>((100/B6)*C6)/100</f>
        <v>1</v>
      </c>
    </row>
    <row r="7" spans="1:13" x14ac:dyDescent="0.3">
      <c r="A7" s="10" t="s">
        <v>135</v>
      </c>
      <c r="B7" s="14">
        <f>A3+B3+C3+D3</f>
        <v>25</v>
      </c>
      <c r="C7" s="15">
        <v>0</v>
      </c>
      <c r="D7" s="16">
        <f>((100/B7)*C7)/100</f>
        <v>0</v>
      </c>
      <c r="F7" s="185" t="s">
        <v>136</v>
      </c>
      <c r="G7" s="185"/>
      <c r="H7" s="17" t="s">
        <v>137</v>
      </c>
      <c r="J7" s="18"/>
    </row>
    <row r="8" spans="1:13" x14ac:dyDescent="0.3">
      <c r="A8" s="10" t="s">
        <v>138</v>
      </c>
      <c r="B8" s="14">
        <f>C5</f>
        <v>23</v>
      </c>
      <c r="C8" s="15">
        <v>0</v>
      </c>
      <c r="D8" s="16">
        <f t="shared" ref="D8:D12" si="0">((100/B8)*C8)/100</f>
        <v>0</v>
      </c>
      <c r="F8" s="182" t="s">
        <v>139</v>
      </c>
      <c r="G8" s="182"/>
      <c r="H8" s="14" t="s">
        <v>140</v>
      </c>
    </row>
    <row r="9" spans="1:13" x14ac:dyDescent="0.3">
      <c r="A9" s="10" t="s">
        <v>141</v>
      </c>
      <c r="B9" s="14">
        <f>C5</f>
        <v>23</v>
      </c>
      <c r="C9" s="15">
        <v>0</v>
      </c>
      <c r="D9" s="16">
        <f t="shared" si="0"/>
        <v>0</v>
      </c>
      <c r="F9" s="182" t="s">
        <v>142</v>
      </c>
      <c r="G9" s="182"/>
      <c r="H9" s="14" t="s">
        <v>143</v>
      </c>
    </row>
    <row r="10" spans="1:13" x14ac:dyDescent="0.3">
      <c r="A10" s="10" t="s">
        <v>144</v>
      </c>
      <c r="B10" s="14">
        <f>C5</f>
        <v>23</v>
      </c>
      <c r="C10" s="15">
        <v>0</v>
      </c>
      <c r="D10" s="16">
        <f t="shared" si="0"/>
        <v>0</v>
      </c>
      <c r="F10" s="182" t="s">
        <v>145</v>
      </c>
      <c r="G10" s="182"/>
      <c r="H10" s="14" t="s">
        <v>146</v>
      </c>
    </row>
    <row r="11" spans="1:13" x14ac:dyDescent="0.3">
      <c r="A11" s="19" t="s">
        <v>147</v>
      </c>
      <c r="B11" s="14">
        <f>C5</f>
        <v>23</v>
      </c>
      <c r="C11" s="15">
        <v>0</v>
      </c>
      <c r="D11" s="16">
        <f t="shared" si="0"/>
        <v>0</v>
      </c>
      <c r="F11" s="182" t="s">
        <v>148</v>
      </c>
      <c r="G11" s="182"/>
      <c r="H11" s="14" t="s">
        <v>149</v>
      </c>
    </row>
    <row r="12" spans="1:13" x14ac:dyDescent="0.3">
      <c r="A12" s="10" t="s">
        <v>150</v>
      </c>
      <c r="B12" s="14">
        <f>C5</f>
        <v>23</v>
      </c>
      <c r="C12" s="15">
        <v>0</v>
      </c>
      <c r="D12" s="16">
        <f t="shared" si="0"/>
        <v>0</v>
      </c>
      <c r="F12" s="182" t="s">
        <v>151</v>
      </c>
      <c r="G12" s="182"/>
      <c r="H12" s="14" t="s">
        <v>152</v>
      </c>
    </row>
    <row r="13" spans="1:13" x14ac:dyDescent="0.3">
      <c r="F13" s="182" t="s">
        <v>153</v>
      </c>
      <c r="G13" s="182"/>
      <c r="H13" s="14" t="s">
        <v>154</v>
      </c>
    </row>
    <row r="14" spans="1:13" hidden="1" x14ac:dyDescent="0.3">
      <c r="A14" s="9"/>
      <c r="B14" s="9" t="s">
        <v>155</v>
      </c>
      <c r="C14" s="9" t="s">
        <v>156</v>
      </c>
      <c r="G14" s="9" t="s">
        <v>134</v>
      </c>
      <c r="H14" s="9" t="s">
        <v>157</v>
      </c>
      <c r="I14" s="9" t="s">
        <v>158</v>
      </c>
      <c r="J14" s="9" t="s">
        <v>159</v>
      </c>
      <c r="K14" s="9" t="s">
        <v>144</v>
      </c>
      <c r="L14" s="9" t="s">
        <v>147</v>
      </c>
      <c r="M14" s="9" t="s">
        <v>150</v>
      </c>
    </row>
    <row r="15" spans="1:13" hidden="1" x14ac:dyDescent="0.3">
      <c r="A15" s="9" t="s">
        <v>160</v>
      </c>
      <c r="B15" s="9">
        <f>G15</f>
        <v>10</v>
      </c>
      <c r="C15" s="9">
        <f>G16</f>
        <v>30</v>
      </c>
      <c r="E15" s="183" t="s">
        <v>155</v>
      </c>
      <c r="F15" s="183"/>
      <c r="G15" s="20">
        <f>C6</f>
        <v>10</v>
      </c>
      <c r="H15" s="20">
        <f>40/B7*C7</f>
        <v>0</v>
      </c>
      <c r="I15" s="20">
        <f>15/B8*C8</f>
        <v>0</v>
      </c>
      <c r="J15" s="20">
        <f>10/B9*C9</f>
        <v>0</v>
      </c>
      <c r="K15" s="20">
        <f>10/B10*C10</f>
        <v>0</v>
      </c>
      <c r="L15" s="20">
        <f>5/B11*C11</f>
        <v>0</v>
      </c>
      <c r="M15" s="20">
        <f>5/B12*C12</f>
        <v>0</v>
      </c>
    </row>
    <row r="16" spans="1:13" hidden="1" x14ac:dyDescent="0.3">
      <c r="A16" s="9" t="s">
        <v>161</v>
      </c>
      <c r="B16" s="9">
        <f>H15</f>
        <v>0</v>
      </c>
      <c r="C16" s="9">
        <f>H16</f>
        <v>0</v>
      </c>
      <c r="E16" s="183" t="s">
        <v>162</v>
      </c>
      <c r="F16" s="183"/>
      <c r="G16" s="9">
        <f>G15+20</f>
        <v>30</v>
      </c>
      <c r="H16" s="9">
        <f>30/B7*C7</f>
        <v>0</v>
      </c>
      <c r="I16" s="9">
        <f>15/B8*C8</f>
        <v>0</v>
      </c>
      <c r="J16" s="9">
        <f>10/B9*C9</f>
        <v>0</v>
      </c>
      <c r="K16" s="9">
        <f>5/B10*C10</f>
        <v>0</v>
      </c>
      <c r="L16" s="9">
        <f>5/B11*C11</f>
        <v>0</v>
      </c>
      <c r="M16" s="9">
        <f>5/B12*C12</f>
        <v>0</v>
      </c>
    </row>
    <row r="17" spans="1:8" hidden="1" x14ac:dyDescent="0.3">
      <c r="A17" s="9" t="s">
        <v>158</v>
      </c>
      <c r="B17" s="9">
        <f>I15</f>
        <v>0</v>
      </c>
      <c r="C17" s="9">
        <f>I16</f>
        <v>0</v>
      </c>
    </row>
    <row r="18" spans="1:8" hidden="1" x14ac:dyDescent="0.3">
      <c r="A18" s="9" t="s">
        <v>159</v>
      </c>
      <c r="B18" s="9">
        <f>J15</f>
        <v>0</v>
      </c>
      <c r="C18" s="9">
        <f>J16</f>
        <v>0</v>
      </c>
    </row>
    <row r="19" spans="1:8" hidden="1" x14ac:dyDescent="0.3">
      <c r="A19" s="9" t="s">
        <v>144</v>
      </c>
      <c r="B19" s="9">
        <f>K15</f>
        <v>0</v>
      </c>
      <c r="C19" s="9">
        <f>K16</f>
        <v>0</v>
      </c>
    </row>
    <row r="20" spans="1:8" hidden="1" x14ac:dyDescent="0.3">
      <c r="A20" s="21" t="s">
        <v>147</v>
      </c>
      <c r="B20" s="9">
        <f>L15</f>
        <v>0</v>
      </c>
      <c r="C20" s="9">
        <f>L16</f>
        <v>0</v>
      </c>
    </row>
    <row r="21" spans="1:8" hidden="1" x14ac:dyDescent="0.3">
      <c r="A21" s="9" t="s">
        <v>150</v>
      </c>
      <c r="B21" s="9">
        <f>M15</f>
        <v>0</v>
      </c>
      <c r="C21" s="9">
        <f>M16</f>
        <v>0</v>
      </c>
    </row>
    <row r="22" spans="1:8" x14ac:dyDescent="0.3">
      <c r="A22" s="9" t="s">
        <v>163</v>
      </c>
      <c r="B22" s="22">
        <f>(B15+B16+B17+B18+B19+B20+B21)/100</f>
        <v>0.1</v>
      </c>
      <c r="C22" s="22">
        <f>(C15+C16+C17+C18+C19+C20+C21)/100</f>
        <v>0.3</v>
      </c>
      <c r="F22" s="182" t="s">
        <v>164</v>
      </c>
      <c r="G22" s="182"/>
      <c r="H22" s="14" t="s">
        <v>143</v>
      </c>
    </row>
    <row r="23" spans="1:8" x14ac:dyDescent="0.3">
      <c r="F23" s="182" t="s">
        <v>165</v>
      </c>
      <c r="G23" s="182"/>
      <c r="H23" s="14" t="s">
        <v>166</v>
      </c>
    </row>
    <row r="24" spans="1:8" x14ac:dyDescent="0.3">
      <c r="A24" s="10" t="s">
        <v>167</v>
      </c>
      <c r="B24" s="23">
        <v>0.01</v>
      </c>
      <c r="C24" s="23">
        <v>0.02</v>
      </c>
      <c r="F24" s="182" t="s">
        <v>168</v>
      </c>
      <c r="G24" s="182"/>
      <c r="H24" s="14" t="s">
        <v>169</v>
      </c>
    </row>
    <row r="25" spans="1:8" x14ac:dyDescent="0.3">
      <c r="A25" s="10" t="s">
        <v>170</v>
      </c>
      <c r="B25" s="23">
        <v>0.01</v>
      </c>
      <c r="C25" s="23">
        <v>0.03</v>
      </c>
    </row>
    <row r="26" spans="1:8" x14ac:dyDescent="0.3">
      <c r="A26" s="10" t="s">
        <v>171</v>
      </c>
      <c r="B26" s="23">
        <v>0.03</v>
      </c>
      <c r="C26" s="23">
        <v>0.08</v>
      </c>
    </row>
    <row r="27" spans="1:8" x14ac:dyDescent="0.3">
      <c r="A27" s="10" t="s">
        <v>172</v>
      </c>
      <c r="B27" s="23">
        <v>0.05</v>
      </c>
      <c r="C27" s="23">
        <v>0.15</v>
      </c>
    </row>
    <row r="28" spans="1:8" x14ac:dyDescent="0.3">
      <c r="A28" s="10" t="s">
        <v>173</v>
      </c>
      <c r="B28" s="23">
        <v>7.0000000000000007E-2</v>
      </c>
      <c r="C28" s="23">
        <v>0.2</v>
      </c>
    </row>
    <row r="29" spans="1:8" x14ac:dyDescent="0.3">
      <c r="A29" s="10" t="s">
        <v>174</v>
      </c>
      <c r="B29" s="23">
        <v>0.1</v>
      </c>
      <c r="C29" s="23">
        <v>0.3</v>
      </c>
    </row>
  </sheetData>
  <mergeCells count="14">
    <mergeCell ref="F10:G10"/>
    <mergeCell ref="D2:E2"/>
    <mergeCell ref="D3:E3"/>
    <mergeCell ref="F7:G7"/>
    <mergeCell ref="F8:G8"/>
    <mergeCell ref="F9:G9"/>
    <mergeCell ref="F23:G23"/>
    <mergeCell ref="F24:G24"/>
    <mergeCell ref="F11:G11"/>
    <mergeCell ref="F12:G12"/>
    <mergeCell ref="F13:G13"/>
    <mergeCell ref="E15:F15"/>
    <mergeCell ref="E16:F16"/>
    <mergeCell ref="F22:G2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Table 1</vt:lpstr>
      <vt:lpstr>VALUATION</vt:lpstr>
      <vt:lpstr>B</vt:lpstr>
      <vt:lpstr> H</vt:lpstr>
      <vt:lpstr>C &amp; D</vt:lpstr>
      <vt:lpstr>I</vt:lpstr>
      <vt:lpstr>J</vt:lpstr>
      <vt:lpstr>'Table 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VSJCV - AXIS - APF NEW- July 20 â•fi 02125 â•fi Panvel Pride.xlsx</dc:title>
  <dc:creator>VSJ</dc:creator>
  <cp:lastModifiedBy>Hp Elitebook 840 G6</cp:lastModifiedBy>
  <cp:lastPrinted>2025-08-17T16:19:09Z</cp:lastPrinted>
  <dcterms:created xsi:type="dcterms:W3CDTF">2020-09-19T08:33:30Z</dcterms:created>
  <dcterms:modified xsi:type="dcterms:W3CDTF">2025-08-17T16:20:21Z</dcterms:modified>
</cp:coreProperties>
</file>