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Aug 25\Axis\Dump\"/>
    </mc:Choice>
  </mc:AlternateContent>
  <xr:revisionPtr revIDLastSave="0" documentId="13_ncr:1_{86877FE6-45C5-4314-BB45-580BFA02CD97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5" i="1" l="1"/>
  <c r="J134" i="1"/>
  <c r="J133" i="1"/>
  <c r="J132" i="1"/>
  <c r="D434" i="1" l="1"/>
  <c r="J107" i="1" l="1"/>
  <c r="J106" i="1"/>
  <c r="J105" i="1"/>
  <c r="J104" i="1"/>
  <c r="J121" i="1" l="1"/>
  <c r="J120" i="1"/>
  <c r="J119" i="1"/>
  <c r="J118" i="1"/>
  <c r="H111" i="1"/>
  <c r="D117" i="1" l="1"/>
  <c r="J116" i="1"/>
  <c r="J117" i="1" s="1"/>
  <c r="J122" i="1" s="1"/>
  <c r="J123" i="1" s="1"/>
  <c r="C115" i="1" s="1"/>
  <c r="D122" i="1"/>
  <c r="D120" i="1"/>
  <c r="D118" i="1"/>
  <c r="D116" i="1"/>
  <c r="J114" i="1"/>
  <c r="J110" i="1"/>
  <c r="J112" i="1" s="1"/>
  <c r="J115" i="1"/>
  <c r="C114" i="1" s="1"/>
  <c r="J113" i="1"/>
  <c r="D123" i="1"/>
  <c r="D121" i="1"/>
  <c r="D119" i="1"/>
  <c r="E3" i="1"/>
  <c r="E114" i="1" l="1"/>
  <c r="D115" i="1"/>
  <c r="G114" i="1"/>
  <c r="D114" i="1"/>
  <c r="J111" i="1" s="1"/>
  <c r="I199" i="1"/>
  <c r="I200" i="1"/>
  <c r="I201" i="1"/>
  <c r="I207" i="1"/>
  <c r="I213" i="1"/>
  <c r="I214" i="1"/>
  <c r="I215" i="1"/>
  <c r="I218" i="1"/>
  <c r="I224" i="1"/>
  <c r="I230" i="1"/>
  <c r="I231" i="1"/>
  <c r="I235" i="1"/>
  <c r="I241" i="1"/>
  <c r="I247" i="1"/>
  <c r="I248" i="1"/>
  <c r="I251" i="1"/>
  <c r="I257" i="1"/>
  <c r="I263" i="1"/>
  <c r="I264" i="1"/>
  <c r="I265" i="1"/>
  <c r="I270" i="1"/>
  <c r="I277" i="1"/>
  <c r="I284" i="1"/>
  <c r="I285" i="1"/>
  <c r="I289" i="1"/>
  <c r="I295" i="1"/>
  <c r="I301" i="1"/>
  <c r="I302" i="1"/>
  <c r="I306" i="1"/>
  <c r="I313" i="1"/>
  <c r="I320" i="1"/>
  <c r="I321" i="1"/>
  <c r="I322" i="1"/>
  <c r="I330" i="1"/>
  <c r="I338" i="1"/>
  <c r="I339" i="1"/>
  <c r="I340" i="1"/>
  <c r="I341" i="1"/>
  <c r="I346" i="1"/>
  <c r="I351" i="1"/>
  <c r="I352" i="1"/>
  <c r="I356" i="1"/>
  <c r="I361" i="1"/>
  <c r="N187" i="1"/>
  <c r="I111" i="1" l="1"/>
  <c r="G178" i="1"/>
  <c r="G175" i="1"/>
  <c r="G176" i="1"/>
  <c r="G177" i="1"/>
  <c r="G174" i="1"/>
  <c r="G173" i="1"/>
  <c r="G172" i="1"/>
  <c r="G171" i="1"/>
  <c r="G170" i="1"/>
  <c r="G167" i="1"/>
  <c r="D300" i="1"/>
  <c r="I300" i="1" s="1"/>
  <c r="D299" i="1"/>
  <c r="I299" i="1" s="1"/>
  <c r="D298" i="1"/>
  <c r="I298" i="1" s="1"/>
  <c r="D297" i="1"/>
  <c r="I297" i="1" s="1"/>
  <c r="D296" i="1"/>
  <c r="I296" i="1" s="1"/>
  <c r="E212" i="1"/>
  <c r="E206" i="1"/>
  <c r="E205" i="1"/>
  <c r="E204" i="1"/>
  <c r="E203" i="1"/>
  <c r="E202" i="1"/>
  <c r="J197" i="1"/>
  <c r="J188" i="1"/>
  <c r="I112" i="1" l="1"/>
  <c r="I110" i="1" s="1"/>
  <c r="C112" i="1" s="1"/>
  <c r="I179" i="1"/>
  <c r="J203" i="1"/>
  <c r="J204" i="1"/>
  <c r="J205" i="1"/>
  <c r="J206" i="1"/>
  <c r="J202" i="1"/>
  <c r="B362" i="1"/>
  <c r="B357" i="1"/>
  <c r="C14" i="1" l="1"/>
  <c r="B358" i="1"/>
  <c r="B363" i="1"/>
  <c r="D365" i="1" l="1"/>
  <c r="F365" i="1" s="1"/>
  <c r="I365" i="1" s="1"/>
  <c r="D364" i="1"/>
  <c r="F364" i="1" s="1"/>
  <c r="I364" i="1" s="1"/>
  <c r="D363" i="1"/>
  <c r="F363" i="1" s="1"/>
  <c r="I363" i="1" s="1"/>
  <c r="D362" i="1"/>
  <c r="F362" i="1" s="1"/>
  <c r="I362" i="1" s="1"/>
  <c r="E357" i="1"/>
  <c r="E360" i="1"/>
  <c r="D360" i="1"/>
  <c r="E359" i="1"/>
  <c r="D359" i="1"/>
  <c r="E358" i="1"/>
  <c r="D358" i="1"/>
  <c r="D357" i="1"/>
  <c r="D355" i="1"/>
  <c r="F355" i="1" s="1"/>
  <c r="I355" i="1" s="1"/>
  <c r="D354" i="1"/>
  <c r="F354" i="1" s="1"/>
  <c r="I354" i="1" s="1"/>
  <c r="D353" i="1"/>
  <c r="D350" i="1"/>
  <c r="F350" i="1" s="1"/>
  <c r="I350" i="1" s="1"/>
  <c r="D349" i="1"/>
  <c r="F349" i="1" s="1"/>
  <c r="I349" i="1" s="1"/>
  <c r="D348" i="1"/>
  <c r="F348" i="1" s="1"/>
  <c r="I348" i="1" s="1"/>
  <c r="D347" i="1"/>
  <c r="F347" i="1" s="1"/>
  <c r="I347" i="1" s="1"/>
  <c r="E345" i="1"/>
  <c r="D345" i="1"/>
  <c r="E344" i="1"/>
  <c r="D344" i="1"/>
  <c r="E343" i="1"/>
  <c r="D343" i="1"/>
  <c r="E342" i="1"/>
  <c r="D342" i="1"/>
  <c r="G362" i="1"/>
  <c r="G357" i="1"/>
  <c r="G353" i="1"/>
  <c r="G347" i="1"/>
  <c r="G342" i="1"/>
  <c r="D337" i="1"/>
  <c r="I337" i="1" s="1"/>
  <c r="D336" i="1"/>
  <c r="I336" i="1" s="1"/>
  <c r="D335" i="1"/>
  <c r="I335" i="1" s="1"/>
  <c r="D334" i="1"/>
  <c r="I334" i="1" s="1"/>
  <c r="D333" i="1"/>
  <c r="I333" i="1" s="1"/>
  <c r="D332" i="1"/>
  <c r="I332" i="1" s="1"/>
  <c r="D331" i="1"/>
  <c r="I331" i="1" s="1"/>
  <c r="E329" i="1"/>
  <c r="D329" i="1"/>
  <c r="I329" i="1" s="1"/>
  <c r="D328" i="1"/>
  <c r="I328" i="1" s="1"/>
  <c r="D327" i="1"/>
  <c r="I327" i="1" s="1"/>
  <c r="E326" i="1"/>
  <c r="D326" i="1"/>
  <c r="I326" i="1" s="1"/>
  <c r="D325" i="1"/>
  <c r="I325" i="1" s="1"/>
  <c r="D324" i="1"/>
  <c r="I324" i="1" s="1"/>
  <c r="D323" i="1"/>
  <c r="G331" i="1"/>
  <c r="K323" i="1"/>
  <c r="J323" i="1"/>
  <c r="G323" i="1"/>
  <c r="D319" i="1"/>
  <c r="I319" i="1" s="1"/>
  <c r="D318" i="1"/>
  <c r="I318" i="1" s="1"/>
  <c r="D317" i="1"/>
  <c r="I317" i="1" s="1"/>
  <c r="E316" i="1"/>
  <c r="D316" i="1"/>
  <c r="I316" i="1" s="1"/>
  <c r="D315" i="1"/>
  <c r="I315" i="1" s="1"/>
  <c r="E314" i="1"/>
  <c r="D314" i="1"/>
  <c r="I314" i="1" s="1"/>
  <c r="E312" i="1"/>
  <c r="D312" i="1"/>
  <c r="I312" i="1" s="1"/>
  <c r="E311" i="1"/>
  <c r="D311" i="1"/>
  <c r="I311" i="1" s="1"/>
  <c r="E310" i="1"/>
  <c r="D310" i="1"/>
  <c r="I310" i="1" s="1"/>
  <c r="D309" i="1"/>
  <c r="I309" i="1" s="1"/>
  <c r="E308" i="1"/>
  <c r="D308" i="1"/>
  <c r="I308" i="1" s="1"/>
  <c r="D307" i="1"/>
  <c r="I307" i="1" s="1"/>
  <c r="D305" i="1"/>
  <c r="I305" i="1" s="1"/>
  <c r="D304" i="1"/>
  <c r="I304" i="1" s="1"/>
  <c r="D303" i="1"/>
  <c r="E300" i="1"/>
  <c r="E294" i="1"/>
  <c r="D294" i="1"/>
  <c r="I294" i="1" s="1"/>
  <c r="D293" i="1"/>
  <c r="I293" i="1" s="1"/>
  <c r="D292" i="1"/>
  <c r="I292" i="1" s="1"/>
  <c r="D291" i="1"/>
  <c r="I291" i="1" s="1"/>
  <c r="E290" i="1"/>
  <c r="D290" i="1"/>
  <c r="I290" i="1" s="1"/>
  <c r="D288" i="1"/>
  <c r="I288" i="1" s="1"/>
  <c r="D287" i="1"/>
  <c r="I287" i="1" s="1"/>
  <c r="D286" i="1"/>
  <c r="D283" i="1"/>
  <c r="I283" i="1" s="1"/>
  <c r="D282" i="1"/>
  <c r="I282" i="1" s="1"/>
  <c r="D281" i="1"/>
  <c r="I281" i="1" s="1"/>
  <c r="D280" i="1"/>
  <c r="I280" i="1" s="1"/>
  <c r="D279" i="1"/>
  <c r="I279" i="1" s="1"/>
  <c r="D278" i="1"/>
  <c r="I278" i="1" s="1"/>
  <c r="E276" i="1"/>
  <c r="E272" i="1"/>
  <c r="D276" i="1"/>
  <c r="I276" i="1" s="1"/>
  <c r="D275" i="1"/>
  <c r="I275" i="1" s="1"/>
  <c r="D274" i="1"/>
  <c r="I274" i="1" s="1"/>
  <c r="D273" i="1"/>
  <c r="I273" i="1" s="1"/>
  <c r="D272" i="1"/>
  <c r="I272" i="1" s="1"/>
  <c r="D271" i="1"/>
  <c r="I271" i="1" s="1"/>
  <c r="D269" i="1"/>
  <c r="I269" i="1" s="1"/>
  <c r="D268" i="1"/>
  <c r="I268" i="1" s="1"/>
  <c r="D267" i="1"/>
  <c r="I267" i="1" s="1"/>
  <c r="D266" i="1"/>
  <c r="G314" i="1"/>
  <c r="G307" i="1"/>
  <c r="A304" i="1"/>
  <c r="A305" i="1" s="1"/>
  <c r="G303" i="1"/>
  <c r="G296" i="1"/>
  <c r="G290" i="1"/>
  <c r="A287" i="1"/>
  <c r="A288" i="1" s="1"/>
  <c r="G286" i="1"/>
  <c r="G278" i="1"/>
  <c r="G271" i="1"/>
  <c r="A267" i="1"/>
  <c r="A268" i="1" s="1"/>
  <c r="A269" i="1" s="1"/>
  <c r="G266" i="1"/>
  <c r="E262" i="1"/>
  <c r="D262" i="1"/>
  <c r="I262" i="1" s="1"/>
  <c r="D261" i="1"/>
  <c r="I261" i="1" s="1"/>
  <c r="D260" i="1"/>
  <c r="I260" i="1" s="1"/>
  <c r="D259" i="1"/>
  <c r="I259" i="1" s="1"/>
  <c r="D258" i="1"/>
  <c r="I258" i="1" s="1"/>
  <c r="E256" i="1"/>
  <c r="E255" i="1"/>
  <c r="E253" i="1"/>
  <c r="D256" i="1"/>
  <c r="I256" i="1" s="1"/>
  <c r="D255" i="1"/>
  <c r="I255" i="1" s="1"/>
  <c r="D254" i="1"/>
  <c r="I254" i="1" s="1"/>
  <c r="D253" i="1"/>
  <c r="I253" i="1" s="1"/>
  <c r="E252" i="1"/>
  <c r="D252" i="1"/>
  <c r="I252" i="1" s="1"/>
  <c r="D250" i="1"/>
  <c r="I250" i="1" s="1"/>
  <c r="D249" i="1"/>
  <c r="G258" i="1"/>
  <c r="G252" i="1"/>
  <c r="A250" i="1"/>
  <c r="G249" i="1"/>
  <c r="D246" i="1"/>
  <c r="I246" i="1" s="1"/>
  <c r="D245" i="1"/>
  <c r="I245" i="1" s="1"/>
  <c r="D244" i="1"/>
  <c r="I244" i="1" s="1"/>
  <c r="D243" i="1"/>
  <c r="I243" i="1" s="1"/>
  <c r="D242" i="1"/>
  <c r="I242" i="1" s="1"/>
  <c r="E240" i="1"/>
  <c r="E239" i="1"/>
  <c r="E237" i="1"/>
  <c r="E236" i="1"/>
  <c r="D240" i="1"/>
  <c r="I240" i="1" s="1"/>
  <c r="D239" i="1"/>
  <c r="I239" i="1" s="1"/>
  <c r="D238" i="1"/>
  <c r="I238" i="1" s="1"/>
  <c r="D237" i="1"/>
  <c r="I237" i="1" s="1"/>
  <c r="D236" i="1"/>
  <c r="I236" i="1" s="1"/>
  <c r="D234" i="1"/>
  <c r="I234" i="1" s="1"/>
  <c r="D233" i="1"/>
  <c r="I233" i="1" s="1"/>
  <c r="D232" i="1"/>
  <c r="E229" i="1"/>
  <c r="E225" i="1"/>
  <c r="D229" i="1"/>
  <c r="I229" i="1" s="1"/>
  <c r="D228" i="1"/>
  <c r="I228" i="1" s="1"/>
  <c r="D227" i="1"/>
  <c r="I227" i="1" s="1"/>
  <c r="D226" i="1"/>
  <c r="I226" i="1" s="1"/>
  <c r="D225" i="1"/>
  <c r="I225" i="1" s="1"/>
  <c r="E223" i="1"/>
  <c r="D223" i="1"/>
  <c r="I223" i="1" s="1"/>
  <c r="E222" i="1"/>
  <c r="D222" i="1"/>
  <c r="I222" i="1" s="1"/>
  <c r="E221" i="1"/>
  <c r="D221" i="1"/>
  <c r="I221" i="1" s="1"/>
  <c r="E220" i="1"/>
  <c r="D220" i="1"/>
  <c r="I220" i="1" s="1"/>
  <c r="E219" i="1"/>
  <c r="D219" i="1"/>
  <c r="I219" i="1" s="1"/>
  <c r="G242" i="1"/>
  <c r="G236" i="1"/>
  <c r="A233" i="1"/>
  <c r="A234" i="1" s="1"/>
  <c r="G232" i="1"/>
  <c r="D217" i="1"/>
  <c r="I217" i="1" s="1"/>
  <c r="D216" i="1"/>
  <c r="A217" i="1"/>
  <c r="G216" i="1"/>
  <c r="A278" i="1"/>
  <c r="A307" i="1"/>
  <c r="A323" i="1"/>
  <c r="B364" i="1"/>
  <c r="A296" i="1"/>
  <c r="A236" i="1"/>
  <c r="A252" i="1"/>
  <c r="B359" i="1"/>
  <c r="A271" i="1"/>
  <c r="A242" i="1"/>
  <c r="B347" i="1"/>
  <c r="B342" i="1"/>
  <c r="A314" i="1"/>
  <c r="A258" i="1"/>
  <c r="A331" i="1"/>
  <c r="A290" i="1"/>
  <c r="F343" i="1" l="1"/>
  <c r="I343" i="1" s="1"/>
  <c r="F359" i="1"/>
  <c r="I359" i="1" s="1"/>
  <c r="F344" i="1"/>
  <c r="I344" i="1" s="1"/>
  <c r="F358" i="1"/>
  <c r="I358" i="1" s="1"/>
  <c r="F360" i="1"/>
  <c r="I360" i="1" s="1"/>
  <c r="C172" i="1"/>
  <c r="I216" i="1"/>
  <c r="E172" i="1"/>
  <c r="E179" i="1"/>
  <c r="F342" i="1"/>
  <c r="F353" i="1"/>
  <c r="E180" i="1"/>
  <c r="I266" i="1"/>
  <c r="E175" i="1"/>
  <c r="I303" i="1"/>
  <c r="E177" i="1"/>
  <c r="I232" i="1"/>
  <c r="E173" i="1"/>
  <c r="I286" i="1"/>
  <c r="E176" i="1"/>
  <c r="C178" i="1"/>
  <c r="I323" i="1"/>
  <c r="E178" i="1"/>
  <c r="C174" i="1"/>
  <c r="I249" i="1"/>
  <c r="E174" i="1"/>
  <c r="F357" i="1"/>
  <c r="I357" i="1" s="1"/>
  <c r="M217" i="1"/>
  <c r="M292" i="1"/>
  <c r="M267" i="1"/>
  <c r="M221" i="1"/>
  <c r="M236" i="1"/>
  <c r="M255" i="1"/>
  <c r="M276" i="1"/>
  <c r="M293" i="1"/>
  <c r="M310" i="1"/>
  <c r="M328" i="1"/>
  <c r="M237" i="1"/>
  <c r="M256" i="1"/>
  <c r="M268" i="1"/>
  <c r="M286" i="1"/>
  <c r="M294" i="1"/>
  <c r="M303" i="1"/>
  <c r="M329" i="1"/>
  <c r="M266" i="1"/>
  <c r="M222" i="1"/>
  <c r="M238" i="1"/>
  <c r="M249" i="1"/>
  <c r="M287" i="1"/>
  <c r="C175" i="1"/>
  <c r="C179" i="1"/>
  <c r="M254" i="1"/>
  <c r="M275" i="1"/>
  <c r="M309" i="1"/>
  <c r="M269" i="1"/>
  <c r="M304" i="1"/>
  <c r="M311" i="1"/>
  <c r="M323" i="1"/>
  <c r="M239" i="1"/>
  <c r="M250" i="1"/>
  <c r="M271" i="1"/>
  <c r="M288" i="1"/>
  <c r="M305" i="1"/>
  <c r="M324" i="1"/>
  <c r="M234" i="1"/>
  <c r="M325" i="1"/>
  <c r="C176" i="1"/>
  <c r="C180" i="1"/>
  <c r="M327" i="1"/>
  <c r="M219" i="1"/>
  <c r="M223" i="1"/>
  <c r="M240" i="1"/>
  <c r="M252" i="1"/>
  <c r="M272" i="1"/>
  <c r="M290" i="1"/>
  <c r="M307" i="1"/>
  <c r="M312" i="1"/>
  <c r="M232" i="1"/>
  <c r="M273" i="1"/>
  <c r="M308" i="1"/>
  <c r="M326" i="1"/>
  <c r="M216" i="1"/>
  <c r="M220" i="1"/>
  <c r="M233" i="1"/>
  <c r="M253" i="1"/>
  <c r="M274" i="1"/>
  <c r="M291" i="1"/>
  <c r="F345" i="1"/>
  <c r="I345" i="1" s="1"/>
  <c r="C173" i="1"/>
  <c r="C177" i="1"/>
  <c r="G225" i="1"/>
  <c r="G219" i="1"/>
  <c r="D206" i="1"/>
  <c r="I206" i="1" s="1"/>
  <c r="D205" i="1"/>
  <c r="I205" i="1" s="1"/>
  <c r="D204" i="1"/>
  <c r="I204" i="1" s="1"/>
  <c r="D203" i="1"/>
  <c r="I203" i="1" s="1"/>
  <c r="D202" i="1"/>
  <c r="K202" i="1"/>
  <c r="D212" i="1"/>
  <c r="I212" i="1" s="1"/>
  <c r="D211" i="1"/>
  <c r="I211" i="1" s="1"/>
  <c r="D210" i="1"/>
  <c r="I210" i="1" s="1"/>
  <c r="D209" i="1"/>
  <c r="I209" i="1" s="1"/>
  <c r="D208" i="1"/>
  <c r="I208" i="1" s="1"/>
  <c r="G208" i="1"/>
  <c r="G202" i="1"/>
  <c r="K198" i="1"/>
  <c r="J198" i="1"/>
  <c r="D198" i="1"/>
  <c r="I198" i="1" s="1"/>
  <c r="D197" i="1"/>
  <c r="G197" i="1"/>
  <c r="D192" i="1"/>
  <c r="L192" i="1" s="1"/>
  <c r="D191" i="1"/>
  <c r="L191" i="1" s="1"/>
  <c r="D190" i="1"/>
  <c r="L190" i="1" s="1"/>
  <c r="D189" i="1"/>
  <c r="L189" i="1" s="1"/>
  <c r="D188" i="1"/>
  <c r="L188" i="1" s="1"/>
  <c r="J187" i="1"/>
  <c r="D187" i="1"/>
  <c r="A272" i="1"/>
  <c r="A324" i="1"/>
  <c r="A308" i="1"/>
  <c r="A202" i="1"/>
  <c r="A237" i="1"/>
  <c r="A208" i="1"/>
  <c r="B348" i="1"/>
  <c r="A332" i="1"/>
  <c r="B365" i="1"/>
  <c r="A243" i="1"/>
  <c r="A225" i="1"/>
  <c r="A197" i="1"/>
  <c r="A315" i="1"/>
  <c r="B360" i="1"/>
  <c r="A291" i="1"/>
  <c r="A297" i="1"/>
  <c r="A259" i="1"/>
  <c r="A219" i="1"/>
  <c r="A279" i="1"/>
  <c r="A253" i="1"/>
  <c r="B343" i="1"/>
  <c r="I353" i="1" l="1"/>
  <c r="G180" i="1"/>
  <c r="I342" i="1"/>
  <c r="G179" i="1"/>
  <c r="L187" i="1"/>
  <c r="E167" i="1"/>
  <c r="I197" i="1"/>
  <c r="M197" i="1"/>
  <c r="E170" i="1"/>
  <c r="I202" i="1"/>
  <c r="E171" i="1"/>
  <c r="M203" i="1"/>
  <c r="M202" i="1"/>
  <c r="C171" i="1"/>
  <c r="M204" i="1"/>
  <c r="C170" i="1"/>
  <c r="M205" i="1"/>
  <c r="M198" i="1"/>
  <c r="M206" i="1"/>
  <c r="C167" i="1"/>
  <c r="G49" i="1"/>
  <c r="G50" i="1" s="1"/>
  <c r="A244" i="1"/>
  <c r="A325" i="1"/>
  <c r="A254" i="1"/>
  <c r="A203" i="1"/>
  <c r="A298" i="1"/>
  <c r="A280" i="1"/>
  <c r="A316" i="1"/>
  <c r="A292" i="1"/>
  <c r="A226" i="1"/>
  <c r="A273" i="1"/>
  <c r="A238" i="1"/>
  <c r="A220" i="1"/>
  <c r="A198" i="1"/>
  <c r="A333" i="1"/>
  <c r="B349" i="1"/>
  <c r="A309" i="1"/>
  <c r="A260" i="1"/>
  <c r="B344" i="1"/>
  <c r="A209" i="1"/>
  <c r="E181" i="1" l="1"/>
  <c r="C181" i="1"/>
  <c r="E29" i="1"/>
  <c r="A317" i="1"/>
  <c r="B350" i="1"/>
  <c r="A210" i="1"/>
  <c r="A204" i="1"/>
  <c r="A326" i="1"/>
  <c r="A261" i="1"/>
  <c r="A334" i="1"/>
  <c r="A245" i="1"/>
  <c r="A221" i="1"/>
  <c r="A299" i="1"/>
  <c r="A293" i="1"/>
  <c r="A274" i="1"/>
  <c r="A227" i="1"/>
  <c r="A255" i="1"/>
  <c r="A239" i="1"/>
  <c r="B345" i="1"/>
  <c r="A310" i="1"/>
  <c r="A281" i="1"/>
  <c r="G181" i="1" l="1"/>
  <c r="F164" i="1"/>
  <c r="A240" i="1"/>
  <c r="A205" i="1"/>
  <c r="A318" i="1"/>
  <c r="A211" i="1"/>
  <c r="A335" i="1"/>
  <c r="A222" i="1"/>
  <c r="A282" i="1"/>
  <c r="A262" i="1"/>
  <c r="A311" i="1"/>
  <c r="A294" i="1"/>
  <c r="A228" i="1"/>
  <c r="A327" i="1"/>
  <c r="A275" i="1"/>
  <c r="A246" i="1"/>
  <c r="A256" i="1"/>
  <c r="A300" i="1"/>
  <c r="B368" i="1" l="1"/>
  <c r="A283" i="1"/>
  <c r="A206" i="1"/>
  <c r="A312" i="1"/>
  <c r="A319" i="1"/>
  <c r="A276" i="1"/>
  <c r="A223" i="1"/>
  <c r="A336" i="1"/>
  <c r="A212" i="1"/>
  <c r="A229" i="1"/>
  <c r="A328" i="1"/>
  <c r="B369" i="1" l="1"/>
  <c r="A329" i="1"/>
  <c r="A33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91" i="1"/>
  <c r="A188" i="1"/>
  <c r="A189" i="1" s="1"/>
  <c r="G187" i="1"/>
  <c r="M187" i="1" s="1"/>
  <c r="J149" i="1"/>
  <c r="J148" i="1"/>
  <c r="J147" i="1"/>
  <c r="J146" i="1"/>
  <c r="C138" i="1"/>
  <c r="J93" i="1"/>
  <c r="J92" i="1"/>
  <c r="J91" i="1"/>
  <c r="J90" i="1"/>
  <c r="J79" i="1"/>
  <c r="J78" i="1"/>
  <c r="J77" i="1"/>
  <c r="J76" i="1"/>
  <c r="C68" i="1"/>
  <c r="D54" i="1"/>
  <c r="C49" i="1"/>
  <c r="E42" i="1"/>
  <c r="E43" i="1" s="1"/>
  <c r="E26" i="1"/>
  <c r="E24" i="1"/>
  <c r="E7" i="1"/>
  <c r="H83" i="1"/>
  <c r="H139" i="1"/>
  <c r="H69" i="1"/>
  <c r="D62" i="1" l="1"/>
  <c r="D93" i="1"/>
  <c r="D94" i="1"/>
  <c r="D95" i="1"/>
  <c r="D89" i="1"/>
  <c r="D90" i="1"/>
  <c r="D91" i="1"/>
  <c r="D92" i="1"/>
  <c r="J82" i="1"/>
  <c r="J84" i="1" s="1"/>
  <c r="D81" i="1"/>
  <c r="D79" i="1"/>
  <c r="D78" i="1"/>
  <c r="D77" i="1"/>
  <c r="D75" i="1"/>
  <c r="J68" i="1"/>
  <c r="D80" i="1"/>
  <c r="D76" i="1"/>
  <c r="J72" i="1"/>
  <c r="J73" i="1"/>
  <c r="J71" i="1"/>
  <c r="J74" i="1"/>
  <c r="J75" i="1" s="1"/>
  <c r="J80" i="1" s="1"/>
  <c r="J81" i="1" s="1"/>
  <c r="J138" i="1"/>
  <c r="J140" i="1" s="1"/>
  <c r="J142" i="1"/>
  <c r="D151" i="1"/>
  <c r="D149" i="1"/>
  <c r="D147" i="1"/>
  <c r="D145" i="1"/>
  <c r="J143" i="1"/>
  <c r="C142" i="1" s="1"/>
  <c r="J141" i="1"/>
  <c r="J144" i="1"/>
  <c r="J145" i="1" s="1"/>
  <c r="J150" i="1" s="1"/>
  <c r="J151" i="1" s="1"/>
  <c r="C143" i="1" s="1"/>
  <c r="D150" i="1"/>
  <c r="D148" i="1"/>
  <c r="D146" i="1"/>
  <c r="J88" i="1"/>
  <c r="J86" i="1"/>
  <c r="J87" i="1"/>
  <c r="C86" i="1" s="1"/>
  <c r="J85" i="1"/>
  <c r="J89" i="1" l="1"/>
  <c r="J94" i="1" s="1"/>
  <c r="D144" i="1"/>
  <c r="D142" i="1"/>
  <c r="D88" i="1"/>
  <c r="D74" i="1"/>
  <c r="J70" i="1"/>
  <c r="E72" i="1"/>
  <c r="D73" i="1"/>
  <c r="G72" i="1"/>
  <c r="D72" i="1"/>
  <c r="D86" i="1"/>
  <c r="E142" i="1"/>
  <c r="D143" i="1"/>
  <c r="G142" i="1"/>
  <c r="H125" i="1"/>
  <c r="J129" i="1" l="1"/>
  <c r="C128" i="1" s="1"/>
  <c r="D128" i="1" s="1"/>
  <c r="J127" i="1"/>
  <c r="D136" i="1"/>
  <c r="D137" i="1"/>
  <c r="D133" i="1"/>
  <c r="D135" i="1"/>
  <c r="D131" i="1"/>
  <c r="J130" i="1"/>
  <c r="J131" i="1" s="1"/>
  <c r="J136" i="1" s="1"/>
  <c r="J137" i="1" s="1"/>
  <c r="C129" i="1" s="1"/>
  <c r="D130" i="1"/>
  <c r="D132" i="1"/>
  <c r="J128" i="1"/>
  <c r="D134" i="1"/>
  <c r="J124" i="1"/>
  <c r="J126" i="1" s="1"/>
  <c r="J69" i="1"/>
  <c r="J95" i="1"/>
  <c r="E86" i="1"/>
  <c r="I139" i="1"/>
  <c r="J139" i="1"/>
  <c r="I69" i="1"/>
  <c r="H97" i="1"/>
  <c r="E128" i="1" l="1"/>
  <c r="D129" i="1"/>
  <c r="I125" i="1" s="1"/>
  <c r="I126" i="1" s="1"/>
  <c r="G128" i="1"/>
  <c r="J125" i="1"/>
  <c r="J101" i="1"/>
  <c r="C100" i="1" s="1"/>
  <c r="D100" i="1" s="1"/>
  <c r="J99" i="1"/>
  <c r="D109" i="1"/>
  <c r="D105" i="1"/>
  <c r="D101" i="1"/>
  <c r="D103" i="1"/>
  <c r="J96" i="1"/>
  <c r="J98" i="1" s="1"/>
  <c r="J100" i="1"/>
  <c r="D108" i="1"/>
  <c r="D104" i="1"/>
  <c r="D107" i="1"/>
  <c r="E100" i="1"/>
  <c r="J102" i="1"/>
  <c r="J103" i="1" s="1"/>
  <c r="J108" i="1" s="1"/>
  <c r="J109" i="1" s="1"/>
  <c r="D106" i="1"/>
  <c r="D102" i="1"/>
  <c r="J83" i="1"/>
  <c r="D87" i="1"/>
  <c r="I83" i="1" s="1"/>
  <c r="I84" i="1" s="1"/>
  <c r="G86" i="1"/>
  <c r="D66" i="1" s="1"/>
  <c r="F67" i="1" s="1"/>
  <c r="I140" i="1"/>
  <c r="I138" i="1" s="1"/>
  <c r="C140" i="1" s="1"/>
  <c r="I70" i="1"/>
  <c r="I68" i="1" s="1"/>
  <c r="C70" i="1" s="1"/>
  <c r="I124" i="1" l="1"/>
  <c r="C126" i="1" s="1"/>
  <c r="I97" i="1"/>
  <c r="I98" i="1" s="1"/>
  <c r="G100" i="1"/>
  <c r="J97" i="1"/>
  <c r="I82" i="1"/>
  <c r="C84" i="1" s="1"/>
  <c r="D67" i="1"/>
  <c r="I96" i="1" l="1"/>
  <c r="C98" i="1" s="1"/>
</calcChain>
</file>

<file path=xl/sharedStrings.xml><?xml version="1.0" encoding="utf-8"?>
<sst xmlns="http://schemas.openxmlformats.org/spreadsheetml/2006/main" count="661" uniqueCount="239">
  <si>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</si>
  <si>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</si>
  <si>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</si>
  <si>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</si>
  <si>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</si>
  <si>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</si>
  <si>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</si>
  <si>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</si>
  <si>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</si>
  <si>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</si>
  <si>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</si>
  <si>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</si>
  <si>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</si>
  <si>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</si>
  <si>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</si>
  <si>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</si>
  <si>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</si>
  <si>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</si>
  <si>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</si>
  <si>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</si>
  <si>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</si>
  <si>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</si>
  <si>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</si>
  <si>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</si>
  <si>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</si>
  <si>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</si>
  <si>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</si>
  <si>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</si>
  <si>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</si>
  <si>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</si>
  <si>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</si>
  <si>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</si>
  <si>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</si>
  <si>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</si>
  <si>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</si>
  <si>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</si>
  <si>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</si>
  <si>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</si>
  <si>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</si>
  <si>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</si>
  <si>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</si>
  <si>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</si>
  <si>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</si>
  <si>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</si>
  <si>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</si>
  <si>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</si>
  <si>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</si>
  <si>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</si>
  <si>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</si>
  <si>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</si>
  <si>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</si>
  <si>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</si>
  <si>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</si>
  <si>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</si>
  <si>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</si>
  <si>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</si>
  <si>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</si>
  <si>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</si>
  <si>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</si>
  <si>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</si>
  <si>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</si>
  <si>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</si>
  <si>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</si>
  <si>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</si>
  <si>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</si>
  <si>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</si>
  <si>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</si>
  <si>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</si>
  <si>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</si>
  <si>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</si>
  <si>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</si>
  <si>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</si>
  <si>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</si>
  <si>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</si>
  <si>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</si>
  <si>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</si>
  <si>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</si>
  <si>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</si>
  <si>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</si>
  <si>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</si>
  <si>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</si>
  <si>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</si>
  <si>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</si>
  <si>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</si>
  <si>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</si>
  <si>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</si>
  <si>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</si>
  <si>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</si>
  <si>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</si>
  <si>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</si>
  <si>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</si>
  <si>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</si>
  <si>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</si>
  <si>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</si>
  <si>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</si>
  <si>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</si>
  <si>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</si>
  <si>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</si>
  <si>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</si>
  <si>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</si>
  <si>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</si>
  <si>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</si>
  <si>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</si>
  <si>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</si>
  <si>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</si>
  <si>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</si>
  <si>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</si>
  <si>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</si>
  <si>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</si>
  <si>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</si>
  <si>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</si>
  <si>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</si>
  <si>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</si>
  <si>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</si>
  <si>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</si>
  <si>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</si>
  <si>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</si>
  <si>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</si>
  <si>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</si>
  <si>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</si>
  <si>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</si>
  <si>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</si>
  <si>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</si>
  <si>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</si>
  <si>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</si>
  <si>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</si>
  <si>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</si>
  <si>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</si>
  <si>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</si>
  <si>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</si>
  <si>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</si>
  <si>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</si>
  <si>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</si>
  <si>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</si>
  <si>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</si>
  <si>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</si>
  <si>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</si>
  <si>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</si>
  <si>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</si>
  <si>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</si>
  <si>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</si>
  <si>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</si>
  <si>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</si>
  <si>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</si>
  <si>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</si>
  <si>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</si>
  <si>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</si>
  <si>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</si>
  <si>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</si>
  <si>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</si>
  <si>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</si>
  <si>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</si>
  <si>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</si>
  <si>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</si>
  <si>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</si>
  <si>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</si>
  <si>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</si>
  <si>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</si>
  <si>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</si>
  <si>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</si>
  <si>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</si>
  <si>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</si>
  <si>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</si>
  <si>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</si>
  <si>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</si>
  <si>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</si>
  <si>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</si>
  <si>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</si>
  <si>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</si>
  <si>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</si>
  <si>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</si>
  <si>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Axis Sanpada</t>
  </si>
  <si>
    <t>M/s. Space India Builders &amp; Developers</t>
  </si>
  <si>
    <t>Space Greens</t>
  </si>
  <si>
    <t>P52000032326</t>
  </si>
  <si>
    <t>Raigad</t>
  </si>
  <si>
    <t>Panvel</t>
  </si>
  <si>
    <t>Dundre</t>
  </si>
  <si>
    <t>Gut No</t>
  </si>
  <si>
    <t>Approved Plans, CC, Builder Saleable Area, Cost Sheet</t>
  </si>
  <si>
    <t>City and Industrial Development Corporation of Maharashtra (CIDCO)</t>
  </si>
  <si>
    <t>CIDCO/NAINA/Panvel/Dundre/BP-00520/ACC/2021/0132</t>
  </si>
  <si>
    <t>Building No. 1 to 6 = G + 1st to 4th Floor</t>
  </si>
  <si>
    <t>Space Green Road</t>
  </si>
  <si>
    <t>Bhairavnath Mandir</t>
  </si>
  <si>
    <t>11.8 KM from Panvel Railway Station</t>
  </si>
  <si>
    <t>Panvel (East)</t>
  </si>
  <si>
    <t>Open Plot</t>
  </si>
  <si>
    <t>Building No. 1 to 6 - G + 1st to 4th Floor</t>
  </si>
  <si>
    <t>As per RERA - 31/12/2026</t>
  </si>
  <si>
    <t>Building No. 1</t>
  </si>
  <si>
    <t>Wing A</t>
  </si>
  <si>
    <t>Ground Floor For Commercial</t>
  </si>
  <si>
    <t>Shop</t>
  </si>
  <si>
    <t>Wing B</t>
  </si>
  <si>
    <t>1BHK</t>
  </si>
  <si>
    <t>2BHK</t>
  </si>
  <si>
    <t>Building No. 2</t>
  </si>
  <si>
    <t>Ground Floor For Parking</t>
  </si>
  <si>
    <t>1st &amp; 3rd Floor</t>
  </si>
  <si>
    <t>1st &amp; 3rd Floor For Residential</t>
  </si>
  <si>
    <t>1st to 4th Floor For Residential</t>
  </si>
  <si>
    <t>Building No. 3</t>
  </si>
  <si>
    <t>1RK</t>
  </si>
  <si>
    <t>Wing C</t>
  </si>
  <si>
    <t>2nd &amp; 4th Floor</t>
  </si>
  <si>
    <t>Building No. 4</t>
  </si>
  <si>
    <t>Building No. 5</t>
  </si>
  <si>
    <t>Building No. 6</t>
  </si>
  <si>
    <t>Building No. 1
Building No. 2
Building No. 3 (Wing A, B, C)
Building No. 4 (Wing A, B, C)
Building No. 5
Building No. 6 (Wing A, B)</t>
  </si>
  <si>
    <t>We considered Gross carpet area = Net carpet + Balcony.</t>
  </si>
  <si>
    <t>42/5, 42/7, 42/11 and 31/4B, 31/8</t>
  </si>
  <si>
    <t>Builder Saleable area</t>
  </si>
  <si>
    <t>11 Wings</t>
  </si>
  <si>
    <t>Building No. 6 - EWS</t>
  </si>
  <si>
    <t>EWS</t>
  </si>
  <si>
    <t>CIDCO/NAINA/Panvel/Dundre/BP-520/ACC/2021/132</t>
  </si>
  <si>
    <t>Ground Floor for Residential</t>
  </si>
  <si>
    <t>We have updated approved floor plan &amp; CC. (on dtd. 18/08/2022)</t>
  </si>
  <si>
    <r>
      <t xml:space="preserve">Shop No.
</t>
    </r>
    <r>
      <rPr>
        <b/>
        <sz val="11"/>
        <rFont val="Times New Roman"/>
        <family val="1"/>
      </rPr>
      <t>(Approved Plan)</t>
    </r>
  </si>
  <si>
    <t>Building No. 1, 2 &amp; 5 = 1st to 4th Floor</t>
  </si>
  <si>
    <t>Building No. 3 (Wing A, B &amp; C)= 1st to 4th Floor</t>
  </si>
  <si>
    <t>Sale Flats - 201, EWS Flats - 35, Sale Shops -6</t>
  </si>
  <si>
    <t>Site Meet Person Details ( Name &amp; Contect No.)</t>
  </si>
  <si>
    <t>Latitude, Longitude</t>
  </si>
  <si>
    <t>Building No. 4 (Wing A, B &amp; C) = 1st to 4th Floor</t>
  </si>
  <si>
    <t>Building No. 6 (Wing A &amp; B) = 1st to 4th Floor</t>
  </si>
  <si>
    <t>https://goo.gl/maps/K76XC3MRcmuJp9847?coh=178572&amp;entry=tt</t>
  </si>
  <si>
    <t>Building No. 3 (Wing B &amp; C)= 1st to 4th Floor</t>
  </si>
  <si>
    <t>19.0371104,73.201822</t>
  </si>
  <si>
    <t>Since building no. 1, 2 &amp; 5 have received CC on 15/12/2021, but as of construction work is not started.</t>
  </si>
  <si>
    <t>Building No. 4 (Wing A &amp; B) = 1st to 4th Floor</t>
  </si>
  <si>
    <t>Building No. 4 (Wing C) = 1st to 4th Floor</t>
  </si>
  <si>
    <t>On Site, we meet Mr. Sahil : 7208770342.</t>
  </si>
  <si>
    <t>Ravindra vishwakarma</t>
  </si>
  <si>
    <t xml:space="preserve">Office No. 1031, Wing J, Akshar Business Park, Plot No. 03 Sector 25, Near APMC Market,
Vashi, Navi Mumbai, Maharashtra 400703 TEL: 022-46090378/79/80
E mail : vsjcapf@gmail.com. Web site : www.vsjadon.com
</t>
  </si>
  <si>
    <t>Building no. 4 = Construction work is same as last visit 07/02/2024.
Building no. 3 = Construction work is the same as last visit (dtd.07/02/2025),</t>
  </si>
  <si>
    <t>Building no. 3 = Construction work is in process at the time of the visit. (Slow Speed).
Building no. 4 = Construction work is in process at the time of visit (Labour found).
Building No. 6 = Construction work was stopped. Work same as last visit (24/09/2022).
Building no.1, 2 &amp; 5 = Construction work not yet started.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</si>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</sst>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  <numFmt numFmtId="169" formatCode="dd\/mm\/yyyy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68" fontId="7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vertical="center"/>
    </xf>
    <xf numFmtId="2" fontId="7" fillId="0" borderId="0" xfId="1" applyNumberFormat="1" applyFont="1" applyAlignment="1">
      <alignment vertical="center"/>
    </xf>
    <xf numFmtId="0" fontId="7" fillId="0" borderId="1" xfId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24" fillId="0" borderId="30" xfId="0" applyFont="1" applyBorder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3" xfId="1" applyNumberFormat="1" applyFont="1" applyBorder="1" applyAlignment="1" applyProtection="1">
      <alignment horizontal="center" vertical="top" wrapText="1"/>
      <protection locked="0"/>
    </xf>
    <xf numFmtId="1" fontId="27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top"/>
      <protection locked="0"/>
    </xf>
    <xf numFmtId="0" fontId="24" fillId="0" borderId="15" xfId="0" applyFont="1" applyBorder="1"/>
    <xf numFmtId="0" fontId="25" fillId="0" borderId="9" xfId="0" applyFont="1" applyBorder="1"/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21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169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 applyProtection="1">
      <alignment horizontal="center" vertical="center" wrapText="1"/>
      <protection locked="0"/>
    </xf>
    <xf numFmtId="1" fontId="12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1" fontId="13" fillId="0" borderId="17" xfId="1" applyNumberFormat="1" applyFont="1" applyBorder="1" applyAlignment="1" applyProtection="1">
      <alignment horizontal="center" vertical="top" wrapText="1"/>
      <protection locked="0"/>
    </xf>
    <xf numFmtId="1" fontId="13" fillId="0" borderId="18" xfId="1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12" fillId="0" borderId="16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0" fontId="7" fillId="0" borderId="0" xfId="0" applyFont="1" applyAlignment="1">
      <alignment horizontal="left" vertical="top" wrapText="1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543791</xdr:colOff>
      <xdr:row>478</xdr:row>
      <xdr:rowOff>34635</xdr:rowOff>
    </xdr:from>
    <xdr:to>
      <xdr:col>7</xdr:col>
      <xdr:colOff>386946</xdr:colOff>
      <xdr:row>489</xdr:row>
      <xdr:rowOff>3886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3791" y="83502943"/>
          <a:ext cx="5462905" cy="214534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543791</xdr:colOff>
      <xdr:row>490</xdr:row>
      <xdr:rowOff>16451</xdr:rowOff>
    </xdr:from>
    <xdr:to>
      <xdr:col>7</xdr:col>
      <xdr:colOff>386946</xdr:colOff>
      <xdr:row>500</xdr:row>
      <xdr:rowOff>184860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43791" y="85858682"/>
          <a:ext cx="5462905" cy="214667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8</xdr:col>
      <xdr:colOff>924492</xdr:colOff>
      <xdr:row>397</xdr:row>
      <xdr:rowOff>72444</xdr:rowOff>
    </xdr:from>
    <xdr:ext cx="288669" cy="342786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7360079" y="78641270"/>
          <a:ext cx="288669" cy="34278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6</a:t>
          </a:r>
        </a:p>
      </xdr:txBody>
    </xdr:sp>
    <xdr:clientData/>
  </xdr:oneCellAnchor>
  <xdr:oneCellAnchor>
    <xdr:from>
      <xdr:col>8</xdr:col>
      <xdr:colOff>1060450</xdr:colOff>
      <xdr:row>429</xdr:row>
      <xdr:rowOff>146050</xdr:rowOff>
    </xdr:from>
    <xdr:ext cx="288669" cy="342786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7816850" y="82200750"/>
          <a:ext cx="288669" cy="34278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6</a:t>
          </a:r>
        </a:p>
      </xdr:txBody>
    </xdr:sp>
    <xdr:clientData/>
  </xdr:oneCellAnchor>
  <xdr:twoCellAnchor>
    <xdr:from>
      <xdr:col>8</xdr:col>
      <xdr:colOff>1118235</xdr:colOff>
      <xdr:row>433</xdr:row>
      <xdr:rowOff>94297</xdr:rowOff>
    </xdr:from>
    <xdr:to>
      <xdr:col>17</xdr:col>
      <xdr:colOff>237799</xdr:colOff>
      <xdr:row>457</xdr:row>
      <xdr:rowOff>89534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7731070" y="87267097"/>
          <a:ext cx="6401633" cy="4759394"/>
          <a:chOff x="104775" y="87520462"/>
          <a:chExt cx="6261409" cy="4786312"/>
        </a:xfrm>
      </xdr:grpSpPr>
      <xdr:pic>
        <xdr:nvPicPr>
          <xdr:cNvPr id="21" name="Picture 20" descr="https://vsjcllp.vsjadon.com/upload/insp-234036-1525.jpg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52699" y="89939811"/>
            <a:ext cx="3153025" cy="23669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34036-1022.jpg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4775" y="87520462"/>
            <a:ext cx="3089584" cy="23193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34036-916.jp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04849" y="89935049"/>
            <a:ext cx="1773375" cy="23669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34036-925.jpg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76600" y="87520462"/>
            <a:ext cx="3089584" cy="23193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430529</xdr:colOff>
      <xdr:row>388</xdr:row>
      <xdr:rowOff>148589</xdr:rowOff>
    </xdr:from>
    <xdr:to>
      <xdr:col>16</xdr:col>
      <xdr:colOff>89243</xdr:colOff>
      <xdr:row>426</xdr:row>
      <xdr:rowOff>93344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043364" y="78382798"/>
          <a:ext cx="6317931" cy="7491868"/>
          <a:chOff x="133349" y="78914624"/>
          <a:chExt cx="6175719" cy="7534275"/>
        </a:xfrm>
      </xdr:grpSpPr>
      <xdr:pic>
        <xdr:nvPicPr>
          <xdr:cNvPr id="22" name="Picture 21" descr="https://vsjcllp.vsjadon.com/upload/insp-234036-860.jpg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76225" y="78914624"/>
            <a:ext cx="1891124" cy="25241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34036-871.jpg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38375" y="78914624"/>
            <a:ext cx="1891124" cy="25241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34036-874.jpg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10050" y="78924149"/>
            <a:ext cx="1891124" cy="25241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34036-877.jpg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57549" y="84158136"/>
            <a:ext cx="3051519" cy="22907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34036-880.jpg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6700" y="81524474"/>
            <a:ext cx="1905000" cy="254264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34036-883.jpg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38375" y="81533999"/>
            <a:ext cx="1905000" cy="254264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34036-931.jpg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19575" y="81524474"/>
            <a:ext cx="1905000" cy="254264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34036-1512.jpg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3349" y="84158136"/>
            <a:ext cx="3051519" cy="22907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137160</xdr:colOff>
      <xdr:row>392</xdr:row>
      <xdr:rowOff>38100</xdr:rowOff>
    </xdr:from>
    <xdr:to>
      <xdr:col>7</xdr:col>
      <xdr:colOff>743880</xdr:colOff>
      <xdr:row>427</xdr:row>
      <xdr:rowOff>124930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A257D3C3-C965-8F44-9588-B8C6DC599551}"/>
            </a:ext>
          </a:extLst>
        </xdr:cNvPr>
        <xdr:cNvGrpSpPr/>
      </xdr:nvGrpSpPr>
      <xdr:grpSpPr>
        <a:xfrm>
          <a:off x="137160" y="79067439"/>
          <a:ext cx="6364790" cy="7037595"/>
          <a:chOff x="324755" y="234134"/>
          <a:chExt cx="6359820" cy="7013410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2810E0C6-0C42-E61C-A5B0-91D6B9259F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6395" y="2750839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82C1DFDB-5127-ABCA-674B-99EF11C2E2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67464" y="234134"/>
            <a:ext cx="3117111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DBB60E4B-92FF-9A5A-DA2E-2479F80E82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35593" y="5087544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EBDA4A3-E866-F1BB-4E52-E316E105EA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35593" y="2750839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C19C214F-43EE-0051-5896-E5F3B93657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85994" y="2750839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108F4AFC-4C4A-E8AE-568E-C353C9937B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4755" y="234134"/>
            <a:ext cx="3117111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C8076C73-A9E4-AB8D-78A6-456C0657B1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85994" y="5087544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3E207A6-D8EB-A99B-BC83-5E03C3887E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6395" y="5087544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99061</xdr:colOff>
      <xdr:row>434</xdr:row>
      <xdr:rowOff>152400</xdr:rowOff>
    </xdr:from>
    <xdr:to>
      <xdr:col>7</xdr:col>
      <xdr:colOff>784861</xdr:colOff>
      <xdr:row>462</xdr:row>
      <xdr:rowOff>146538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5C200C5A-155B-C17B-4033-C073E6CA3185}"/>
            </a:ext>
          </a:extLst>
        </xdr:cNvPr>
        <xdr:cNvGrpSpPr/>
      </xdr:nvGrpSpPr>
      <xdr:grpSpPr>
        <a:xfrm>
          <a:off x="99061" y="87523983"/>
          <a:ext cx="6443870" cy="5553425"/>
          <a:chOff x="1839194" y="531535"/>
          <a:chExt cx="7679753" cy="6498433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2C85FFDB-D0AE-F902-EAF5-817F1C5FDDF7}"/>
              </a:ext>
            </a:extLst>
          </xdr:cNvPr>
          <xdr:cNvGrpSpPr/>
        </xdr:nvGrpSpPr>
        <xdr:grpSpPr>
          <a:xfrm>
            <a:off x="2501447" y="5226263"/>
            <a:ext cx="6355246" cy="1803705"/>
            <a:chOff x="1868803" y="5256050"/>
            <a:chExt cx="6355246" cy="1803705"/>
          </a:xfrm>
        </xdr:grpSpPr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CF0D0F0A-9F6A-FBBE-F674-43E435D7487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6871"/>
            <a:stretch/>
          </xdr:blipFill>
          <xdr:spPr>
            <a:xfrm>
              <a:off x="5826271" y="5256050"/>
              <a:ext cx="2397778" cy="18037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8" name="Picture 37">
              <a:extLst>
                <a:ext uri="{FF2B5EF4-FFF2-40B4-BE49-F238E27FC236}">
                  <a16:creationId xmlns:a16="http://schemas.microsoft.com/office/drawing/2014/main" id="{D914895F-2336-D3A7-2F8D-188B3947C6A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22945" y="5257648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9" name="Picture 38">
              <a:extLst>
                <a:ext uri="{FF2B5EF4-FFF2-40B4-BE49-F238E27FC236}">
                  <a16:creationId xmlns:a16="http://schemas.microsoft.com/office/drawing/2014/main" id="{A0EA6BD7-C37A-B9B8-E6BB-73C26842888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868803" y="5257648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65FBC415-47F2-734A-D530-8F9C25658062}"/>
              </a:ext>
            </a:extLst>
          </xdr:cNvPr>
          <xdr:cNvGrpSpPr/>
        </xdr:nvGrpSpPr>
        <xdr:grpSpPr>
          <a:xfrm>
            <a:off x="1839194" y="531535"/>
            <a:ext cx="7679753" cy="4536691"/>
            <a:chOff x="1839194" y="531535"/>
            <a:chExt cx="7679753" cy="4536691"/>
          </a:xfrm>
        </xdr:grpSpPr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53312437-6FE5-0EA8-5A74-767EE9E9A55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839194" y="2903603"/>
              <a:ext cx="2880000" cy="216200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7CE43B36-EE22-F01E-F840-09557D7FCC5C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6501"/>
            <a:stretch/>
          </xdr:blipFill>
          <xdr:spPr>
            <a:xfrm>
              <a:off x="4862603" y="2903603"/>
              <a:ext cx="2880000" cy="216462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4894B1B4-D934-CEB9-A526-0021F3C00C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897938" y="549558"/>
              <a:ext cx="1621009" cy="21636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E0DA8B9D-DA6F-1E03-208A-0089DDF2BE5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862603" y="531535"/>
              <a:ext cx="2880000" cy="216200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5" name="Picture 34">
              <a:extLst>
                <a:ext uri="{FF2B5EF4-FFF2-40B4-BE49-F238E27FC236}">
                  <a16:creationId xmlns:a16="http://schemas.microsoft.com/office/drawing/2014/main" id="{71128E68-1D6D-43EA-E14F-42DD43293A5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897938" y="2903603"/>
              <a:ext cx="1621009" cy="21636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E941BA48-B6E4-626E-97E7-C039FD14042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839194" y="549558"/>
              <a:ext cx="2880000" cy="216200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76XC3MRcmuJp9847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77"/>
  <sheetViews>
    <sheetView tabSelected="1" view="pageBreakPreview" zoomScale="115" zoomScaleNormal="100" zoomScaleSheetLayoutView="115" workbookViewId="0">
      <selection activeCell="J7" sqref="J7"/>
    </sheetView>
  </sheetViews>
  <sheetFormatPr defaultColWidth="9.109375" defaultRowHeight="15.6" x14ac:dyDescent="0.3"/>
  <cols>
    <col min="1" max="1" width="10.109375" style="39" customWidth="1"/>
    <col min="2" max="2" width="12" style="39" customWidth="1"/>
    <col min="3" max="3" width="12.6640625" style="39" customWidth="1"/>
    <col min="4" max="4" width="14.109375" style="39" customWidth="1"/>
    <col min="5" max="7" width="11.6640625" style="39" customWidth="1"/>
    <col min="8" max="8" width="12.44140625" style="39" customWidth="1"/>
    <col min="9" max="9" width="17.44140625" style="20" customWidth="1"/>
    <col min="10" max="10" width="12.5546875" style="20" customWidth="1"/>
    <col min="11" max="11" width="10.5546875" style="20" bestFit="1" customWidth="1"/>
    <col min="12" max="12" width="10.5546875" style="20" customWidth="1"/>
    <col min="13" max="13" width="11.88671875" style="20" customWidth="1"/>
    <col min="14" max="14" width="12.5546875" style="20" customWidth="1"/>
    <col min="15" max="15" width="9.88671875" style="20" customWidth="1"/>
    <col min="16" max="16" width="11.6640625" style="20" customWidth="1"/>
    <col min="17" max="247" width="9.109375" style="20"/>
    <col min="248" max="248" width="8.6640625" style="20" customWidth="1"/>
    <col min="249" max="249" width="9.88671875" style="20" customWidth="1"/>
    <col min="250" max="250" width="14.44140625" style="20" customWidth="1"/>
    <col min="251" max="251" width="7.33203125" style="20" customWidth="1"/>
    <col min="252" max="252" width="5.5546875" style="20" customWidth="1"/>
    <col min="253" max="253" width="9" style="20" customWidth="1"/>
    <col min="254" max="255" width="9.88671875" style="20" customWidth="1"/>
    <col min="256" max="256" width="11.109375" style="20" customWidth="1"/>
    <col min="257" max="257" width="2.88671875" style="20" customWidth="1"/>
    <col min="258" max="258" width="3.5546875" style="20" customWidth="1"/>
    <col min="259" max="503" width="9.109375" style="20"/>
    <col min="504" max="504" width="8.6640625" style="20" customWidth="1"/>
    <col min="505" max="505" width="9.88671875" style="20" customWidth="1"/>
    <col min="506" max="506" width="14.44140625" style="20" customWidth="1"/>
    <col min="507" max="507" width="7.33203125" style="20" customWidth="1"/>
    <col min="508" max="508" width="5.5546875" style="20" customWidth="1"/>
    <col min="509" max="509" width="9" style="20" customWidth="1"/>
    <col min="510" max="511" width="9.88671875" style="20" customWidth="1"/>
    <col min="512" max="512" width="11.109375" style="20" customWidth="1"/>
    <col min="513" max="513" width="2.88671875" style="20" customWidth="1"/>
    <col min="514" max="514" width="3.5546875" style="20" customWidth="1"/>
    <col min="515" max="759" width="9.109375" style="20"/>
    <col min="760" max="760" width="8.6640625" style="20" customWidth="1"/>
    <col min="761" max="761" width="9.88671875" style="20" customWidth="1"/>
    <col min="762" max="762" width="14.44140625" style="20" customWidth="1"/>
    <col min="763" max="763" width="7.33203125" style="20" customWidth="1"/>
    <col min="764" max="764" width="5.5546875" style="20" customWidth="1"/>
    <col min="765" max="765" width="9" style="20" customWidth="1"/>
    <col min="766" max="767" width="9.88671875" style="20" customWidth="1"/>
    <col min="768" max="768" width="11.109375" style="20" customWidth="1"/>
    <col min="769" max="769" width="2.88671875" style="20" customWidth="1"/>
    <col min="770" max="770" width="3.5546875" style="20" customWidth="1"/>
    <col min="771" max="1015" width="9.109375" style="20"/>
    <col min="1016" max="1016" width="8.6640625" style="20" customWidth="1"/>
    <col min="1017" max="1017" width="9.88671875" style="20" customWidth="1"/>
    <col min="1018" max="1018" width="14.44140625" style="20" customWidth="1"/>
    <col min="1019" max="1019" width="7.33203125" style="20" customWidth="1"/>
    <col min="1020" max="1020" width="5.5546875" style="20" customWidth="1"/>
    <col min="1021" max="1021" width="9" style="20" customWidth="1"/>
    <col min="1022" max="1023" width="9.88671875" style="20" customWidth="1"/>
    <col min="1024" max="1024" width="11.109375" style="20" customWidth="1"/>
    <col min="1025" max="1025" width="2.88671875" style="20" customWidth="1"/>
    <col min="1026" max="1026" width="3.5546875" style="20" customWidth="1"/>
    <col min="1027" max="1271" width="9.109375" style="20"/>
    <col min="1272" max="1272" width="8.6640625" style="20" customWidth="1"/>
    <col min="1273" max="1273" width="9.88671875" style="20" customWidth="1"/>
    <col min="1274" max="1274" width="14.44140625" style="20" customWidth="1"/>
    <col min="1275" max="1275" width="7.33203125" style="20" customWidth="1"/>
    <col min="1276" max="1276" width="5.5546875" style="20" customWidth="1"/>
    <col min="1277" max="1277" width="9" style="20" customWidth="1"/>
    <col min="1278" max="1279" width="9.88671875" style="20" customWidth="1"/>
    <col min="1280" max="1280" width="11.109375" style="20" customWidth="1"/>
    <col min="1281" max="1281" width="2.88671875" style="20" customWidth="1"/>
    <col min="1282" max="1282" width="3.5546875" style="20" customWidth="1"/>
    <col min="1283" max="1527" width="9.109375" style="20"/>
    <col min="1528" max="1528" width="8.6640625" style="20" customWidth="1"/>
    <col min="1529" max="1529" width="9.88671875" style="20" customWidth="1"/>
    <col min="1530" max="1530" width="14.44140625" style="20" customWidth="1"/>
    <col min="1531" max="1531" width="7.33203125" style="20" customWidth="1"/>
    <col min="1532" max="1532" width="5.5546875" style="20" customWidth="1"/>
    <col min="1533" max="1533" width="9" style="20" customWidth="1"/>
    <col min="1534" max="1535" width="9.88671875" style="20" customWidth="1"/>
    <col min="1536" max="1536" width="11.109375" style="20" customWidth="1"/>
    <col min="1537" max="1537" width="2.88671875" style="20" customWidth="1"/>
    <col min="1538" max="1538" width="3.5546875" style="20" customWidth="1"/>
    <col min="1539" max="1783" width="9.109375" style="20"/>
    <col min="1784" max="1784" width="8.6640625" style="20" customWidth="1"/>
    <col min="1785" max="1785" width="9.88671875" style="20" customWidth="1"/>
    <col min="1786" max="1786" width="14.44140625" style="20" customWidth="1"/>
    <col min="1787" max="1787" width="7.33203125" style="20" customWidth="1"/>
    <col min="1788" max="1788" width="5.5546875" style="20" customWidth="1"/>
    <col min="1789" max="1789" width="9" style="20" customWidth="1"/>
    <col min="1790" max="1791" width="9.88671875" style="20" customWidth="1"/>
    <col min="1792" max="1792" width="11.109375" style="20" customWidth="1"/>
    <col min="1793" max="1793" width="2.88671875" style="20" customWidth="1"/>
    <col min="1794" max="1794" width="3.5546875" style="20" customWidth="1"/>
    <col min="1795" max="2039" width="9.109375" style="20"/>
    <col min="2040" max="2040" width="8.6640625" style="20" customWidth="1"/>
    <col min="2041" max="2041" width="9.88671875" style="20" customWidth="1"/>
    <col min="2042" max="2042" width="14.44140625" style="20" customWidth="1"/>
    <col min="2043" max="2043" width="7.33203125" style="20" customWidth="1"/>
    <col min="2044" max="2044" width="5.5546875" style="20" customWidth="1"/>
    <col min="2045" max="2045" width="9" style="20" customWidth="1"/>
    <col min="2046" max="2047" width="9.88671875" style="20" customWidth="1"/>
    <col min="2048" max="2048" width="11.109375" style="20" customWidth="1"/>
    <col min="2049" max="2049" width="2.88671875" style="20" customWidth="1"/>
    <col min="2050" max="2050" width="3.5546875" style="20" customWidth="1"/>
    <col min="2051" max="2295" width="9.109375" style="20"/>
    <col min="2296" max="2296" width="8.6640625" style="20" customWidth="1"/>
    <col min="2297" max="2297" width="9.88671875" style="20" customWidth="1"/>
    <col min="2298" max="2298" width="14.44140625" style="20" customWidth="1"/>
    <col min="2299" max="2299" width="7.33203125" style="20" customWidth="1"/>
    <col min="2300" max="2300" width="5.5546875" style="20" customWidth="1"/>
    <col min="2301" max="2301" width="9" style="20" customWidth="1"/>
    <col min="2302" max="2303" width="9.88671875" style="20" customWidth="1"/>
    <col min="2304" max="2304" width="11.109375" style="20" customWidth="1"/>
    <col min="2305" max="2305" width="2.88671875" style="20" customWidth="1"/>
    <col min="2306" max="2306" width="3.5546875" style="20" customWidth="1"/>
    <col min="2307" max="2551" width="9.109375" style="20"/>
    <col min="2552" max="2552" width="8.6640625" style="20" customWidth="1"/>
    <col min="2553" max="2553" width="9.88671875" style="20" customWidth="1"/>
    <col min="2554" max="2554" width="14.44140625" style="20" customWidth="1"/>
    <col min="2555" max="2555" width="7.33203125" style="20" customWidth="1"/>
    <col min="2556" max="2556" width="5.5546875" style="20" customWidth="1"/>
    <col min="2557" max="2557" width="9" style="20" customWidth="1"/>
    <col min="2558" max="2559" width="9.88671875" style="20" customWidth="1"/>
    <col min="2560" max="2560" width="11.109375" style="20" customWidth="1"/>
    <col min="2561" max="2561" width="2.88671875" style="20" customWidth="1"/>
    <col min="2562" max="2562" width="3.5546875" style="20" customWidth="1"/>
    <col min="2563" max="2807" width="9.109375" style="20"/>
    <col min="2808" max="2808" width="8.6640625" style="20" customWidth="1"/>
    <col min="2809" max="2809" width="9.88671875" style="20" customWidth="1"/>
    <col min="2810" max="2810" width="14.44140625" style="20" customWidth="1"/>
    <col min="2811" max="2811" width="7.33203125" style="20" customWidth="1"/>
    <col min="2812" max="2812" width="5.5546875" style="20" customWidth="1"/>
    <col min="2813" max="2813" width="9" style="20" customWidth="1"/>
    <col min="2814" max="2815" width="9.88671875" style="20" customWidth="1"/>
    <col min="2816" max="2816" width="11.109375" style="20" customWidth="1"/>
    <col min="2817" max="2817" width="2.88671875" style="20" customWidth="1"/>
    <col min="2818" max="2818" width="3.5546875" style="20" customWidth="1"/>
    <col min="2819" max="3063" width="9.109375" style="20"/>
    <col min="3064" max="3064" width="8.6640625" style="20" customWidth="1"/>
    <col min="3065" max="3065" width="9.88671875" style="20" customWidth="1"/>
    <col min="3066" max="3066" width="14.44140625" style="20" customWidth="1"/>
    <col min="3067" max="3067" width="7.33203125" style="20" customWidth="1"/>
    <col min="3068" max="3068" width="5.5546875" style="20" customWidth="1"/>
    <col min="3069" max="3069" width="9" style="20" customWidth="1"/>
    <col min="3070" max="3071" width="9.88671875" style="20" customWidth="1"/>
    <col min="3072" max="3072" width="11.109375" style="20" customWidth="1"/>
    <col min="3073" max="3073" width="2.88671875" style="20" customWidth="1"/>
    <col min="3074" max="3074" width="3.5546875" style="20" customWidth="1"/>
    <col min="3075" max="3319" width="9.109375" style="20"/>
    <col min="3320" max="3320" width="8.6640625" style="20" customWidth="1"/>
    <col min="3321" max="3321" width="9.88671875" style="20" customWidth="1"/>
    <col min="3322" max="3322" width="14.44140625" style="20" customWidth="1"/>
    <col min="3323" max="3323" width="7.33203125" style="20" customWidth="1"/>
    <col min="3324" max="3324" width="5.5546875" style="20" customWidth="1"/>
    <col min="3325" max="3325" width="9" style="20" customWidth="1"/>
    <col min="3326" max="3327" width="9.88671875" style="20" customWidth="1"/>
    <col min="3328" max="3328" width="11.109375" style="20" customWidth="1"/>
    <col min="3329" max="3329" width="2.88671875" style="20" customWidth="1"/>
    <col min="3330" max="3330" width="3.5546875" style="20" customWidth="1"/>
    <col min="3331" max="3575" width="9.109375" style="20"/>
    <col min="3576" max="3576" width="8.6640625" style="20" customWidth="1"/>
    <col min="3577" max="3577" width="9.88671875" style="20" customWidth="1"/>
    <col min="3578" max="3578" width="14.44140625" style="20" customWidth="1"/>
    <col min="3579" max="3579" width="7.33203125" style="20" customWidth="1"/>
    <col min="3580" max="3580" width="5.5546875" style="20" customWidth="1"/>
    <col min="3581" max="3581" width="9" style="20" customWidth="1"/>
    <col min="3582" max="3583" width="9.88671875" style="20" customWidth="1"/>
    <col min="3584" max="3584" width="11.109375" style="20" customWidth="1"/>
    <col min="3585" max="3585" width="2.88671875" style="20" customWidth="1"/>
    <col min="3586" max="3586" width="3.5546875" style="20" customWidth="1"/>
    <col min="3587" max="3831" width="9.109375" style="20"/>
    <col min="3832" max="3832" width="8.6640625" style="20" customWidth="1"/>
    <col min="3833" max="3833" width="9.88671875" style="20" customWidth="1"/>
    <col min="3834" max="3834" width="14.44140625" style="20" customWidth="1"/>
    <col min="3835" max="3835" width="7.33203125" style="20" customWidth="1"/>
    <col min="3836" max="3836" width="5.5546875" style="20" customWidth="1"/>
    <col min="3837" max="3837" width="9" style="20" customWidth="1"/>
    <col min="3838" max="3839" width="9.88671875" style="20" customWidth="1"/>
    <col min="3840" max="3840" width="11.109375" style="20" customWidth="1"/>
    <col min="3841" max="3841" width="2.88671875" style="20" customWidth="1"/>
    <col min="3842" max="3842" width="3.5546875" style="20" customWidth="1"/>
    <col min="3843" max="4087" width="9.109375" style="20"/>
    <col min="4088" max="4088" width="8.6640625" style="20" customWidth="1"/>
    <col min="4089" max="4089" width="9.88671875" style="20" customWidth="1"/>
    <col min="4090" max="4090" width="14.44140625" style="20" customWidth="1"/>
    <col min="4091" max="4091" width="7.33203125" style="20" customWidth="1"/>
    <col min="4092" max="4092" width="5.5546875" style="20" customWidth="1"/>
    <col min="4093" max="4093" width="9" style="20" customWidth="1"/>
    <col min="4094" max="4095" width="9.88671875" style="20" customWidth="1"/>
    <col min="4096" max="4096" width="11.109375" style="20" customWidth="1"/>
    <col min="4097" max="4097" width="2.88671875" style="20" customWidth="1"/>
    <col min="4098" max="4098" width="3.5546875" style="20" customWidth="1"/>
    <col min="4099" max="4343" width="9.109375" style="20"/>
    <col min="4344" max="4344" width="8.6640625" style="20" customWidth="1"/>
    <col min="4345" max="4345" width="9.88671875" style="20" customWidth="1"/>
    <col min="4346" max="4346" width="14.44140625" style="20" customWidth="1"/>
    <col min="4347" max="4347" width="7.33203125" style="20" customWidth="1"/>
    <col min="4348" max="4348" width="5.5546875" style="20" customWidth="1"/>
    <col min="4349" max="4349" width="9" style="20" customWidth="1"/>
    <col min="4350" max="4351" width="9.88671875" style="20" customWidth="1"/>
    <col min="4352" max="4352" width="11.109375" style="20" customWidth="1"/>
    <col min="4353" max="4353" width="2.88671875" style="20" customWidth="1"/>
    <col min="4354" max="4354" width="3.5546875" style="20" customWidth="1"/>
    <col min="4355" max="4599" width="9.109375" style="20"/>
    <col min="4600" max="4600" width="8.6640625" style="20" customWidth="1"/>
    <col min="4601" max="4601" width="9.88671875" style="20" customWidth="1"/>
    <col min="4602" max="4602" width="14.44140625" style="20" customWidth="1"/>
    <col min="4603" max="4603" width="7.33203125" style="20" customWidth="1"/>
    <col min="4604" max="4604" width="5.5546875" style="20" customWidth="1"/>
    <col min="4605" max="4605" width="9" style="20" customWidth="1"/>
    <col min="4606" max="4607" width="9.88671875" style="20" customWidth="1"/>
    <col min="4608" max="4608" width="11.109375" style="20" customWidth="1"/>
    <col min="4609" max="4609" width="2.88671875" style="20" customWidth="1"/>
    <col min="4610" max="4610" width="3.5546875" style="20" customWidth="1"/>
    <col min="4611" max="4855" width="9.109375" style="20"/>
    <col min="4856" max="4856" width="8.6640625" style="20" customWidth="1"/>
    <col min="4857" max="4857" width="9.88671875" style="20" customWidth="1"/>
    <col min="4858" max="4858" width="14.44140625" style="20" customWidth="1"/>
    <col min="4859" max="4859" width="7.33203125" style="20" customWidth="1"/>
    <col min="4860" max="4860" width="5.5546875" style="20" customWidth="1"/>
    <col min="4861" max="4861" width="9" style="20" customWidth="1"/>
    <col min="4862" max="4863" width="9.88671875" style="20" customWidth="1"/>
    <col min="4864" max="4864" width="11.109375" style="20" customWidth="1"/>
    <col min="4865" max="4865" width="2.88671875" style="20" customWidth="1"/>
    <col min="4866" max="4866" width="3.5546875" style="20" customWidth="1"/>
    <col min="4867" max="5111" width="9.109375" style="20"/>
    <col min="5112" max="5112" width="8.6640625" style="20" customWidth="1"/>
    <col min="5113" max="5113" width="9.88671875" style="20" customWidth="1"/>
    <col min="5114" max="5114" width="14.44140625" style="20" customWidth="1"/>
    <col min="5115" max="5115" width="7.33203125" style="20" customWidth="1"/>
    <col min="5116" max="5116" width="5.5546875" style="20" customWidth="1"/>
    <col min="5117" max="5117" width="9" style="20" customWidth="1"/>
    <col min="5118" max="5119" width="9.88671875" style="20" customWidth="1"/>
    <col min="5120" max="5120" width="11.109375" style="20" customWidth="1"/>
    <col min="5121" max="5121" width="2.88671875" style="20" customWidth="1"/>
    <col min="5122" max="5122" width="3.5546875" style="20" customWidth="1"/>
    <col min="5123" max="5367" width="9.109375" style="20"/>
    <col min="5368" max="5368" width="8.6640625" style="20" customWidth="1"/>
    <col min="5369" max="5369" width="9.88671875" style="20" customWidth="1"/>
    <col min="5370" max="5370" width="14.44140625" style="20" customWidth="1"/>
    <col min="5371" max="5371" width="7.33203125" style="20" customWidth="1"/>
    <col min="5372" max="5372" width="5.5546875" style="20" customWidth="1"/>
    <col min="5373" max="5373" width="9" style="20" customWidth="1"/>
    <col min="5374" max="5375" width="9.88671875" style="20" customWidth="1"/>
    <col min="5376" max="5376" width="11.109375" style="20" customWidth="1"/>
    <col min="5377" max="5377" width="2.88671875" style="20" customWidth="1"/>
    <col min="5378" max="5378" width="3.5546875" style="20" customWidth="1"/>
    <col min="5379" max="5623" width="9.109375" style="20"/>
    <col min="5624" max="5624" width="8.6640625" style="20" customWidth="1"/>
    <col min="5625" max="5625" width="9.88671875" style="20" customWidth="1"/>
    <col min="5626" max="5626" width="14.44140625" style="20" customWidth="1"/>
    <col min="5627" max="5627" width="7.33203125" style="20" customWidth="1"/>
    <col min="5628" max="5628" width="5.5546875" style="20" customWidth="1"/>
    <col min="5629" max="5629" width="9" style="20" customWidth="1"/>
    <col min="5630" max="5631" width="9.88671875" style="20" customWidth="1"/>
    <col min="5632" max="5632" width="11.109375" style="20" customWidth="1"/>
    <col min="5633" max="5633" width="2.88671875" style="20" customWidth="1"/>
    <col min="5634" max="5634" width="3.5546875" style="20" customWidth="1"/>
    <col min="5635" max="5879" width="9.109375" style="20"/>
    <col min="5880" max="5880" width="8.6640625" style="20" customWidth="1"/>
    <col min="5881" max="5881" width="9.88671875" style="20" customWidth="1"/>
    <col min="5882" max="5882" width="14.44140625" style="20" customWidth="1"/>
    <col min="5883" max="5883" width="7.33203125" style="20" customWidth="1"/>
    <col min="5884" max="5884" width="5.5546875" style="20" customWidth="1"/>
    <col min="5885" max="5885" width="9" style="20" customWidth="1"/>
    <col min="5886" max="5887" width="9.88671875" style="20" customWidth="1"/>
    <col min="5888" max="5888" width="11.109375" style="20" customWidth="1"/>
    <col min="5889" max="5889" width="2.88671875" style="20" customWidth="1"/>
    <col min="5890" max="5890" width="3.5546875" style="20" customWidth="1"/>
    <col min="5891" max="6135" width="9.109375" style="20"/>
    <col min="6136" max="6136" width="8.6640625" style="20" customWidth="1"/>
    <col min="6137" max="6137" width="9.88671875" style="20" customWidth="1"/>
    <col min="6138" max="6138" width="14.44140625" style="20" customWidth="1"/>
    <col min="6139" max="6139" width="7.33203125" style="20" customWidth="1"/>
    <col min="6140" max="6140" width="5.5546875" style="20" customWidth="1"/>
    <col min="6141" max="6141" width="9" style="20" customWidth="1"/>
    <col min="6142" max="6143" width="9.88671875" style="20" customWidth="1"/>
    <col min="6144" max="6144" width="11.109375" style="20" customWidth="1"/>
    <col min="6145" max="6145" width="2.88671875" style="20" customWidth="1"/>
    <col min="6146" max="6146" width="3.5546875" style="20" customWidth="1"/>
    <col min="6147" max="6391" width="9.109375" style="20"/>
    <col min="6392" max="6392" width="8.6640625" style="20" customWidth="1"/>
    <col min="6393" max="6393" width="9.88671875" style="20" customWidth="1"/>
    <col min="6394" max="6394" width="14.44140625" style="20" customWidth="1"/>
    <col min="6395" max="6395" width="7.33203125" style="20" customWidth="1"/>
    <col min="6396" max="6396" width="5.5546875" style="20" customWidth="1"/>
    <col min="6397" max="6397" width="9" style="20" customWidth="1"/>
    <col min="6398" max="6399" width="9.88671875" style="20" customWidth="1"/>
    <col min="6400" max="6400" width="11.109375" style="20" customWidth="1"/>
    <col min="6401" max="6401" width="2.88671875" style="20" customWidth="1"/>
    <col min="6402" max="6402" width="3.5546875" style="20" customWidth="1"/>
    <col min="6403" max="6647" width="9.109375" style="20"/>
    <col min="6648" max="6648" width="8.6640625" style="20" customWidth="1"/>
    <col min="6649" max="6649" width="9.88671875" style="20" customWidth="1"/>
    <col min="6650" max="6650" width="14.44140625" style="20" customWidth="1"/>
    <col min="6651" max="6651" width="7.33203125" style="20" customWidth="1"/>
    <col min="6652" max="6652" width="5.5546875" style="20" customWidth="1"/>
    <col min="6653" max="6653" width="9" style="20" customWidth="1"/>
    <col min="6654" max="6655" width="9.88671875" style="20" customWidth="1"/>
    <col min="6656" max="6656" width="11.109375" style="20" customWidth="1"/>
    <col min="6657" max="6657" width="2.88671875" style="20" customWidth="1"/>
    <col min="6658" max="6658" width="3.5546875" style="20" customWidth="1"/>
    <col min="6659" max="6903" width="9.109375" style="20"/>
    <col min="6904" max="6904" width="8.6640625" style="20" customWidth="1"/>
    <col min="6905" max="6905" width="9.88671875" style="20" customWidth="1"/>
    <col min="6906" max="6906" width="14.44140625" style="20" customWidth="1"/>
    <col min="6907" max="6907" width="7.33203125" style="20" customWidth="1"/>
    <col min="6908" max="6908" width="5.5546875" style="20" customWidth="1"/>
    <col min="6909" max="6909" width="9" style="20" customWidth="1"/>
    <col min="6910" max="6911" width="9.88671875" style="20" customWidth="1"/>
    <col min="6912" max="6912" width="11.109375" style="20" customWidth="1"/>
    <col min="6913" max="6913" width="2.88671875" style="20" customWidth="1"/>
    <col min="6914" max="6914" width="3.5546875" style="20" customWidth="1"/>
    <col min="6915" max="7159" width="9.109375" style="20"/>
    <col min="7160" max="7160" width="8.6640625" style="20" customWidth="1"/>
    <col min="7161" max="7161" width="9.88671875" style="20" customWidth="1"/>
    <col min="7162" max="7162" width="14.44140625" style="20" customWidth="1"/>
    <col min="7163" max="7163" width="7.33203125" style="20" customWidth="1"/>
    <col min="7164" max="7164" width="5.5546875" style="20" customWidth="1"/>
    <col min="7165" max="7165" width="9" style="20" customWidth="1"/>
    <col min="7166" max="7167" width="9.88671875" style="20" customWidth="1"/>
    <col min="7168" max="7168" width="11.109375" style="20" customWidth="1"/>
    <col min="7169" max="7169" width="2.88671875" style="20" customWidth="1"/>
    <col min="7170" max="7170" width="3.5546875" style="20" customWidth="1"/>
    <col min="7171" max="7415" width="9.109375" style="20"/>
    <col min="7416" max="7416" width="8.6640625" style="20" customWidth="1"/>
    <col min="7417" max="7417" width="9.88671875" style="20" customWidth="1"/>
    <col min="7418" max="7418" width="14.44140625" style="20" customWidth="1"/>
    <col min="7419" max="7419" width="7.33203125" style="20" customWidth="1"/>
    <col min="7420" max="7420" width="5.5546875" style="20" customWidth="1"/>
    <col min="7421" max="7421" width="9" style="20" customWidth="1"/>
    <col min="7422" max="7423" width="9.88671875" style="20" customWidth="1"/>
    <col min="7424" max="7424" width="11.109375" style="20" customWidth="1"/>
    <col min="7425" max="7425" width="2.88671875" style="20" customWidth="1"/>
    <col min="7426" max="7426" width="3.5546875" style="20" customWidth="1"/>
    <col min="7427" max="7671" width="9.109375" style="20"/>
    <col min="7672" max="7672" width="8.6640625" style="20" customWidth="1"/>
    <col min="7673" max="7673" width="9.88671875" style="20" customWidth="1"/>
    <col min="7674" max="7674" width="14.44140625" style="20" customWidth="1"/>
    <col min="7675" max="7675" width="7.33203125" style="20" customWidth="1"/>
    <col min="7676" max="7676" width="5.5546875" style="20" customWidth="1"/>
    <col min="7677" max="7677" width="9" style="20" customWidth="1"/>
    <col min="7678" max="7679" width="9.88671875" style="20" customWidth="1"/>
    <col min="7680" max="7680" width="11.109375" style="20" customWidth="1"/>
    <col min="7681" max="7681" width="2.88671875" style="20" customWidth="1"/>
    <col min="7682" max="7682" width="3.5546875" style="20" customWidth="1"/>
    <col min="7683" max="7927" width="9.109375" style="20"/>
    <col min="7928" max="7928" width="8.6640625" style="20" customWidth="1"/>
    <col min="7929" max="7929" width="9.88671875" style="20" customWidth="1"/>
    <col min="7930" max="7930" width="14.44140625" style="20" customWidth="1"/>
    <col min="7931" max="7931" width="7.33203125" style="20" customWidth="1"/>
    <col min="7932" max="7932" width="5.5546875" style="20" customWidth="1"/>
    <col min="7933" max="7933" width="9" style="20" customWidth="1"/>
    <col min="7934" max="7935" width="9.88671875" style="20" customWidth="1"/>
    <col min="7936" max="7936" width="11.109375" style="20" customWidth="1"/>
    <col min="7937" max="7937" width="2.88671875" style="20" customWidth="1"/>
    <col min="7938" max="7938" width="3.5546875" style="20" customWidth="1"/>
    <col min="7939" max="8183" width="9.109375" style="20"/>
    <col min="8184" max="8184" width="8.6640625" style="20" customWidth="1"/>
    <col min="8185" max="8185" width="9.88671875" style="20" customWidth="1"/>
    <col min="8186" max="8186" width="14.44140625" style="20" customWidth="1"/>
    <col min="8187" max="8187" width="7.33203125" style="20" customWidth="1"/>
    <col min="8188" max="8188" width="5.5546875" style="20" customWidth="1"/>
    <col min="8189" max="8189" width="9" style="20" customWidth="1"/>
    <col min="8190" max="8191" width="9.88671875" style="20" customWidth="1"/>
    <col min="8192" max="8192" width="11.109375" style="20" customWidth="1"/>
    <col min="8193" max="8193" width="2.88671875" style="20" customWidth="1"/>
    <col min="8194" max="8194" width="3.5546875" style="20" customWidth="1"/>
    <col min="8195" max="8439" width="9.109375" style="20"/>
    <col min="8440" max="8440" width="8.6640625" style="20" customWidth="1"/>
    <col min="8441" max="8441" width="9.88671875" style="20" customWidth="1"/>
    <col min="8442" max="8442" width="14.44140625" style="20" customWidth="1"/>
    <col min="8443" max="8443" width="7.33203125" style="20" customWidth="1"/>
    <col min="8444" max="8444" width="5.5546875" style="20" customWidth="1"/>
    <col min="8445" max="8445" width="9" style="20" customWidth="1"/>
    <col min="8446" max="8447" width="9.88671875" style="20" customWidth="1"/>
    <col min="8448" max="8448" width="11.109375" style="20" customWidth="1"/>
    <col min="8449" max="8449" width="2.88671875" style="20" customWidth="1"/>
    <col min="8450" max="8450" width="3.5546875" style="20" customWidth="1"/>
    <col min="8451" max="8695" width="9.109375" style="20"/>
    <col min="8696" max="8696" width="8.6640625" style="20" customWidth="1"/>
    <col min="8697" max="8697" width="9.88671875" style="20" customWidth="1"/>
    <col min="8698" max="8698" width="14.44140625" style="20" customWidth="1"/>
    <col min="8699" max="8699" width="7.33203125" style="20" customWidth="1"/>
    <col min="8700" max="8700" width="5.5546875" style="20" customWidth="1"/>
    <col min="8701" max="8701" width="9" style="20" customWidth="1"/>
    <col min="8702" max="8703" width="9.88671875" style="20" customWidth="1"/>
    <col min="8704" max="8704" width="11.109375" style="20" customWidth="1"/>
    <col min="8705" max="8705" width="2.88671875" style="20" customWidth="1"/>
    <col min="8706" max="8706" width="3.5546875" style="20" customWidth="1"/>
    <col min="8707" max="8951" width="9.109375" style="20"/>
    <col min="8952" max="8952" width="8.6640625" style="20" customWidth="1"/>
    <col min="8953" max="8953" width="9.88671875" style="20" customWidth="1"/>
    <col min="8954" max="8954" width="14.44140625" style="20" customWidth="1"/>
    <col min="8955" max="8955" width="7.33203125" style="20" customWidth="1"/>
    <col min="8956" max="8956" width="5.5546875" style="20" customWidth="1"/>
    <col min="8957" max="8957" width="9" style="20" customWidth="1"/>
    <col min="8958" max="8959" width="9.88671875" style="20" customWidth="1"/>
    <col min="8960" max="8960" width="11.109375" style="20" customWidth="1"/>
    <col min="8961" max="8961" width="2.88671875" style="20" customWidth="1"/>
    <col min="8962" max="8962" width="3.5546875" style="20" customWidth="1"/>
    <col min="8963" max="9207" width="9.109375" style="20"/>
    <col min="9208" max="9208" width="8.6640625" style="20" customWidth="1"/>
    <col min="9209" max="9209" width="9.88671875" style="20" customWidth="1"/>
    <col min="9210" max="9210" width="14.44140625" style="20" customWidth="1"/>
    <col min="9211" max="9211" width="7.33203125" style="20" customWidth="1"/>
    <col min="9212" max="9212" width="5.5546875" style="20" customWidth="1"/>
    <col min="9213" max="9213" width="9" style="20" customWidth="1"/>
    <col min="9214" max="9215" width="9.88671875" style="20" customWidth="1"/>
    <col min="9216" max="9216" width="11.109375" style="20" customWidth="1"/>
    <col min="9217" max="9217" width="2.88671875" style="20" customWidth="1"/>
    <col min="9218" max="9218" width="3.5546875" style="20" customWidth="1"/>
    <col min="9219" max="9463" width="9.109375" style="20"/>
    <col min="9464" max="9464" width="8.6640625" style="20" customWidth="1"/>
    <col min="9465" max="9465" width="9.88671875" style="20" customWidth="1"/>
    <col min="9466" max="9466" width="14.44140625" style="20" customWidth="1"/>
    <col min="9467" max="9467" width="7.33203125" style="20" customWidth="1"/>
    <col min="9468" max="9468" width="5.5546875" style="20" customWidth="1"/>
    <col min="9469" max="9469" width="9" style="20" customWidth="1"/>
    <col min="9470" max="9471" width="9.88671875" style="20" customWidth="1"/>
    <col min="9472" max="9472" width="11.109375" style="20" customWidth="1"/>
    <col min="9473" max="9473" width="2.88671875" style="20" customWidth="1"/>
    <col min="9474" max="9474" width="3.5546875" style="20" customWidth="1"/>
    <col min="9475" max="9719" width="9.109375" style="20"/>
    <col min="9720" max="9720" width="8.6640625" style="20" customWidth="1"/>
    <col min="9721" max="9721" width="9.88671875" style="20" customWidth="1"/>
    <col min="9722" max="9722" width="14.44140625" style="20" customWidth="1"/>
    <col min="9723" max="9723" width="7.33203125" style="20" customWidth="1"/>
    <col min="9724" max="9724" width="5.5546875" style="20" customWidth="1"/>
    <col min="9725" max="9725" width="9" style="20" customWidth="1"/>
    <col min="9726" max="9727" width="9.88671875" style="20" customWidth="1"/>
    <col min="9728" max="9728" width="11.109375" style="20" customWidth="1"/>
    <col min="9729" max="9729" width="2.88671875" style="20" customWidth="1"/>
    <col min="9730" max="9730" width="3.5546875" style="20" customWidth="1"/>
    <col min="9731" max="9975" width="9.109375" style="20"/>
    <col min="9976" max="9976" width="8.6640625" style="20" customWidth="1"/>
    <col min="9977" max="9977" width="9.88671875" style="20" customWidth="1"/>
    <col min="9978" max="9978" width="14.44140625" style="20" customWidth="1"/>
    <col min="9979" max="9979" width="7.33203125" style="20" customWidth="1"/>
    <col min="9980" max="9980" width="5.5546875" style="20" customWidth="1"/>
    <col min="9981" max="9981" width="9" style="20" customWidth="1"/>
    <col min="9982" max="9983" width="9.88671875" style="20" customWidth="1"/>
    <col min="9984" max="9984" width="11.109375" style="20" customWidth="1"/>
    <col min="9985" max="9985" width="2.88671875" style="20" customWidth="1"/>
    <col min="9986" max="9986" width="3.5546875" style="20" customWidth="1"/>
    <col min="9987" max="10231" width="9.109375" style="20"/>
    <col min="10232" max="10232" width="8.6640625" style="20" customWidth="1"/>
    <col min="10233" max="10233" width="9.88671875" style="20" customWidth="1"/>
    <col min="10234" max="10234" width="14.44140625" style="20" customWidth="1"/>
    <col min="10235" max="10235" width="7.33203125" style="20" customWidth="1"/>
    <col min="10236" max="10236" width="5.5546875" style="20" customWidth="1"/>
    <col min="10237" max="10237" width="9" style="20" customWidth="1"/>
    <col min="10238" max="10239" width="9.88671875" style="20" customWidth="1"/>
    <col min="10240" max="10240" width="11.109375" style="20" customWidth="1"/>
    <col min="10241" max="10241" width="2.88671875" style="20" customWidth="1"/>
    <col min="10242" max="10242" width="3.5546875" style="20" customWidth="1"/>
    <col min="10243" max="10487" width="9.109375" style="20"/>
    <col min="10488" max="10488" width="8.6640625" style="20" customWidth="1"/>
    <col min="10489" max="10489" width="9.88671875" style="20" customWidth="1"/>
    <col min="10490" max="10490" width="14.44140625" style="20" customWidth="1"/>
    <col min="10491" max="10491" width="7.33203125" style="20" customWidth="1"/>
    <col min="10492" max="10492" width="5.5546875" style="20" customWidth="1"/>
    <col min="10493" max="10493" width="9" style="20" customWidth="1"/>
    <col min="10494" max="10495" width="9.88671875" style="20" customWidth="1"/>
    <col min="10496" max="10496" width="11.109375" style="20" customWidth="1"/>
    <col min="10497" max="10497" width="2.88671875" style="20" customWidth="1"/>
    <col min="10498" max="10498" width="3.5546875" style="20" customWidth="1"/>
    <col min="10499" max="10743" width="9.109375" style="20"/>
    <col min="10744" max="10744" width="8.6640625" style="20" customWidth="1"/>
    <col min="10745" max="10745" width="9.88671875" style="20" customWidth="1"/>
    <col min="10746" max="10746" width="14.44140625" style="20" customWidth="1"/>
    <col min="10747" max="10747" width="7.33203125" style="20" customWidth="1"/>
    <col min="10748" max="10748" width="5.5546875" style="20" customWidth="1"/>
    <col min="10749" max="10749" width="9" style="20" customWidth="1"/>
    <col min="10750" max="10751" width="9.88671875" style="20" customWidth="1"/>
    <col min="10752" max="10752" width="11.109375" style="20" customWidth="1"/>
    <col min="10753" max="10753" width="2.88671875" style="20" customWidth="1"/>
    <col min="10754" max="10754" width="3.5546875" style="20" customWidth="1"/>
    <col min="10755" max="10999" width="9.109375" style="20"/>
    <col min="11000" max="11000" width="8.6640625" style="20" customWidth="1"/>
    <col min="11001" max="11001" width="9.88671875" style="20" customWidth="1"/>
    <col min="11002" max="11002" width="14.44140625" style="20" customWidth="1"/>
    <col min="11003" max="11003" width="7.33203125" style="20" customWidth="1"/>
    <col min="11004" max="11004" width="5.5546875" style="20" customWidth="1"/>
    <col min="11005" max="11005" width="9" style="20" customWidth="1"/>
    <col min="11006" max="11007" width="9.88671875" style="20" customWidth="1"/>
    <col min="11008" max="11008" width="11.109375" style="20" customWidth="1"/>
    <col min="11009" max="11009" width="2.88671875" style="20" customWidth="1"/>
    <col min="11010" max="11010" width="3.5546875" style="20" customWidth="1"/>
    <col min="11011" max="11255" width="9.109375" style="20"/>
    <col min="11256" max="11256" width="8.6640625" style="20" customWidth="1"/>
    <col min="11257" max="11257" width="9.88671875" style="20" customWidth="1"/>
    <col min="11258" max="11258" width="14.44140625" style="20" customWidth="1"/>
    <col min="11259" max="11259" width="7.33203125" style="20" customWidth="1"/>
    <col min="11260" max="11260" width="5.5546875" style="20" customWidth="1"/>
    <col min="11261" max="11261" width="9" style="20" customWidth="1"/>
    <col min="11262" max="11263" width="9.88671875" style="20" customWidth="1"/>
    <col min="11264" max="11264" width="11.109375" style="20" customWidth="1"/>
    <col min="11265" max="11265" width="2.88671875" style="20" customWidth="1"/>
    <col min="11266" max="11266" width="3.5546875" style="20" customWidth="1"/>
    <col min="11267" max="11511" width="9.109375" style="20"/>
    <col min="11512" max="11512" width="8.6640625" style="20" customWidth="1"/>
    <col min="11513" max="11513" width="9.88671875" style="20" customWidth="1"/>
    <col min="11514" max="11514" width="14.44140625" style="20" customWidth="1"/>
    <col min="11515" max="11515" width="7.33203125" style="20" customWidth="1"/>
    <col min="11516" max="11516" width="5.5546875" style="20" customWidth="1"/>
    <col min="11517" max="11517" width="9" style="20" customWidth="1"/>
    <col min="11518" max="11519" width="9.88671875" style="20" customWidth="1"/>
    <col min="11520" max="11520" width="11.109375" style="20" customWidth="1"/>
    <col min="11521" max="11521" width="2.88671875" style="20" customWidth="1"/>
    <col min="11522" max="11522" width="3.5546875" style="20" customWidth="1"/>
    <col min="11523" max="11767" width="9.109375" style="20"/>
    <col min="11768" max="11768" width="8.6640625" style="20" customWidth="1"/>
    <col min="11769" max="11769" width="9.88671875" style="20" customWidth="1"/>
    <col min="11770" max="11770" width="14.44140625" style="20" customWidth="1"/>
    <col min="11771" max="11771" width="7.33203125" style="20" customWidth="1"/>
    <col min="11772" max="11772" width="5.5546875" style="20" customWidth="1"/>
    <col min="11773" max="11773" width="9" style="20" customWidth="1"/>
    <col min="11774" max="11775" width="9.88671875" style="20" customWidth="1"/>
    <col min="11776" max="11776" width="11.109375" style="20" customWidth="1"/>
    <col min="11777" max="11777" width="2.88671875" style="20" customWidth="1"/>
    <col min="11778" max="11778" width="3.5546875" style="20" customWidth="1"/>
    <col min="11779" max="12023" width="9.109375" style="20"/>
    <col min="12024" max="12024" width="8.6640625" style="20" customWidth="1"/>
    <col min="12025" max="12025" width="9.88671875" style="20" customWidth="1"/>
    <col min="12026" max="12026" width="14.44140625" style="20" customWidth="1"/>
    <col min="12027" max="12027" width="7.33203125" style="20" customWidth="1"/>
    <col min="12028" max="12028" width="5.5546875" style="20" customWidth="1"/>
    <col min="12029" max="12029" width="9" style="20" customWidth="1"/>
    <col min="12030" max="12031" width="9.88671875" style="20" customWidth="1"/>
    <col min="12032" max="12032" width="11.109375" style="20" customWidth="1"/>
    <col min="12033" max="12033" width="2.88671875" style="20" customWidth="1"/>
    <col min="12034" max="12034" width="3.5546875" style="20" customWidth="1"/>
    <col min="12035" max="12279" width="9.109375" style="20"/>
    <col min="12280" max="12280" width="8.6640625" style="20" customWidth="1"/>
    <col min="12281" max="12281" width="9.88671875" style="20" customWidth="1"/>
    <col min="12282" max="12282" width="14.44140625" style="20" customWidth="1"/>
    <col min="12283" max="12283" width="7.33203125" style="20" customWidth="1"/>
    <col min="12284" max="12284" width="5.5546875" style="20" customWidth="1"/>
    <col min="12285" max="12285" width="9" style="20" customWidth="1"/>
    <col min="12286" max="12287" width="9.88671875" style="20" customWidth="1"/>
    <col min="12288" max="12288" width="11.109375" style="20" customWidth="1"/>
    <col min="12289" max="12289" width="2.88671875" style="20" customWidth="1"/>
    <col min="12290" max="12290" width="3.5546875" style="20" customWidth="1"/>
    <col min="12291" max="12535" width="9.109375" style="20"/>
    <col min="12536" max="12536" width="8.6640625" style="20" customWidth="1"/>
    <col min="12537" max="12537" width="9.88671875" style="20" customWidth="1"/>
    <col min="12538" max="12538" width="14.44140625" style="20" customWidth="1"/>
    <col min="12539" max="12539" width="7.33203125" style="20" customWidth="1"/>
    <col min="12540" max="12540" width="5.5546875" style="20" customWidth="1"/>
    <col min="12541" max="12541" width="9" style="20" customWidth="1"/>
    <col min="12542" max="12543" width="9.88671875" style="20" customWidth="1"/>
    <col min="12544" max="12544" width="11.109375" style="20" customWidth="1"/>
    <col min="12545" max="12545" width="2.88671875" style="20" customWidth="1"/>
    <col min="12546" max="12546" width="3.5546875" style="20" customWidth="1"/>
    <col min="12547" max="12791" width="9.109375" style="20"/>
    <col min="12792" max="12792" width="8.6640625" style="20" customWidth="1"/>
    <col min="12793" max="12793" width="9.88671875" style="20" customWidth="1"/>
    <col min="12794" max="12794" width="14.44140625" style="20" customWidth="1"/>
    <col min="12795" max="12795" width="7.33203125" style="20" customWidth="1"/>
    <col min="12796" max="12796" width="5.5546875" style="20" customWidth="1"/>
    <col min="12797" max="12797" width="9" style="20" customWidth="1"/>
    <col min="12798" max="12799" width="9.88671875" style="20" customWidth="1"/>
    <col min="12800" max="12800" width="11.109375" style="20" customWidth="1"/>
    <col min="12801" max="12801" width="2.88671875" style="20" customWidth="1"/>
    <col min="12802" max="12802" width="3.5546875" style="20" customWidth="1"/>
    <col min="12803" max="13047" width="9.109375" style="20"/>
    <col min="13048" max="13048" width="8.6640625" style="20" customWidth="1"/>
    <col min="13049" max="13049" width="9.88671875" style="20" customWidth="1"/>
    <col min="13050" max="13050" width="14.44140625" style="20" customWidth="1"/>
    <col min="13051" max="13051" width="7.33203125" style="20" customWidth="1"/>
    <col min="13052" max="13052" width="5.5546875" style="20" customWidth="1"/>
    <col min="13053" max="13053" width="9" style="20" customWidth="1"/>
    <col min="13054" max="13055" width="9.88671875" style="20" customWidth="1"/>
    <col min="13056" max="13056" width="11.109375" style="20" customWidth="1"/>
    <col min="13057" max="13057" width="2.88671875" style="20" customWidth="1"/>
    <col min="13058" max="13058" width="3.5546875" style="20" customWidth="1"/>
    <col min="13059" max="13303" width="9.109375" style="20"/>
    <col min="13304" max="13304" width="8.6640625" style="20" customWidth="1"/>
    <col min="13305" max="13305" width="9.88671875" style="20" customWidth="1"/>
    <col min="13306" max="13306" width="14.44140625" style="20" customWidth="1"/>
    <col min="13307" max="13307" width="7.33203125" style="20" customWidth="1"/>
    <col min="13308" max="13308" width="5.5546875" style="20" customWidth="1"/>
    <col min="13309" max="13309" width="9" style="20" customWidth="1"/>
    <col min="13310" max="13311" width="9.88671875" style="20" customWidth="1"/>
    <col min="13312" max="13312" width="11.109375" style="20" customWidth="1"/>
    <col min="13313" max="13313" width="2.88671875" style="20" customWidth="1"/>
    <col min="13314" max="13314" width="3.5546875" style="20" customWidth="1"/>
    <col min="13315" max="13559" width="9.109375" style="20"/>
    <col min="13560" max="13560" width="8.6640625" style="20" customWidth="1"/>
    <col min="13561" max="13561" width="9.88671875" style="20" customWidth="1"/>
    <col min="13562" max="13562" width="14.44140625" style="20" customWidth="1"/>
    <col min="13563" max="13563" width="7.33203125" style="20" customWidth="1"/>
    <col min="13564" max="13564" width="5.5546875" style="20" customWidth="1"/>
    <col min="13565" max="13565" width="9" style="20" customWidth="1"/>
    <col min="13566" max="13567" width="9.88671875" style="20" customWidth="1"/>
    <col min="13568" max="13568" width="11.109375" style="20" customWidth="1"/>
    <col min="13569" max="13569" width="2.88671875" style="20" customWidth="1"/>
    <col min="13570" max="13570" width="3.5546875" style="20" customWidth="1"/>
    <col min="13571" max="13815" width="9.109375" style="20"/>
    <col min="13816" max="13816" width="8.6640625" style="20" customWidth="1"/>
    <col min="13817" max="13817" width="9.88671875" style="20" customWidth="1"/>
    <col min="13818" max="13818" width="14.44140625" style="20" customWidth="1"/>
    <col min="13819" max="13819" width="7.33203125" style="20" customWidth="1"/>
    <col min="13820" max="13820" width="5.5546875" style="20" customWidth="1"/>
    <col min="13821" max="13821" width="9" style="20" customWidth="1"/>
    <col min="13822" max="13823" width="9.88671875" style="20" customWidth="1"/>
    <col min="13824" max="13824" width="11.109375" style="20" customWidth="1"/>
    <col min="13825" max="13825" width="2.88671875" style="20" customWidth="1"/>
    <col min="13826" max="13826" width="3.5546875" style="20" customWidth="1"/>
    <col min="13827" max="14071" width="9.109375" style="20"/>
    <col min="14072" max="14072" width="8.6640625" style="20" customWidth="1"/>
    <col min="14073" max="14073" width="9.88671875" style="20" customWidth="1"/>
    <col min="14074" max="14074" width="14.44140625" style="20" customWidth="1"/>
    <col min="14075" max="14075" width="7.33203125" style="20" customWidth="1"/>
    <col min="14076" max="14076" width="5.5546875" style="20" customWidth="1"/>
    <col min="14077" max="14077" width="9" style="20" customWidth="1"/>
    <col min="14078" max="14079" width="9.88671875" style="20" customWidth="1"/>
    <col min="14080" max="14080" width="11.109375" style="20" customWidth="1"/>
    <col min="14081" max="14081" width="2.88671875" style="20" customWidth="1"/>
    <col min="14082" max="14082" width="3.5546875" style="20" customWidth="1"/>
    <col min="14083" max="14327" width="9.109375" style="20"/>
    <col min="14328" max="14328" width="8.6640625" style="20" customWidth="1"/>
    <col min="14329" max="14329" width="9.88671875" style="20" customWidth="1"/>
    <col min="14330" max="14330" width="14.44140625" style="20" customWidth="1"/>
    <col min="14331" max="14331" width="7.33203125" style="20" customWidth="1"/>
    <col min="14332" max="14332" width="5.5546875" style="20" customWidth="1"/>
    <col min="14333" max="14333" width="9" style="20" customWidth="1"/>
    <col min="14334" max="14335" width="9.88671875" style="20" customWidth="1"/>
    <col min="14336" max="14336" width="11.109375" style="20" customWidth="1"/>
    <col min="14337" max="14337" width="2.88671875" style="20" customWidth="1"/>
    <col min="14338" max="14338" width="3.5546875" style="20" customWidth="1"/>
    <col min="14339" max="14583" width="9.109375" style="20"/>
    <col min="14584" max="14584" width="8.6640625" style="20" customWidth="1"/>
    <col min="14585" max="14585" width="9.88671875" style="20" customWidth="1"/>
    <col min="14586" max="14586" width="14.44140625" style="20" customWidth="1"/>
    <col min="14587" max="14587" width="7.33203125" style="20" customWidth="1"/>
    <col min="14588" max="14588" width="5.5546875" style="20" customWidth="1"/>
    <col min="14589" max="14589" width="9" style="20" customWidth="1"/>
    <col min="14590" max="14591" width="9.88671875" style="20" customWidth="1"/>
    <col min="14592" max="14592" width="11.109375" style="20" customWidth="1"/>
    <col min="14593" max="14593" width="2.88671875" style="20" customWidth="1"/>
    <col min="14594" max="14594" width="3.5546875" style="20" customWidth="1"/>
    <col min="14595" max="14839" width="9.109375" style="20"/>
    <col min="14840" max="14840" width="8.6640625" style="20" customWidth="1"/>
    <col min="14841" max="14841" width="9.88671875" style="20" customWidth="1"/>
    <col min="14842" max="14842" width="14.44140625" style="20" customWidth="1"/>
    <col min="14843" max="14843" width="7.33203125" style="20" customWidth="1"/>
    <col min="14844" max="14844" width="5.5546875" style="20" customWidth="1"/>
    <col min="14845" max="14845" width="9" style="20" customWidth="1"/>
    <col min="14846" max="14847" width="9.88671875" style="20" customWidth="1"/>
    <col min="14848" max="14848" width="11.109375" style="20" customWidth="1"/>
    <col min="14849" max="14849" width="2.88671875" style="20" customWidth="1"/>
    <col min="14850" max="14850" width="3.5546875" style="20" customWidth="1"/>
    <col min="14851" max="15095" width="9.109375" style="20"/>
    <col min="15096" max="15096" width="8.6640625" style="20" customWidth="1"/>
    <col min="15097" max="15097" width="9.88671875" style="20" customWidth="1"/>
    <col min="15098" max="15098" width="14.44140625" style="20" customWidth="1"/>
    <col min="15099" max="15099" width="7.33203125" style="20" customWidth="1"/>
    <col min="15100" max="15100" width="5.5546875" style="20" customWidth="1"/>
    <col min="15101" max="15101" width="9" style="20" customWidth="1"/>
    <col min="15102" max="15103" width="9.88671875" style="20" customWidth="1"/>
    <col min="15104" max="15104" width="11.109375" style="20" customWidth="1"/>
    <col min="15105" max="15105" width="2.88671875" style="20" customWidth="1"/>
    <col min="15106" max="15106" width="3.5546875" style="20" customWidth="1"/>
    <col min="15107" max="15351" width="9.109375" style="20"/>
    <col min="15352" max="15352" width="8.6640625" style="20" customWidth="1"/>
    <col min="15353" max="15353" width="9.88671875" style="20" customWidth="1"/>
    <col min="15354" max="15354" width="14.44140625" style="20" customWidth="1"/>
    <col min="15355" max="15355" width="7.33203125" style="20" customWidth="1"/>
    <col min="15356" max="15356" width="5.5546875" style="20" customWidth="1"/>
    <col min="15357" max="15357" width="9" style="20" customWidth="1"/>
    <col min="15358" max="15359" width="9.88671875" style="20" customWidth="1"/>
    <col min="15360" max="15360" width="11.109375" style="20" customWidth="1"/>
    <col min="15361" max="15361" width="2.88671875" style="20" customWidth="1"/>
    <col min="15362" max="15362" width="3.5546875" style="20" customWidth="1"/>
    <col min="15363" max="15607" width="9.109375" style="20"/>
    <col min="15608" max="15608" width="8.6640625" style="20" customWidth="1"/>
    <col min="15609" max="15609" width="9.88671875" style="20" customWidth="1"/>
    <col min="15610" max="15610" width="14.44140625" style="20" customWidth="1"/>
    <col min="15611" max="15611" width="7.33203125" style="20" customWidth="1"/>
    <col min="15612" max="15612" width="5.5546875" style="20" customWidth="1"/>
    <col min="15613" max="15613" width="9" style="20" customWidth="1"/>
    <col min="15614" max="15615" width="9.88671875" style="20" customWidth="1"/>
    <col min="15616" max="15616" width="11.109375" style="20" customWidth="1"/>
    <col min="15617" max="15617" width="2.88671875" style="20" customWidth="1"/>
    <col min="15618" max="15618" width="3.5546875" style="20" customWidth="1"/>
    <col min="15619" max="15863" width="9.109375" style="20"/>
    <col min="15864" max="15864" width="8.6640625" style="20" customWidth="1"/>
    <col min="15865" max="15865" width="9.88671875" style="20" customWidth="1"/>
    <col min="15866" max="15866" width="14.44140625" style="20" customWidth="1"/>
    <col min="15867" max="15867" width="7.33203125" style="20" customWidth="1"/>
    <col min="15868" max="15868" width="5.5546875" style="20" customWidth="1"/>
    <col min="15869" max="15869" width="9" style="20" customWidth="1"/>
    <col min="15870" max="15871" width="9.88671875" style="20" customWidth="1"/>
    <col min="15872" max="15872" width="11.109375" style="20" customWidth="1"/>
    <col min="15873" max="15873" width="2.88671875" style="20" customWidth="1"/>
    <col min="15874" max="15874" width="3.5546875" style="20" customWidth="1"/>
    <col min="15875" max="16119" width="9.109375" style="20"/>
    <col min="16120" max="16120" width="8.6640625" style="20" customWidth="1"/>
    <col min="16121" max="16121" width="9.88671875" style="20" customWidth="1"/>
    <col min="16122" max="16122" width="14.44140625" style="20" customWidth="1"/>
    <col min="16123" max="16123" width="7.33203125" style="20" customWidth="1"/>
    <col min="16124" max="16124" width="5.5546875" style="20" customWidth="1"/>
    <col min="16125" max="16125" width="9" style="20" customWidth="1"/>
    <col min="16126" max="16127" width="9.88671875" style="20" customWidth="1"/>
    <col min="16128" max="16128" width="11.109375" style="20" customWidth="1"/>
    <col min="16129" max="16129" width="2.88671875" style="20" customWidth="1"/>
    <col min="16130" max="16130" width="3.5546875" style="20" customWidth="1"/>
    <col min="16131" max="16384" width="9.109375" style="20"/>
  </cols>
  <sheetData>
    <row r="1" spans="1:8" ht="46.5" customHeight="1" x14ac:dyDescent="0.3">
      <c r="A1" s="155" t="s">
        <v>235</v>
      </c>
      <c r="B1" s="155"/>
      <c r="C1" s="155"/>
      <c r="D1" s="155"/>
      <c r="E1" s="155"/>
      <c r="F1" s="155"/>
      <c r="G1" s="155"/>
      <c r="H1" s="155"/>
    </row>
    <row r="2" spans="1:8" ht="16.5" customHeight="1" x14ac:dyDescent="0.3">
      <c r="A2" s="156" t="s">
        <v>0</v>
      </c>
      <c r="B2" s="156"/>
      <c r="C2" s="156"/>
      <c r="D2" s="156"/>
      <c r="E2" s="156"/>
      <c r="F2" s="156"/>
      <c r="G2" s="156"/>
      <c r="H2" s="156"/>
    </row>
    <row r="3" spans="1:8" x14ac:dyDescent="0.3">
      <c r="A3" s="131" t="s">
        <v>1</v>
      </c>
      <c r="B3" s="131"/>
      <c r="C3" s="131"/>
      <c r="D3" s="131"/>
      <c r="E3" s="157" t="str">
        <f ca="1">TEXT(TODAY(),"DD/MM/YYYY")</f>
        <v>13/08/2025</v>
      </c>
      <c r="F3" s="131"/>
      <c r="G3" s="131"/>
      <c r="H3" s="131"/>
    </row>
    <row r="4" spans="1:8" ht="15" customHeight="1" x14ac:dyDescent="0.3">
      <c r="A4" s="131" t="s">
        <v>2</v>
      </c>
      <c r="B4" s="131"/>
      <c r="C4" s="131"/>
      <c r="D4" s="131"/>
      <c r="E4" s="131" t="s">
        <v>171</v>
      </c>
      <c r="F4" s="131"/>
      <c r="G4" s="131"/>
      <c r="H4" s="131"/>
    </row>
    <row r="5" spans="1:8" x14ac:dyDescent="0.3">
      <c r="A5" s="131" t="s">
        <v>3</v>
      </c>
      <c r="B5" s="131"/>
      <c r="C5" s="131"/>
      <c r="D5" s="131"/>
      <c r="E5" s="125">
        <v>45879</v>
      </c>
      <c r="F5" s="125"/>
      <c r="G5" s="125"/>
      <c r="H5" s="125"/>
    </row>
    <row r="6" spans="1:8" ht="16.5" customHeight="1" x14ac:dyDescent="0.3">
      <c r="A6" s="131" t="s">
        <v>4</v>
      </c>
      <c r="B6" s="131"/>
      <c r="C6" s="131"/>
      <c r="D6" s="131"/>
      <c r="E6" s="131" t="s">
        <v>172</v>
      </c>
      <c r="F6" s="131"/>
      <c r="G6" s="131"/>
      <c r="H6" s="131"/>
    </row>
    <row r="7" spans="1:8" ht="15" customHeight="1" x14ac:dyDescent="0.3">
      <c r="A7" s="131" t="s">
        <v>5</v>
      </c>
      <c r="B7" s="131"/>
      <c r="C7" s="131"/>
      <c r="D7" s="131"/>
      <c r="E7" s="131" t="str">
        <f>E6</f>
        <v>M/s. Space India Builders &amp; Developers</v>
      </c>
      <c r="F7" s="131"/>
      <c r="G7" s="131"/>
      <c r="H7" s="131"/>
    </row>
    <row r="8" spans="1:8" x14ac:dyDescent="0.3">
      <c r="A8" s="131" t="s">
        <v>6</v>
      </c>
      <c r="B8" s="131"/>
      <c r="C8" s="131"/>
      <c r="D8" s="131"/>
      <c r="E8" s="74" t="s">
        <v>173</v>
      </c>
      <c r="F8" s="74"/>
      <c r="G8" s="74"/>
      <c r="H8" s="74"/>
    </row>
    <row r="9" spans="1:8" x14ac:dyDescent="0.3">
      <c r="A9" s="131" t="s">
        <v>127</v>
      </c>
      <c r="B9" s="131"/>
      <c r="C9" s="131"/>
      <c r="D9" s="131"/>
      <c r="E9" s="131">
        <v>9322277888</v>
      </c>
      <c r="F9" s="131"/>
      <c r="G9" s="131"/>
      <c r="H9" s="131"/>
    </row>
    <row r="10" spans="1:8" x14ac:dyDescent="0.3">
      <c r="A10" s="131" t="s">
        <v>223</v>
      </c>
      <c r="B10" s="131"/>
      <c r="C10" s="131"/>
      <c r="D10" s="131"/>
      <c r="E10" s="131" t="s">
        <v>30</v>
      </c>
      <c r="F10" s="131"/>
      <c r="G10" s="131"/>
      <c r="H10" s="131"/>
    </row>
    <row r="11" spans="1:8" ht="95.25" customHeight="1" x14ac:dyDescent="0.3">
      <c r="A11" s="131" t="s">
        <v>7</v>
      </c>
      <c r="B11" s="131"/>
      <c r="C11" s="131"/>
      <c r="D11" s="131"/>
      <c r="E11" s="130" t="s">
        <v>209</v>
      </c>
      <c r="F11" s="131"/>
      <c r="G11" s="131"/>
      <c r="H11" s="131"/>
    </row>
    <row r="12" spans="1:8" x14ac:dyDescent="0.3">
      <c r="A12" s="92" t="s">
        <v>8</v>
      </c>
      <c r="B12" s="92"/>
      <c r="C12" s="92"/>
      <c r="D12" s="92"/>
      <c r="E12" s="130" t="s">
        <v>179</v>
      </c>
      <c r="F12" s="130"/>
      <c r="G12" s="130"/>
      <c r="H12" s="130"/>
    </row>
    <row r="13" spans="1:8" x14ac:dyDescent="0.3">
      <c r="A13" s="92" t="s">
        <v>9</v>
      </c>
      <c r="B13" s="92"/>
      <c r="C13" s="92"/>
      <c r="D13" s="92"/>
      <c r="E13" s="130" t="s">
        <v>174</v>
      </c>
      <c r="F13" s="131"/>
      <c r="G13" s="131"/>
      <c r="H13" s="131"/>
    </row>
    <row r="14" spans="1:8" ht="34.5" customHeight="1" x14ac:dyDescent="0.3">
      <c r="A14" s="154" t="s">
        <v>10</v>
      </c>
      <c r="B14" s="154"/>
      <c r="C14" s="154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Space Greens, Gut No.42/5, 42/7, 42/11 and 31/4B, 31/8, near Bhairavnath Mandir, Space Green Road, , Dundre, Panvel (East), Panvel, Raigad - 410206.</v>
      </c>
      <c r="D14" s="154"/>
      <c r="E14" s="154"/>
      <c r="F14" s="154"/>
      <c r="G14" s="154"/>
      <c r="H14" s="154"/>
    </row>
    <row r="15" spans="1:8" x14ac:dyDescent="0.3">
      <c r="A15" s="130" t="s">
        <v>178</v>
      </c>
      <c r="B15" s="130"/>
      <c r="C15" s="130" t="s">
        <v>211</v>
      </c>
      <c r="D15" s="130"/>
      <c r="E15" s="130"/>
      <c r="F15" s="130"/>
      <c r="G15" s="130"/>
      <c r="H15" s="130"/>
    </row>
    <row r="16" spans="1:8" ht="15.75" hidden="1" customHeight="1" x14ac:dyDescent="0.3">
      <c r="A16" s="118" t="s">
        <v>170</v>
      </c>
      <c r="B16" s="119"/>
      <c r="C16" s="118" t="s">
        <v>30</v>
      </c>
      <c r="D16" s="120"/>
      <c r="E16" s="120"/>
      <c r="F16" s="120"/>
      <c r="G16" s="120"/>
      <c r="H16" s="119"/>
    </row>
    <row r="17" spans="1:8" ht="15.75" customHeight="1" x14ac:dyDescent="0.3">
      <c r="A17" s="154" t="s">
        <v>11</v>
      </c>
      <c r="B17" s="154"/>
      <c r="C17" s="131" t="s">
        <v>183</v>
      </c>
      <c r="D17" s="131"/>
      <c r="E17" s="154" t="s">
        <v>75</v>
      </c>
      <c r="F17" s="154"/>
      <c r="G17" s="130" t="s">
        <v>177</v>
      </c>
      <c r="H17" s="130"/>
    </row>
    <row r="18" spans="1:8" x14ac:dyDescent="0.3">
      <c r="A18" s="92" t="s">
        <v>13</v>
      </c>
      <c r="B18" s="92"/>
      <c r="C18" s="130" t="s">
        <v>186</v>
      </c>
      <c r="D18" s="130"/>
      <c r="E18" s="154" t="s">
        <v>12</v>
      </c>
      <c r="F18" s="154"/>
      <c r="G18" s="158" t="s">
        <v>175</v>
      </c>
      <c r="H18" s="158"/>
    </row>
    <row r="19" spans="1:8" x14ac:dyDescent="0.3">
      <c r="A19" s="92" t="s">
        <v>76</v>
      </c>
      <c r="B19" s="92"/>
      <c r="C19" s="130" t="s">
        <v>176</v>
      </c>
      <c r="D19" s="130"/>
      <c r="E19" s="154" t="s">
        <v>14</v>
      </c>
      <c r="F19" s="154"/>
      <c r="G19" s="130">
        <v>410206</v>
      </c>
      <c r="H19" s="130"/>
    </row>
    <row r="20" spans="1:8" ht="32.25" customHeight="1" x14ac:dyDescent="0.3">
      <c r="A20" s="92" t="s">
        <v>128</v>
      </c>
      <c r="B20" s="92"/>
      <c r="C20" s="130" t="s">
        <v>184</v>
      </c>
      <c r="D20" s="130"/>
      <c r="E20" s="154" t="s">
        <v>15</v>
      </c>
      <c r="F20" s="154"/>
      <c r="G20" s="130" t="s">
        <v>185</v>
      </c>
      <c r="H20" s="130"/>
    </row>
    <row r="21" spans="1:8" ht="15" customHeight="1" x14ac:dyDescent="0.3">
      <c r="A21" s="154" t="s">
        <v>79</v>
      </c>
      <c r="B21" s="154"/>
      <c r="C21" s="154"/>
      <c r="D21" s="154"/>
      <c r="E21" s="131" t="s">
        <v>16</v>
      </c>
      <c r="F21" s="131"/>
      <c r="G21" s="131"/>
      <c r="H21" s="131"/>
    </row>
    <row r="22" spans="1:8" ht="18.75" customHeight="1" x14ac:dyDescent="0.3">
      <c r="A22" s="154"/>
      <c r="B22" s="154"/>
      <c r="C22" s="154"/>
      <c r="D22" s="154"/>
      <c r="E22" s="131"/>
      <c r="F22" s="131"/>
      <c r="G22" s="131"/>
      <c r="H22" s="131"/>
    </row>
    <row r="23" spans="1:8" ht="15" customHeight="1" x14ac:dyDescent="0.3">
      <c r="A23" s="154" t="s">
        <v>17</v>
      </c>
      <c r="B23" s="154"/>
      <c r="C23" s="154"/>
      <c r="D23" s="154"/>
      <c r="E23" s="130" t="s">
        <v>18</v>
      </c>
      <c r="F23" s="130"/>
      <c r="G23" s="130"/>
      <c r="H23" s="130"/>
    </row>
    <row r="24" spans="1:8" ht="15" customHeight="1" x14ac:dyDescent="0.3">
      <c r="A24" s="92" t="s">
        <v>19</v>
      </c>
      <c r="B24" s="92"/>
      <c r="C24" s="92"/>
      <c r="D24" s="92"/>
      <c r="E24" s="130" t="str">
        <f>IF(AND(G18="Mumbai"),"Upper Class","Middle Class")</f>
        <v>Middle Class</v>
      </c>
      <c r="F24" s="130"/>
      <c r="G24" s="130"/>
      <c r="H24" s="130"/>
    </row>
    <row r="25" spans="1:8" x14ac:dyDescent="0.3">
      <c r="A25" s="92" t="s">
        <v>20</v>
      </c>
      <c r="B25" s="92"/>
      <c r="C25" s="92"/>
      <c r="D25" s="92"/>
      <c r="E25" s="130" t="s">
        <v>21</v>
      </c>
      <c r="F25" s="130"/>
      <c r="G25" s="130"/>
      <c r="H25" s="130"/>
    </row>
    <row r="26" spans="1:8" ht="15.75" customHeight="1" x14ac:dyDescent="0.3">
      <c r="A26" s="92" t="s">
        <v>22</v>
      </c>
      <c r="B26" s="92"/>
      <c r="C26" s="92"/>
      <c r="D26" s="92"/>
      <c r="E26" s="130" t="str">
        <f>IF(AND(G18="Mumbai"),"Developed","Developing")</f>
        <v>Developing</v>
      </c>
      <c r="F26" s="130"/>
      <c r="G26" s="130"/>
      <c r="H26" s="130"/>
    </row>
    <row r="27" spans="1:8" x14ac:dyDescent="0.3">
      <c r="A27" s="92" t="s">
        <v>23</v>
      </c>
      <c r="B27" s="92"/>
      <c r="C27" s="92"/>
      <c r="D27" s="92"/>
      <c r="E27" s="130" t="s">
        <v>24</v>
      </c>
      <c r="F27" s="130"/>
      <c r="G27" s="130"/>
      <c r="H27" s="130"/>
    </row>
    <row r="28" spans="1:8" ht="15.75" customHeight="1" x14ac:dyDescent="0.3">
      <c r="A28" s="92" t="s">
        <v>84</v>
      </c>
      <c r="B28" s="92"/>
      <c r="C28" s="92"/>
      <c r="D28" s="92"/>
      <c r="E28" s="130" t="s">
        <v>85</v>
      </c>
      <c r="F28" s="130"/>
      <c r="G28" s="130"/>
      <c r="H28" s="130"/>
    </row>
    <row r="29" spans="1:8" ht="15" customHeight="1" x14ac:dyDescent="0.3">
      <c r="A29" s="92" t="s">
        <v>33</v>
      </c>
      <c r="B29" s="92"/>
      <c r="C29" s="92"/>
      <c r="D29" s="92"/>
      <c r="E29" s="13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30"/>
      <c r="G29" s="130"/>
      <c r="H29" s="130"/>
    </row>
    <row r="30" spans="1:8" ht="15.75" customHeight="1" x14ac:dyDescent="0.3">
      <c r="A30" s="92" t="s">
        <v>96</v>
      </c>
      <c r="B30" s="92"/>
      <c r="C30" s="92"/>
      <c r="D30" s="92"/>
      <c r="E30" s="130" t="s">
        <v>34</v>
      </c>
      <c r="F30" s="130"/>
      <c r="G30" s="130"/>
      <c r="H30" s="130"/>
    </row>
    <row r="31" spans="1:8" s="21" customFormat="1" x14ac:dyDescent="0.3">
      <c r="A31" s="161" t="s">
        <v>97</v>
      </c>
      <c r="B31" s="161"/>
      <c r="C31" s="137" t="s">
        <v>29</v>
      </c>
      <c r="D31" s="137"/>
      <c r="E31" s="137"/>
      <c r="F31" s="137" t="s">
        <v>31</v>
      </c>
      <c r="G31" s="137"/>
      <c r="H31" s="137"/>
    </row>
    <row r="32" spans="1:8" s="21" customFormat="1" x14ac:dyDescent="0.3">
      <c r="A32" s="159" t="s">
        <v>25</v>
      </c>
      <c r="B32" s="159" t="s">
        <v>30</v>
      </c>
      <c r="C32" s="160" t="s">
        <v>30</v>
      </c>
      <c r="D32" s="160"/>
      <c r="E32" s="160"/>
      <c r="F32" s="160" t="s">
        <v>187</v>
      </c>
      <c r="G32" s="160"/>
      <c r="H32" s="160"/>
    </row>
    <row r="33" spans="1:8" x14ac:dyDescent="0.3">
      <c r="A33" s="159" t="s">
        <v>26</v>
      </c>
      <c r="B33" s="159" t="s">
        <v>30</v>
      </c>
      <c r="C33" s="160" t="s">
        <v>30</v>
      </c>
      <c r="D33" s="160"/>
      <c r="E33" s="160"/>
      <c r="F33" s="160" t="s">
        <v>187</v>
      </c>
      <c r="G33" s="160"/>
      <c r="H33" s="160"/>
    </row>
    <row r="34" spans="1:8" s="21" customFormat="1" x14ac:dyDescent="0.3">
      <c r="A34" s="159" t="s">
        <v>28</v>
      </c>
      <c r="B34" s="159" t="s">
        <v>30</v>
      </c>
      <c r="C34" s="160" t="s">
        <v>30</v>
      </c>
      <c r="D34" s="160"/>
      <c r="E34" s="160"/>
      <c r="F34" s="160" t="s">
        <v>183</v>
      </c>
      <c r="G34" s="160"/>
      <c r="H34" s="160"/>
    </row>
    <row r="35" spans="1:8" x14ac:dyDescent="0.3">
      <c r="A35" s="159" t="s">
        <v>27</v>
      </c>
      <c r="B35" s="159" t="s">
        <v>30</v>
      </c>
      <c r="C35" s="160" t="s">
        <v>30</v>
      </c>
      <c r="D35" s="160"/>
      <c r="E35" s="160"/>
      <c r="F35" s="160" t="s">
        <v>187</v>
      </c>
      <c r="G35" s="160"/>
      <c r="H35" s="160"/>
    </row>
    <row r="36" spans="1:8" x14ac:dyDescent="0.3">
      <c r="A36" s="92" t="s">
        <v>32</v>
      </c>
      <c r="B36" s="92"/>
      <c r="C36" s="92"/>
      <c r="D36" s="92"/>
      <c r="E36" s="92"/>
      <c r="F36" s="92"/>
      <c r="G36" s="92"/>
      <c r="H36" s="92"/>
    </row>
    <row r="37" spans="1:8" ht="15.75" customHeight="1" x14ac:dyDescent="0.3">
      <c r="A37" s="92" t="s">
        <v>224</v>
      </c>
      <c r="B37" s="92"/>
      <c r="C37" s="122" t="s">
        <v>229</v>
      </c>
      <c r="D37" s="123"/>
      <c r="E37" s="123"/>
      <c r="F37" s="123"/>
      <c r="G37" s="123"/>
      <c r="H37" s="124"/>
    </row>
    <row r="38" spans="1:8" x14ac:dyDescent="0.3">
      <c r="A38" s="92" t="s">
        <v>169</v>
      </c>
      <c r="B38" s="92"/>
      <c r="C38" s="163" t="s">
        <v>227</v>
      </c>
      <c r="D38" s="164"/>
      <c r="E38" s="164"/>
      <c r="F38" s="164"/>
      <c r="G38" s="164"/>
      <c r="H38" s="164"/>
    </row>
    <row r="39" spans="1:8" x14ac:dyDescent="0.3">
      <c r="A39" s="152" t="s">
        <v>35</v>
      </c>
      <c r="B39" s="152"/>
      <c r="C39" s="152"/>
      <c r="D39" s="152"/>
      <c r="E39" s="152"/>
      <c r="F39" s="152"/>
      <c r="G39" s="152"/>
      <c r="H39" s="152"/>
    </row>
    <row r="40" spans="1:8" x14ac:dyDescent="0.3">
      <c r="A40" s="92" t="s">
        <v>36</v>
      </c>
      <c r="B40" s="92"/>
      <c r="C40" s="92"/>
      <c r="D40" s="92"/>
      <c r="E40" s="162">
        <v>7395.11</v>
      </c>
      <c r="F40" s="162"/>
      <c r="G40" s="162"/>
      <c r="H40" s="162"/>
    </row>
    <row r="41" spans="1:8" x14ac:dyDescent="0.3">
      <c r="A41" s="92" t="s">
        <v>37</v>
      </c>
      <c r="B41" s="92"/>
      <c r="C41" s="92"/>
      <c r="D41" s="92"/>
      <c r="E41" s="121">
        <v>1</v>
      </c>
      <c r="F41" s="121"/>
      <c r="G41" s="121"/>
      <c r="H41" s="121"/>
    </row>
    <row r="42" spans="1:8" x14ac:dyDescent="0.3">
      <c r="A42" s="92" t="s">
        <v>38</v>
      </c>
      <c r="B42" s="92"/>
      <c r="C42" s="92"/>
      <c r="D42" s="92"/>
      <c r="E42" s="121">
        <f>E44/E40-E41</f>
        <v>-4.7924912543559128E-2</v>
      </c>
      <c r="F42" s="121"/>
      <c r="G42" s="121"/>
      <c r="H42" s="121"/>
    </row>
    <row r="43" spans="1:8" x14ac:dyDescent="0.3">
      <c r="A43" s="92" t="s">
        <v>39</v>
      </c>
      <c r="B43" s="92"/>
      <c r="C43" s="92"/>
      <c r="D43" s="92"/>
      <c r="E43" s="121">
        <f>E41+E42</f>
        <v>0.95207508745644087</v>
      </c>
      <c r="F43" s="121"/>
      <c r="G43" s="121"/>
      <c r="H43" s="121"/>
    </row>
    <row r="44" spans="1:8" x14ac:dyDescent="0.3">
      <c r="A44" s="92" t="s">
        <v>95</v>
      </c>
      <c r="B44" s="92"/>
      <c r="C44" s="92"/>
      <c r="D44" s="92"/>
      <c r="E44" s="185">
        <v>7040.7</v>
      </c>
      <c r="F44" s="185"/>
      <c r="G44" s="185"/>
      <c r="H44" s="185"/>
    </row>
    <row r="45" spans="1:8" x14ac:dyDescent="0.3">
      <c r="A45" s="131" t="s">
        <v>40</v>
      </c>
      <c r="B45" s="131"/>
      <c r="C45" s="131"/>
      <c r="D45" s="131"/>
      <c r="E45" s="131" t="s">
        <v>213</v>
      </c>
      <c r="F45" s="131"/>
      <c r="G45" s="131"/>
      <c r="H45" s="131"/>
    </row>
    <row r="46" spans="1:8" x14ac:dyDescent="0.3">
      <c r="A46" s="152" t="s">
        <v>41</v>
      </c>
      <c r="B46" s="152"/>
      <c r="C46" s="152"/>
      <c r="D46" s="152"/>
      <c r="E46" s="152"/>
      <c r="F46" s="152"/>
      <c r="G46" s="152"/>
      <c r="H46" s="152"/>
    </row>
    <row r="47" spans="1:8" ht="33.75" customHeight="1" x14ac:dyDescent="0.3">
      <c r="A47" s="109" t="s">
        <v>157</v>
      </c>
      <c r="B47" s="111"/>
      <c r="C47" s="186" t="s">
        <v>180</v>
      </c>
      <c r="D47" s="187"/>
      <c r="E47" s="187"/>
      <c r="F47" s="187"/>
      <c r="G47" s="187"/>
      <c r="H47" s="188"/>
    </row>
    <row r="48" spans="1:8" ht="30.75" customHeight="1" x14ac:dyDescent="0.3">
      <c r="A48" s="109" t="s">
        <v>42</v>
      </c>
      <c r="B48" s="111"/>
      <c r="C48" s="109" t="s">
        <v>216</v>
      </c>
      <c r="D48" s="110"/>
      <c r="E48" s="111"/>
      <c r="F48" s="17" t="s">
        <v>43</v>
      </c>
      <c r="G48" s="125">
        <v>44545</v>
      </c>
      <c r="H48" s="125"/>
    </row>
    <row r="49" spans="1:14" ht="31.5" customHeight="1" x14ac:dyDescent="0.3">
      <c r="A49" s="109" t="s">
        <v>44</v>
      </c>
      <c r="B49" s="111"/>
      <c r="C49" s="109" t="str">
        <f>C48</f>
        <v>CIDCO/NAINA/Panvel/Dundre/BP-520/ACC/2021/132</v>
      </c>
      <c r="D49" s="110"/>
      <c r="E49" s="111"/>
      <c r="F49" s="17" t="s">
        <v>43</v>
      </c>
      <c r="G49" s="125">
        <f>G48</f>
        <v>44545</v>
      </c>
      <c r="H49" s="125"/>
    </row>
    <row r="50" spans="1:14" s="22" customFormat="1" ht="32.25" customHeight="1" x14ac:dyDescent="0.3">
      <c r="A50" s="170" t="s">
        <v>161</v>
      </c>
      <c r="B50" s="171"/>
      <c r="C50" s="109" t="s">
        <v>181</v>
      </c>
      <c r="D50" s="110"/>
      <c r="E50" s="111"/>
      <c r="F50" s="17" t="s">
        <v>43</v>
      </c>
      <c r="G50" s="125">
        <f>G49</f>
        <v>44545</v>
      </c>
      <c r="H50" s="125"/>
    </row>
    <row r="51" spans="1:14" s="22" customFormat="1" x14ac:dyDescent="0.3">
      <c r="A51" s="172"/>
      <c r="B51" s="173"/>
      <c r="C51" s="109" t="s">
        <v>182</v>
      </c>
      <c r="D51" s="110"/>
      <c r="E51" s="110"/>
      <c r="F51" s="110"/>
      <c r="G51" s="110"/>
      <c r="H51" s="111"/>
    </row>
    <row r="52" spans="1:14" ht="33" hidden="1" customHeight="1" x14ac:dyDescent="0.3">
      <c r="A52" s="126" t="s">
        <v>45</v>
      </c>
      <c r="B52" s="127"/>
      <c r="C52" s="126" t="s">
        <v>109</v>
      </c>
      <c r="D52" s="128"/>
      <c r="E52" s="127"/>
      <c r="F52" s="60" t="s">
        <v>43</v>
      </c>
      <c r="G52" s="132" t="s">
        <v>30</v>
      </c>
      <c r="H52" s="133"/>
    </row>
    <row r="53" spans="1:14" x14ac:dyDescent="0.3">
      <c r="A53" s="129" t="s">
        <v>47</v>
      </c>
      <c r="B53" s="129"/>
      <c r="C53" s="129"/>
      <c r="D53" s="129"/>
      <c r="E53" s="129"/>
      <c r="F53" s="129"/>
      <c r="G53" s="129"/>
      <c r="H53" s="129"/>
    </row>
    <row r="54" spans="1:14" x14ac:dyDescent="0.3">
      <c r="A54" s="130" t="s">
        <v>94</v>
      </c>
      <c r="B54" s="130"/>
      <c r="C54" s="130"/>
      <c r="D54" s="131">
        <f>E44</f>
        <v>7040.7</v>
      </c>
      <c r="E54" s="131"/>
      <c r="F54" s="131"/>
      <c r="G54" s="131"/>
      <c r="H54" s="131"/>
    </row>
    <row r="55" spans="1:14" x14ac:dyDescent="0.3">
      <c r="A55" s="130" t="s">
        <v>48</v>
      </c>
      <c r="B55" s="131"/>
      <c r="C55" s="131"/>
      <c r="D55" s="131" t="s">
        <v>222</v>
      </c>
      <c r="E55" s="131"/>
      <c r="F55" s="131"/>
      <c r="G55" s="131"/>
      <c r="H55" s="131"/>
      <c r="I55" s="23"/>
    </row>
    <row r="56" spans="1:14" x14ac:dyDescent="0.3">
      <c r="A56" s="167" t="s">
        <v>49</v>
      </c>
      <c r="B56" s="168"/>
      <c r="C56" s="169"/>
      <c r="D56" s="165" t="s">
        <v>188</v>
      </c>
      <c r="E56" s="166"/>
      <c r="F56" s="166"/>
      <c r="G56" s="166"/>
      <c r="H56" s="166"/>
    </row>
    <row r="57" spans="1:14" ht="15.75" customHeight="1" x14ac:dyDescent="0.3">
      <c r="A57" s="167" t="s">
        <v>92</v>
      </c>
      <c r="B57" s="168"/>
      <c r="C57" s="168"/>
      <c r="D57" s="177" t="s">
        <v>220</v>
      </c>
      <c r="E57" s="178"/>
      <c r="F57" s="178"/>
      <c r="G57" s="178"/>
      <c r="H57" s="179"/>
    </row>
    <row r="58" spans="1:14" ht="15.75" customHeight="1" x14ac:dyDescent="0.3">
      <c r="A58" s="174"/>
      <c r="B58" s="175"/>
      <c r="C58" s="175"/>
      <c r="D58" s="180" t="s">
        <v>221</v>
      </c>
      <c r="E58" s="181"/>
      <c r="F58" s="181"/>
      <c r="G58" s="181"/>
      <c r="H58" s="182"/>
    </row>
    <row r="59" spans="1:14" ht="16.5" customHeight="1" x14ac:dyDescent="0.3">
      <c r="A59" s="174"/>
      <c r="B59" s="175"/>
      <c r="C59" s="175"/>
      <c r="D59" s="106" t="s">
        <v>225</v>
      </c>
      <c r="E59" s="107"/>
      <c r="F59" s="107"/>
      <c r="G59" s="107"/>
      <c r="H59" s="108"/>
    </row>
    <row r="60" spans="1:14" x14ac:dyDescent="0.3">
      <c r="A60" s="106"/>
      <c r="B60" s="176"/>
      <c r="C60" s="176"/>
      <c r="D60" s="106" t="s">
        <v>226</v>
      </c>
      <c r="E60" s="107"/>
      <c r="F60" s="107"/>
      <c r="G60" s="107"/>
      <c r="H60" s="108"/>
    </row>
    <row r="61" spans="1:14" ht="15.75" customHeight="1" x14ac:dyDescent="0.3">
      <c r="A61" s="131" t="s">
        <v>46</v>
      </c>
      <c r="B61" s="131"/>
      <c r="C61" s="131"/>
      <c r="D61" s="183" t="s">
        <v>189</v>
      </c>
      <c r="E61" s="183"/>
      <c r="F61" s="183"/>
      <c r="G61" s="183"/>
      <c r="H61" s="183"/>
      <c r="J61" s="24"/>
      <c r="K61" s="23"/>
      <c r="N61" s="23"/>
    </row>
    <row r="62" spans="1:14" ht="15.75" customHeight="1" x14ac:dyDescent="0.3">
      <c r="A62" s="92" t="s">
        <v>90</v>
      </c>
      <c r="B62" s="92"/>
      <c r="C62" s="92"/>
      <c r="D62" s="184" t="str">
        <f>(IF(G52="NA","60 Years After Completion",IF(G52&lt;&gt;"NA",""&amp;60-ROUNDDOWN((E3-G52)/360,0)&amp;" Years"," ")))</f>
        <v>60 Years After Completion</v>
      </c>
      <c r="E62" s="184"/>
      <c r="F62" s="184"/>
      <c r="G62" s="184"/>
      <c r="H62" s="184"/>
      <c r="N62" s="23"/>
    </row>
    <row r="63" spans="1:14" ht="15.75" customHeight="1" x14ac:dyDescent="0.3">
      <c r="A63" s="92" t="s">
        <v>91</v>
      </c>
      <c r="B63" s="92"/>
      <c r="C63" s="92"/>
      <c r="D63" s="154" t="s">
        <v>24</v>
      </c>
      <c r="E63" s="154"/>
      <c r="F63" s="154"/>
      <c r="G63" s="154"/>
      <c r="H63" s="154"/>
      <c r="J63" s="25"/>
      <c r="K63" s="25"/>
    </row>
    <row r="64" spans="1:14" ht="15" hidden="1" customHeight="1" x14ac:dyDescent="0.3">
      <c r="A64" s="92" t="s">
        <v>77</v>
      </c>
      <c r="B64" s="92"/>
      <c r="C64" s="92"/>
      <c r="D64" s="130" t="s">
        <v>154</v>
      </c>
      <c r="E64" s="154"/>
      <c r="F64" s="154"/>
      <c r="G64" s="154"/>
      <c r="H64" s="154"/>
    </row>
    <row r="65" spans="1:14" x14ac:dyDescent="0.3">
      <c r="A65" s="154" t="s">
        <v>155</v>
      </c>
      <c r="B65" s="154"/>
      <c r="C65" s="154"/>
      <c r="D65" s="154" t="s">
        <v>30</v>
      </c>
      <c r="E65" s="154"/>
      <c r="F65" s="154"/>
      <c r="G65" s="154"/>
      <c r="H65" s="154"/>
      <c r="I65" s="26"/>
      <c r="J65" s="26"/>
      <c r="K65" s="26"/>
      <c r="L65" s="26"/>
      <c r="M65" s="26"/>
      <c r="N65" s="26"/>
    </row>
    <row r="66" spans="1:14" ht="15.75" customHeight="1" x14ac:dyDescent="0.3">
      <c r="A66" s="92" t="s">
        <v>89</v>
      </c>
      <c r="B66" s="92"/>
      <c r="C66" s="92"/>
      <c r="D66" s="130" t="str">
        <f ca="1">(IF(G86&gt;95%,"Nothing",IF(G86&gt;0%,"Cement, Aggregate, Steel, etc",IF(G86=0%,"Work not yet Started"))))</f>
        <v>Cement, Aggregate, Steel, etc</v>
      </c>
      <c r="E66" s="130"/>
      <c r="F66" s="130"/>
      <c r="G66" s="130"/>
      <c r="H66" s="130"/>
      <c r="J66" s="25"/>
    </row>
    <row r="67" spans="1:14" ht="33.75" customHeight="1" thickBot="1" x14ac:dyDescent="0.35">
      <c r="A67" s="154" t="s">
        <v>122</v>
      </c>
      <c r="B67" s="154"/>
      <c r="C67" s="154"/>
      <c r="D67" s="130" t="str">
        <f ca="1">(IF(D66="Nothing","Yes",IF(D66="Cement, Aggregate, Steel, etc","Under Construction",IF(D66="Work not yet Started","Work not yet Started"))))</f>
        <v>Under Construction</v>
      </c>
      <c r="E67" s="130"/>
      <c r="F67" s="130" t="str">
        <f ca="1">(IF(D66="Nothing","Yes",IF(D66="Cement, Aggregate, Steel, etc","Under Construction",IF(D66="Work not yet Started","Work not yet Started"))))</f>
        <v>Under Construction</v>
      </c>
      <c r="G67" s="130"/>
      <c r="H67" s="130"/>
    </row>
    <row r="68" spans="1:14" ht="15.75" customHeight="1" x14ac:dyDescent="0.3">
      <c r="A68" s="189" t="s">
        <v>146</v>
      </c>
      <c r="B68" s="189"/>
      <c r="C68" s="189" t="str">
        <f>D57</f>
        <v>Building No. 1, 2 &amp; 5 = 1st to 4th Floor</v>
      </c>
      <c r="D68" s="189"/>
      <c r="E68" s="189"/>
      <c r="F68" s="189"/>
      <c r="G68" s="189"/>
      <c r="H68" s="189"/>
      <c r="I68" s="66" t="str">
        <f ca="1">IF(D81=100%,"All work Completed. Possession granted to the Building.",IF(D80=100%,"All work Completed, Waiting for OC",I69&amp;""&amp;I70&amp;""&amp;J69&amp;""&amp;J68&amp;" "&amp;J70))</f>
        <v xml:space="preserve">Work not yet Started. </v>
      </c>
      <c r="J68" s="41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/>
      </c>
    </row>
    <row r="69" spans="1:14" x14ac:dyDescent="0.3">
      <c r="A69" s="62" t="s">
        <v>148</v>
      </c>
      <c r="B69" s="62">
        <v>0</v>
      </c>
      <c r="C69" s="62" t="s">
        <v>74</v>
      </c>
      <c r="D69" s="62">
        <v>1</v>
      </c>
      <c r="E69" s="62" t="s">
        <v>73</v>
      </c>
      <c r="F69" s="62">
        <v>0</v>
      </c>
      <c r="G69" s="63" t="s">
        <v>83</v>
      </c>
      <c r="H69" s="62">
        <f ca="1">--TRIM(RIGHT(SUBSTITUTE(LEFT(C68,_xlfn.AGGREGATE(16,6,FIND({0,1,2,3,4,5,6,7,8,9},C68,ROW(INDIRECT("1:"&amp;LEN(C68)))),1))," ",REPT(" ",LEN(C68))),LEN(C68)))</f>
        <v>4</v>
      </c>
      <c r="I69" s="67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/>
      </c>
      <c r="J69" s="43" t="str">
        <f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>Work not yet Started.</v>
      </c>
    </row>
    <row r="70" spans="1:14" x14ac:dyDescent="0.3">
      <c r="A70" s="74" t="s">
        <v>93</v>
      </c>
      <c r="B70" s="74"/>
      <c r="C70" s="75" t="str">
        <f ca="1">(IF($G$52="NA",I68,"All work Completed. OC Received."))</f>
        <v xml:space="preserve">Work not yet Started. </v>
      </c>
      <c r="D70" s="75"/>
      <c r="E70" s="75"/>
      <c r="F70" s="75"/>
      <c r="G70" s="75"/>
      <c r="H70" s="75"/>
      <c r="I70" s="67" t="str">
        <f ca="1">IF(I69&lt;&gt;""," Completed","")</f>
        <v/>
      </c>
      <c r="J70" s="43" t="str">
        <f ca="1">IF(J68&lt;&gt;"","Completed","")</f>
        <v/>
      </c>
    </row>
    <row r="71" spans="1:14" ht="15.75" customHeight="1" x14ac:dyDescent="0.3">
      <c r="A71" s="77" t="s">
        <v>50</v>
      </c>
      <c r="B71" s="78"/>
      <c r="C71" s="58" t="s">
        <v>145</v>
      </c>
      <c r="D71" s="58" t="s">
        <v>86</v>
      </c>
      <c r="E71" s="78" t="s">
        <v>88</v>
      </c>
      <c r="F71" s="78"/>
      <c r="G71" s="78" t="s">
        <v>87</v>
      </c>
      <c r="H71" s="79"/>
      <c r="I71" s="13" t="s">
        <v>147</v>
      </c>
      <c r="J71" s="27">
        <f ca="1">H69*25%</f>
        <v>1</v>
      </c>
    </row>
    <row r="72" spans="1:14" x14ac:dyDescent="0.3">
      <c r="A72" s="77" t="s">
        <v>134</v>
      </c>
      <c r="B72" s="78"/>
      <c r="C72" s="58">
        <v>0</v>
      </c>
      <c r="D72" s="18">
        <f ca="1">((100/H69)*C72)/100</f>
        <v>0</v>
      </c>
      <c r="E72" s="81">
        <f ca="1">(((C73/H69*10)+(40/(D69+F69+H69)*C74)+(7.5/(H69)*C75)+(7.5/(H69)*C76)+(10/H69*C77)+(10/H69*C78)+(5/H69*C79)+(5/H69*C80)+(5/H69*C81))/100)</f>
        <v>0</v>
      </c>
      <c r="F72" s="82"/>
      <c r="G72" s="81">
        <f ca="1">((((C72/H69)*20)+((C73/H69)*25)+(30/(H69+F69+D69)*C74)+(5/H69*C75)+(5/H69*C76)+(5/H69*C77)+(5/H69*C78)+(0/H69*C79)+(0/H69*C80)+(5/H69*C81))/100)</f>
        <v>0</v>
      </c>
      <c r="H72" s="87"/>
      <c r="I72" s="13" t="s">
        <v>104</v>
      </c>
      <c r="J72" s="28">
        <f ca="1">H69*50%</f>
        <v>2</v>
      </c>
    </row>
    <row r="73" spans="1:14" x14ac:dyDescent="0.3">
      <c r="A73" s="77" t="s">
        <v>51</v>
      </c>
      <c r="B73" s="78"/>
      <c r="C73" s="58">
        <v>0</v>
      </c>
      <c r="D73" s="18">
        <f ca="1">((100/H69)*C73)/100</f>
        <v>0</v>
      </c>
      <c r="E73" s="83"/>
      <c r="F73" s="84"/>
      <c r="G73" s="83"/>
      <c r="H73" s="88"/>
      <c r="I73" s="13" t="s">
        <v>105</v>
      </c>
      <c r="J73" s="28">
        <f ca="1">H69</f>
        <v>4</v>
      </c>
    </row>
    <row r="74" spans="1:14" ht="15.75" customHeight="1" x14ac:dyDescent="0.3">
      <c r="A74" s="77" t="s">
        <v>135</v>
      </c>
      <c r="B74" s="78"/>
      <c r="C74" s="58">
        <v>0</v>
      </c>
      <c r="D74" s="18">
        <f ca="1">((100/(D69+F69+H69))*C74)/100</f>
        <v>0</v>
      </c>
      <c r="E74" s="83"/>
      <c r="F74" s="84"/>
      <c r="G74" s="83"/>
      <c r="H74" s="88"/>
      <c r="I74" s="13" t="s">
        <v>106</v>
      </c>
      <c r="J74" s="29">
        <f ca="1">(IF(B69&gt;1,(H69/(B69+2)),H69/4))</f>
        <v>1</v>
      </c>
    </row>
    <row r="75" spans="1:14" ht="15.75" customHeight="1" x14ac:dyDescent="0.3">
      <c r="A75" s="77" t="s">
        <v>142</v>
      </c>
      <c r="B75" s="78" t="s">
        <v>136</v>
      </c>
      <c r="C75" s="58">
        <v>0</v>
      </c>
      <c r="D75" s="18">
        <f ca="1">((100/H69)*C75)/100</f>
        <v>0</v>
      </c>
      <c r="E75" s="83"/>
      <c r="F75" s="84"/>
      <c r="G75" s="83"/>
      <c r="H75" s="88"/>
      <c r="I75" s="13" t="s">
        <v>107</v>
      </c>
      <c r="J75" s="29">
        <f ca="1">(IF(B69&gt;1,(H69/(B69+2)+J74),H69/4+J74))</f>
        <v>2</v>
      </c>
    </row>
    <row r="76" spans="1:14" ht="15.75" customHeight="1" x14ac:dyDescent="0.3">
      <c r="A76" s="77" t="s">
        <v>143</v>
      </c>
      <c r="B76" s="78" t="s">
        <v>136</v>
      </c>
      <c r="C76" s="58">
        <v>0</v>
      </c>
      <c r="D76" s="18">
        <f ca="1">((100/H69)*C76)/100</f>
        <v>0</v>
      </c>
      <c r="E76" s="83"/>
      <c r="F76" s="84"/>
      <c r="G76" s="83"/>
      <c r="H76" s="88"/>
      <c r="I76" s="13" t="s">
        <v>152</v>
      </c>
      <c r="J76" s="29">
        <f>(IF(B69&gt;1,(H69/(B69+2)+J75),0))</f>
        <v>0</v>
      </c>
    </row>
    <row r="77" spans="1:14" ht="15" customHeight="1" x14ac:dyDescent="0.3">
      <c r="A77" s="77" t="s">
        <v>141</v>
      </c>
      <c r="B77" s="78" t="s">
        <v>138</v>
      </c>
      <c r="C77" s="58">
        <v>0</v>
      </c>
      <c r="D77" s="18">
        <f ca="1">((100/(H69))*C77)/100</f>
        <v>0</v>
      </c>
      <c r="E77" s="83"/>
      <c r="F77" s="84"/>
      <c r="G77" s="83"/>
      <c r="H77" s="88"/>
      <c r="I77" s="13" t="s">
        <v>149</v>
      </c>
      <c r="J77" s="29">
        <f>(IF(B69&gt;2,(H69/(B69+2)+J76),0))</f>
        <v>0</v>
      </c>
    </row>
    <row r="78" spans="1:14" ht="15.75" customHeight="1" x14ac:dyDescent="0.3">
      <c r="A78" s="77" t="s">
        <v>137</v>
      </c>
      <c r="B78" s="78" t="s">
        <v>137</v>
      </c>
      <c r="C78" s="58">
        <v>0</v>
      </c>
      <c r="D78" s="18">
        <f ca="1">((100/H69)*C78)/100</f>
        <v>0</v>
      </c>
      <c r="E78" s="83"/>
      <c r="F78" s="84"/>
      <c r="G78" s="83"/>
      <c r="H78" s="88"/>
      <c r="I78" s="13" t="s">
        <v>150</v>
      </c>
      <c r="J78" s="30">
        <f>(IF(B69&gt;3,(H69/(B69+2)+J77),0))</f>
        <v>0</v>
      </c>
    </row>
    <row r="79" spans="1:14" ht="15.75" customHeight="1" x14ac:dyDescent="0.3">
      <c r="A79" s="77" t="s">
        <v>144</v>
      </c>
      <c r="B79" s="78"/>
      <c r="C79" s="58">
        <v>0</v>
      </c>
      <c r="D79" s="18">
        <f ca="1">((100/H69)*C79)/100</f>
        <v>0</v>
      </c>
      <c r="E79" s="83"/>
      <c r="F79" s="84"/>
      <c r="G79" s="83"/>
      <c r="H79" s="88"/>
      <c r="I79" s="13" t="s">
        <v>151</v>
      </c>
      <c r="J79" s="29">
        <f>(IF(B69&gt;4,(H69/(B69+2)+J78),0))</f>
        <v>0</v>
      </c>
    </row>
    <row r="80" spans="1:14" ht="15.75" customHeight="1" x14ac:dyDescent="0.3">
      <c r="A80" s="77" t="s">
        <v>139</v>
      </c>
      <c r="B80" s="78" t="s">
        <v>139</v>
      </c>
      <c r="C80" s="58">
        <v>0</v>
      </c>
      <c r="D80" s="18">
        <f ca="1">((100/(H69))*C80)/100</f>
        <v>0</v>
      </c>
      <c r="E80" s="83"/>
      <c r="F80" s="84"/>
      <c r="G80" s="83"/>
      <c r="H80" s="88"/>
      <c r="I80" s="13" t="s">
        <v>153</v>
      </c>
      <c r="J80" s="29">
        <f ca="1">(IF(B69=1,(H69/(B69+3)+J75),IF(B69=0,(H69/4+J75),IF(B69&gt;1,0))))</f>
        <v>3</v>
      </c>
    </row>
    <row r="81" spans="1:10" ht="16.2" thickBot="1" x14ac:dyDescent="0.35">
      <c r="A81" s="90" t="s">
        <v>140</v>
      </c>
      <c r="B81" s="91"/>
      <c r="C81" s="59">
        <v>0</v>
      </c>
      <c r="D81" s="19">
        <f ca="1">((100/(H69))*C81)/100</f>
        <v>0</v>
      </c>
      <c r="E81" s="85"/>
      <c r="F81" s="86"/>
      <c r="G81" s="85"/>
      <c r="H81" s="89"/>
      <c r="I81" s="14" t="s">
        <v>108</v>
      </c>
      <c r="J81" s="31">
        <f ca="1">(IF(B69&gt;1.5,(H69/(B69+2)+J75+MAX(0,J76-J75)+MAX(0,J77-J76)+MAX(0,J78-J77)+MAX(0,J79-J78)+MAX(0,J80-J79)),IF(B69=1,(H69/(B69+3)+J80),IF(B69=0,H69/4+J80))))</f>
        <v>4</v>
      </c>
    </row>
    <row r="82" spans="1:10" ht="15.75" customHeight="1" x14ac:dyDescent="0.3">
      <c r="A82" s="68" t="s">
        <v>146</v>
      </c>
      <c r="B82" s="69"/>
      <c r="C82" s="70" t="s">
        <v>221</v>
      </c>
      <c r="D82" s="71"/>
      <c r="E82" s="71"/>
      <c r="F82" s="71"/>
      <c r="G82" s="71"/>
      <c r="H82" s="72"/>
      <c r="I82" s="53" t="str">
        <f ca="1">IF(D95=100%,"All work Completed. Possession granted to the Building.",IF(D94=100%,"All work Completed, Waiting for OC",I83&amp;""&amp;I84&amp;""&amp;J83&amp;""&amp;J82&amp;" "&amp;J84))</f>
        <v>Excavation, Plinth, RCC Slab, Brickwork Completed, External Plaster upto 3 Floor Completed</v>
      </c>
      <c r="J82" s="41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External Plaster upto 3 Floor</v>
      </c>
    </row>
    <row r="83" spans="1:10" x14ac:dyDescent="0.3">
      <c r="A83" s="15" t="s">
        <v>148</v>
      </c>
      <c r="B83" s="62">
        <v>0</v>
      </c>
      <c r="C83" s="62" t="s">
        <v>74</v>
      </c>
      <c r="D83" s="62">
        <v>1</v>
      </c>
      <c r="E83" s="62" t="s">
        <v>73</v>
      </c>
      <c r="F83" s="62">
        <v>0</v>
      </c>
      <c r="G83" s="63" t="s">
        <v>83</v>
      </c>
      <c r="H83" s="16">
        <f ca="1">--TRIM(RIGHT(SUBSTITUTE(LEFT(C82,_xlfn.AGGREGATE(16,6,FIND({0,1,2,3,4,5,6,7,8,9},C82,ROW(INDIRECT("1:"&amp;LEN(C82)))),1))," ",REPT(" ",LEN(C82))),LEN(C82)))</f>
        <v>4</v>
      </c>
      <c r="I83" s="42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Slab, Brickwork</v>
      </c>
      <c r="J83" s="43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33.6" customHeight="1" x14ac:dyDescent="0.3">
      <c r="A84" s="73" t="s">
        <v>93</v>
      </c>
      <c r="B84" s="74"/>
      <c r="C84" s="75" t="str">
        <f ca="1">(IF($G$52="NA",I82,"All work Completed. OC Received."))</f>
        <v>Excavation, Plinth, RCC Slab, Brickwork Completed, External Plaster upto 3 Floor Completed</v>
      </c>
      <c r="D84" s="75"/>
      <c r="E84" s="75"/>
      <c r="F84" s="75"/>
      <c r="G84" s="75"/>
      <c r="H84" s="76"/>
      <c r="I84" s="42" t="str">
        <f ca="1">IF(I83&lt;&gt;""," Completed","")</f>
        <v xml:space="preserve"> Completed</v>
      </c>
      <c r="J84" s="43" t="str">
        <f ca="1">IF(J82&lt;&gt;"","Completed","")</f>
        <v>Completed</v>
      </c>
    </row>
    <row r="85" spans="1:10" ht="15.75" customHeight="1" x14ac:dyDescent="0.3">
      <c r="A85" s="77" t="s">
        <v>50</v>
      </c>
      <c r="B85" s="78"/>
      <c r="C85" s="58" t="s">
        <v>145</v>
      </c>
      <c r="D85" s="58" t="s">
        <v>86</v>
      </c>
      <c r="E85" s="78" t="s">
        <v>88</v>
      </c>
      <c r="F85" s="78"/>
      <c r="G85" s="78" t="s">
        <v>87</v>
      </c>
      <c r="H85" s="79"/>
      <c r="I85" s="13" t="s">
        <v>147</v>
      </c>
      <c r="J85" s="27">
        <f ca="1">H83*25%</f>
        <v>1</v>
      </c>
    </row>
    <row r="86" spans="1:10" x14ac:dyDescent="0.3">
      <c r="A86" s="77" t="s">
        <v>134</v>
      </c>
      <c r="B86" s="78"/>
      <c r="C86" s="58">
        <f ca="1">J87</f>
        <v>4</v>
      </c>
      <c r="D86" s="18">
        <f ca="1">((100/H83)*C86)/100</f>
        <v>1</v>
      </c>
      <c r="E86" s="81">
        <f ca="1">(((C87/H83*10)+(40/(D83+F83+H83)*C88)+(7.5/(H83)*C89)+(7.5/(H83)*C90)+(10/H83*C91)+(10/H83*C92)+(5/H83*C93)+(5/H83*C94)+(5/H83*C95))/100)</f>
        <v>0.65</v>
      </c>
      <c r="F86" s="82"/>
      <c r="G86" s="81">
        <f ca="1">((((C86/H83)*20)+((C87/H83)*25)+(30/(H83+F83+D83)*C88)+(5/H83*C89)+(5/H83*C90)+(5/H83*C91)+(5/H83*C92)+(0/H83*C93)+(0/H83*C94)+(5/H83*C95))/100)</f>
        <v>0.83750000000000002</v>
      </c>
      <c r="H86" s="87"/>
      <c r="I86" s="13" t="s">
        <v>104</v>
      </c>
      <c r="J86" s="28">
        <f ca="1">H83*50%</f>
        <v>2</v>
      </c>
    </row>
    <row r="87" spans="1:10" x14ac:dyDescent="0.3">
      <c r="A87" s="77" t="s">
        <v>51</v>
      </c>
      <c r="B87" s="78"/>
      <c r="C87" s="44">
        <v>4</v>
      </c>
      <c r="D87" s="18">
        <f ca="1">((100/H83)*C87)/100</f>
        <v>1</v>
      </c>
      <c r="E87" s="83"/>
      <c r="F87" s="84"/>
      <c r="G87" s="83"/>
      <c r="H87" s="88"/>
      <c r="I87" s="13" t="s">
        <v>105</v>
      </c>
      <c r="J87" s="28">
        <f ca="1">H83</f>
        <v>4</v>
      </c>
    </row>
    <row r="88" spans="1:10" ht="15.75" customHeight="1" x14ac:dyDescent="0.3">
      <c r="A88" s="77" t="s">
        <v>135</v>
      </c>
      <c r="B88" s="78"/>
      <c r="C88" s="58">
        <v>5</v>
      </c>
      <c r="D88" s="18">
        <f ca="1">((100/(D83+F83+H83))*C88)/100</f>
        <v>1</v>
      </c>
      <c r="E88" s="83"/>
      <c r="F88" s="84"/>
      <c r="G88" s="83"/>
      <c r="H88" s="88"/>
      <c r="I88" s="13" t="s">
        <v>106</v>
      </c>
      <c r="J88" s="29">
        <f ca="1">(IF(B83&gt;1,(H83/(B83+2)),H83/4))</f>
        <v>1</v>
      </c>
    </row>
    <row r="89" spans="1:10" ht="15.75" customHeight="1" x14ac:dyDescent="0.3">
      <c r="A89" s="77" t="s">
        <v>142</v>
      </c>
      <c r="B89" s="78" t="s">
        <v>136</v>
      </c>
      <c r="C89" s="58">
        <v>4</v>
      </c>
      <c r="D89" s="18">
        <f ca="1">((100/H83)*C89)/100</f>
        <v>1</v>
      </c>
      <c r="E89" s="83"/>
      <c r="F89" s="84"/>
      <c r="G89" s="83"/>
      <c r="H89" s="88"/>
      <c r="I89" s="13" t="s">
        <v>107</v>
      </c>
      <c r="J89" s="29">
        <f ca="1">(IF(B83&gt;1,(H83/(B83+2)+J88),H83/4+J88))</f>
        <v>2</v>
      </c>
    </row>
    <row r="90" spans="1:10" ht="15.75" customHeight="1" x14ac:dyDescent="0.3">
      <c r="A90" s="77" t="s">
        <v>143</v>
      </c>
      <c r="B90" s="78" t="s">
        <v>136</v>
      </c>
      <c r="C90" s="58">
        <v>0</v>
      </c>
      <c r="D90" s="18">
        <f ca="1">((100/H83)*C90)/100</f>
        <v>0</v>
      </c>
      <c r="E90" s="83"/>
      <c r="F90" s="84"/>
      <c r="G90" s="83"/>
      <c r="H90" s="88"/>
      <c r="I90" s="13" t="s">
        <v>152</v>
      </c>
      <c r="J90" s="29">
        <f>(IF(B83&gt;1,(H83/(B83+2)+J89),0))</f>
        <v>0</v>
      </c>
    </row>
    <row r="91" spans="1:10" ht="15" customHeight="1" x14ac:dyDescent="0.3">
      <c r="A91" s="77" t="s">
        <v>141</v>
      </c>
      <c r="B91" s="78" t="s">
        <v>138</v>
      </c>
      <c r="C91" s="58">
        <v>3</v>
      </c>
      <c r="D91" s="18">
        <f ca="1">((100/(H83))*C91)/100</f>
        <v>0.75</v>
      </c>
      <c r="E91" s="83"/>
      <c r="F91" s="84"/>
      <c r="G91" s="83"/>
      <c r="H91" s="88"/>
      <c r="I91" s="13" t="s">
        <v>149</v>
      </c>
      <c r="J91" s="29">
        <f>(IF(B83&gt;2,(H83/(B83+2)+J90),0))</f>
        <v>0</v>
      </c>
    </row>
    <row r="92" spans="1:10" ht="15.75" customHeight="1" x14ac:dyDescent="0.3">
      <c r="A92" s="77" t="s">
        <v>137</v>
      </c>
      <c r="B92" s="78" t="s">
        <v>137</v>
      </c>
      <c r="C92" s="58">
        <v>0</v>
      </c>
      <c r="D92" s="18">
        <f ca="1">((100/H83)*C92)/100</f>
        <v>0</v>
      </c>
      <c r="E92" s="83"/>
      <c r="F92" s="84"/>
      <c r="G92" s="83"/>
      <c r="H92" s="88"/>
      <c r="I92" s="13" t="s">
        <v>150</v>
      </c>
      <c r="J92" s="30">
        <f>(IF(B83&gt;3,(H83/(B83+2)+J91),0))</f>
        <v>0</v>
      </c>
    </row>
    <row r="93" spans="1:10" ht="15.75" customHeight="1" x14ac:dyDescent="0.3">
      <c r="A93" s="77" t="s">
        <v>144</v>
      </c>
      <c r="B93" s="78"/>
      <c r="C93" s="58">
        <v>0</v>
      </c>
      <c r="D93" s="18">
        <f ca="1">((100/H83)*C93)/100</f>
        <v>0</v>
      </c>
      <c r="E93" s="83"/>
      <c r="F93" s="84"/>
      <c r="G93" s="83"/>
      <c r="H93" s="88"/>
      <c r="I93" s="13" t="s">
        <v>151</v>
      </c>
      <c r="J93" s="29">
        <f>(IF(B83&gt;4,(H83/(B83+2)+J92),0))</f>
        <v>0</v>
      </c>
    </row>
    <row r="94" spans="1:10" ht="15.75" customHeight="1" x14ac:dyDescent="0.3">
      <c r="A94" s="77" t="s">
        <v>139</v>
      </c>
      <c r="B94" s="78" t="s">
        <v>139</v>
      </c>
      <c r="C94" s="58">
        <v>0</v>
      </c>
      <c r="D94" s="18">
        <f ca="1">((100/(H83))*C94)/100</f>
        <v>0</v>
      </c>
      <c r="E94" s="83"/>
      <c r="F94" s="84"/>
      <c r="G94" s="83"/>
      <c r="H94" s="88"/>
      <c r="I94" s="13" t="s">
        <v>153</v>
      </c>
      <c r="J94" s="29">
        <f ca="1">(IF(B83=1,(H83/(B83+3)+J89),IF(B83=0,(H83/4+J89),IF(B83&gt;1,0))))</f>
        <v>3</v>
      </c>
    </row>
    <row r="95" spans="1:10" ht="16.2" thickBot="1" x14ac:dyDescent="0.35">
      <c r="A95" s="90" t="s">
        <v>140</v>
      </c>
      <c r="B95" s="91"/>
      <c r="C95" s="59">
        <v>0</v>
      </c>
      <c r="D95" s="19">
        <f ca="1">((100/(H83))*C95)/100</f>
        <v>0</v>
      </c>
      <c r="E95" s="85"/>
      <c r="F95" s="86"/>
      <c r="G95" s="85"/>
      <c r="H95" s="89"/>
      <c r="I95" s="14" t="s">
        <v>108</v>
      </c>
      <c r="J95" s="31">
        <f ca="1">(IF(B83&gt;1.5,(H83/(B83+2)+J89+MAX(0,J90-J89)+MAX(0,J91-J90)+MAX(0,J92-J91)+MAX(0,J93-J92)+MAX(0,J94-J93)),IF(B83=1,(H83/(B83+3)+J94),IF(B83=0,H83/4+J94))))</f>
        <v>4</v>
      </c>
    </row>
    <row r="96" spans="1:10" ht="15.75" hidden="1" customHeight="1" x14ac:dyDescent="0.3">
      <c r="A96" s="68" t="s">
        <v>146</v>
      </c>
      <c r="B96" s="69"/>
      <c r="C96" s="70" t="s">
        <v>228</v>
      </c>
      <c r="D96" s="71"/>
      <c r="E96" s="71"/>
      <c r="F96" s="71"/>
      <c r="G96" s="71"/>
      <c r="H96" s="72"/>
      <c r="I96" s="53" t="str">
        <f ca="1">IF(D109=100%,"All work Completed. Possession granted to the Building.",IF(D108=100%,"All work Completed, Waiting for OC",I97&amp;""&amp;I98&amp;""&amp;J97&amp;""&amp;J96&amp;" "&amp;J98))</f>
        <v>Excavation, Plinth Completed, RCC upto 3 Slab Completed</v>
      </c>
      <c r="J96" s="41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>, RCC upto 3 Slab</v>
      </c>
    </row>
    <row r="97" spans="1:10" hidden="1" x14ac:dyDescent="0.3">
      <c r="A97" s="15" t="s">
        <v>148</v>
      </c>
      <c r="B97" s="62">
        <v>0</v>
      </c>
      <c r="C97" s="62" t="s">
        <v>74</v>
      </c>
      <c r="D97" s="62">
        <v>1</v>
      </c>
      <c r="E97" s="62" t="s">
        <v>73</v>
      </c>
      <c r="F97" s="62">
        <v>0</v>
      </c>
      <c r="G97" s="63" t="s">
        <v>83</v>
      </c>
      <c r="H97" s="16">
        <f ca="1">--TRIM(RIGHT(SUBSTITUTE(LEFT(C96,_xlfn.AGGREGATE(16,6,FIND({0,1,2,3,4,5,6,7,8,9},C96,ROW(INDIRECT("1:"&amp;LEN(C96)))),1))," ",REPT(" ",LEN(C96))),LEN(C96)))</f>
        <v>4</v>
      </c>
      <c r="I97" s="42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</v>
      </c>
      <c r="J97" s="43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hidden="1" x14ac:dyDescent="0.3">
      <c r="A98" s="73" t="s">
        <v>93</v>
      </c>
      <c r="B98" s="74"/>
      <c r="C98" s="75" t="str">
        <f ca="1">(IF($G$52="NA",I96,"All work Completed. OC Received."))</f>
        <v>Excavation, Plinth Completed, RCC upto 3 Slab Completed</v>
      </c>
      <c r="D98" s="75"/>
      <c r="E98" s="75"/>
      <c r="F98" s="75"/>
      <c r="G98" s="75"/>
      <c r="H98" s="76"/>
      <c r="I98" s="42" t="str">
        <f ca="1">IF(I97&lt;&gt;""," Completed","")</f>
        <v xml:space="preserve"> Completed</v>
      </c>
      <c r="J98" s="43" t="str">
        <f ca="1">IF(J96&lt;&gt;"","Completed","")</f>
        <v>Completed</v>
      </c>
    </row>
    <row r="99" spans="1:10" ht="15.75" hidden="1" customHeight="1" x14ac:dyDescent="0.3">
      <c r="A99" s="77" t="s">
        <v>50</v>
      </c>
      <c r="B99" s="78"/>
      <c r="C99" s="58" t="s">
        <v>145</v>
      </c>
      <c r="D99" s="58" t="s">
        <v>86</v>
      </c>
      <c r="E99" s="78" t="s">
        <v>88</v>
      </c>
      <c r="F99" s="78"/>
      <c r="G99" s="78" t="s">
        <v>87</v>
      </c>
      <c r="H99" s="79"/>
      <c r="I99" s="13" t="s">
        <v>147</v>
      </c>
      <c r="J99" s="27">
        <f ca="1">H97*25%</f>
        <v>1</v>
      </c>
    </row>
    <row r="100" spans="1:10" hidden="1" x14ac:dyDescent="0.3">
      <c r="A100" s="77" t="s">
        <v>134</v>
      </c>
      <c r="B100" s="78"/>
      <c r="C100" s="58">
        <f ca="1">J101</f>
        <v>4</v>
      </c>
      <c r="D100" s="18">
        <f ca="1">((100/H97)*C100)/100</f>
        <v>1</v>
      </c>
      <c r="E100" s="81">
        <f ca="1">(((C101/H97*10)+(40/(D97+F97+H97)*C102)+(7.5/(H97)*C103)+(7.5/(H97)*C104)+(10/H97*C105)+(10/H97*C106)+(5/H97*C107)+(5/H97*C108)+(5/H97*C109))/100)</f>
        <v>0.34</v>
      </c>
      <c r="F100" s="82"/>
      <c r="G100" s="81">
        <f ca="1">((((C100/H97)*20)+((C101/H97)*25)+(30/(H97+F97+D97)*C102)+(5/H97*C103)+(5/H97*C104)+(5/H97*C105)+(5/H97*C106)+(0/H97*C107)+(0/H97*C108)+(5/H97*C109))/100)</f>
        <v>0.63</v>
      </c>
      <c r="H100" s="87"/>
      <c r="I100" s="13" t="s">
        <v>104</v>
      </c>
      <c r="J100" s="28">
        <f ca="1">H97*50%</f>
        <v>2</v>
      </c>
    </row>
    <row r="101" spans="1:10" hidden="1" x14ac:dyDescent="0.3">
      <c r="A101" s="77" t="s">
        <v>51</v>
      </c>
      <c r="B101" s="78"/>
      <c r="C101" s="44">
        <v>4</v>
      </c>
      <c r="D101" s="18">
        <f ca="1">((100/H97)*C101)/100</f>
        <v>1</v>
      </c>
      <c r="E101" s="83"/>
      <c r="F101" s="84"/>
      <c r="G101" s="83"/>
      <c r="H101" s="88"/>
      <c r="I101" s="13" t="s">
        <v>105</v>
      </c>
      <c r="J101" s="28">
        <f ca="1">H97</f>
        <v>4</v>
      </c>
    </row>
    <row r="102" spans="1:10" ht="15.75" hidden="1" customHeight="1" x14ac:dyDescent="0.3">
      <c r="A102" s="77" t="s">
        <v>135</v>
      </c>
      <c r="B102" s="78"/>
      <c r="C102" s="58">
        <v>3</v>
      </c>
      <c r="D102" s="18">
        <f ca="1">((100/(D97+F97+H97))*C102)/100</f>
        <v>0.6</v>
      </c>
      <c r="E102" s="83"/>
      <c r="F102" s="84"/>
      <c r="G102" s="83"/>
      <c r="H102" s="88"/>
      <c r="I102" s="13" t="s">
        <v>106</v>
      </c>
      <c r="J102" s="29">
        <f ca="1">(IF(B97&gt;1,(H97/(B97+2)),H97/4))</f>
        <v>1</v>
      </c>
    </row>
    <row r="103" spans="1:10" ht="15.75" hidden="1" customHeight="1" x14ac:dyDescent="0.3">
      <c r="A103" s="77" t="s">
        <v>142</v>
      </c>
      <c r="B103" s="78" t="s">
        <v>136</v>
      </c>
      <c r="C103" s="58">
        <v>0</v>
      </c>
      <c r="D103" s="18">
        <f ca="1">((100/H97)*C103)/100</f>
        <v>0</v>
      </c>
      <c r="E103" s="83"/>
      <c r="F103" s="84"/>
      <c r="G103" s="83"/>
      <c r="H103" s="88"/>
      <c r="I103" s="13" t="s">
        <v>107</v>
      </c>
      <c r="J103" s="29">
        <f ca="1">(IF(B97&gt;1,(H97/(B97+2)+J102),H97/4+J102))</f>
        <v>2</v>
      </c>
    </row>
    <row r="104" spans="1:10" ht="15.75" hidden="1" customHeight="1" x14ac:dyDescent="0.3">
      <c r="A104" s="77" t="s">
        <v>143</v>
      </c>
      <c r="B104" s="78" t="s">
        <v>136</v>
      </c>
      <c r="C104" s="58">
        <v>0</v>
      </c>
      <c r="D104" s="18">
        <f ca="1">((100/H97)*C104)/100</f>
        <v>0</v>
      </c>
      <c r="E104" s="83"/>
      <c r="F104" s="84"/>
      <c r="G104" s="83"/>
      <c r="H104" s="88"/>
      <c r="I104" s="13" t="s">
        <v>152</v>
      </c>
      <c r="J104" s="29">
        <f>(IF(B97&gt;1,(H97/(B97+2)+J103),0))</f>
        <v>0</v>
      </c>
    </row>
    <row r="105" spans="1:10" ht="15" hidden="1" customHeight="1" x14ac:dyDescent="0.3">
      <c r="A105" s="77" t="s">
        <v>141</v>
      </c>
      <c r="B105" s="78" t="s">
        <v>138</v>
      </c>
      <c r="C105" s="58">
        <v>0</v>
      </c>
      <c r="D105" s="18">
        <f ca="1">((100/(H97))*C105)/100</f>
        <v>0</v>
      </c>
      <c r="E105" s="83"/>
      <c r="F105" s="84"/>
      <c r="G105" s="83"/>
      <c r="H105" s="88"/>
      <c r="I105" s="13" t="s">
        <v>149</v>
      </c>
      <c r="J105" s="29">
        <f>(IF(B97&gt;2,(H97/(B97+2)+J104),0))</f>
        <v>0</v>
      </c>
    </row>
    <row r="106" spans="1:10" ht="15.75" hidden="1" customHeight="1" x14ac:dyDescent="0.3">
      <c r="A106" s="77" t="s">
        <v>137</v>
      </c>
      <c r="B106" s="78" t="s">
        <v>137</v>
      </c>
      <c r="C106" s="58">
        <v>0</v>
      </c>
      <c r="D106" s="18">
        <f ca="1">((100/H97)*C106)/100</f>
        <v>0</v>
      </c>
      <c r="E106" s="83"/>
      <c r="F106" s="84"/>
      <c r="G106" s="83"/>
      <c r="H106" s="88"/>
      <c r="I106" s="13" t="s">
        <v>150</v>
      </c>
      <c r="J106" s="30">
        <f>(IF(B97&gt;3,(H97/(B97+2)+J105),0))</f>
        <v>0</v>
      </c>
    </row>
    <row r="107" spans="1:10" ht="15.75" hidden="1" customHeight="1" x14ac:dyDescent="0.3">
      <c r="A107" s="77" t="s">
        <v>144</v>
      </c>
      <c r="B107" s="78"/>
      <c r="C107" s="58">
        <v>0</v>
      </c>
      <c r="D107" s="18">
        <f ca="1">((100/H97)*C107)/100</f>
        <v>0</v>
      </c>
      <c r="E107" s="83"/>
      <c r="F107" s="84"/>
      <c r="G107" s="83"/>
      <c r="H107" s="88"/>
      <c r="I107" s="13" t="s">
        <v>151</v>
      </c>
      <c r="J107" s="29">
        <f>(IF(B97&gt;4,(H97/(B97+2)+J106),0))</f>
        <v>0</v>
      </c>
    </row>
    <row r="108" spans="1:10" ht="15.75" hidden="1" customHeight="1" x14ac:dyDescent="0.3">
      <c r="A108" s="77" t="s">
        <v>139</v>
      </c>
      <c r="B108" s="78" t="s">
        <v>139</v>
      </c>
      <c r="C108" s="58">
        <v>0</v>
      </c>
      <c r="D108" s="18">
        <f ca="1">((100/(H97))*C108)/100</f>
        <v>0</v>
      </c>
      <c r="E108" s="83"/>
      <c r="F108" s="84"/>
      <c r="G108" s="83"/>
      <c r="H108" s="88"/>
      <c r="I108" s="13" t="s">
        <v>153</v>
      </c>
      <c r="J108" s="29">
        <f ca="1">(IF(B97=1,(H97/(B97+3)+J103),IF(B97=0,(H97/4+J103),IF(B97&gt;1,0))))</f>
        <v>3</v>
      </c>
    </row>
    <row r="109" spans="1:10" ht="16.2" hidden="1" thickBot="1" x14ac:dyDescent="0.35">
      <c r="A109" s="90" t="s">
        <v>140</v>
      </c>
      <c r="B109" s="91"/>
      <c r="C109" s="59">
        <v>0</v>
      </c>
      <c r="D109" s="19">
        <f ca="1">((100/(H97))*C109)/100</f>
        <v>0</v>
      </c>
      <c r="E109" s="85"/>
      <c r="F109" s="86"/>
      <c r="G109" s="85"/>
      <c r="H109" s="89"/>
      <c r="I109" s="14" t="s">
        <v>108</v>
      </c>
      <c r="J109" s="31">
        <f ca="1">(IF(B97&gt;1.5,(H97/(B97+2)+J103+MAX(0,J104-J103)+MAX(0,J105-J104)+MAX(0,J106-J105)+MAX(0,J107-J106)+MAX(0,J108-J107)),IF(B97=1,(H97/(B97+3)+J108),IF(B97=0,H97/4+J108))))</f>
        <v>4</v>
      </c>
    </row>
    <row r="110" spans="1:10" x14ac:dyDescent="0.3">
      <c r="A110" s="68" t="s">
        <v>146</v>
      </c>
      <c r="B110" s="69"/>
      <c r="C110" s="70" t="s">
        <v>231</v>
      </c>
      <c r="D110" s="71"/>
      <c r="E110" s="71"/>
      <c r="F110" s="71"/>
      <c r="G110" s="71"/>
      <c r="H110" s="72"/>
      <c r="I110" s="53" t="str">
        <f ca="1">IF(D123=100%,"All work Completed. Possession granted to the Building.",IF(D122=100%,"All work Completed, Waiting for OC",I111&amp;""&amp;I112&amp;""&amp;J111&amp;""&amp;J110&amp;" "&amp;J112))</f>
        <v>Excavation, Plinth, RCC Slab, Brickwork, Internal Plaster Completed, External Plaster upto 3 Floor Completed</v>
      </c>
      <c r="J110" s="41" t="str">
        <f ca="1">(IF(C116=(D111+F111+H111),"",IF(C116&gt;0,", RCC upto "&amp;C116&amp;" Slab","")))&amp;(IF(C117=H111,"",IF(C117&gt;0,", Brickwork upto "&amp;C117&amp;" Floor","")))&amp;(IF(C118=H111,"",IF(C118&gt;0,", Internal Plaster upto "&amp;C118&amp;" Floor","")))&amp;(IF(C119=H111,"",IF(C119&gt;0,", External Plaster upto "&amp;C119&amp;" Floor","")))&amp;(IF(C120=H111,"",IF(C120&gt;0,", Flooring upto "&amp;C120&amp;" Floor","")))&amp;(IF(C121=H111,"",IF(C121&gt;0,", Painting upto "&amp;C121&amp;" Floor","")))&amp;(IF(C122=H111,"",IF(C122&gt;0,", Finishing upto "&amp;C122&amp;" Floor","")))&amp;(IF(C123=H111,"",IF(C123&gt;0,", Possession upto "&amp;C123&amp;" Floor","")))</f>
        <v>, External Plaster upto 3 Floor</v>
      </c>
    </row>
    <row r="111" spans="1:10" x14ac:dyDescent="0.3">
      <c r="A111" s="15" t="s">
        <v>148</v>
      </c>
      <c r="B111" s="62">
        <v>0</v>
      </c>
      <c r="C111" s="62" t="s">
        <v>74</v>
      </c>
      <c r="D111" s="62">
        <v>1</v>
      </c>
      <c r="E111" s="62" t="s">
        <v>73</v>
      </c>
      <c r="F111" s="62">
        <v>0</v>
      </c>
      <c r="G111" s="63" t="s">
        <v>83</v>
      </c>
      <c r="H111" s="16">
        <f ca="1">--TRIM(RIGHT(SUBSTITUTE(LEFT(C110,_xlfn.AGGREGATE(16,6,FIND({0,1,2,3,4,5,6,7,8,9},C110,ROW(INDIRECT("1:"&amp;LEN(C110)))),1))," ",REPT(" ",LEN(C110))),LEN(C110)))</f>
        <v>4</v>
      </c>
      <c r="I111" s="42" t="str">
        <f ca="1">IF(D114=100%,"Excavation","")&amp;IF(D115=100%,", Plinth","")&amp;IF(D116=100%,", RCC Slab","")&amp;IF(D117=100%,", Brickwork","")&amp;IF(D118=100%,", Internal Plaster","")&amp;IF(D119=100%,", External Plaster","")&amp;IF(D120=100%,", Flooring","")&amp;IF(D121=100%,", Painting","")&amp;IF(D122=100%,", Building common Amenities","")</f>
        <v>Excavation, Plinth, RCC Slab, Brickwork, Internal Plaster</v>
      </c>
      <c r="J111" s="43" t="str">
        <f ca="1">(IF(C114=0,"Work not yet Started.",IF(D114=25%,"Piling work in process",IF(D114=50%,"Excavation work in process",IF(D114=100%,"","0")))))&amp;(IF(C115=0%,"",IF(C115=J116,", Footing work is process",IF(C115=J117,", Footing work Completed",IF(C115=J118,", 1st Basement Completed",IF(C115=J119,", 1st &amp; 2nd Basement Completed",IF(C115=J120,", 1st to 3rd Basement Completed",IF(C115=J121,", 1st to 4th Basement Completed",IF(C115=J122,", Plinth work is process",IF(C115=J123,"","0"))))))))))</f>
        <v/>
      </c>
    </row>
    <row r="112" spans="1:10" ht="33" customHeight="1" x14ac:dyDescent="0.3">
      <c r="A112" s="73" t="s">
        <v>93</v>
      </c>
      <c r="B112" s="74"/>
      <c r="C112" s="75" t="str">
        <f ca="1">(IF($G$52="NA",I110,"All work Completed. OC Received."))</f>
        <v>Excavation, Plinth, RCC Slab, Brickwork, Internal Plaster Completed, External Plaster upto 3 Floor Completed</v>
      </c>
      <c r="D112" s="75"/>
      <c r="E112" s="75"/>
      <c r="F112" s="75"/>
      <c r="G112" s="75"/>
      <c r="H112" s="76"/>
      <c r="I112" s="42" t="str">
        <f ca="1">IF(I111&lt;&gt;""," Completed","")</f>
        <v xml:space="preserve"> Completed</v>
      </c>
      <c r="J112" s="43" t="str">
        <f ca="1">IF(J110&lt;&gt;"","Completed","")</f>
        <v>Completed</v>
      </c>
    </row>
    <row r="113" spans="1:10" ht="15.75" customHeight="1" x14ac:dyDescent="0.3">
      <c r="A113" s="77" t="s">
        <v>50</v>
      </c>
      <c r="B113" s="78"/>
      <c r="C113" s="58" t="s">
        <v>145</v>
      </c>
      <c r="D113" s="58" t="s">
        <v>86</v>
      </c>
      <c r="E113" s="78" t="s">
        <v>88</v>
      </c>
      <c r="F113" s="78"/>
      <c r="G113" s="78" t="s">
        <v>87</v>
      </c>
      <c r="H113" s="79"/>
      <c r="I113" s="13" t="s">
        <v>147</v>
      </c>
      <c r="J113" s="27">
        <f ca="1">H111*25%</f>
        <v>1</v>
      </c>
    </row>
    <row r="114" spans="1:10" x14ac:dyDescent="0.3">
      <c r="A114" s="78" t="s">
        <v>134</v>
      </c>
      <c r="B114" s="78"/>
      <c r="C114" s="58">
        <f ca="1">J115</f>
        <v>4</v>
      </c>
      <c r="D114" s="18">
        <f ca="1">((100/H111)*C114)/100</f>
        <v>1</v>
      </c>
      <c r="E114" s="80">
        <f ca="1">(((C115/H111*10)+(40/(D111+F111+H111)*C116)+(7.5/(H111)*C117)+(7.5/(H111)*C118)+(10/H111*C119)+(10/H111*C120)+(5/H111*C121)+(5/H111*C122)+(5/H111*C123))/100)</f>
        <v>0.72499999999999998</v>
      </c>
      <c r="F114" s="80"/>
      <c r="G114" s="80">
        <f ca="1">((((C114/H111)*20)+((C115/H111)*25)+(30/(H111+F111+D111)*C116)+(5/H111*C117)+(5/H111*C118)+(5/H111*C119)+(5/H111*C120)+(0/H111*C121)+(0/H111*C122)+(5/H111*C123))/100)</f>
        <v>0.88749999999999996</v>
      </c>
      <c r="H114" s="80"/>
      <c r="I114" s="13" t="s">
        <v>104</v>
      </c>
      <c r="J114" s="28">
        <f ca="1">H111*50%</f>
        <v>2</v>
      </c>
    </row>
    <row r="115" spans="1:10" x14ac:dyDescent="0.3">
      <c r="A115" s="78" t="s">
        <v>51</v>
      </c>
      <c r="B115" s="78"/>
      <c r="C115" s="44">
        <f ca="1">J123</f>
        <v>4</v>
      </c>
      <c r="D115" s="18">
        <f ca="1">((100/H111)*C115)/100</f>
        <v>1</v>
      </c>
      <c r="E115" s="80"/>
      <c r="F115" s="80"/>
      <c r="G115" s="80"/>
      <c r="H115" s="80"/>
      <c r="I115" s="13" t="s">
        <v>105</v>
      </c>
      <c r="J115" s="28">
        <f ca="1">H111</f>
        <v>4</v>
      </c>
    </row>
    <row r="116" spans="1:10" ht="15.75" customHeight="1" x14ac:dyDescent="0.3">
      <c r="A116" s="78" t="s">
        <v>135</v>
      </c>
      <c r="B116" s="78"/>
      <c r="C116" s="58">
        <v>5</v>
      </c>
      <c r="D116" s="18">
        <f ca="1">((100/(D111+F111+H111))*C116)/100</f>
        <v>1</v>
      </c>
      <c r="E116" s="80"/>
      <c r="F116" s="80"/>
      <c r="G116" s="80"/>
      <c r="H116" s="80"/>
      <c r="I116" s="13" t="s">
        <v>106</v>
      </c>
      <c r="J116" s="29">
        <f ca="1">(IF(B111&gt;1,(H111/(B111+2)),H111/4))</f>
        <v>1</v>
      </c>
    </row>
    <row r="117" spans="1:10" ht="15.75" customHeight="1" x14ac:dyDescent="0.3">
      <c r="A117" s="78" t="s">
        <v>142</v>
      </c>
      <c r="B117" s="78" t="s">
        <v>136</v>
      </c>
      <c r="C117" s="58">
        <v>4</v>
      </c>
      <c r="D117" s="18">
        <f ca="1">((100/H111)*C117)/100</f>
        <v>1</v>
      </c>
      <c r="E117" s="80"/>
      <c r="F117" s="80"/>
      <c r="G117" s="80"/>
      <c r="H117" s="80"/>
      <c r="I117" s="13" t="s">
        <v>107</v>
      </c>
      <c r="J117" s="29">
        <f ca="1">(IF(B111&gt;1,(H111/(B111+2)+J116),H111/4+J116))</f>
        <v>2</v>
      </c>
    </row>
    <row r="118" spans="1:10" ht="15.75" customHeight="1" x14ac:dyDescent="0.3">
      <c r="A118" s="78" t="s">
        <v>143</v>
      </c>
      <c r="B118" s="78" t="s">
        <v>136</v>
      </c>
      <c r="C118" s="58">
        <v>4</v>
      </c>
      <c r="D118" s="18">
        <f ca="1">((100/H111)*C118)/100</f>
        <v>1</v>
      </c>
      <c r="E118" s="80"/>
      <c r="F118" s="80"/>
      <c r="G118" s="80"/>
      <c r="H118" s="80"/>
      <c r="I118" s="13" t="s">
        <v>152</v>
      </c>
      <c r="J118" s="29">
        <f>(IF(B111&gt;1,(H111/(B111+2)+J117),0))</f>
        <v>0</v>
      </c>
    </row>
    <row r="119" spans="1:10" ht="15" customHeight="1" x14ac:dyDescent="0.3">
      <c r="A119" s="78" t="s">
        <v>141</v>
      </c>
      <c r="B119" s="78" t="s">
        <v>138</v>
      </c>
      <c r="C119" s="58">
        <v>3</v>
      </c>
      <c r="D119" s="18">
        <f ca="1">((100/(H111))*C119)/100</f>
        <v>0.75</v>
      </c>
      <c r="E119" s="80"/>
      <c r="F119" s="80"/>
      <c r="G119" s="80"/>
      <c r="H119" s="80"/>
      <c r="I119" s="13" t="s">
        <v>149</v>
      </c>
      <c r="J119" s="29">
        <f>(IF(B111&gt;2,(H111/(B111+2)+J118),0))</f>
        <v>0</v>
      </c>
    </row>
    <row r="120" spans="1:10" ht="15.75" customHeight="1" x14ac:dyDescent="0.3">
      <c r="A120" s="78" t="s">
        <v>137</v>
      </c>
      <c r="B120" s="78" t="s">
        <v>137</v>
      </c>
      <c r="C120" s="58">
        <v>0</v>
      </c>
      <c r="D120" s="18">
        <f ca="1">((100/H111)*C120)/100</f>
        <v>0</v>
      </c>
      <c r="E120" s="80"/>
      <c r="F120" s="80"/>
      <c r="G120" s="80"/>
      <c r="H120" s="80"/>
      <c r="I120" s="13" t="s">
        <v>150</v>
      </c>
      <c r="J120" s="30">
        <f>(IF(B111&gt;3,(H111/(B111+2)+J119),0))</f>
        <v>0</v>
      </c>
    </row>
    <row r="121" spans="1:10" ht="15.75" customHeight="1" x14ac:dyDescent="0.3">
      <c r="A121" s="78" t="s">
        <v>144</v>
      </c>
      <c r="B121" s="78"/>
      <c r="C121" s="58">
        <v>0</v>
      </c>
      <c r="D121" s="18">
        <f ca="1">((100/H111)*C121)/100</f>
        <v>0</v>
      </c>
      <c r="E121" s="80"/>
      <c r="F121" s="80"/>
      <c r="G121" s="80"/>
      <c r="H121" s="80"/>
      <c r="I121" s="13" t="s">
        <v>151</v>
      </c>
      <c r="J121" s="29">
        <f>(IF(B111&gt;4,(H111/(B111+2)+J120),0))</f>
        <v>0</v>
      </c>
    </row>
    <row r="122" spans="1:10" ht="15.75" customHeight="1" x14ac:dyDescent="0.3">
      <c r="A122" s="78" t="s">
        <v>139</v>
      </c>
      <c r="B122" s="78" t="s">
        <v>139</v>
      </c>
      <c r="C122" s="58">
        <v>0</v>
      </c>
      <c r="D122" s="18">
        <f ca="1">((100/(H111))*C122)/100</f>
        <v>0</v>
      </c>
      <c r="E122" s="80"/>
      <c r="F122" s="80"/>
      <c r="G122" s="80"/>
      <c r="H122" s="80"/>
      <c r="I122" s="13" t="s">
        <v>153</v>
      </c>
      <c r="J122" s="29">
        <f ca="1">(IF(B111=1,(H111/(B111+3)+J117),IF(B111=0,(H111/4+J117),IF(B111&gt;1,0))))</f>
        <v>3</v>
      </c>
    </row>
    <row r="123" spans="1:10" ht="16.2" thickBot="1" x14ac:dyDescent="0.35">
      <c r="A123" s="78" t="s">
        <v>140</v>
      </c>
      <c r="B123" s="78"/>
      <c r="C123" s="58">
        <v>0</v>
      </c>
      <c r="D123" s="18">
        <f ca="1">((100/(H111))*C123)/100</f>
        <v>0</v>
      </c>
      <c r="E123" s="80"/>
      <c r="F123" s="80"/>
      <c r="G123" s="80"/>
      <c r="H123" s="80"/>
      <c r="I123" s="14" t="s">
        <v>108</v>
      </c>
      <c r="J123" s="31">
        <f ca="1">(IF(B111&gt;1.5,(H111/(B111+2)+J117+MAX(0,J118-J117)+MAX(0,J119-J118)+MAX(0,J120-J119)+MAX(0,J121-J120)+MAX(0,J122-J121)),IF(B111=1,(H111/(B111+3)+J122),IF(B111=0,H111/4+J122))))</f>
        <v>4</v>
      </c>
    </row>
    <row r="124" spans="1:10" x14ac:dyDescent="0.3">
      <c r="A124" s="68" t="s">
        <v>146</v>
      </c>
      <c r="B124" s="69"/>
      <c r="C124" s="70" t="s">
        <v>232</v>
      </c>
      <c r="D124" s="71"/>
      <c r="E124" s="71"/>
      <c r="F124" s="71"/>
      <c r="G124" s="71"/>
      <c r="H124" s="72"/>
      <c r="I124" s="53" t="str">
        <f ca="1">IF(D137=100%,"All work Completed. Possession granted to the Building.",IF(D136=100%,"All work Completed, Waiting for OC",I125&amp;""&amp;I126&amp;""&amp;J125&amp;""&amp;J124&amp;" "&amp;J126))</f>
        <v>Excavation, Plinth, RCC Slab, Brickwork, Internal Plaster Completed, External Plaster upto 3 Floor Completed</v>
      </c>
      <c r="J124" s="41" t="str">
        <f ca="1">(IF(C130=(D125+F125+H125),"",IF(C130&gt;0,", RCC upto "&amp;C130&amp;" Slab","")))&amp;(IF(C131=H125,"",IF(C131&gt;0,", Brickwork upto "&amp;C131&amp;" Floor","")))&amp;(IF(C132=H125,"",IF(C132&gt;0,", Internal Plaster upto "&amp;C132&amp;" Floor","")))&amp;(IF(C133=H125,"",IF(C133&gt;0,", External Plaster upto "&amp;C133&amp;" Floor","")))&amp;(IF(C134=H125,"",IF(C134&gt;0,", Flooring upto "&amp;C134&amp;" Floor","")))&amp;(IF(C135=H125,"",IF(C135&gt;0,", Painting upto "&amp;C135&amp;" Floor","")))&amp;(IF(C136=H125,"",IF(C136&gt;0,", Finishing upto "&amp;C136&amp;" Floor","")))&amp;(IF(C137=H125,"",IF(C137&gt;0,", Possession upto "&amp;C137&amp;" Floor","")))</f>
        <v>, External Plaster upto 3 Floor</v>
      </c>
    </row>
    <row r="125" spans="1:10" x14ac:dyDescent="0.3">
      <c r="A125" s="15" t="s">
        <v>148</v>
      </c>
      <c r="B125" s="62">
        <v>0</v>
      </c>
      <c r="C125" s="62" t="s">
        <v>74</v>
      </c>
      <c r="D125" s="62">
        <v>1</v>
      </c>
      <c r="E125" s="62" t="s">
        <v>73</v>
      </c>
      <c r="F125" s="62">
        <v>0</v>
      </c>
      <c r="G125" s="63" t="s">
        <v>83</v>
      </c>
      <c r="H125" s="16">
        <f ca="1">--TRIM(RIGHT(SUBSTITUTE(LEFT(C124,_xlfn.AGGREGATE(16,6,FIND({0,1,2,3,4,5,6,7,8,9},C124,ROW(INDIRECT("1:"&amp;LEN(C124)))),1))," ",REPT(" ",LEN(C124))),LEN(C124)))</f>
        <v>4</v>
      </c>
      <c r="I125" s="42" t="str">
        <f ca="1">IF(D128=100%,"Excavation","")&amp;IF(D129=100%,", Plinth","")&amp;IF(D130=100%,", RCC Slab","")&amp;IF(D131=100%,", Brickwork","")&amp;IF(D132=100%,", Internal Plaster","")&amp;IF(D133=100%,", External Plaster","")&amp;IF(D134=100%,", Flooring","")&amp;IF(D135=100%,", Painting","")&amp;IF(D136=100%,", Building common Amenities","")</f>
        <v>Excavation, Plinth, RCC Slab, Brickwork, Internal Plaster</v>
      </c>
      <c r="J125" s="43" t="str">
        <f ca="1">(IF(C128=0,"Work not yet Started.",IF(D128=25%,"Piling work in process",IF(D128=50%,"Excavation work in process",IF(D128=100%,"","0")))))&amp;(IF(C129=0%,"",IF(C129=J130,", Footing work is process",IF(C129=J131,", Footing work Completed",IF(C129=J132,", 1st Basement Completed",IF(C129=J133,", 1st &amp; 2nd Basement Completed",IF(C129=J134,", 1st to 3rd Basement Completed",IF(C129=J135,", 1st to 4th Basement Completed",IF(C129=J136,", Plinth work is process",IF(C129=J137,"","0"))))))))))</f>
        <v/>
      </c>
    </row>
    <row r="126" spans="1:10" ht="33" customHeight="1" x14ac:dyDescent="0.3">
      <c r="A126" s="73" t="s">
        <v>93</v>
      </c>
      <c r="B126" s="74"/>
      <c r="C126" s="75" t="str">
        <f ca="1">(IF($G$52="NA",I124,"All work Completed. OC Received."))</f>
        <v>Excavation, Plinth, RCC Slab, Brickwork, Internal Plaster Completed, External Plaster upto 3 Floor Completed</v>
      </c>
      <c r="D126" s="75"/>
      <c r="E126" s="75"/>
      <c r="F126" s="75"/>
      <c r="G126" s="75"/>
      <c r="H126" s="76"/>
      <c r="I126" s="42" t="str">
        <f ca="1">IF(I125&lt;&gt;""," Completed","")</f>
        <v xml:space="preserve"> Completed</v>
      </c>
      <c r="J126" s="43" t="str">
        <f ca="1">IF(J124&lt;&gt;"","Completed","")</f>
        <v>Completed</v>
      </c>
    </row>
    <row r="127" spans="1:10" ht="15.75" customHeight="1" x14ac:dyDescent="0.3">
      <c r="A127" s="77" t="s">
        <v>50</v>
      </c>
      <c r="B127" s="78"/>
      <c r="C127" s="58" t="s">
        <v>145</v>
      </c>
      <c r="D127" s="58" t="s">
        <v>86</v>
      </c>
      <c r="E127" s="78" t="s">
        <v>88</v>
      </c>
      <c r="F127" s="78"/>
      <c r="G127" s="78" t="s">
        <v>87</v>
      </c>
      <c r="H127" s="79"/>
      <c r="I127" s="13" t="s">
        <v>147</v>
      </c>
      <c r="J127" s="27">
        <f ca="1">H125*25%</f>
        <v>1</v>
      </c>
    </row>
    <row r="128" spans="1:10" x14ac:dyDescent="0.3">
      <c r="A128" s="78" t="s">
        <v>134</v>
      </c>
      <c r="B128" s="78"/>
      <c r="C128" s="58">
        <f ca="1">J129</f>
        <v>4</v>
      </c>
      <c r="D128" s="18">
        <f ca="1">((100/H125)*C128)/100</f>
        <v>1</v>
      </c>
      <c r="E128" s="80">
        <f ca="1">(((C129/H125*10)+(40/(D125+F125+H125)*C130)+(7.5/(H125)*C131)+(7.5/(H125)*C132)+(10/H125*C133)+(10/H125*C134)+(5/H125*C135)+(5/H125*C136)+(5/H125*C137))/100)</f>
        <v>0.72499999999999998</v>
      </c>
      <c r="F128" s="80"/>
      <c r="G128" s="80">
        <f ca="1">((((C128/H125)*20)+((C129/H125)*25)+(30/(H125+F125+D125)*C130)+(5/H125*C131)+(5/H125*C132)+(5/H125*C133)+(5/H125*C134)+(0/H125*C135)+(0/H125*C136)+(5/H125*C137))/100)</f>
        <v>0.88749999999999996</v>
      </c>
      <c r="H128" s="80"/>
      <c r="I128" s="13" t="s">
        <v>104</v>
      </c>
      <c r="J128" s="28">
        <f ca="1">H125*50%</f>
        <v>2</v>
      </c>
    </row>
    <row r="129" spans="1:10" x14ac:dyDescent="0.3">
      <c r="A129" s="78" t="s">
        <v>51</v>
      </c>
      <c r="B129" s="78"/>
      <c r="C129" s="44">
        <f ca="1">J137</f>
        <v>4</v>
      </c>
      <c r="D129" s="18">
        <f ca="1">((100/H125)*C129)/100</f>
        <v>1</v>
      </c>
      <c r="E129" s="80"/>
      <c r="F129" s="80"/>
      <c r="G129" s="80"/>
      <c r="H129" s="80"/>
      <c r="I129" s="13" t="s">
        <v>105</v>
      </c>
      <c r="J129" s="28">
        <f ca="1">H125</f>
        <v>4</v>
      </c>
    </row>
    <row r="130" spans="1:10" ht="15.75" customHeight="1" x14ac:dyDescent="0.3">
      <c r="A130" s="78" t="s">
        <v>135</v>
      </c>
      <c r="B130" s="78"/>
      <c r="C130" s="58">
        <v>5</v>
      </c>
      <c r="D130" s="18">
        <f ca="1">((100/(D125+F125+H125))*C130)/100</f>
        <v>1</v>
      </c>
      <c r="E130" s="80"/>
      <c r="F130" s="80"/>
      <c r="G130" s="80"/>
      <c r="H130" s="80"/>
      <c r="I130" s="13" t="s">
        <v>106</v>
      </c>
      <c r="J130" s="29">
        <f ca="1">(IF(B125&gt;1,(H125/(B125+2)),H125/4))</f>
        <v>1</v>
      </c>
    </row>
    <row r="131" spans="1:10" ht="15.75" customHeight="1" x14ac:dyDescent="0.3">
      <c r="A131" s="78" t="s">
        <v>142</v>
      </c>
      <c r="B131" s="78" t="s">
        <v>136</v>
      </c>
      <c r="C131" s="58">
        <v>4</v>
      </c>
      <c r="D131" s="18">
        <f ca="1">((100/H125)*C131)/100</f>
        <v>1</v>
      </c>
      <c r="E131" s="80"/>
      <c r="F131" s="80"/>
      <c r="G131" s="80"/>
      <c r="H131" s="80"/>
      <c r="I131" s="13" t="s">
        <v>107</v>
      </c>
      <c r="J131" s="29">
        <f ca="1">(IF(B125&gt;1,(H125/(B125+2)+J130),H125/4+J130))</f>
        <v>2</v>
      </c>
    </row>
    <row r="132" spans="1:10" ht="15.75" customHeight="1" x14ac:dyDescent="0.3">
      <c r="A132" s="78" t="s">
        <v>143</v>
      </c>
      <c r="B132" s="78" t="s">
        <v>136</v>
      </c>
      <c r="C132" s="58">
        <v>4</v>
      </c>
      <c r="D132" s="18">
        <f ca="1">((100/H125)*C132)/100</f>
        <v>1</v>
      </c>
      <c r="E132" s="80"/>
      <c r="F132" s="80"/>
      <c r="G132" s="80"/>
      <c r="H132" s="80"/>
      <c r="I132" s="13" t="s">
        <v>152</v>
      </c>
      <c r="J132" s="29">
        <f>(IF(B125&gt;1,(H125/(B125+2)+J131),0))</f>
        <v>0</v>
      </c>
    </row>
    <row r="133" spans="1:10" ht="15" customHeight="1" x14ac:dyDescent="0.3">
      <c r="A133" s="78" t="s">
        <v>141</v>
      </c>
      <c r="B133" s="78" t="s">
        <v>138</v>
      </c>
      <c r="C133" s="58">
        <v>3</v>
      </c>
      <c r="D133" s="18">
        <f ca="1">((100/(H125))*C133)/100</f>
        <v>0.75</v>
      </c>
      <c r="E133" s="80"/>
      <c r="F133" s="80"/>
      <c r="G133" s="80"/>
      <c r="H133" s="80"/>
      <c r="I133" s="13" t="s">
        <v>149</v>
      </c>
      <c r="J133" s="29">
        <f>(IF(B125&gt;2,(H125/(B125+2)+J132),0))</f>
        <v>0</v>
      </c>
    </row>
    <row r="134" spans="1:10" ht="15.75" customHeight="1" x14ac:dyDescent="0.3">
      <c r="A134" s="78" t="s">
        <v>137</v>
      </c>
      <c r="B134" s="78" t="s">
        <v>137</v>
      </c>
      <c r="C134" s="58">
        <v>0</v>
      </c>
      <c r="D134" s="18">
        <f ca="1">((100/H125)*C134)/100</f>
        <v>0</v>
      </c>
      <c r="E134" s="80"/>
      <c r="F134" s="80"/>
      <c r="G134" s="80"/>
      <c r="H134" s="80"/>
      <c r="I134" s="13" t="s">
        <v>150</v>
      </c>
      <c r="J134" s="30">
        <f>(IF(B125&gt;3,(H125/(B125+2)+J133),0))</f>
        <v>0</v>
      </c>
    </row>
    <row r="135" spans="1:10" ht="15.75" customHeight="1" x14ac:dyDescent="0.3">
      <c r="A135" s="78" t="s">
        <v>144</v>
      </c>
      <c r="B135" s="78"/>
      <c r="C135" s="58">
        <v>0</v>
      </c>
      <c r="D135" s="18">
        <f ca="1">((100/H125)*C135)/100</f>
        <v>0</v>
      </c>
      <c r="E135" s="80"/>
      <c r="F135" s="80"/>
      <c r="G135" s="80"/>
      <c r="H135" s="80"/>
      <c r="I135" s="13" t="s">
        <v>151</v>
      </c>
      <c r="J135" s="29">
        <f>(IF(B125&gt;4,(H125/(B125+2)+J134),0))</f>
        <v>0</v>
      </c>
    </row>
    <row r="136" spans="1:10" ht="15.75" customHeight="1" x14ac:dyDescent="0.3">
      <c r="A136" s="78" t="s">
        <v>139</v>
      </c>
      <c r="B136" s="78" t="s">
        <v>139</v>
      </c>
      <c r="C136" s="58">
        <v>0</v>
      </c>
      <c r="D136" s="18">
        <f ca="1">((100/(H125))*C136)/100</f>
        <v>0</v>
      </c>
      <c r="E136" s="80"/>
      <c r="F136" s="80"/>
      <c r="G136" s="80"/>
      <c r="H136" s="80"/>
      <c r="I136" s="13" t="s">
        <v>153</v>
      </c>
      <c r="J136" s="29">
        <f ca="1">(IF(B125=1,(H125/(B125+3)+J131),IF(B125=0,(H125/4+J131),IF(B125&gt;1,0))))</f>
        <v>3</v>
      </c>
    </row>
    <row r="137" spans="1:10" ht="16.2" thickBot="1" x14ac:dyDescent="0.35">
      <c r="A137" s="78" t="s">
        <v>140</v>
      </c>
      <c r="B137" s="78"/>
      <c r="C137" s="58">
        <v>0</v>
      </c>
      <c r="D137" s="18">
        <f ca="1">((100/(H125))*C137)/100</f>
        <v>0</v>
      </c>
      <c r="E137" s="80"/>
      <c r="F137" s="80"/>
      <c r="G137" s="80"/>
      <c r="H137" s="80"/>
      <c r="I137" s="14" t="s">
        <v>108</v>
      </c>
      <c r="J137" s="31">
        <f ca="1">(IF(B125&gt;1.5,(H125/(B125+2)+J131+MAX(0,J132-J131)+MAX(0,J133-J132)+MAX(0,J134-J133)+MAX(0,J135-J134)+MAX(0,J136-J135)),IF(B125=1,(H125/(B125+3)+J136),IF(B125=0,H125/4+J136))))</f>
        <v>4</v>
      </c>
    </row>
    <row r="138" spans="1:10" x14ac:dyDescent="0.3">
      <c r="A138" s="189" t="s">
        <v>146</v>
      </c>
      <c r="B138" s="189"/>
      <c r="C138" s="189" t="str">
        <f>D60</f>
        <v>Building No. 6 (Wing A &amp; B) = 1st to 4th Floor</v>
      </c>
      <c r="D138" s="189"/>
      <c r="E138" s="189"/>
      <c r="F138" s="189"/>
      <c r="G138" s="189"/>
      <c r="H138" s="189"/>
      <c r="I138" s="66" t="str">
        <f ca="1">IF(D151=100%,"All work Completed. Possession granted to the Building.",IF(D150=100%,"All work Completed, Waiting for OC",I139&amp;""&amp;I140&amp;""&amp;J139&amp;""&amp;J138&amp;" "&amp;J140))</f>
        <v xml:space="preserve">Excavation, Plinth Completed </v>
      </c>
      <c r="J138" s="41" t="str">
        <f ca="1">(IF(C144=(D139+F139+H139),"",IF(C144&gt;0,", RCC upto "&amp;C144&amp;" Slab","")))&amp;(IF(C145=H139,"",IF(C145&gt;0,", Brickwork upto "&amp;C145&amp;" Floor","")))&amp;(IF(C146=H139,"",IF(C146&gt;0,", Internal Plaster upto "&amp;C146&amp;" Floor","")))&amp;(IF(C147=H139,"",IF(C147&gt;0,", External Plaster upto "&amp;C147&amp;" Floor","")))&amp;(IF(C148=H139,"",IF(C148&gt;0,", Flooring upto "&amp;C148&amp;" Floor","")))&amp;(IF(C149=H139,"",IF(C149&gt;0,", Painting upto "&amp;C149&amp;" Floor","")))&amp;(IF(C150=H139,"",IF(C150&gt;0,", Finishing upto "&amp;C150&amp;" Floor","")))&amp;(IF(C151=H139,"",IF(C151&gt;0,", Possession upto "&amp;C151&amp;" Floor","")))</f>
        <v/>
      </c>
    </row>
    <row r="139" spans="1:10" x14ac:dyDescent="0.3">
      <c r="A139" s="62" t="s">
        <v>148</v>
      </c>
      <c r="B139" s="62">
        <v>0</v>
      </c>
      <c r="C139" s="62" t="s">
        <v>74</v>
      </c>
      <c r="D139" s="62">
        <v>1</v>
      </c>
      <c r="E139" s="62" t="s">
        <v>73</v>
      </c>
      <c r="F139" s="62">
        <v>0</v>
      </c>
      <c r="G139" s="63" t="s">
        <v>83</v>
      </c>
      <c r="H139" s="62">
        <f ca="1">--TRIM(RIGHT(SUBSTITUTE(LEFT(C138,_xlfn.AGGREGATE(16,6,FIND({0,1,2,3,4,5,6,7,8,9},C138,ROW(INDIRECT("1:"&amp;LEN(C138)))),1))," ",REPT(" ",LEN(C138))),LEN(C138)))</f>
        <v>4</v>
      </c>
      <c r="I139" s="67" t="str">
        <f ca="1">IF(D142=100%,"Excavation","")&amp;IF(D143=100%,", Plinth","")&amp;IF(D144=100%,", RCC Slab","")&amp;IF(D145=100%,", Brickwork","")&amp;IF(D146=100%,", Internal Plaster","")&amp;IF(D147=100%,", External Plaster","")&amp;IF(D148=100%,", Flooring","")&amp;IF(D149=100%,", Painting","")&amp;IF(D150=100%,", Building common Amenities","")</f>
        <v>Excavation, Plinth</v>
      </c>
      <c r="J139" s="43" t="str">
        <f ca="1">(IF(C142=0,"Work not yet Started.",IF(D142=25%,"Piling work in process",IF(D142=50%,"Excavation work in process",IF(D142=100%,"","0")))))&amp;(IF(C143=0%,"",IF(C143=J144,", Footing work is process",IF(C143=J145,", Footing work Completed",IF(C143=J146,", 1st Basement Completed",IF(C143=J147,", 1st &amp; 2nd Basement Completed",IF(C143=J148,", 1st to 3rd Basement Completed",IF(C143=J149,", 1st to 4th Basement Completed",IF(C143=J150,", Plinth work is process",IF(C143=J151,"","0"))))))))))</f>
        <v/>
      </c>
    </row>
    <row r="140" spans="1:10" ht="17.25" customHeight="1" x14ac:dyDescent="0.3">
      <c r="A140" s="74" t="s">
        <v>93</v>
      </c>
      <c r="B140" s="74"/>
      <c r="C140" s="75" t="str">
        <f ca="1">(IF($G$52="NA",I138,"All work Completed. OC Received."))</f>
        <v xml:space="preserve">Excavation, Plinth Completed </v>
      </c>
      <c r="D140" s="75"/>
      <c r="E140" s="75"/>
      <c r="F140" s="75"/>
      <c r="G140" s="75"/>
      <c r="H140" s="75"/>
      <c r="I140" s="67" t="str">
        <f ca="1">IF(I139&lt;&gt;""," Completed","")</f>
        <v xml:space="preserve"> Completed</v>
      </c>
      <c r="J140" s="43" t="str">
        <f ca="1">IF(J138&lt;&gt;"","Completed","")</f>
        <v/>
      </c>
    </row>
    <row r="141" spans="1:10" ht="15.75" customHeight="1" x14ac:dyDescent="0.3">
      <c r="A141" s="78" t="s">
        <v>50</v>
      </c>
      <c r="B141" s="78"/>
      <c r="C141" s="58" t="s">
        <v>145</v>
      </c>
      <c r="D141" s="58" t="s">
        <v>86</v>
      </c>
      <c r="E141" s="78" t="s">
        <v>88</v>
      </c>
      <c r="F141" s="78"/>
      <c r="G141" s="78" t="s">
        <v>87</v>
      </c>
      <c r="H141" s="78"/>
      <c r="I141" s="13" t="s">
        <v>147</v>
      </c>
      <c r="J141" s="27">
        <f ca="1">H139*25%</f>
        <v>1</v>
      </c>
    </row>
    <row r="142" spans="1:10" x14ac:dyDescent="0.3">
      <c r="A142" s="77" t="s">
        <v>134</v>
      </c>
      <c r="B142" s="78"/>
      <c r="C142" s="58">
        <f ca="1">J143</f>
        <v>4</v>
      </c>
      <c r="D142" s="18">
        <f ca="1">((100/H139)*C142)/100</f>
        <v>1</v>
      </c>
      <c r="E142" s="81">
        <f ca="1">(((C143/H139*10)+(40/(D139+F139+H139)*C144)+(7.5/(H139)*C145)+(7.5/(H139)*C146)+(10/H139*C147)+(10/H139*C148)+(5/H139*C149)+(5/H139*C150)+(5/H139*C151))/100)</f>
        <v>0.1</v>
      </c>
      <c r="F142" s="82"/>
      <c r="G142" s="81">
        <f ca="1">((((C142/H139)*20)+((C143/H139)*25)+(30/(H139+F139+D139)*C144)+(5/H139*C145)+(5/H139*C146)+(5/H139*C147)+(5/H139*C148)+(0/H139*C149)+(0/H139*C150)+(5/H139*C151))/100)</f>
        <v>0.45</v>
      </c>
      <c r="H142" s="87"/>
      <c r="I142" s="13" t="s">
        <v>104</v>
      </c>
      <c r="J142" s="28">
        <f ca="1">H139*50%</f>
        <v>2</v>
      </c>
    </row>
    <row r="143" spans="1:10" x14ac:dyDescent="0.3">
      <c r="A143" s="77" t="s">
        <v>51</v>
      </c>
      <c r="B143" s="78"/>
      <c r="C143" s="44">
        <f ca="1">J151</f>
        <v>4</v>
      </c>
      <c r="D143" s="18">
        <f ca="1">((100/H139)*C143)/100</f>
        <v>1</v>
      </c>
      <c r="E143" s="83"/>
      <c r="F143" s="84"/>
      <c r="G143" s="83"/>
      <c r="H143" s="88"/>
      <c r="I143" s="13" t="s">
        <v>105</v>
      </c>
      <c r="J143" s="28">
        <f ca="1">H139</f>
        <v>4</v>
      </c>
    </row>
    <row r="144" spans="1:10" ht="15.75" customHeight="1" x14ac:dyDescent="0.3">
      <c r="A144" s="77" t="s">
        <v>135</v>
      </c>
      <c r="B144" s="78"/>
      <c r="C144" s="58">
        <v>0</v>
      </c>
      <c r="D144" s="18">
        <f ca="1">((100/(D139+F139+H139))*C144)/100</f>
        <v>0</v>
      </c>
      <c r="E144" s="83"/>
      <c r="F144" s="84"/>
      <c r="G144" s="83"/>
      <c r="H144" s="88"/>
      <c r="I144" s="13" t="s">
        <v>106</v>
      </c>
      <c r="J144" s="29">
        <f ca="1">(IF(B139&gt;1,(H139/(B139+2)),H139/4))</f>
        <v>1</v>
      </c>
    </row>
    <row r="145" spans="1:10" ht="15.75" customHeight="1" x14ac:dyDescent="0.3">
      <c r="A145" s="77" t="s">
        <v>142</v>
      </c>
      <c r="B145" s="78" t="s">
        <v>136</v>
      </c>
      <c r="C145" s="58">
        <v>0</v>
      </c>
      <c r="D145" s="18">
        <f ca="1">((100/H139)*C145)/100</f>
        <v>0</v>
      </c>
      <c r="E145" s="83"/>
      <c r="F145" s="84"/>
      <c r="G145" s="83"/>
      <c r="H145" s="88"/>
      <c r="I145" s="13" t="s">
        <v>107</v>
      </c>
      <c r="J145" s="29">
        <f ca="1">(IF(B139&gt;1,(H139/(B139+2)+J144),H139/4+J144))</f>
        <v>2</v>
      </c>
    </row>
    <row r="146" spans="1:10" ht="15.75" customHeight="1" x14ac:dyDescent="0.3">
      <c r="A146" s="77" t="s">
        <v>143</v>
      </c>
      <c r="B146" s="78" t="s">
        <v>136</v>
      </c>
      <c r="C146" s="58">
        <v>0</v>
      </c>
      <c r="D146" s="18">
        <f ca="1">((100/H139)*C146)/100</f>
        <v>0</v>
      </c>
      <c r="E146" s="83"/>
      <c r="F146" s="84"/>
      <c r="G146" s="83"/>
      <c r="H146" s="88"/>
      <c r="I146" s="13" t="s">
        <v>152</v>
      </c>
      <c r="J146" s="29">
        <f>(IF(B139&gt;1,(H139/(B139+2)+J145),0))</f>
        <v>0</v>
      </c>
    </row>
    <row r="147" spans="1:10" ht="15" customHeight="1" x14ac:dyDescent="0.3">
      <c r="A147" s="77" t="s">
        <v>141</v>
      </c>
      <c r="B147" s="78" t="s">
        <v>138</v>
      </c>
      <c r="C147" s="58">
        <v>0</v>
      </c>
      <c r="D147" s="18">
        <f ca="1">((100/(H139))*C147)/100</f>
        <v>0</v>
      </c>
      <c r="E147" s="83"/>
      <c r="F147" s="84"/>
      <c r="G147" s="83"/>
      <c r="H147" s="88"/>
      <c r="I147" s="13" t="s">
        <v>149</v>
      </c>
      <c r="J147" s="29">
        <f>(IF(B139&gt;2,(H139/(B139+2)+J146),0))</f>
        <v>0</v>
      </c>
    </row>
    <row r="148" spans="1:10" ht="15.75" customHeight="1" x14ac:dyDescent="0.3">
      <c r="A148" s="77" t="s">
        <v>137</v>
      </c>
      <c r="B148" s="78" t="s">
        <v>137</v>
      </c>
      <c r="C148" s="58">
        <v>0</v>
      </c>
      <c r="D148" s="18">
        <f ca="1">((100/H139)*C148)/100</f>
        <v>0</v>
      </c>
      <c r="E148" s="83"/>
      <c r="F148" s="84"/>
      <c r="G148" s="83"/>
      <c r="H148" s="88"/>
      <c r="I148" s="13" t="s">
        <v>150</v>
      </c>
      <c r="J148" s="30">
        <f>(IF(B139&gt;3,(H139/(B139+2)+J147),0))</f>
        <v>0</v>
      </c>
    </row>
    <row r="149" spans="1:10" ht="15.75" customHeight="1" x14ac:dyDescent="0.3">
      <c r="A149" s="77" t="s">
        <v>144</v>
      </c>
      <c r="B149" s="78"/>
      <c r="C149" s="58">
        <v>0</v>
      </c>
      <c r="D149" s="18">
        <f ca="1">((100/H139)*C149)/100</f>
        <v>0</v>
      </c>
      <c r="E149" s="83"/>
      <c r="F149" s="84"/>
      <c r="G149" s="83"/>
      <c r="H149" s="88"/>
      <c r="I149" s="13" t="s">
        <v>151</v>
      </c>
      <c r="J149" s="29">
        <f>(IF(B139&gt;4,(H139/(B139+2)+J148),0))</f>
        <v>0</v>
      </c>
    </row>
    <row r="150" spans="1:10" ht="15.75" customHeight="1" x14ac:dyDescent="0.3">
      <c r="A150" s="77" t="s">
        <v>139</v>
      </c>
      <c r="B150" s="78" t="s">
        <v>139</v>
      </c>
      <c r="C150" s="58">
        <v>0</v>
      </c>
      <c r="D150" s="18">
        <f ca="1">((100/(H139))*C150)/100</f>
        <v>0</v>
      </c>
      <c r="E150" s="83"/>
      <c r="F150" s="84"/>
      <c r="G150" s="83"/>
      <c r="H150" s="88"/>
      <c r="I150" s="13" t="s">
        <v>153</v>
      </c>
      <c r="J150" s="29">
        <f ca="1">(IF(B139=1,(H139/(B139+3)+J145),IF(B139=0,(H139/4+J145),IF(B139&gt;1,0))))</f>
        <v>3</v>
      </c>
    </row>
    <row r="151" spans="1:10" ht="16.2" thickBot="1" x14ac:dyDescent="0.35">
      <c r="A151" s="90" t="s">
        <v>140</v>
      </c>
      <c r="B151" s="91"/>
      <c r="C151" s="59">
        <v>0</v>
      </c>
      <c r="D151" s="19">
        <f ca="1">((100/(H139))*C151)/100</f>
        <v>0</v>
      </c>
      <c r="E151" s="85"/>
      <c r="F151" s="86"/>
      <c r="G151" s="85"/>
      <c r="H151" s="89"/>
      <c r="I151" s="14" t="s">
        <v>108</v>
      </c>
      <c r="J151" s="31">
        <f ca="1">(IF(B139&gt;1.5,(H139/(B139+2)+J145+MAX(0,J146-J145)+MAX(0,J147-J146)+MAX(0,J148-J147)+MAX(0,J149-J148)+MAX(0,J150-J149)),IF(B139=1,(H139/(B139+3)+J150),IF(B139=0,H139/4+J150))))</f>
        <v>4</v>
      </c>
    </row>
    <row r="152" spans="1:10" x14ac:dyDescent="0.3">
      <c r="A152" s="193" t="s">
        <v>163</v>
      </c>
      <c r="B152" s="193"/>
      <c r="C152" s="193"/>
      <c r="D152" s="193"/>
      <c r="E152" s="193"/>
      <c r="F152" s="192" t="s">
        <v>167</v>
      </c>
      <c r="G152" s="192"/>
      <c r="H152" s="192"/>
    </row>
    <row r="153" spans="1:10" x14ac:dyDescent="0.3">
      <c r="A153" s="92" t="s">
        <v>166</v>
      </c>
      <c r="B153" s="92"/>
      <c r="C153" s="92"/>
      <c r="D153" s="92"/>
      <c r="E153" s="92"/>
      <c r="F153" s="97">
        <v>3900</v>
      </c>
      <c r="G153" s="97"/>
      <c r="H153" s="97"/>
    </row>
    <row r="154" spans="1:10" x14ac:dyDescent="0.3">
      <c r="A154" s="92" t="s">
        <v>165</v>
      </c>
      <c r="B154" s="92"/>
      <c r="C154" s="92"/>
      <c r="D154" s="92"/>
      <c r="E154" s="92"/>
      <c r="F154" s="138">
        <v>7500</v>
      </c>
      <c r="G154" s="138"/>
      <c r="H154" s="138"/>
    </row>
    <row r="155" spans="1:10" s="32" customFormat="1" hidden="1" x14ac:dyDescent="0.25">
      <c r="A155" s="92" t="s">
        <v>164</v>
      </c>
      <c r="B155" s="92"/>
      <c r="C155" s="92"/>
      <c r="D155" s="92"/>
      <c r="E155" s="92"/>
      <c r="F155" s="138"/>
      <c r="G155" s="138"/>
      <c r="H155" s="138"/>
    </row>
    <row r="156" spans="1:10" s="32" customFormat="1" x14ac:dyDescent="0.25">
      <c r="A156" s="92" t="s">
        <v>98</v>
      </c>
      <c r="B156" s="92"/>
      <c r="C156" s="92"/>
      <c r="D156" s="92"/>
      <c r="E156" s="92"/>
      <c r="F156" s="138">
        <v>170000</v>
      </c>
      <c r="G156" s="138"/>
      <c r="H156" s="138"/>
    </row>
    <row r="157" spans="1:10" s="32" customFormat="1" hidden="1" x14ac:dyDescent="0.25">
      <c r="A157" s="92" t="s">
        <v>99</v>
      </c>
      <c r="B157" s="92"/>
      <c r="C157" s="92"/>
      <c r="D157" s="92"/>
      <c r="E157" s="92"/>
      <c r="F157" s="138"/>
      <c r="G157" s="138"/>
      <c r="H157" s="138"/>
    </row>
    <row r="158" spans="1:10" s="32" customFormat="1" hidden="1" x14ac:dyDescent="0.25">
      <c r="A158" s="92" t="s">
        <v>168</v>
      </c>
      <c r="B158" s="92"/>
      <c r="C158" s="92"/>
      <c r="D158" s="92"/>
      <c r="E158" s="92"/>
      <c r="F158" s="138"/>
      <c r="G158" s="138"/>
      <c r="H158" s="138"/>
    </row>
    <row r="159" spans="1:10" s="32" customFormat="1" hidden="1" x14ac:dyDescent="0.25">
      <c r="A159" s="92" t="s">
        <v>100</v>
      </c>
      <c r="B159" s="92"/>
      <c r="C159" s="92"/>
      <c r="D159" s="92"/>
      <c r="E159" s="92"/>
      <c r="F159" s="138"/>
      <c r="G159" s="138"/>
      <c r="H159" s="138"/>
    </row>
    <row r="160" spans="1:10" s="32" customFormat="1" hidden="1" x14ac:dyDescent="0.25">
      <c r="A160" s="92" t="s">
        <v>101</v>
      </c>
      <c r="B160" s="92"/>
      <c r="C160" s="92"/>
      <c r="D160" s="92"/>
      <c r="E160" s="92"/>
      <c r="F160" s="138"/>
      <c r="G160" s="138"/>
      <c r="H160" s="138"/>
    </row>
    <row r="161" spans="1:8" s="32" customFormat="1" x14ac:dyDescent="0.25">
      <c r="A161" s="92" t="s">
        <v>102</v>
      </c>
      <c r="B161" s="92"/>
      <c r="C161" s="92"/>
      <c r="D161" s="92"/>
      <c r="E161" s="92"/>
      <c r="F161" s="138">
        <v>70000</v>
      </c>
      <c r="G161" s="138"/>
      <c r="H161" s="138"/>
    </row>
    <row r="162" spans="1:8" s="32" customFormat="1" hidden="1" x14ac:dyDescent="0.25">
      <c r="A162" s="92" t="s">
        <v>103</v>
      </c>
      <c r="B162" s="92"/>
      <c r="C162" s="92"/>
      <c r="D162" s="92"/>
      <c r="E162" s="92"/>
      <c r="F162" s="138"/>
      <c r="G162" s="138"/>
      <c r="H162" s="138"/>
    </row>
    <row r="163" spans="1:8" x14ac:dyDescent="0.3">
      <c r="A163" s="92" t="s">
        <v>52</v>
      </c>
      <c r="B163" s="92"/>
      <c r="C163" s="92"/>
      <c r="D163" s="92"/>
      <c r="E163" s="92"/>
      <c r="F163" s="138">
        <v>150000</v>
      </c>
      <c r="G163" s="138"/>
      <c r="H163" s="138"/>
    </row>
    <row r="164" spans="1:8" s="33" customFormat="1" x14ac:dyDescent="0.3">
      <c r="A164" s="152" t="s">
        <v>53</v>
      </c>
      <c r="B164" s="152"/>
      <c r="C164" s="152"/>
      <c r="D164" s="152"/>
      <c r="E164" s="152"/>
      <c r="F164" s="138">
        <f>F153*0.8</f>
        <v>3120</v>
      </c>
      <c r="G164" s="138"/>
      <c r="H164" s="138"/>
    </row>
    <row r="165" spans="1:8" s="34" customFormat="1" ht="15.75" customHeight="1" x14ac:dyDescent="0.3">
      <c r="A165" s="144" t="s">
        <v>78</v>
      </c>
      <c r="B165" s="144"/>
      <c r="C165" s="144"/>
      <c r="D165" s="144"/>
      <c r="E165" s="144"/>
      <c r="F165" s="144"/>
      <c r="G165" s="144"/>
      <c r="H165" s="144"/>
    </row>
    <row r="166" spans="1:8" s="34" customFormat="1" ht="15.75" customHeight="1" x14ac:dyDescent="0.3">
      <c r="A166" s="94" t="s">
        <v>54</v>
      </c>
      <c r="B166" s="94"/>
      <c r="C166" s="139" t="s">
        <v>81</v>
      </c>
      <c r="D166" s="139"/>
      <c r="E166" s="136" t="s">
        <v>55</v>
      </c>
      <c r="F166" s="136"/>
      <c r="G166" s="94" t="s">
        <v>56</v>
      </c>
      <c r="H166" s="94"/>
    </row>
    <row r="167" spans="1:8" s="34" customFormat="1" x14ac:dyDescent="0.3">
      <c r="A167" s="153" t="s">
        <v>190</v>
      </c>
      <c r="B167" s="153"/>
      <c r="C167" s="140">
        <f>COUNT(D187:D192)</f>
        <v>6</v>
      </c>
      <c r="D167" s="141"/>
      <c r="E167" s="98">
        <f>SUM(D187:D192)</f>
        <v>602.46107999999992</v>
      </c>
      <c r="F167" s="99"/>
      <c r="G167" s="98">
        <f>SUM(F187:F192)</f>
        <v>1210</v>
      </c>
      <c r="H167" s="99"/>
    </row>
    <row r="168" spans="1:8" s="34" customFormat="1" x14ac:dyDescent="0.3">
      <c r="A168" s="144" t="s">
        <v>72</v>
      </c>
      <c r="B168" s="144"/>
      <c r="C168" s="144"/>
      <c r="D168" s="144"/>
      <c r="E168" s="144"/>
      <c r="F168" s="144"/>
      <c r="G168" s="144"/>
      <c r="H168" s="144"/>
    </row>
    <row r="169" spans="1:8" s="34" customFormat="1" ht="15.75" customHeight="1" x14ac:dyDescent="0.3">
      <c r="A169" s="94" t="s">
        <v>54</v>
      </c>
      <c r="B169" s="94"/>
      <c r="C169" s="139" t="s">
        <v>81</v>
      </c>
      <c r="D169" s="139"/>
      <c r="E169" s="136" t="s">
        <v>55</v>
      </c>
      <c r="F169" s="136"/>
      <c r="G169" s="94" t="s">
        <v>56</v>
      </c>
      <c r="H169" s="94"/>
    </row>
    <row r="170" spans="1:8" s="34" customFormat="1" x14ac:dyDescent="0.3">
      <c r="A170" s="153" t="s">
        <v>190</v>
      </c>
      <c r="B170" s="153"/>
      <c r="C170" s="141">
        <f>COUNT(D197:D198)*4</f>
        <v>8</v>
      </c>
      <c r="D170" s="141"/>
      <c r="E170" s="98">
        <f>SUM(D197:D198)*4</f>
        <v>3911.6376</v>
      </c>
      <c r="F170" s="98"/>
      <c r="G170" s="98">
        <f>SUM(F197:F198)*4</f>
        <v>6040</v>
      </c>
      <c r="H170" s="98"/>
    </row>
    <row r="171" spans="1:8" s="34" customFormat="1" x14ac:dyDescent="0.3">
      <c r="A171" s="153" t="s">
        <v>197</v>
      </c>
      <c r="B171" s="153"/>
      <c r="C171" s="141">
        <f>COUNT(D202:D206)*2+COUNT(D208:D212)*2</f>
        <v>20</v>
      </c>
      <c r="D171" s="141"/>
      <c r="E171" s="98">
        <f>SUM(D202:D206)*2+SUM(D208:D212)*2</f>
        <v>7580.8699199999992</v>
      </c>
      <c r="F171" s="98"/>
      <c r="G171" s="98">
        <f>SUM(F202:F206)*2+SUM(F208:F212)*2</f>
        <v>12250</v>
      </c>
      <c r="H171" s="98"/>
    </row>
    <row r="172" spans="1:8" s="34" customFormat="1" ht="15.75" customHeight="1" x14ac:dyDescent="0.3">
      <c r="A172" s="145" t="s">
        <v>202</v>
      </c>
      <c r="B172" s="61" t="s">
        <v>191</v>
      </c>
      <c r="C172" s="141">
        <f>COUNT(D216:D217)+COUNT(D219:D223)*2+COUNT(D225:D229)*2</f>
        <v>22</v>
      </c>
      <c r="D172" s="141"/>
      <c r="E172" s="98">
        <f>SUM(D216:D217)+SUM(D219:D223)*2+SUM(D225:D229)*2</f>
        <v>8027.7911999999997</v>
      </c>
      <c r="F172" s="98"/>
      <c r="G172" s="98">
        <f>SUM(F216:F217)+SUM(F219:F223)*2+SUM(F225:F229)*2</f>
        <v>13050</v>
      </c>
      <c r="H172" s="98"/>
    </row>
    <row r="173" spans="1:8" s="34" customFormat="1" x14ac:dyDescent="0.3">
      <c r="A173" s="146"/>
      <c r="B173" s="61" t="s">
        <v>194</v>
      </c>
      <c r="C173" s="141">
        <f>COUNT(D232:D234)+COUNT(D236:D240)*2+COUNT(D242:D246)*2</f>
        <v>23</v>
      </c>
      <c r="D173" s="141"/>
      <c r="E173" s="98">
        <f>SUM(D232:D234)+SUM(D236:D240)*2+SUM(D242:D246)*2</f>
        <v>7489.6988399999991</v>
      </c>
      <c r="F173" s="98"/>
      <c r="G173" s="98">
        <f>SUM(F232:F234)+SUM(F236:F240)*2+SUM(F242:F246)*2</f>
        <v>11940</v>
      </c>
      <c r="H173" s="98"/>
    </row>
    <row r="174" spans="1:8" s="34" customFormat="1" x14ac:dyDescent="0.3">
      <c r="A174" s="194"/>
      <c r="B174" s="61" t="s">
        <v>204</v>
      </c>
      <c r="C174" s="141">
        <f>COUNT(D249:D250)+COUNT(D252:D256)*2+COUNT(D258:D262)*2</f>
        <v>22</v>
      </c>
      <c r="D174" s="141"/>
      <c r="E174" s="98">
        <f>SUM(D249:D250)+SUM(D252:D256)*2+SUM(D258:D262)*2</f>
        <v>8568.2516399999986</v>
      </c>
      <c r="F174" s="98"/>
      <c r="G174" s="98">
        <f>SUM(F249:F250)+SUM(F252:F256)*2+SUM(F258:F262)*2</f>
        <v>13710</v>
      </c>
      <c r="H174" s="98"/>
    </row>
    <row r="175" spans="1:8" s="34" customFormat="1" ht="15.75" customHeight="1" x14ac:dyDescent="0.3">
      <c r="A175" s="145" t="s">
        <v>206</v>
      </c>
      <c r="B175" s="61" t="s">
        <v>191</v>
      </c>
      <c r="C175" s="141">
        <f>COUNT(D266:D269)+COUNT(D271:D276)*2+COUNT(D278:D283)*2</f>
        <v>28</v>
      </c>
      <c r="D175" s="141"/>
      <c r="E175" s="98">
        <f>SUM(D266:D269)+SUM(D271:D276)*2+SUM(D278:D283)*2</f>
        <v>9193.8553199999988</v>
      </c>
      <c r="F175" s="98"/>
      <c r="G175" s="98">
        <f>SUM(F266:F269)+SUM(F271:F276)*2+SUM(F278:F283)*2</f>
        <v>14285</v>
      </c>
      <c r="H175" s="98"/>
    </row>
    <row r="176" spans="1:8" s="34" customFormat="1" x14ac:dyDescent="0.3">
      <c r="A176" s="146"/>
      <c r="B176" s="61" t="s">
        <v>194</v>
      </c>
      <c r="C176" s="141">
        <f>COUNT(D286:D288)+COUNT(D290:D294)*2+COUNT(D296:D300)*2</f>
        <v>23</v>
      </c>
      <c r="D176" s="141"/>
      <c r="E176" s="98">
        <f>SUM(D286:D288)+SUM(D290:D294)*2+SUM(D296:D300)*2</f>
        <v>7309.0789199999999</v>
      </c>
      <c r="F176" s="98"/>
      <c r="G176" s="98">
        <f>SUM(F286:F288)+SUM(F290:F294)*2+SUM(F296:F300)*2</f>
        <v>11415</v>
      </c>
      <c r="H176" s="98"/>
    </row>
    <row r="177" spans="1:14" s="34" customFormat="1" x14ac:dyDescent="0.3">
      <c r="A177" s="194"/>
      <c r="B177" s="61" t="s">
        <v>204</v>
      </c>
      <c r="C177" s="141">
        <f>COUNT(D303:D305)+COUNT(D307:D312)*2+COUNT(D314:D319)*2</f>
        <v>27</v>
      </c>
      <c r="D177" s="141"/>
      <c r="E177" s="98">
        <f>SUM(D303:D305)+SUM(D307:D312)*2+SUM(D314:D319)*2</f>
        <v>8965.7661599999992</v>
      </c>
      <c r="F177" s="98"/>
      <c r="G177" s="98">
        <f>SUM(F303:F305)+SUM(F307:F312)*2+SUM(F314:F319)*2</f>
        <v>14275</v>
      </c>
      <c r="H177" s="98"/>
    </row>
    <row r="178" spans="1:14" s="34" customFormat="1" x14ac:dyDescent="0.3">
      <c r="A178" s="153" t="s">
        <v>207</v>
      </c>
      <c r="B178" s="153"/>
      <c r="C178" s="141">
        <f>COUNT(D323:D329)*2+COUNT(D331:D337)*2</f>
        <v>28</v>
      </c>
      <c r="D178" s="141"/>
      <c r="E178" s="98">
        <f>SUM(D323:D329)*2+SUM(D331:D337)*2</f>
        <v>8433.1634400000003</v>
      </c>
      <c r="F178" s="98"/>
      <c r="G178" s="98">
        <f>SUM(F323:F329)*2+SUM(F331:F337)*2</f>
        <v>13220</v>
      </c>
      <c r="H178" s="98"/>
    </row>
    <row r="179" spans="1:14" s="34" customFormat="1" ht="15.75" customHeight="1" x14ac:dyDescent="0.3">
      <c r="A179" s="145" t="s">
        <v>208</v>
      </c>
      <c r="B179" s="61" t="s">
        <v>191</v>
      </c>
      <c r="C179" s="141">
        <f>COUNT(D342:D345)*2+COUNT(D347:D350)*2</f>
        <v>16</v>
      </c>
      <c r="D179" s="141"/>
      <c r="E179" s="98">
        <f>SUM(D342:D345)*2+SUM(D347:D350)*2</f>
        <v>6799.6187999999993</v>
      </c>
      <c r="F179" s="98"/>
      <c r="G179" s="98">
        <f>SUM(F342:F345)*2+SUM(F347:F350)*2</f>
        <v>10710.158471999999</v>
      </c>
      <c r="H179" s="98"/>
      <c r="I179" s="34">
        <f>236-35</f>
        <v>201</v>
      </c>
    </row>
    <row r="180" spans="1:14" s="34" customFormat="1" x14ac:dyDescent="0.3">
      <c r="A180" s="146"/>
      <c r="B180" s="61" t="s">
        <v>194</v>
      </c>
      <c r="C180" s="141">
        <f>COUNT(D353:D355)+COUNT(D357:D360)*2+COUNT(D362:D365)*2</f>
        <v>19</v>
      </c>
      <c r="D180" s="141"/>
      <c r="E180" s="98">
        <f>SUM(D353:D355)+SUM(D357:D360)*2+SUM(D362:D365)*2</f>
        <v>8220.897359999999</v>
      </c>
      <c r="F180" s="98"/>
      <c r="G180" s="98">
        <f>SUM(F353:F355)+SUM(F357:F360)*2+SUM(F362:F365)*2</f>
        <v>12993.004814399999</v>
      </c>
      <c r="H180" s="98"/>
    </row>
    <row r="181" spans="1:14" s="34" customFormat="1" x14ac:dyDescent="0.3">
      <c r="A181" s="144" t="s">
        <v>156</v>
      </c>
      <c r="B181" s="144"/>
      <c r="C181" s="139">
        <f>SUM(C170:C180)</f>
        <v>236</v>
      </c>
      <c r="D181" s="139"/>
      <c r="E181" s="94">
        <f>SUM(E170:E180)</f>
        <v>84500.629199999996</v>
      </c>
      <c r="F181" s="94"/>
      <c r="G181" s="94">
        <f>SUM(G170:G180)</f>
        <v>133888.1632864</v>
      </c>
      <c r="H181" s="94"/>
    </row>
    <row r="182" spans="1:14" s="33" customFormat="1" x14ac:dyDescent="0.3">
      <c r="A182" s="137" t="s">
        <v>57</v>
      </c>
      <c r="B182" s="137"/>
      <c r="C182" s="137"/>
      <c r="D182" s="137"/>
      <c r="E182" s="137"/>
      <c r="F182" s="137"/>
      <c r="G182" s="137"/>
      <c r="H182" s="137"/>
    </row>
    <row r="183" spans="1:14" x14ac:dyDescent="0.3">
      <c r="A183" s="137" t="s">
        <v>58</v>
      </c>
      <c r="B183" s="137"/>
      <c r="C183" s="137"/>
      <c r="D183" s="137"/>
      <c r="E183" s="137"/>
      <c r="F183" s="137"/>
      <c r="G183" s="137"/>
      <c r="H183" s="137"/>
    </row>
    <row r="184" spans="1:14" ht="46.5" customHeight="1" x14ac:dyDescent="0.3">
      <c r="A184" s="55" t="s">
        <v>219</v>
      </c>
      <c r="B184" s="55" t="s">
        <v>124</v>
      </c>
      <c r="C184" s="55" t="s">
        <v>59</v>
      </c>
      <c r="D184" s="55" t="s">
        <v>60</v>
      </c>
      <c r="E184" s="56" t="s">
        <v>162</v>
      </c>
      <c r="F184" s="55" t="s">
        <v>212</v>
      </c>
      <c r="G184" s="190" t="s">
        <v>62</v>
      </c>
      <c r="H184" s="191"/>
    </row>
    <row r="185" spans="1:14" s="36" customFormat="1" x14ac:dyDescent="0.3">
      <c r="A185" s="147" t="s">
        <v>190</v>
      </c>
      <c r="B185" s="148"/>
      <c r="C185" s="148"/>
      <c r="D185" s="148"/>
      <c r="E185" s="148"/>
      <c r="F185" s="148"/>
      <c r="G185" s="148"/>
      <c r="H185" s="149"/>
      <c r="J185" s="35"/>
    </row>
    <row r="186" spans="1:14" s="36" customFormat="1" x14ac:dyDescent="0.3">
      <c r="A186" s="147" t="s">
        <v>192</v>
      </c>
      <c r="B186" s="148"/>
      <c r="C186" s="148"/>
      <c r="D186" s="148"/>
      <c r="E186" s="148"/>
      <c r="F186" s="148"/>
      <c r="G186" s="148"/>
      <c r="H186" s="149"/>
      <c r="J186" s="35"/>
    </row>
    <row r="187" spans="1:14" s="36" customFormat="1" ht="15.75" customHeight="1" x14ac:dyDescent="0.3">
      <c r="A187" s="134">
        <v>1</v>
      </c>
      <c r="B187" s="135"/>
      <c r="C187" s="64" t="s">
        <v>193</v>
      </c>
      <c r="D187" s="64">
        <f>(8.11)*10.764</f>
        <v>87.296039999999991</v>
      </c>
      <c r="E187" s="64">
        <v>0</v>
      </c>
      <c r="F187" s="52">
        <v>175</v>
      </c>
      <c r="G187" s="100" t="str">
        <f>A186</f>
        <v>Ground Floor For Commercial</v>
      </c>
      <c r="H187" s="101"/>
      <c r="I187" s="35"/>
      <c r="J187" s="46">
        <f>(2.75*2.95)</f>
        <v>8.1125000000000007</v>
      </c>
      <c r="K187" s="36">
        <v>174.59</v>
      </c>
      <c r="L187" s="50">
        <f>F187/D187</f>
        <v>2.0046728351022569</v>
      </c>
      <c r="M187" s="50" t="e">
        <f t="shared" ref="M187:N187" si="0">G187/E187</f>
        <v>#VALUE!</v>
      </c>
      <c r="N187" s="50">
        <f t="shared" si="0"/>
        <v>0</v>
      </c>
    </row>
    <row r="188" spans="1:14" s="36" customFormat="1" x14ac:dyDescent="0.3">
      <c r="A188" s="134">
        <f t="shared" ref="A188:A189" si="1">A187+1</f>
        <v>2</v>
      </c>
      <c r="B188" s="135"/>
      <c r="C188" s="64" t="s">
        <v>193</v>
      </c>
      <c r="D188" s="64">
        <f>(8.58)*10.764</f>
        <v>92.355119999999999</v>
      </c>
      <c r="E188" s="64">
        <v>0</v>
      </c>
      <c r="F188" s="52">
        <v>185</v>
      </c>
      <c r="G188" s="102"/>
      <c r="H188" s="103"/>
      <c r="I188" s="35"/>
      <c r="J188" s="36">
        <f>(2.45*3.5)*10.764</f>
        <v>92.301300000000012</v>
      </c>
      <c r="K188" s="36">
        <v>184.71</v>
      </c>
      <c r="L188" s="50">
        <f t="shared" ref="L188:L192" si="2">F188/D188</f>
        <v>2.0031374546424714</v>
      </c>
      <c r="M188" s="49"/>
      <c r="N188" s="35"/>
    </row>
    <row r="189" spans="1:14" s="36" customFormat="1" x14ac:dyDescent="0.3">
      <c r="A189" s="134">
        <f t="shared" si="1"/>
        <v>3</v>
      </c>
      <c r="B189" s="135"/>
      <c r="C189" s="64" t="s">
        <v>193</v>
      </c>
      <c r="D189" s="64">
        <f>(9.45)*10.764</f>
        <v>101.71979999999999</v>
      </c>
      <c r="E189" s="64">
        <v>0</v>
      </c>
      <c r="F189" s="52">
        <v>205</v>
      </c>
      <c r="G189" s="102"/>
      <c r="H189" s="103"/>
      <c r="I189" s="35"/>
      <c r="K189" s="36">
        <v>203.44</v>
      </c>
      <c r="L189" s="50">
        <f t="shared" si="2"/>
        <v>2.0153401795913877</v>
      </c>
      <c r="M189" s="49"/>
      <c r="N189" s="35"/>
    </row>
    <row r="190" spans="1:14" s="36" customFormat="1" x14ac:dyDescent="0.3">
      <c r="A190" s="134">
        <v>4</v>
      </c>
      <c r="B190" s="135"/>
      <c r="C190" s="64" t="s">
        <v>193</v>
      </c>
      <c r="D190" s="64">
        <f>(9.99)*10.764</f>
        <v>107.53236</v>
      </c>
      <c r="E190" s="64">
        <v>0</v>
      </c>
      <c r="F190" s="52">
        <v>215</v>
      </c>
      <c r="G190" s="102"/>
      <c r="H190" s="103"/>
      <c r="I190" s="35"/>
      <c r="K190" s="36">
        <v>215.06</v>
      </c>
      <c r="L190" s="50">
        <f t="shared" si="2"/>
        <v>1.9993981346638352</v>
      </c>
      <c r="M190" s="49"/>
      <c r="N190" s="35"/>
    </row>
    <row r="191" spans="1:14" s="36" customFormat="1" x14ac:dyDescent="0.3">
      <c r="A191" s="134">
        <v>5</v>
      </c>
      <c r="B191" s="135"/>
      <c r="C191" s="64" t="s">
        <v>193</v>
      </c>
      <c r="D191" s="64">
        <f>(9.92)*10.764</f>
        <v>106.77887999999999</v>
      </c>
      <c r="E191" s="64">
        <v>0</v>
      </c>
      <c r="F191" s="52">
        <v>215</v>
      </c>
      <c r="G191" s="102"/>
      <c r="H191" s="103"/>
      <c r="I191" s="35"/>
      <c r="K191" s="36">
        <v>213.56</v>
      </c>
      <c r="L191" s="50">
        <f t="shared" si="2"/>
        <v>2.0135067908560198</v>
      </c>
      <c r="M191" s="49"/>
      <c r="N191" s="35"/>
    </row>
    <row r="192" spans="1:14" s="36" customFormat="1" x14ac:dyDescent="0.3">
      <c r="A192" s="134">
        <v>6</v>
      </c>
      <c r="B192" s="135"/>
      <c r="C192" s="64" t="s">
        <v>193</v>
      </c>
      <c r="D192" s="64">
        <f>(9.92)*10.764</f>
        <v>106.77887999999999</v>
      </c>
      <c r="E192" s="64">
        <v>0</v>
      </c>
      <c r="F192" s="52">
        <v>215</v>
      </c>
      <c r="G192" s="104"/>
      <c r="H192" s="105"/>
      <c r="I192" s="35"/>
      <c r="K192" s="36">
        <v>213.56</v>
      </c>
      <c r="L192" s="50">
        <f t="shared" si="2"/>
        <v>2.0135067908560198</v>
      </c>
      <c r="M192" s="49"/>
      <c r="N192" s="35"/>
    </row>
    <row r="193" spans="1:14" s="36" customFormat="1" x14ac:dyDescent="0.3">
      <c r="A193" s="134"/>
      <c r="B193" s="143"/>
      <c r="C193" s="143"/>
      <c r="D193" s="143"/>
      <c r="E193" s="143"/>
      <c r="F193" s="143"/>
      <c r="G193" s="143"/>
      <c r="H193" s="135"/>
      <c r="I193" s="35"/>
      <c r="L193" s="49"/>
      <c r="M193" s="49"/>
      <c r="N193" s="35"/>
    </row>
    <row r="194" spans="1:14" ht="47.25" customHeight="1" x14ac:dyDescent="0.3">
      <c r="A194" s="57" t="s">
        <v>125</v>
      </c>
      <c r="B194" s="57" t="s">
        <v>126</v>
      </c>
      <c r="C194" s="47" t="s">
        <v>59</v>
      </c>
      <c r="D194" s="47" t="s">
        <v>60</v>
      </c>
      <c r="E194" s="48" t="s">
        <v>61</v>
      </c>
      <c r="F194" s="47" t="s">
        <v>212</v>
      </c>
      <c r="G194" s="95" t="s">
        <v>62</v>
      </c>
      <c r="H194" s="96"/>
      <c r="I194" s="35"/>
    </row>
    <row r="195" spans="1:14" s="36" customFormat="1" x14ac:dyDescent="0.3">
      <c r="A195" s="147" t="s">
        <v>190</v>
      </c>
      <c r="B195" s="148"/>
      <c r="C195" s="148"/>
      <c r="D195" s="148"/>
      <c r="E195" s="148"/>
      <c r="F195" s="148"/>
      <c r="G195" s="148"/>
      <c r="H195" s="149"/>
      <c r="J195" s="35"/>
    </row>
    <row r="196" spans="1:14" s="36" customFormat="1" x14ac:dyDescent="0.3">
      <c r="A196" s="147" t="s">
        <v>201</v>
      </c>
      <c r="B196" s="148"/>
      <c r="C196" s="148"/>
      <c r="D196" s="148"/>
      <c r="E196" s="148"/>
      <c r="F196" s="148"/>
      <c r="G196" s="148"/>
      <c r="H196" s="149"/>
      <c r="I196" s="35"/>
    </row>
    <row r="197" spans="1:14" s="36" customFormat="1" ht="15.75" customHeight="1" x14ac:dyDescent="0.3">
      <c r="A197" s="134" t="str">
        <f ca="1">(SUMPRODUCT(MID(0&amp;(LEFT(A196,SUM(LEN(A196)-LEN(SUBSTITUTE(A196,{"0","1","2"},""))))), LARGE(INDEX(ISNUMBER(--MID((LEFT(A196,SUM(LEN(A196)-LEN(SUBSTITUTE(A196,{"0","1","2"},""))))), ROW(INDIRECT("1:"&amp;LEN((LEFT(A196,SUM(LEN(A196)-LEN(SUBSTITUTE(A196,{"0","1","2"},"")))))))), 1)) * ROW(INDIRECT("1:"&amp;LEN((LEFT(A196,SUM(LEN(A196)-LEN(SUBSTITUTE(A196,{"0","1","2"},"")))))))), 0), ROW(INDIRECT("1:"&amp;LEN((LEFT(A196,SUM(LEN(A196)-LEN(SUBSTITUTE(A196,{"0","1","2"},"")))))))))+1, 1) * 10^ROW(INDIRECT("1:"&amp;LEN((LEFT(A196,SUM(LEN(A196)-LEN(SUBSTITUTE(A196,{"0","1","2"},""))))))))/10))*100+1&amp;""&amp;" to "&amp;""&amp;(SUMPRODUCT(MID(0&amp;(--TRIM(RIGHT(SUBSTITUTE(LEFT(A196,_xlfn.AGGREGATE(16,6,FIND({0,1,2,3,4,5,6,7,8,9},A196,ROW(INDIRECT("1:"&amp;LEN(A196)))),1))," ",REPT(" ",LEN(A196))),LEN(A196)))), LARGE(INDEX(ISNUMBER(--MID((--TRIM(RIGHT(SUBSTITUTE(LEFT(A196,_xlfn.AGGREGATE(16,6,FIND({0,1,2,3,4,5,6,7,8,9},A196,ROW(INDIRECT("1:"&amp;LEN(A196)))),1))," ",REPT(" ",LEN(A196))),LEN(A196)))), ROW(INDIRECT("1:"&amp;LEN((--TRIM(RIGHT(SUBSTITUTE(LEFT(A196,_xlfn.AGGREGATE(16,6,FIND({0,1,2,3,4,5,6,7,8,9},A196,ROW(INDIRECT("1:"&amp;LEN(A196)))),1))," ",REPT(" ",LEN(A196))),LEN(A196))))))), 1)) * ROW(INDIRECT("1:"&amp;LEN((--TRIM(RIGHT(SUBSTITUTE(LEFT(A196,_xlfn.AGGREGATE(16,6,FIND({0,1,2,3,4,5,6,7,8,9},A196,ROW(INDIRECT("1:"&amp;LEN(A196)))),1))," ",REPT(" ",LEN(A196))),LEN(A196))))))), 0), ROW(INDIRECT("1:"&amp;LEN((--TRIM(RIGHT(SUBSTITUTE(LEFT(A196,_xlfn.AGGREGATE(16,6,FIND({0,1,2,3,4,5,6,7,8,9},A196,ROW(INDIRECT("1:"&amp;LEN(A196)))),1))," ",REPT(" ",LEN(A196))),LEN(A196))))))))+1, 1) * 10^ROW(INDIRECT("1:"&amp;LEN((--TRIM(RIGHT(SUBSTITUTE(LEFT(A196,_xlfn.AGGREGATE(16,6,FIND({0,1,2,3,4,5,6,7,8,9},A196,ROW(INDIRECT("1:"&amp;LEN(A196)))),1))," ",REPT(" ",LEN(A196))),LEN(A196)))))))/10))*100+1</f>
        <v>101 to 401</v>
      </c>
      <c r="B197" s="135"/>
      <c r="C197" s="64" t="s">
        <v>195</v>
      </c>
      <c r="D197" s="64">
        <f>(29.77+5.65)*10.764</f>
        <v>381.26087999999999</v>
      </c>
      <c r="E197" s="64">
        <v>0</v>
      </c>
      <c r="F197" s="51">
        <v>590</v>
      </c>
      <c r="G197" s="100" t="str">
        <f>A196</f>
        <v>1st to 4th Floor For Residential</v>
      </c>
      <c r="H197" s="101"/>
      <c r="I197" s="46">
        <f>F197/D197</f>
        <v>1.5474968215989011</v>
      </c>
      <c r="J197" s="36">
        <f>(2.75*3.85+2.5*1.8+2.75*2.8+0.9*1.2+1.2*1.2+2.5*1.2)</f>
        <v>28.307500000000001</v>
      </c>
      <c r="L197" s="36">
        <v>586.53</v>
      </c>
      <c r="M197" s="46">
        <f>F197/D197</f>
        <v>1.5474968215989011</v>
      </c>
    </row>
    <row r="198" spans="1:14" s="36" customFormat="1" x14ac:dyDescent="0.3">
      <c r="A198" s="134" t="str">
        <f ca="1">(SUMPRODUCT(MID(0&amp;(LEFT(A197,SUM(LEN(A197)-LEN(SUBSTITUTE(A197,{"0","1","2"},""))))), LARGE(INDEX(ISNUMBER(--MID((LEFT(A197,SUM(LEN(A197)-LEN(SUBSTITUTE(A197,{"0","1","2"},""))))), ROW(INDIRECT("1:"&amp;LEN((LEFT(A197,SUM(LEN(A197)-LEN(SUBSTITUTE(A197,{"0","1","2"},"")))))))), 1)) * ROW(INDIRECT("1:"&amp;LEN((LEFT(A197,SUM(LEN(A197)-LEN(SUBSTITUTE(A197,{"0","1","2"},"")))))))), 0), ROW(INDIRECT("1:"&amp;LEN((LEFT(A197,SUM(LEN(A197)-LEN(SUBSTITUTE(A197,{"0","1","2"},"")))))))))+1, 1) * 10^ROW(INDIRECT("1:"&amp;LEN((LEFT(A197,SUM(LEN(A197)-LEN(SUBSTITUTE(A197,{"0","1","2"},""))))))))/10))*1+1&amp;""&amp;" to "&amp;""&amp;(SUMPRODUCT(MID(0&amp;(--TRIM(RIGHT(SUBSTITUTE(LEFT(A197,_xlfn.AGGREGATE(16,6,FIND({0,1,2,3,4,5,6,7,8,9},A197,ROW(INDIRECT("1:"&amp;LEN(A197)))),1))," ",REPT(" ",LEN(A197))),LEN(A197)))), LARGE(INDEX(ISNUMBER(--MID((--TRIM(RIGHT(SUBSTITUTE(LEFT(A197,_xlfn.AGGREGATE(16,6,FIND({0,1,2,3,4,5,6,7,8,9},A197,ROW(INDIRECT("1:"&amp;LEN(A197)))),1))," ",REPT(" ",LEN(A197))),LEN(A197)))), ROW(INDIRECT("1:"&amp;LEN((--TRIM(RIGHT(SUBSTITUTE(LEFT(A197,_xlfn.AGGREGATE(16,6,FIND({0,1,2,3,4,5,6,7,8,9},A197,ROW(INDIRECT("1:"&amp;LEN(A197)))),1))," ",REPT(" ",LEN(A197))),LEN(A197))))))), 1)) * ROW(INDIRECT("1:"&amp;LEN((--TRIM(RIGHT(SUBSTITUTE(LEFT(A197,_xlfn.AGGREGATE(16,6,FIND({0,1,2,3,4,5,6,7,8,9},A197,ROW(INDIRECT("1:"&amp;LEN(A197)))),1))," ",REPT(" ",LEN(A197))),LEN(A197))))))), 0), ROW(INDIRECT("1:"&amp;LEN((--TRIM(RIGHT(SUBSTITUTE(LEFT(A197,_xlfn.AGGREGATE(16,6,FIND({0,1,2,3,4,5,6,7,8,9},A197,ROW(INDIRECT("1:"&amp;LEN(A197)))),1))," ",REPT(" ",LEN(A197))),LEN(A197))))))))+1, 1) * 10^ROW(INDIRECT("1:"&amp;LEN((--TRIM(RIGHT(SUBSTITUTE(LEFT(A197,_xlfn.AGGREGATE(16,6,FIND({0,1,2,3,4,5,6,7,8,9},A197,ROW(INDIRECT("1:"&amp;LEN(A197)))),1))," ",REPT(" ",LEN(A197))),LEN(A197)))))))/10))*1+1</f>
        <v>102 to 402</v>
      </c>
      <c r="B198" s="135"/>
      <c r="C198" s="64" t="s">
        <v>196</v>
      </c>
      <c r="D198" s="64">
        <f>(46.55+8.88)*10.764</f>
        <v>596.64851999999996</v>
      </c>
      <c r="E198" s="64">
        <v>0</v>
      </c>
      <c r="F198" s="51">
        <v>920</v>
      </c>
      <c r="G198" s="104"/>
      <c r="H198" s="105"/>
      <c r="I198" s="46">
        <f t="shared" ref="I198:I261" si="3">F198/D198</f>
        <v>1.5419463371835735</v>
      </c>
      <c r="J198" s="36">
        <f>(2.75*4+2.5*1.95+3.1*2.75+1.97*0.5+3.1*2.75+2.1*0.5+1.2*2.05+1.2*2.05+2.4*0.9+0.9*0.9)</f>
        <v>42.849999999999994</v>
      </c>
      <c r="K198" s="36">
        <f>5.45+0.15*0.2+3.4*1</f>
        <v>8.8800000000000008</v>
      </c>
      <c r="L198" s="36">
        <v>917.88</v>
      </c>
      <c r="M198" s="35">
        <f>L198/D198</f>
        <v>1.5383931564935418</v>
      </c>
    </row>
    <row r="199" spans="1:14" s="36" customFormat="1" x14ac:dyDescent="0.3">
      <c r="A199" s="147" t="s">
        <v>197</v>
      </c>
      <c r="B199" s="148"/>
      <c r="C199" s="148"/>
      <c r="D199" s="148"/>
      <c r="E199" s="148"/>
      <c r="F199" s="148"/>
      <c r="G199" s="148"/>
      <c r="H199" s="149"/>
      <c r="I199" s="46" t="e">
        <f t="shared" si="3"/>
        <v>#DIV/0!</v>
      </c>
      <c r="J199" s="35"/>
    </row>
    <row r="200" spans="1:14" s="36" customFormat="1" ht="15.75" customHeight="1" x14ac:dyDescent="0.3">
      <c r="A200" s="147" t="s">
        <v>198</v>
      </c>
      <c r="B200" s="148"/>
      <c r="C200" s="148"/>
      <c r="D200" s="148"/>
      <c r="E200" s="148"/>
      <c r="F200" s="148"/>
      <c r="G200" s="148"/>
      <c r="H200" s="149"/>
      <c r="I200" s="46" t="e">
        <f t="shared" si="3"/>
        <v>#DIV/0!</v>
      </c>
      <c r="J200" s="35"/>
    </row>
    <row r="201" spans="1:14" s="36" customFormat="1" x14ac:dyDescent="0.3">
      <c r="A201" s="147" t="s">
        <v>200</v>
      </c>
      <c r="B201" s="148"/>
      <c r="C201" s="148"/>
      <c r="D201" s="148"/>
      <c r="E201" s="148"/>
      <c r="F201" s="148"/>
      <c r="G201" s="148"/>
      <c r="H201" s="149"/>
      <c r="I201" s="46" t="e">
        <f t="shared" si="3"/>
        <v>#DIV/0!</v>
      </c>
    </row>
    <row r="202" spans="1:14" s="36" customFormat="1" ht="15.75" customHeight="1" x14ac:dyDescent="0.3">
      <c r="A202" s="134" t="str">
        <f ca="1">(SUMPRODUCT(MID(0&amp;(LEFT(A201,SUM(LEN(A201)-LEN(SUBSTITUTE(A201,{"0","1","2"},""))))), LARGE(INDEX(ISNUMBER(--MID((LEFT(A201,SUM(LEN(A201)-LEN(SUBSTITUTE(A201,{"0","1","2"},""))))), ROW(INDIRECT("1:"&amp;LEN((LEFT(A201,SUM(LEN(A201)-LEN(SUBSTITUTE(A201,{"0","1","2"},"")))))))), 1)) * ROW(INDIRECT("1:"&amp;LEN((LEFT(A201,SUM(LEN(A201)-LEN(SUBSTITUTE(A201,{"0","1","2"},"")))))))), 0), ROW(INDIRECT("1:"&amp;LEN((LEFT(A201,SUM(LEN(A201)-LEN(SUBSTITUTE(A201,{"0","1","2"},"")))))))))+1, 1) * 10^ROW(INDIRECT("1:"&amp;LEN((LEFT(A201,SUM(LEN(A201)-LEN(SUBSTITUTE(A201,{"0","1","2"},""))))))))/10))*100+1&amp;""&amp;" &amp; "&amp;""&amp;(SUMPRODUCT(MID(0&amp;(--TRIM(RIGHT(SUBSTITUTE(LEFT(A201,_xlfn.AGGREGATE(16,6,FIND({0,1,2,3,4,5,6,7,8,9},A201,ROW(INDIRECT("1:"&amp;LEN(A201)))),1)),"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",LEN(A201))),LEN(A201)))))))/10))*100+1</f>
        <v>101 &amp; 301</v>
      </c>
      <c r="B202" s="135"/>
      <c r="C202" s="64" t="s">
        <v>195</v>
      </c>
      <c r="D202" s="64">
        <f>(29.34+2.85)*10.764</f>
        <v>346.49315999999993</v>
      </c>
      <c r="E202" s="64">
        <f>(2.83)*10.764</f>
        <v>30.462119999999999</v>
      </c>
      <c r="F202" s="52">
        <v>565</v>
      </c>
      <c r="G202" s="100" t="str">
        <f>A201</f>
        <v>1st &amp; 3rd Floor For Residential</v>
      </c>
      <c r="H202" s="101"/>
      <c r="I202" s="46">
        <f t="shared" si="3"/>
        <v>1.630623819529367</v>
      </c>
      <c r="J202" s="35">
        <f>F202*3900</f>
        <v>2203500</v>
      </c>
      <c r="K202" s="36">
        <f>2.85*1</f>
        <v>2.85</v>
      </c>
      <c r="L202" s="45">
        <v>533.04999999999995</v>
      </c>
      <c r="M202" s="46">
        <f>L202/D202</f>
        <v>1.5384142070798743</v>
      </c>
    </row>
    <row r="203" spans="1:14" s="36" customFormat="1" x14ac:dyDescent="0.3">
      <c r="A203" s="134" t="str">
        <f ca="1">(SUMPRODUCT(MID(0&amp;(LEFT(A202,SUM(LEN(A202)-LEN(SUBSTITUTE(A202,{"0","1","2"},""))))), LARGE(INDEX(ISNUMBER(--MID((LEFT(A202,SUM(LEN(A202)-LEN(SUBSTITUTE(A202,{"0","1","2"},""))))), ROW(INDIRECT("1:"&amp;LEN((LEFT(A202,SUM(LEN(A202)-LEN(SUBSTITUTE(A202,{"0","1","2"},"")))))))), 1)) * ROW(INDIRECT("1:"&amp;LEN((LEFT(A202,SUM(LEN(A202)-LEN(SUBSTITUTE(A202,{"0","1","2"},"")))))))), 0), ROW(INDIRECT("1:"&amp;LEN((LEFT(A202,SUM(LEN(A202)-LEN(SUBSTITUTE(A202,{"0","1","2"},"")))))))))+1, 1) * 10^ROW(INDIRECT("1:"&amp;LEN((LEFT(A202,SUM(LEN(A202)-LEN(SUBSTITUTE(A202,{"0","1","2"},""))))))))/10))*1+1&amp;""&amp;" &amp; "&amp;""&amp;(SUMPRODUCT(MID(0&amp;(--TRIM(RIGHT(SUBSTITUTE(LEFT(A202,_xlfn.AGGREGATE(16,6,FIND({0,1,2,3,4,5,6,7,8,9},A202,ROW(INDIRECT("1:"&amp;LEN(A202)))),1))," ",REPT(" ",LEN(A202))),LEN(A202)))), LARGE(INDEX(ISNUMBER(--MID((--TRIM(RIGHT(SUBSTITUTE(LEFT(A202,_xlfn.AGGREGATE(16,6,FIND({0,1,2,3,4,5,6,7,8,9},A202,ROW(INDIRECT("1:"&amp;LEN(A202)))),1))," ",REPT(" ",LEN(A202))),LEN(A202)))), ROW(INDIRECT("1:"&amp;LEN((--TRIM(RIGHT(SUBSTITUTE(LEFT(A202,_xlfn.AGGREGATE(16,6,FIND({0,1,2,3,4,5,6,7,8,9},A202,ROW(INDIRECT("1:"&amp;LEN(A202)))),1))," ",REPT(" ",LEN(A202))),LEN(A202))))))), 1)) * ROW(INDIRECT("1:"&amp;LEN((--TRIM(RIGHT(SUBSTITUTE(LEFT(A202,_xlfn.AGGREGATE(16,6,FIND({0,1,2,3,4,5,6,7,8,9},A202,ROW(INDIRECT("1:"&amp;LEN(A202)))),1))," ",REPT(" ",LEN(A202))),LEN(A202))))))), 0), ROW(INDIRECT("1:"&amp;LEN((--TRIM(RIGHT(SUBSTITUTE(LEFT(A202,_xlfn.AGGREGATE(16,6,FIND({0,1,2,3,4,5,6,7,8,9},A202,ROW(INDIRECT("1:"&amp;LEN(A202)))),1))," ",REPT(" ",LEN(A202))),LEN(A202))))))))+1, 1) * 10^ROW(INDIRECT("1:"&amp;LEN((--TRIM(RIGHT(SUBSTITUTE(LEFT(A202,_xlfn.AGGREGATE(16,6,FIND({0,1,2,3,4,5,6,7,8,9},A202,ROW(INDIRECT("1:"&amp;LEN(A202)))),1))," ",REPT(" ",LEN(A202))),LEN(A202)))))))/10))*1+1</f>
        <v>102 &amp; 302</v>
      </c>
      <c r="B203" s="135"/>
      <c r="C203" s="64" t="s">
        <v>195</v>
      </c>
      <c r="D203" s="64">
        <f>(28.9+5.1)*10.764</f>
        <v>365.976</v>
      </c>
      <c r="E203" s="64">
        <f>(4.44)*10.764</f>
        <v>47.792160000000003</v>
      </c>
      <c r="F203" s="51">
        <v>610</v>
      </c>
      <c r="G203" s="102"/>
      <c r="H203" s="103"/>
      <c r="I203" s="46">
        <f t="shared" si="3"/>
        <v>1.6667759634511552</v>
      </c>
      <c r="J203" s="35">
        <f t="shared" ref="J203:J206" si="4">F203*3900</f>
        <v>2379000</v>
      </c>
      <c r="L203" s="36">
        <v>563.02</v>
      </c>
      <c r="M203" s="46">
        <f t="shared" ref="M203:M206" si="5">L203/D203</f>
        <v>1.5384068900692942</v>
      </c>
    </row>
    <row r="204" spans="1:14" s="36" customFormat="1" x14ac:dyDescent="0.3">
      <c r="A204" s="134" t="str">
        <f ca="1">(SUMPRODUCT(MID(0&amp;(LEFT(A203,SUM(LEN(A203)-LEN(SUBSTITUTE(A203,{"0","1","2"},""))))), LARGE(INDEX(ISNUMBER(--MID((LEFT(A203,SUM(LEN(A203)-LEN(SUBSTITUTE(A203,{"0","1","2"},""))))), ROW(INDIRECT("1:"&amp;LEN((LEFT(A203,SUM(LEN(A203)-LEN(SUBSTITUTE(A203,{"0","1","2"},"")))))))), 1)) * ROW(INDIRECT("1:"&amp;LEN((LEFT(A203,SUM(LEN(A203)-LEN(SUBSTITUTE(A203,{"0","1","2"},"")))))))), 0), ROW(INDIRECT("1:"&amp;LEN((LEFT(A203,SUM(LEN(A203)-LEN(SUBSTITUTE(A203,{"0","1","2"},"")))))))))+1, 1) * 10^ROW(INDIRECT("1:"&amp;LEN((LEFT(A203,SUM(LEN(A203)-LEN(SUBSTITUTE(A203,{"0","1","2"},""))))))))/10))*1+1&amp;""&amp;" &amp; "&amp;""&amp;(SUMPRODUCT(MID(0&amp;(--TRIM(RIGHT(SUBSTITUTE(LEFT(A203,_xlfn.AGGREGATE(16,6,FIND({0,1,2,3,4,5,6,7,8,9},A203,ROW(INDIRECT("1:"&amp;LEN(A203)))),1))," ",REPT(" ",LEN(A203))),LEN(A203)))), LARGE(INDEX(ISNUMBER(--MID((--TRIM(RIGHT(SUBSTITUTE(LEFT(A203,_xlfn.AGGREGATE(16,6,FIND({0,1,2,3,4,5,6,7,8,9},A203,ROW(INDIRECT("1:"&amp;LEN(A203)))),1))," ",REPT(" ",LEN(A203))),LEN(A203)))), ROW(INDIRECT("1:"&amp;LEN((--TRIM(RIGHT(SUBSTITUTE(LEFT(A203,_xlfn.AGGREGATE(16,6,FIND({0,1,2,3,4,5,6,7,8,9},A203,ROW(INDIRECT("1:"&amp;LEN(A203)))),1))," ",REPT(" ",LEN(A203))),LEN(A203))))))), 1)) * ROW(INDIRECT("1:"&amp;LEN((--TRIM(RIGHT(SUBSTITUTE(LEFT(A203,_xlfn.AGGREGATE(16,6,FIND({0,1,2,3,4,5,6,7,8,9},A203,ROW(INDIRECT("1:"&amp;LEN(A203)))),1))," ",REPT(" ",LEN(A203))),LEN(A203))))))), 0), ROW(INDIRECT("1:"&amp;LEN((--TRIM(RIGHT(SUBSTITUTE(LEFT(A203,_xlfn.AGGREGATE(16,6,FIND({0,1,2,3,4,5,6,7,8,9},A203,ROW(INDIRECT("1:"&amp;LEN(A203)))),1))," ",REPT(" ",LEN(A203))),LEN(A203))))))))+1, 1) * 10^ROW(INDIRECT("1:"&amp;LEN((--TRIM(RIGHT(SUBSTITUTE(LEFT(A203,_xlfn.AGGREGATE(16,6,FIND({0,1,2,3,4,5,6,7,8,9},A203,ROW(INDIRECT("1:"&amp;LEN(A203)))),1))," ",REPT(" ",LEN(A203))),LEN(A203)))))))/10))*1+1</f>
        <v>103 &amp; 303</v>
      </c>
      <c r="B204" s="135"/>
      <c r="C204" s="64" t="s">
        <v>195</v>
      </c>
      <c r="D204" s="64">
        <f>(30.8+2.96)*10.764</f>
        <v>363.39263999999997</v>
      </c>
      <c r="E204" s="64">
        <f>(4.54)*10.764</f>
        <v>48.868559999999995</v>
      </c>
      <c r="F204" s="51">
        <v>610</v>
      </c>
      <c r="G204" s="102"/>
      <c r="H204" s="103"/>
      <c r="I204" s="46">
        <f t="shared" si="3"/>
        <v>1.6786250816747419</v>
      </c>
      <c r="J204" s="35">
        <f t="shared" si="4"/>
        <v>2379000</v>
      </c>
      <c r="L204" s="36">
        <v>558.96</v>
      </c>
      <c r="M204" s="46">
        <f t="shared" si="5"/>
        <v>1.5381709436933013</v>
      </c>
    </row>
    <row r="205" spans="1:14" s="36" customFormat="1" x14ac:dyDescent="0.3">
      <c r="A205" s="134" t="str">
        <f ca="1">(SUMPRODUCT(MID(0&amp;(LEFT(A204,SUM(LEN(A204)-LEN(SUBSTITUTE(A204,{"0","1","2"},""))))), LARGE(INDEX(ISNUMBER(--MID((LEFT(A204,SUM(LEN(A204)-LEN(SUBSTITUTE(A204,{"0","1","2"},""))))), ROW(INDIRECT("1:"&amp;LEN((LEFT(A204,SUM(LEN(A204)-LEN(SUBSTITUTE(A204,{"0","1","2"},"")))))))), 1)) * ROW(INDIRECT("1:"&amp;LEN((LEFT(A204,SUM(LEN(A204)-LEN(SUBSTITUTE(A204,{"0","1","2"},"")))))))), 0), ROW(INDIRECT("1:"&amp;LEN((LEFT(A204,SUM(LEN(A204)-LEN(SUBSTITUTE(A204,{"0","1","2"},"")))))))))+1, 1) * 10^ROW(INDIRECT("1:"&amp;LEN((LEFT(A204,SUM(LEN(A204)-LEN(SUBSTITUTE(A204,{"0","1","2"},""))))))))/10))*1+1&amp;""&amp;" &amp; "&amp;""&amp;(SUMPRODUCT(MID(0&amp;(--TRIM(RIGHT(SUBSTITUTE(LEFT(A204,_xlfn.AGGREGATE(16,6,FIND({0,1,2,3,4,5,6,7,8,9},A204,ROW(INDIRECT("1:"&amp;LEN(A204)))),1))," ",REPT(" ",LEN(A204))),LEN(A204)))), LARGE(INDEX(ISNUMBER(--MID((--TRIM(RIGHT(SUBSTITUTE(LEFT(A204,_xlfn.AGGREGATE(16,6,FIND({0,1,2,3,4,5,6,7,8,9},A204,ROW(INDIRECT("1:"&amp;LEN(A204)))),1))," ",REPT(" ",LEN(A204))),LEN(A204)))), ROW(INDIRECT("1:"&amp;LEN((--TRIM(RIGHT(SUBSTITUTE(LEFT(A204,_xlfn.AGGREGATE(16,6,FIND({0,1,2,3,4,5,6,7,8,9},A204,ROW(INDIRECT("1:"&amp;LEN(A204)))),1))," ",REPT(" ",LEN(A204))),LEN(A204))))))), 1)) * ROW(INDIRECT("1:"&amp;LEN((--TRIM(RIGHT(SUBSTITUTE(LEFT(A204,_xlfn.AGGREGATE(16,6,FIND({0,1,2,3,4,5,6,7,8,9},A204,ROW(INDIRECT("1:"&amp;LEN(A204)))),1))," ",REPT(" ",LEN(A204))),LEN(A204))))))), 0), ROW(INDIRECT("1:"&amp;LEN((--TRIM(RIGHT(SUBSTITUTE(LEFT(A204,_xlfn.AGGREGATE(16,6,FIND({0,1,2,3,4,5,6,7,8,9},A204,ROW(INDIRECT("1:"&amp;LEN(A204)))),1))," ",REPT(" ",LEN(A204))),LEN(A204))))))))+1, 1) * 10^ROW(INDIRECT("1:"&amp;LEN((--TRIM(RIGHT(SUBSTITUTE(LEFT(A204,_xlfn.AGGREGATE(16,6,FIND({0,1,2,3,4,5,6,7,8,9},A204,ROW(INDIRECT("1:"&amp;LEN(A204)))),1))," ",REPT(" ",LEN(A204))),LEN(A204)))))))/10))*1+1</f>
        <v>104 &amp; 304</v>
      </c>
      <c r="B205" s="135"/>
      <c r="C205" s="64" t="s">
        <v>195</v>
      </c>
      <c r="D205" s="64">
        <f>(28.9+5.1)*10.764</f>
        <v>365.976</v>
      </c>
      <c r="E205" s="64">
        <f>(5.4)*10.764</f>
        <v>58.125599999999999</v>
      </c>
      <c r="F205" s="51">
        <v>620</v>
      </c>
      <c r="G205" s="102"/>
      <c r="H205" s="103"/>
      <c r="I205" s="46">
        <f t="shared" si="3"/>
        <v>1.6941001595733054</v>
      </c>
      <c r="J205" s="35">
        <f t="shared" si="4"/>
        <v>2418000</v>
      </c>
      <c r="L205" s="36">
        <v>563.02</v>
      </c>
      <c r="M205" s="46">
        <f t="shared" si="5"/>
        <v>1.5384068900692942</v>
      </c>
    </row>
    <row r="206" spans="1:14" s="36" customFormat="1" x14ac:dyDescent="0.3">
      <c r="A206" s="134" t="str">
        <f ca="1">(SUMPRODUCT(MID(0&amp;(LEFT(A205,SUM(LEN(A205)-LEN(SUBSTITUTE(A205,{"0","1","2"},""))))), LARGE(INDEX(ISNUMBER(--MID((LEFT(A205,SUM(LEN(A205)-LEN(SUBSTITUTE(A205,{"0","1","2"},""))))), ROW(INDIRECT("1:"&amp;LEN((LEFT(A205,SUM(LEN(A205)-LEN(SUBSTITUTE(A205,{"0","1","2"},"")))))))), 1)) * ROW(INDIRECT("1:"&amp;LEN((LEFT(A205,SUM(LEN(A205)-LEN(SUBSTITUTE(A205,{"0","1","2"},"")))))))), 0), ROW(INDIRECT("1:"&amp;LEN((LEFT(A205,SUM(LEN(A205)-LEN(SUBSTITUTE(A205,{"0","1","2"},"")))))))))+1, 1) * 10^ROW(INDIRECT("1:"&amp;LEN((LEFT(A205,SUM(LEN(A205)-LEN(SUBSTITUTE(A205,{"0","1","2"},""))))))))/10))*1+1&amp;""&amp;" &amp; "&amp;""&amp;(SUMPRODUCT(MID(0&amp;(--TRIM(RIGHT(SUBSTITUTE(LEFT(A205,_xlfn.AGGREGATE(16,6,FIND({0,1,2,3,4,5,6,7,8,9},A205,ROW(INDIRECT("1:"&amp;LEN(A205)))),1))," ",REPT(" ",LEN(A205))),LEN(A205)))), LARGE(INDEX(ISNUMBER(--MID((--TRIM(RIGHT(SUBSTITUTE(LEFT(A205,_xlfn.AGGREGATE(16,6,FIND({0,1,2,3,4,5,6,7,8,9},A205,ROW(INDIRECT("1:"&amp;LEN(A205)))),1))," ",REPT(" ",LEN(A205))),LEN(A205)))), ROW(INDIRECT("1:"&amp;LEN((--TRIM(RIGHT(SUBSTITUTE(LEFT(A205,_xlfn.AGGREGATE(16,6,FIND({0,1,2,3,4,5,6,7,8,9},A205,ROW(INDIRECT("1:"&amp;LEN(A205)))),1))," ",REPT(" ",LEN(A205))),LEN(A205))))))), 1)) * ROW(INDIRECT("1:"&amp;LEN((--TRIM(RIGHT(SUBSTITUTE(LEFT(A205,_xlfn.AGGREGATE(16,6,FIND({0,1,2,3,4,5,6,7,8,9},A205,ROW(INDIRECT("1:"&amp;LEN(A205)))),1))," ",REPT(" ",LEN(A205))),LEN(A205))))))), 0), ROW(INDIRECT("1:"&amp;LEN((--TRIM(RIGHT(SUBSTITUTE(LEFT(A205,_xlfn.AGGREGATE(16,6,FIND({0,1,2,3,4,5,6,7,8,9},A205,ROW(INDIRECT("1:"&amp;LEN(A205)))),1))," ",REPT(" ",LEN(A205))),LEN(A205))))))))+1, 1) * 10^ROW(INDIRECT("1:"&amp;LEN((--TRIM(RIGHT(SUBSTITUTE(LEFT(A205,_xlfn.AGGREGATE(16,6,FIND({0,1,2,3,4,5,6,7,8,9},A205,ROW(INDIRECT("1:"&amp;LEN(A205)))),1))," ",REPT(" ",LEN(A205))),LEN(A205)))))))/10))*1+1</f>
        <v>105 &amp; 305</v>
      </c>
      <c r="B206" s="135"/>
      <c r="C206" s="64" t="s">
        <v>196</v>
      </c>
      <c r="D206" s="64">
        <f>(36.42+5.7)*10.764</f>
        <v>453.37968000000001</v>
      </c>
      <c r="E206" s="64">
        <f>(5.94)*10.764</f>
        <v>63.938160000000003</v>
      </c>
      <c r="F206" s="51">
        <v>760</v>
      </c>
      <c r="G206" s="104"/>
      <c r="H206" s="105"/>
      <c r="I206" s="46">
        <f t="shared" si="3"/>
        <v>1.6762992112923985</v>
      </c>
      <c r="J206" s="35">
        <f t="shared" si="4"/>
        <v>2964000</v>
      </c>
      <c r="L206" s="36">
        <v>697.48</v>
      </c>
      <c r="M206" s="46">
        <f t="shared" si="5"/>
        <v>1.538401544595029</v>
      </c>
    </row>
    <row r="207" spans="1:14" s="36" customFormat="1" x14ac:dyDescent="0.3">
      <c r="A207" s="147" t="s">
        <v>205</v>
      </c>
      <c r="B207" s="148"/>
      <c r="C207" s="148"/>
      <c r="D207" s="148"/>
      <c r="E207" s="148"/>
      <c r="F207" s="148"/>
      <c r="G207" s="148"/>
      <c r="H207" s="149"/>
      <c r="I207" s="46" t="e">
        <f t="shared" si="3"/>
        <v>#DIV/0!</v>
      </c>
    </row>
    <row r="208" spans="1:14" s="36" customFormat="1" ht="15.75" customHeight="1" x14ac:dyDescent="0.3">
      <c r="A208" s="134" t="str">
        <f ca="1">(SUMPRODUCT(MID(0&amp;(LEFT(A207,SUM(LEN(A207)-LEN(SUBSTITUTE(A207,{"0","1","2"},""))))), LARGE(INDEX(ISNUMBER(--MID((LEFT(A207,SUM(LEN(A207)-LEN(SUBSTITUTE(A207,{"0","1","2"},""))))), ROW(INDIRECT("1:"&amp;LEN((LEFT(A207,SUM(LEN(A207)-LEN(SUBSTITUTE(A207,{"0","1","2"},"")))))))), 1)) * ROW(INDIRECT("1:"&amp;LEN((LEFT(A207,SUM(LEN(A207)-LEN(SUBSTITUTE(A207,{"0","1","2"},"")))))))), 0), ROW(INDIRECT("1:"&amp;LEN((LEFT(A207,SUM(LEN(A207)-LEN(SUBSTITUTE(A207,{"0","1","2"},"")))))))))+1, 1) * 10^ROW(INDIRECT("1:"&amp;LEN((LEFT(A207,SUM(LEN(A207)-LEN(SUBSTITUTE(A207,{"0","1","2"},""))))))))/10))*100+1&amp;""&amp;" &amp; "&amp;""&amp;(SUMPRODUCT(MID(0&amp;(--TRIM(RIGHT(SUBSTITUTE(LEFT(A207,_xlfn.AGGREGATE(16,6,FIND({0,1,2,3,4,5,6,7,8,9},A207,ROW(INDIRECT("1:"&amp;LEN(A207)))),1))," ",REPT(" ",LEN(A207))),LEN(A207)))), LARGE(INDEX(ISNUMBER(--MID((--TRIM(RIGHT(SUBSTITUTE(LEFT(A207,_xlfn.AGGREGATE(16,6,FIND({0,1,2,3,4,5,6,7,8,9},A207,ROW(INDIRECT("1:"&amp;LEN(A207)))),1))," ",REPT(" ",LEN(A207))),LEN(A207)))), ROW(INDIRECT("1:"&amp;LEN((--TRIM(RIGHT(SUBSTITUTE(LEFT(A207,_xlfn.AGGREGATE(16,6,FIND({0,1,2,3,4,5,6,7,8,9},A207,ROW(INDIRECT("1:"&amp;LEN(A207)))),1))," ",REPT(" ",LEN(A207))),LEN(A207))))))), 1)) * ROW(INDIRECT("1:"&amp;LEN((--TRIM(RIGHT(SUBSTITUTE(LEFT(A207,_xlfn.AGGREGATE(16,6,FIND({0,1,2,3,4,5,6,7,8,9},A207,ROW(INDIRECT("1:"&amp;LEN(A207)))),1))," ",REPT(" ",LEN(A207))),LEN(A207))))))), 0), ROW(INDIRECT("1:"&amp;LEN((--TRIM(RIGHT(SUBSTITUTE(LEFT(A207,_xlfn.AGGREGATE(16,6,FIND({0,1,2,3,4,5,6,7,8,9},A207,ROW(INDIRECT("1:"&amp;LEN(A207)))),1))," ",REPT(" ",LEN(A207))),LEN(A207))))))))+1, 1) * 10^ROW(INDIRECT("1:"&amp;LEN((--TRIM(RIGHT(SUBSTITUTE(LEFT(A207,_xlfn.AGGREGATE(16,6,FIND({0,1,2,3,4,5,6,7,8,9},A207,ROW(INDIRECT("1:"&amp;LEN(A207)))),1))," ",REPT(" ",LEN(A207))),LEN(A207)))))))/10))*100+1</f>
        <v>201 &amp; 401</v>
      </c>
      <c r="B208" s="135"/>
      <c r="C208" s="64" t="s">
        <v>195</v>
      </c>
      <c r="D208" s="64">
        <f>(29.34+2.85)*10.764</f>
        <v>346.49315999999993</v>
      </c>
      <c r="E208" s="64">
        <v>0</v>
      </c>
      <c r="F208" s="52">
        <v>535</v>
      </c>
      <c r="G208" s="100" t="str">
        <f>A207</f>
        <v>2nd &amp; 4th Floor</v>
      </c>
      <c r="H208" s="101"/>
      <c r="I208" s="46">
        <f t="shared" si="3"/>
        <v>1.5440420238021439</v>
      </c>
    </row>
    <row r="209" spans="1:14" s="36" customFormat="1" x14ac:dyDescent="0.3">
      <c r="A209" s="134" t="str">
        <f ca="1">(SUMPRODUCT(MID(0&amp;(LEFT(A208,SUM(LEN(A208)-LEN(SUBSTITUTE(A208,{"0","1","2"},""))))), LARGE(INDEX(ISNUMBER(--MID((LEFT(A208,SUM(LEN(A208)-LEN(SUBSTITUTE(A208,{"0","1","2"},""))))), ROW(INDIRECT("1:"&amp;LEN((LEFT(A208,SUM(LEN(A208)-LEN(SUBSTITUTE(A208,{"0","1","2"},"")))))))), 1)) * ROW(INDIRECT("1:"&amp;LEN((LEFT(A208,SUM(LEN(A208)-LEN(SUBSTITUTE(A208,{"0","1","2"},"")))))))), 0), ROW(INDIRECT("1:"&amp;LEN((LEFT(A208,SUM(LEN(A208)-LEN(SUBSTITUTE(A208,{"0","1","2"},"")))))))))+1, 1) * 10^ROW(INDIRECT("1:"&amp;LEN((LEFT(A208,SUM(LEN(A208)-LEN(SUBSTITUTE(A208,{"0","1","2"},""))))))))/10))*1+1&amp;""&amp;" &amp; "&amp;""&amp;(SUMPRODUCT(MID(0&amp;(--TRIM(RIGHT(SUBSTITUTE(LEFT(A208,_xlfn.AGGREGATE(16,6,FIND({0,1,2,3,4,5,6,7,8,9},A208,ROW(INDIRECT("1:"&amp;LEN(A208)))),1))," ",REPT(" ",LEN(A208))),LEN(A208)))), LARGE(INDEX(ISNUMBER(--MID((--TRIM(RIGHT(SUBSTITUTE(LEFT(A208,_xlfn.AGGREGATE(16,6,FIND({0,1,2,3,4,5,6,7,8,9},A208,ROW(INDIRECT("1:"&amp;LEN(A208)))),1))," ",REPT(" ",LEN(A208))),LEN(A208)))), ROW(INDIRECT("1:"&amp;LEN((--TRIM(RIGHT(SUBSTITUTE(LEFT(A208,_xlfn.AGGREGATE(16,6,FIND({0,1,2,3,4,5,6,7,8,9},A208,ROW(INDIRECT("1:"&amp;LEN(A208)))),1))," ",REPT(" ",LEN(A208))),LEN(A208))))))), 1)) * ROW(INDIRECT("1:"&amp;LEN((--TRIM(RIGHT(SUBSTITUTE(LEFT(A208,_xlfn.AGGREGATE(16,6,FIND({0,1,2,3,4,5,6,7,8,9},A208,ROW(INDIRECT("1:"&amp;LEN(A208)))),1))," ",REPT(" ",LEN(A208))),LEN(A208))))))), 0), ROW(INDIRECT("1:"&amp;LEN((--TRIM(RIGHT(SUBSTITUTE(LEFT(A208,_xlfn.AGGREGATE(16,6,FIND({0,1,2,3,4,5,6,7,8,9},A208,ROW(INDIRECT("1:"&amp;LEN(A208)))),1))," ",REPT(" ",LEN(A208))),LEN(A208))))))))+1, 1) * 10^ROW(INDIRECT("1:"&amp;LEN((--TRIM(RIGHT(SUBSTITUTE(LEFT(A208,_xlfn.AGGREGATE(16,6,FIND({0,1,2,3,4,5,6,7,8,9},A208,ROW(INDIRECT("1:"&amp;LEN(A208)))),1))," ",REPT(" ",LEN(A208))),LEN(A208)))))))/10))*1+1</f>
        <v>202 &amp; 402</v>
      </c>
      <c r="B209" s="135"/>
      <c r="C209" s="64" t="s">
        <v>195</v>
      </c>
      <c r="D209" s="64">
        <f>(28.9+5.1)*10.764</f>
        <v>365.976</v>
      </c>
      <c r="E209" s="64">
        <v>0</v>
      </c>
      <c r="F209" s="51">
        <v>565</v>
      </c>
      <c r="G209" s="102"/>
      <c r="H209" s="103"/>
      <c r="I209" s="46">
        <f t="shared" si="3"/>
        <v>1.54381708090148</v>
      </c>
    </row>
    <row r="210" spans="1:14" s="36" customFormat="1" x14ac:dyDescent="0.3">
      <c r="A210" s="134" t="str">
        <f ca="1">(SUMPRODUCT(MID(0&amp;(LEFT(A209,SUM(LEN(A209)-LEN(SUBSTITUTE(A209,{"0","1","2"},""))))), LARGE(INDEX(ISNUMBER(--MID((LEFT(A209,SUM(LEN(A209)-LEN(SUBSTITUTE(A209,{"0","1","2"},""))))), ROW(INDIRECT("1:"&amp;LEN((LEFT(A209,SUM(LEN(A209)-LEN(SUBSTITUTE(A209,{"0","1","2"},"")))))))), 1)) * ROW(INDIRECT("1:"&amp;LEN((LEFT(A209,SUM(LEN(A209)-LEN(SUBSTITUTE(A209,{"0","1","2"},"")))))))), 0), ROW(INDIRECT("1:"&amp;LEN((LEFT(A209,SUM(LEN(A209)-LEN(SUBSTITUTE(A209,{"0","1","2"},"")))))))))+1, 1) * 10^ROW(INDIRECT("1:"&amp;LEN((LEFT(A209,SUM(LEN(A209)-LEN(SUBSTITUTE(A209,{"0","1","2"},""))))))))/10))*1+1&amp;""&amp;" &amp; "&amp;""&amp;(SUMPRODUCT(MID(0&amp;(--TRIM(RIGHT(SUBSTITUTE(LEFT(A209,_xlfn.AGGREGATE(16,6,FIND({0,1,2,3,4,5,6,7,8,9},A209,ROW(INDIRECT("1:"&amp;LEN(A209)))),1))," ",REPT(" ",LEN(A209))),LEN(A209)))), LARGE(INDEX(ISNUMBER(--MID((--TRIM(RIGHT(SUBSTITUTE(LEFT(A209,_xlfn.AGGREGATE(16,6,FIND({0,1,2,3,4,5,6,7,8,9},A209,ROW(INDIRECT("1:"&amp;LEN(A209)))),1))," ",REPT(" ",LEN(A209))),LEN(A209)))), ROW(INDIRECT("1:"&amp;LEN((--TRIM(RIGHT(SUBSTITUTE(LEFT(A209,_xlfn.AGGREGATE(16,6,FIND({0,1,2,3,4,5,6,7,8,9},A209,ROW(INDIRECT("1:"&amp;LEN(A209)))),1))," ",REPT(" ",LEN(A209))),LEN(A209))))))), 1)) * ROW(INDIRECT("1:"&amp;LEN((--TRIM(RIGHT(SUBSTITUTE(LEFT(A209,_xlfn.AGGREGATE(16,6,FIND({0,1,2,3,4,5,6,7,8,9},A209,ROW(INDIRECT("1:"&amp;LEN(A209)))),1))," ",REPT(" ",LEN(A209))),LEN(A209))))))), 0), ROW(INDIRECT("1:"&amp;LEN((--TRIM(RIGHT(SUBSTITUTE(LEFT(A209,_xlfn.AGGREGATE(16,6,FIND({0,1,2,3,4,5,6,7,8,9},A209,ROW(INDIRECT("1:"&amp;LEN(A209)))),1))," ",REPT(" ",LEN(A209))),LEN(A209))))))))+1, 1) * 10^ROW(INDIRECT("1:"&amp;LEN((--TRIM(RIGHT(SUBSTITUTE(LEFT(A209,_xlfn.AGGREGATE(16,6,FIND({0,1,2,3,4,5,6,7,8,9},A209,ROW(INDIRECT("1:"&amp;LEN(A209)))),1))," ",REPT(" ",LEN(A209))),LEN(A209)))))))/10))*1+1</f>
        <v>203 &amp; 403</v>
      </c>
      <c r="B210" s="135"/>
      <c r="C210" s="64" t="s">
        <v>195</v>
      </c>
      <c r="D210" s="64">
        <f>(30.8+2.96)*10.764</f>
        <v>363.39263999999997</v>
      </c>
      <c r="E210" s="64">
        <v>0</v>
      </c>
      <c r="F210" s="51">
        <v>560</v>
      </c>
      <c r="G210" s="102"/>
      <c r="H210" s="103"/>
      <c r="I210" s="46">
        <f t="shared" si="3"/>
        <v>1.5410328618653368</v>
      </c>
    </row>
    <row r="211" spans="1:14" s="36" customFormat="1" x14ac:dyDescent="0.3">
      <c r="A211" s="134" t="str">
        <f ca="1">(SUMPRODUCT(MID(0&amp;(LEFT(A210,SUM(LEN(A210)-LEN(SUBSTITUTE(A210,{"0","1","2"},""))))), LARGE(INDEX(ISNUMBER(--MID((LEFT(A210,SUM(LEN(A210)-LEN(SUBSTITUTE(A210,{"0","1","2"},""))))), ROW(INDIRECT("1:"&amp;LEN((LEFT(A210,SUM(LEN(A210)-LEN(SUBSTITUTE(A210,{"0","1","2"},"")))))))), 1)) * ROW(INDIRECT("1:"&amp;LEN((LEFT(A210,SUM(LEN(A210)-LEN(SUBSTITUTE(A210,{"0","1","2"},"")))))))), 0), ROW(INDIRECT("1:"&amp;LEN((LEFT(A210,SUM(LEN(A210)-LEN(SUBSTITUTE(A210,{"0","1","2"},"")))))))))+1, 1) * 10^ROW(INDIRECT("1:"&amp;LEN((LEFT(A210,SUM(LEN(A210)-LEN(SUBSTITUTE(A210,{"0","1","2"},""))))))))/10))*1+1&amp;""&amp;" &amp; "&amp;""&amp;(SUMPRODUCT(MID(0&amp;(--TRIM(RIGHT(SUBSTITUTE(LEFT(A210,_xlfn.AGGREGATE(16,6,FIND({0,1,2,3,4,5,6,7,8,9},A210,ROW(INDIRECT("1:"&amp;LEN(A210)))),1))," ",REPT(" ",LEN(A210))),LEN(A210)))), LARGE(INDEX(ISNUMBER(--MID((--TRIM(RIGHT(SUBSTITUTE(LEFT(A210,_xlfn.AGGREGATE(16,6,FIND({0,1,2,3,4,5,6,7,8,9},A210,ROW(INDIRECT("1:"&amp;LEN(A210)))),1))," ",REPT(" ",LEN(A210))),LEN(A210)))), ROW(INDIRECT("1:"&amp;LEN((--TRIM(RIGHT(SUBSTITUTE(LEFT(A210,_xlfn.AGGREGATE(16,6,FIND({0,1,2,3,4,5,6,7,8,9},A210,ROW(INDIRECT("1:"&amp;LEN(A210)))),1))," ",REPT(" ",LEN(A210))),LEN(A210))))))), 1)) * ROW(INDIRECT("1:"&amp;LEN((--TRIM(RIGHT(SUBSTITUTE(LEFT(A210,_xlfn.AGGREGATE(16,6,FIND({0,1,2,3,4,5,6,7,8,9},A210,ROW(INDIRECT("1:"&amp;LEN(A210)))),1))," ",REPT(" ",LEN(A210))),LEN(A210))))))), 0), ROW(INDIRECT("1:"&amp;LEN((--TRIM(RIGHT(SUBSTITUTE(LEFT(A210,_xlfn.AGGREGATE(16,6,FIND({0,1,2,3,4,5,6,7,8,9},A210,ROW(INDIRECT("1:"&amp;LEN(A210)))),1))," ",REPT(" ",LEN(A210))),LEN(A210))))))))+1, 1) * 10^ROW(INDIRECT("1:"&amp;LEN((--TRIM(RIGHT(SUBSTITUTE(LEFT(A210,_xlfn.AGGREGATE(16,6,FIND({0,1,2,3,4,5,6,7,8,9},A210,ROW(INDIRECT("1:"&amp;LEN(A210)))),1))," ",REPT(" ",LEN(A210))),LEN(A210)))))))/10))*1+1</f>
        <v>204 &amp; 404</v>
      </c>
      <c r="B211" s="135"/>
      <c r="C211" s="64" t="s">
        <v>195</v>
      </c>
      <c r="D211" s="64">
        <f>(28.9+5.1)*10.764</f>
        <v>365.976</v>
      </c>
      <c r="E211" s="64">
        <v>0</v>
      </c>
      <c r="F211" s="51">
        <v>565</v>
      </c>
      <c r="G211" s="102"/>
      <c r="H211" s="103"/>
      <c r="I211" s="46">
        <f t="shared" si="3"/>
        <v>1.54381708090148</v>
      </c>
    </row>
    <row r="212" spans="1:14" s="36" customFormat="1" x14ac:dyDescent="0.3">
      <c r="A212" s="134" t="str">
        <f ca="1">(SUMPRODUCT(MID(0&amp;(LEFT(A211,SUM(LEN(A211)-LEN(SUBSTITUTE(A211,{"0","1","2"},""))))), LARGE(INDEX(ISNUMBER(--MID((LEFT(A211,SUM(LEN(A211)-LEN(SUBSTITUTE(A211,{"0","1","2"},""))))), ROW(INDIRECT("1:"&amp;LEN((LEFT(A211,SUM(LEN(A211)-LEN(SUBSTITUTE(A211,{"0","1","2"},"")))))))), 1)) * ROW(INDIRECT("1:"&amp;LEN((LEFT(A211,SUM(LEN(A211)-LEN(SUBSTITUTE(A211,{"0","1","2"},"")))))))), 0), ROW(INDIRECT("1:"&amp;LEN((LEFT(A211,SUM(LEN(A211)-LEN(SUBSTITUTE(A211,{"0","1","2"},"")))))))))+1, 1) * 10^ROW(INDIRECT("1:"&amp;LEN((LEFT(A211,SUM(LEN(A211)-LEN(SUBSTITUTE(A211,{"0","1","2"},""))))))))/10))*1+1&amp;""&amp;" &amp; "&amp;""&amp;(SUMPRODUCT(MID(0&amp;(--TRIM(RIGHT(SUBSTITUTE(LEFT(A211,_xlfn.AGGREGATE(16,6,FIND({0,1,2,3,4,5,6,7,8,9},A211,ROW(INDIRECT("1:"&amp;LEN(A211)))),1))," ",REPT(" ",LEN(A211))),LEN(A211)))), LARGE(INDEX(ISNUMBER(--MID((--TRIM(RIGHT(SUBSTITUTE(LEFT(A211,_xlfn.AGGREGATE(16,6,FIND({0,1,2,3,4,5,6,7,8,9},A211,ROW(INDIRECT("1:"&amp;LEN(A211)))),1))," ",REPT(" ",LEN(A211))),LEN(A211)))), ROW(INDIRECT("1:"&amp;LEN((--TRIM(RIGHT(SUBSTITUTE(LEFT(A211,_xlfn.AGGREGATE(16,6,FIND({0,1,2,3,4,5,6,7,8,9},A211,ROW(INDIRECT("1:"&amp;LEN(A211)))),1))," ",REPT(" ",LEN(A211))),LEN(A211))))))), 1)) * ROW(INDIRECT("1:"&amp;LEN((--TRIM(RIGHT(SUBSTITUTE(LEFT(A211,_xlfn.AGGREGATE(16,6,FIND({0,1,2,3,4,5,6,7,8,9},A211,ROW(INDIRECT("1:"&amp;LEN(A211)))),1))," ",REPT(" ",LEN(A211))),LEN(A211))))))), 0), ROW(INDIRECT("1:"&amp;LEN((--TRIM(RIGHT(SUBSTITUTE(LEFT(A211,_xlfn.AGGREGATE(16,6,FIND({0,1,2,3,4,5,6,7,8,9},A211,ROW(INDIRECT("1:"&amp;LEN(A211)))),1))," ",REPT(" ",LEN(A211))),LEN(A211))))))))+1, 1) * 10^ROW(INDIRECT("1:"&amp;LEN((--TRIM(RIGHT(SUBSTITUTE(LEFT(A211,_xlfn.AGGREGATE(16,6,FIND({0,1,2,3,4,5,6,7,8,9},A211,ROW(INDIRECT("1:"&amp;LEN(A211)))),1))," ",REPT(" ",LEN(A211))),LEN(A211)))))))/10))*1+1</f>
        <v>205 &amp; 405</v>
      </c>
      <c r="B212" s="135"/>
      <c r="C212" s="64" t="s">
        <v>196</v>
      </c>
      <c r="D212" s="64">
        <f>(36.42+5.7)*10.764</f>
        <v>453.37968000000001</v>
      </c>
      <c r="E212" s="64">
        <f>(3.23)*10.764</f>
        <v>34.767719999999997</v>
      </c>
      <c r="F212" s="51">
        <v>735</v>
      </c>
      <c r="G212" s="104"/>
      <c r="H212" s="105"/>
      <c r="I212" s="46">
        <f t="shared" si="3"/>
        <v>1.6211577898683063</v>
      </c>
    </row>
    <row r="213" spans="1:14" s="36" customFormat="1" x14ac:dyDescent="0.3">
      <c r="A213" s="147" t="s">
        <v>202</v>
      </c>
      <c r="B213" s="148"/>
      <c r="C213" s="148"/>
      <c r="D213" s="148"/>
      <c r="E213" s="148"/>
      <c r="F213" s="148"/>
      <c r="G213" s="148"/>
      <c r="H213" s="149"/>
      <c r="I213" s="46" t="e">
        <f t="shared" si="3"/>
        <v>#DIV/0!</v>
      </c>
      <c r="J213" s="35"/>
    </row>
    <row r="214" spans="1:14" s="36" customFormat="1" ht="15.75" customHeight="1" x14ac:dyDescent="0.3">
      <c r="A214" s="147" t="s">
        <v>191</v>
      </c>
      <c r="B214" s="148"/>
      <c r="C214" s="148"/>
      <c r="D214" s="148"/>
      <c r="E214" s="148"/>
      <c r="F214" s="148"/>
      <c r="G214" s="148"/>
      <c r="H214" s="149"/>
      <c r="I214" s="46" t="e">
        <f t="shared" si="3"/>
        <v>#DIV/0!</v>
      </c>
      <c r="J214" s="35"/>
    </row>
    <row r="215" spans="1:14" s="36" customFormat="1" ht="15.75" customHeight="1" x14ac:dyDescent="0.3">
      <c r="A215" s="147" t="s">
        <v>217</v>
      </c>
      <c r="B215" s="148"/>
      <c r="C215" s="148"/>
      <c r="D215" s="148"/>
      <c r="E215" s="148"/>
      <c r="F215" s="148"/>
      <c r="G215" s="148"/>
      <c r="H215" s="149"/>
      <c r="I215" s="46" t="e">
        <f t="shared" si="3"/>
        <v>#DIV/0!</v>
      </c>
      <c r="J215" s="35"/>
    </row>
    <row r="216" spans="1:14" s="36" customFormat="1" ht="15.75" customHeight="1" x14ac:dyDescent="0.3">
      <c r="A216" s="134">
        <v>1</v>
      </c>
      <c r="B216" s="135"/>
      <c r="C216" s="64" t="s">
        <v>195</v>
      </c>
      <c r="D216" s="64">
        <f>(29.92)*10.764</f>
        <v>322.05887999999999</v>
      </c>
      <c r="E216" s="64">
        <v>0</v>
      </c>
      <c r="F216" s="51">
        <v>495</v>
      </c>
      <c r="G216" s="100" t="str">
        <f>A215</f>
        <v>Ground Floor for Residential</v>
      </c>
      <c r="H216" s="101"/>
      <c r="I216" s="46">
        <f t="shared" si="3"/>
        <v>1.5369860318709425</v>
      </c>
      <c r="L216" s="49">
        <v>495.46</v>
      </c>
      <c r="M216" s="50">
        <f>L216/D216</f>
        <v>1.5384143421227821</v>
      </c>
      <c r="N216" s="35"/>
    </row>
    <row r="217" spans="1:14" s="36" customFormat="1" x14ac:dyDescent="0.3">
      <c r="A217" s="134">
        <f t="shared" ref="A217" si="6">A216+1</f>
        <v>2</v>
      </c>
      <c r="B217" s="135"/>
      <c r="C217" s="64" t="s">
        <v>195</v>
      </c>
      <c r="D217" s="64">
        <f>(30.36)*10.764</f>
        <v>326.79503999999997</v>
      </c>
      <c r="E217" s="64">
        <v>0</v>
      </c>
      <c r="F217" s="51">
        <v>505</v>
      </c>
      <c r="G217" s="102"/>
      <c r="H217" s="103"/>
      <c r="I217" s="46">
        <f t="shared" si="3"/>
        <v>1.5453110916248913</v>
      </c>
      <c r="L217" s="49">
        <v>502.74</v>
      </c>
      <c r="M217" s="50">
        <f>L217/D217</f>
        <v>1.5383954419871246</v>
      </c>
      <c r="N217" s="35"/>
    </row>
    <row r="218" spans="1:14" s="36" customFormat="1" x14ac:dyDescent="0.3">
      <c r="A218" s="147" t="s">
        <v>199</v>
      </c>
      <c r="B218" s="148"/>
      <c r="C218" s="148"/>
      <c r="D218" s="148"/>
      <c r="E218" s="148"/>
      <c r="F218" s="148"/>
      <c r="G218" s="148"/>
      <c r="H218" s="149"/>
      <c r="I218" s="46" t="e">
        <f t="shared" si="3"/>
        <v>#DIV/0!</v>
      </c>
    </row>
    <row r="219" spans="1:14" s="36" customFormat="1" ht="15.75" customHeight="1" x14ac:dyDescent="0.3">
      <c r="A219" s="134" t="str">
        <f ca="1">(SUMPRODUCT(MID(0&amp;(LEFT(A218,SUM(LEN(A218)-LEN(SUBSTITUTE(A218,{"0","1","2"},""))))), LARGE(INDEX(ISNUMBER(--MID((LEFT(A218,SUM(LEN(A218)-LEN(SUBSTITUTE(A218,{"0","1","2"},""))))), ROW(INDIRECT("1:"&amp;LEN((LEFT(A218,SUM(LEN(A218)-LEN(SUBSTITUTE(A218,{"0","1","2"},"")))))))), 1)) * ROW(INDIRECT("1:"&amp;LEN((LEFT(A218,SUM(LEN(A218)-LEN(SUBSTITUTE(A218,{"0","1","2"},"")))))))), 0), ROW(INDIRECT("1:"&amp;LEN((LEFT(A218,SUM(LEN(A218)-LEN(SUBSTITUTE(A218,{"0","1","2"},"")))))))))+1, 1) * 10^ROW(INDIRECT("1:"&amp;LEN((LEFT(A218,SUM(LEN(A218)-LEN(SUBSTITUTE(A218,{"0","1","2"},""))))))))/10))*100+1&amp;""&amp;" &amp; "&amp;""&amp;(SUMPRODUCT(MID(0&amp;(--TRIM(RIGHT(SUBSTITUTE(LEFT(A218,_xlfn.AGGREGATE(16,6,FIND({0,1,2,3,4,5,6,7,8,9},A218,ROW(INDIRECT("1:"&amp;LEN(A218)))),1))," ",REPT(" ",LEN(A218))),LEN(A218)))), LARGE(INDEX(ISNUMBER(--MID((--TRIM(RIGHT(SUBSTITUTE(LEFT(A218,_xlfn.AGGREGATE(16,6,FIND({0,1,2,3,4,5,6,7,8,9},A218,ROW(INDIRECT("1:"&amp;LEN(A218)))),1))," ",REPT(" ",LEN(A218))),LEN(A218)))), ROW(INDIRECT("1:"&amp;LEN((--TRIM(RIGHT(SUBSTITUTE(LEFT(A218,_xlfn.AGGREGATE(16,6,FIND({0,1,2,3,4,5,6,7,8,9},A218,ROW(INDIRECT("1:"&amp;LEN(A218)))),1))," ",REPT(" ",LEN(A218))),LEN(A218))))))), 1)) * ROW(INDIRECT("1:"&amp;LEN((--TRIM(RIGHT(SUBSTITUTE(LEFT(A218,_xlfn.AGGREGATE(16,6,FIND({0,1,2,3,4,5,6,7,8,9},A218,ROW(INDIRECT("1:"&amp;LEN(A218)))),1))," ",REPT(" ",LEN(A218))),LEN(A218))))))), 0), ROW(INDIRECT("1:"&amp;LEN((--TRIM(RIGHT(SUBSTITUTE(LEFT(A218,_xlfn.AGGREGATE(16,6,FIND({0,1,2,3,4,5,6,7,8,9},A218,ROW(INDIRECT("1:"&amp;LEN(A218)))),1))," ",REPT(" ",LEN(A218))),LEN(A218))))))))+1, 1) * 10^ROW(INDIRECT("1:"&amp;LEN((--TRIM(RIGHT(SUBSTITUTE(LEFT(A218,_xlfn.AGGREGATE(16,6,FIND({0,1,2,3,4,5,6,7,8,9},A218,ROW(INDIRECT("1:"&amp;LEN(A218)))),1))," ",REPT(" ",LEN(A218))),LEN(A218)))))))/10))*100+1</f>
        <v>101 &amp; 301</v>
      </c>
      <c r="B219" s="135"/>
      <c r="C219" s="64" t="s">
        <v>195</v>
      </c>
      <c r="D219" s="64">
        <f>(29.83+3.05)*10.764</f>
        <v>353.92031999999995</v>
      </c>
      <c r="E219" s="64">
        <f>(3.78)*10.764</f>
        <v>40.687919999999998</v>
      </c>
      <c r="F219" s="52">
        <v>585</v>
      </c>
      <c r="G219" s="100" t="str">
        <f>A218</f>
        <v>1st &amp; 3rd Floor</v>
      </c>
      <c r="H219" s="101"/>
      <c r="I219" s="46">
        <f t="shared" si="3"/>
        <v>1.6529144187030576</v>
      </c>
      <c r="J219" s="46"/>
      <c r="L219" s="46">
        <v>544.47</v>
      </c>
      <c r="M219" s="46">
        <f>L219/D219</f>
        <v>1.5383971171816304</v>
      </c>
    </row>
    <row r="220" spans="1:14" s="36" customFormat="1" x14ac:dyDescent="0.3">
      <c r="A220" s="134" t="str">
        <f ca="1">(SUMPRODUCT(MID(0&amp;(LEFT(A219,SUM(LEN(A219)-LEN(SUBSTITUTE(A219,{"0","1","2"},""))))), LARGE(INDEX(ISNUMBER(--MID((LEFT(A219,SUM(LEN(A219)-LEN(SUBSTITUTE(A219,{"0","1","2"},""))))), ROW(INDIRECT("1:"&amp;LEN((LEFT(A219,SUM(LEN(A219)-LEN(SUBSTITUTE(A219,{"0","1","2"},"")))))))), 1)) * ROW(INDIRECT("1:"&amp;LEN((LEFT(A219,SUM(LEN(A219)-LEN(SUBSTITUTE(A219,{"0","1","2"},"")))))))), 0), ROW(INDIRECT("1:"&amp;LEN((LEFT(A219,SUM(LEN(A219)-LEN(SUBSTITUTE(A219,{"0","1","2"},"")))))))))+1, 1) * 10^ROW(INDIRECT("1:"&amp;LEN((LEFT(A219,SUM(LEN(A219)-LEN(SUBSTITUTE(A219,{"0","1","2"},""))))))))/10))*1+1&amp;""&amp;" &amp; "&amp;""&amp;(SUMPRODUCT(MID(0&amp;(--TRIM(RIGHT(SUBSTITUTE(LEFT(A219,_xlfn.AGGREGATE(16,6,FIND({0,1,2,3,4,5,6,7,8,9},A219,ROW(INDIRECT("1:"&amp;LEN(A219)))),1))," ",REPT(" ",LEN(A219))),LEN(A219)))), LARGE(INDEX(ISNUMBER(--MID((--TRIM(RIGHT(SUBSTITUTE(LEFT(A219,_xlfn.AGGREGATE(16,6,FIND({0,1,2,3,4,5,6,7,8,9},A219,ROW(INDIRECT("1:"&amp;LEN(A219)))),1))," ",REPT(" ",LEN(A219))),LEN(A219)))), ROW(INDIRECT("1:"&amp;LEN((--TRIM(RIGHT(SUBSTITUTE(LEFT(A219,_xlfn.AGGREGATE(16,6,FIND({0,1,2,3,4,5,6,7,8,9},A219,ROW(INDIRECT("1:"&amp;LEN(A219)))),1))," ",REPT(" ",LEN(A219))),LEN(A219))))))), 1)) * ROW(INDIRECT("1:"&amp;LEN((--TRIM(RIGHT(SUBSTITUTE(LEFT(A219,_xlfn.AGGREGATE(16,6,FIND({0,1,2,3,4,5,6,7,8,9},A219,ROW(INDIRECT("1:"&amp;LEN(A219)))),1))," ",REPT(" ",LEN(A219))),LEN(A219))))))), 0), ROW(INDIRECT("1:"&amp;LEN((--TRIM(RIGHT(SUBSTITUTE(LEFT(A219,_xlfn.AGGREGATE(16,6,FIND({0,1,2,3,4,5,6,7,8,9},A219,ROW(INDIRECT("1:"&amp;LEN(A219)))),1))," ",REPT(" ",LEN(A219))),LEN(A219))))))))+1, 1) * 10^ROW(INDIRECT("1:"&amp;LEN((--TRIM(RIGHT(SUBSTITUTE(LEFT(A219,_xlfn.AGGREGATE(16,6,FIND({0,1,2,3,4,5,6,7,8,9},A219,ROW(INDIRECT("1:"&amp;LEN(A219)))),1))," ",REPT(" ",LEN(A219))),LEN(A219)))))))/10))*1+1</f>
        <v>102 &amp; 302</v>
      </c>
      <c r="B220" s="135"/>
      <c r="C220" s="64" t="s">
        <v>195</v>
      </c>
      <c r="D220" s="64">
        <f>(29.62+5.35)*10.764</f>
        <v>376.41707999999994</v>
      </c>
      <c r="E220" s="64">
        <f>(5.4)*10.764</f>
        <v>58.125599999999999</v>
      </c>
      <c r="F220" s="51">
        <v>640</v>
      </c>
      <c r="G220" s="102"/>
      <c r="H220" s="103"/>
      <c r="I220" s="46">
        <f t="shared" si="3"/>
        <v>1.7002416574720789</v>
      </c>
      <c r="L220" s="36">
        <v>579.08000000000004</v>
      </c>
      <c r="M220" s="46">
        <f t="shared" ref="M220:M223" si="7">L220/D220</f>
        <v>1.5383999047014554</v>
      </c>
    </row>
    <row r="221" spans="1:14" s="36" customFormat="1" x14ac:dyDescent="0.3">
      <c r="A221" s="134" t="str">
        <f ca="1">(SUMPRODUCT(MID(0&amp;(LEFT(A220,SUM(LEN(A220)-LEN(SUBSTITUTE(A220,{"0","1","2"},""))))), LARGE(INDEX(ISNUMBER(--MID((LEFT(A220,SUM(LEN(A220)-LEN(SUBSTITUTE(A220,{"0","1","2"},""))))), ROW(INDIRECT("1:"&amp;LEN((LEFT(A220,SUM(LEN(A220)-LEN(SUBSTITUTE(A220,{"0","1","2"},"")))))))), 1)) * ROW(INDIRECT("1:"&amp;LEN((LEFT(A220,SUM(LEN(A220)-LEN(SUBSTITUTE(A220,{"0","1","2"},"")))))))), 0), ROW(INDIRECT("1:"&amp;LEN((LEFT(A220,SUM(LEN(A220)-LEN(SUBSTITUTE(A220,{"0","1","2"},"")))))))))+1, 1) * 10^ROW(INDIRECT("1:"&amp;LEN((LEFT(A220,SUM(LEN(A220)-LEN(SUBSTITUTE(A220,{"0","1","2"},""))))))))/10))*1+1&amp;""&amp;" &amp; "&amp;""&amp;(SUMPRODUCT(MID(0&amp;(--TRIM(RIGHT(SUBSTITUTE(LEFT(A220,_xlfn.AGGREGATE(16,6,FIND({0,1,2,3,4,5,6,7,8,9},A220,ROW(INDIRECT("1:"&amp;LEN(A220)))),1))," ",REPT(" ",LEN(A220))),LEN(A220)))), LARGE(INDEX(ISNUMBER(--MID((--TRIM(RIGHT(SUBSTITUTE(LEFT(A220,_xlfn.AGGREGATE(16,6,FIND({0,1,2,3,4,5,6,7,8,9},A220,ROW(INDIRECT("1:"&amp;LEN(A220)))),1))," ",REPT(" ",LEN(A220))),LEN(A220)))), ROW(INDIRECT("1:"&amp;LEN((--TRIM(RIGHT(SUBSTITUTE(LEFT(A220,_xlfn.AGGREGATE(16,6,FIND({0,1,2,3,4,5,6,7,8,9},A220,ROW(INDIRECT("1:"&amp;LEN(A220)))),1))," ",REPT(" ",LEN(A220))),LEN(A220))))))), 1)) * ROW(INDIRECT("1:"&amp;LEN((--TRIM(RIGHT(SUBSTITUTE(LEFT(A220,_xlfn.AGGREGATE(16,6,FIND({0,1,2,3,4,5,6,7,8,9},A220,ROW(INDIRECT("1:"&amp;LEN(A220)))),1))," ",REPT(" ",LEN(A220))),LEN(A220))))))), 0), ROW(INDIRECT("1:"&amp;LEN((--TRIM(RIGHT(SUBSTITUTE(LEFT(A220,_xlfn.AGGREGATE(16,6,FIND({0,1,2,3,4,5,6,7,8,9},A220,ROW(INDIRECT("1:"&amp;LEN(A220)))),1))," ",REPT(" ",LEN(A220))),LEN(A220))))))))+1, 1) * 10^ROW(INDIRECT("1:"&amp;LEN((--TRIM(RIGHT(SUBSTITUTE(LEFT(A220,_xlfn.AGGREGATE(16,6,FIND({0,1,2,3,4,5,6,7,8,9},A220,ROW(INDIRECT("1:"&amp;LEN(A220)))),1))," ",REPT(" ",LEN(A220))),LEN(A220)))))))/10))*1+1</f>
        <v>103 &amp; 303</v>
      </c>
      <c r="B221" s="135"/>
      <c r="C221" s="64" t="s">
        <v>195</v>
      </c>
      <c r="D221" s="64">
        <f>(30.77+2.95)*10.764</f>
        <v>362.96207999999996</v>
      </c>
      <c r="E221" s="64">
        <f>(5.26)*10.764</f>
        <v>56.618639999999992</v>
      </c>
      <c r="F221" s="51">
        <v>615</v>
      </c>
      <c r="G221" s="102"/>
      <c r="H221" s="103"/>
      <c r="I221" s="46">
        <f t="shared" si="3"/>
        <v>1.6943918769696273</v>
      </c>
      <c r="L221" s="36">
        <v>558.38</v>
      </c>
      <c r="M221" s="46">
        <f t="shared" si="7"/>
        <v>1.5383976199387002</v>
      </c>
    </row>
    <row r="222" spans="1:14" s="36" customFormat="1" x14ac:dyDescent="0.3">
      <c r="A222" s="134" t="str">
        <f ca="1">(SUMPRODUCT(MID(0&amp;(LEFT(A221,SUM(LEN(A221)-LEN(SUBSTITUTE(A221,{"0","1","2"},""))))), LARGE(INDEX(ISNUMBER(--MID((LEFT(A221,SUM(LEN(A221)-LEN(SUBSTITUTE(A221,{"0","1","2"},""))))), ROW(INDIRECT("1:"&amp;LEN((LEFT(A221,SUM(LEN(A221)-LEN(SUBSTITUTE(A221,{"0","1","2"},"")))))))), 1)) * ROW(INDIRECT("1:"&amp;LEN((LEFT(A221,SUM(LEN(A221)-LEN(SUBSTITUTE(A221,{"0","1","2"},"")))))))), 0), ROW(INDIRECT("1:"&amp;LEN((LEFT(A221,SUM(LEN(A221)-LEN(SUBSTITUTE(A221,{"0","1","2"},"")))))))))+1, 1) * 10^ROW(INDIRECT("1:"&amp;LEN((LEFT(A221,SUM(LEN(A221)-LEN(SUBSTITUTE(A221,{"0","1","2"},""))))))))/10))*1+1&amp;""&amp;" &amp; "&amp;""&amp;(SUMPRODUCT(MID(0&amp;(--TRIM(RIGHT(SUBSTITUTE(LEFT(A221,_xlfn.AGGREGATE(16,6,FIND({0,1,2,3,4,5,6,7,8,9},A221,ROW(INDIRECT("1:"&amp;LEN(A221)))),1))," ",REPT(" ",LEN(A221))),LEN(A221)))), LARGE(INDEX(ISNUMBER(--MID((--TRIM(RIGHT(SUBSTITUTE(LEFT(A221,_xlfn.AGGREGATE(16,6,FIND({0,1,2,3,4,5,6,7,8,9},A221,ROW(INDIRECT("1:"&amp;LEN(A221)))),1))," ",REPT(" ",LEN(A221))),LEN(A221)))), ROW(INDIRECT("1:"&amp;LEN((--TRIM(RIGHT(SUBSTITUTE(LEFT(A221,_xlfn.AGGREGATE(16,6,FIND({0,1,2,3,4,5,6,7,8,9},A221,ROW(INDIRECT("1:"&amp;LEN(A221)))),1))," ",REPT(" ",LEN(A221))),LEN(A221))))))), 1)) * ROW(INDIRECT("1:"&amp;LEN((--TRIM(RIGHT(SUBSTITUTE(LEFT(A221,_xlfn.AGGREGATE(16,6,FIND({0,1,2,3,4,5,6,7,8,9},A221,ROW(INDIRECT("1:"&amp;LEN(A221)))),1))," ",REPT(" ",LEN(A221))),LEN(A221))))))), 0), ROW(INDIRECT("1:"&amp;LEN((--TRIM(RIGHT(SUBSTITUTE(LEFT(A221,_xlfn.AGGREGATE(16,6,FIND({0,1,2,3,4,5,6,7,8,9},A221,ROW(INDIRECT("1:"&amp;LEN(A221)))),1))," ",REPT(" ",LEN(A221))),LEN(A221))))))))+1, 1) * 10^ROW(INDIRECT("1:"&amp;LEN((--TRIM(RIGHT(SUBSTITUTE(LEFT(A221,_xlfn.AGGREGATE(16,6,FIND({0,1,2,3,4,5,6,7,8,9},A221,ROW(INDIRECT("1:"&amp;LEN(A221)))),1))," ",REPT(" ",LEN(A221))),LEN(A221)))))))/10))*1+1</f>
        <v>104 &amp; 304</v>
      </c>
      <c r="B222" s="135"/>
      <c r="C222" s="64" t="s">
        <v>195</v>
      </c>
      <c r="D222" s="64">
        <f>(30.64+5.35)*10.764</f>
        <v>387.39636000000002</v>
      </c>
      <c r="E222" s="64">
        <f>(5.13)*10.764</f>
        <v>55.219319999999996</v>
      </c>
      <c r="F222" s="51">
        <v>650</v>
      </c>
      <c r="G222" s="102"/>
      <c r="H222" s="103"/>
      <c r="I222" s="46">
        <f t="shared" si="3"/>
        <v>1.6778681141970462</v>
      </c>
      <c r="L222" s="36">
        <v>595.97</v>
      </c>
      <c r="M222" s="46">
        <f t="shared" si="7"/>
        <v>1.5383985538738671</v>
      </c>
    </row>
    <row r="223" spans="1:14" s="36" customFormat="1" x14ac:dyDescent="0.3">
      <c r="A223" s="134" t="str">
        <f ca="1">(SUMPRODUCT(MID(0&amp;(LEFT(A222,SUM(LEN(A222)-LEN(SUBSTITUTE(A222,{"0","1","2"},""))))), LARGE(INDEX(ISNUMBER(--MID((LEFT(A222,SUM(LEN(A222)-LEN(SUBSTITUTE(A222,{"0","1","2"},""))))), ROW(INDIRECT("1:"&amp;LEN((LEFT(A222,SUM(LEN(A222)-LEN(SUBSTITUTE(A222,{"0","1","2"},"")))))))), 1)) * ROW(INDIRECT("1:"&amp;LEN((LEFT(A222,SUM(LEN(A222)-LEN(SUBSTITUTE(A222,{"0","1","2"},"")))))))), 0), ROW(INDIRECT("1:"&amp;LEN((LEFT(A222,SUM(LEN(A222)-LEN(SUBSTITUTE(A222,{"0","1","2"},"")))))))))+1, 1) * 10^ROW(INDIRECT("1:"&amp;LEN((LEFT(A222,SUM(LEN(A222)-LEN(SUBSTITUTE(A222,{"0","1","2"},""))))))))/10))*1+1&amp;""&amp;" &amp; "&amp;""&amp;(SUMPRODUCT(MID(0&amp;(--TRIM(RIGHT(SUBSTITUTE(LEFT(A222,_xlfn.AGGREGATE(16,6,FIND({0,1,2,3,4,5,6,7,8,9},A222,ROW(INDIRECT("1:"&amp;LEN(A222)))),1))," ",REPT(" ",LEN(A222))),LEN(A222)))), LARGE(INDEX(ISNUMBER(--MID((--TRIM(RIGHT(SUBSTITUTE(LEFT(A222,_xlfn.AGGREGATE(16,6,FIND({0,1,2,3,4,5,6,7,8,9},A222,ROW(INDIRECT("1:"&amp;LEN(A222)))),1))," ",REPT(" ",LEN(A222))),LEN(A222)))), ROW(INDIRECT("1:"&amp;LEN((--TRIM(RIGHT(SUBSTITUTE(LEFT(A222,_xlfn.AGGREGATE(16,6,FIND({0,1,2,3,4,5,6,7,8,9},A222,ROW(INDIRECT("1:"&amp;LEN(A222)))),1))," ",REPT(" ",LEN(A222))),LEN(A222))))))), 1)) * ROW(INDIRECT("1:"&amp;LEN((--TRIM(RIGHT(SUBSTITUTE(LEFT(A222,_xlfn.AGGREGATE(16,6,FIND({0,1,2,3,4,5,6,7,8,9},A222,ROW(INDIRECT("1:"&amp;LEN(A222)))),1))," ",REPT(" ",LEN(A222))),LEN(A222))))))), 0), ROW(INDIRECT("1:"&amp;LEN((--TRIM(RIGHT(SUBSTITUTE(LEFT(A222,_xlfn.AGGREGATE(16,6,FIND({0,1,2,3,4,5,6,7,8,9},A222,ROW(INDIRECT("1:"&amp;LEN(A222)))),1))," ",REPT(" ",LEN(A222))),LEN(A222))))))))+1, 1) * 10^ROW(INDIRECT("1:"&amp;LEN((--TRIM(RIGHT(SUBSTITUTE(LEFT(A222,_xlfn.AGGREGATE(16,6,FIND({0,1,2,3,4,5,6,7,8,9},A222,ROW(INDIRECT("1:"&amp;LEN(A222)))),1))," ",REPT(" ",LEN(A222))),LEN(A222)))))))/10))*1+1</f>
        <v>105 &amp; 305</v>
      </c>
      <c r="B223" s="135"/>
      <c r="C223" s="64" t="s">
        <v>195</v>
      </c>
      <c r="D223" s="64">
        <f>(30.77+3.05)*10.764</f>
        <v>364.03847999999999</v>
      </c>
      <c r="E223" s="64">
        <f>(3.24)*10.764</f>
        <v>34.875360000000001</v>
      </c>
      <c r="F223" s="51">
        <v>595</v>
      </c>
      <c r="G223" s="104"/>
      <c r="H223" s="105"/>
      <c r="I223" s="46">
        <f t="shared" si="3"/>
        <v>1.6344426006833124</v>
      </c>
      <c r="L223" s="36">
        <v>560.04</v>
      </c>
      <c r="M223" s="46">
        <f t="shared" si="7"/>
        <v>1.5384087967843398</v>
      </c>
    </row>
    <row r="224" spans="1:14" s="36" customFormat="1" x14ac:dyDescent="0.3">
      <c r="A224" s="147" t="s">
        <v>205</v>
      </c>
      <c r="B224" s="148"/>
      <c r="C224" s="148"/>
      <c r="D224" s="148"/>
      <c r="E224" s="148"/>
      <c r="F224" s="148"/>
      <c r="G224" s="148"/>
      <c r="H224" s="149"/>
      <c r="I224" s="46" t="e">
        <f t="shared" si="3"/>
        <v>#DIV/0!</v>
      </c>
    </row>
    <row r="225" spans="1:14" s="36" customFormat="1" ht="15.75" customHeight="1" x14ac:dyDescent="0.3">
      <c r="A225" s="134" t="str">
        <f ca="1">(SUMPRODUCT(MID(0&amp;(LEFT(A224,SUM(LEN(A224)-LEN(SUBSTITUTE(A224,{"0","1","2"},""))))), LARGE(INDEX(ISNUMBER(--MID((LEFT(A224,SUM(LEN(A224)-LEN(SUBSTITUTE(A224,{"0","1","2"},""))))), ROW(INDIRECT("1:"&amp;LEN((LEFT(A224,SUM(LEN(A224)-LEN(SUBSTITUTE(A224,{"0","1","2"},"")))))))), 1)) * ROW(INDIRECT("1:"&amp;LEN((LEFT(A224,SUM(LEN(A224)-LEN(SUBSTITUTE(A224,{"0","1","2"},"")))))))), 0), ROW(INDIRECT("1:"&amp;LEN((LEFT(A224,SUM(LEN(A224)-LEN(SUBSTITUTE(A224,{"0","1","2"},"")))))))))+1, 1) * 10^ROW(INDIRECT("1:"&amp;LEN((LEFT(A224,SUM(LEN(A224)-LEN(SUBSTITUTE(A224,{"0","1","2"},""))))))))/10))*100+1&amp;""&amp;" &amp; "&amp;""&amp;(SUMPRODUCT(MID(0&amp;(--TRIM(RIGHT(SUBSTITUTE(LEFT(A224,_xlfn.AGGREGATE(16,6,FIND({0,1,2,3,4,5,6,7,8,9},A224,ROW(INDIRECT("1:"&amp;LEN(A224)))),1))," ",REPT(" ",LEN(A224))),LEN(A224)))), LARGE(INDEX(ISNUMBER(--MID((--TRIM(RIGHT(SUBSTITUTE(LEFT(A224,_xlfn.AGGREGATE(16,6,FIND({0,1,2,3,4,5,6,7,8,9},A224,ROW(INDIRECT("1:"&amp;LEN(A224)))),1))," ",REPT(" ",LEN(A224))),LEN(A224)))), ROW(INDIRECT("1:"&amp;LEN((--TRIM(RIGHT(SUBSTITUTE(LEFT(A224,_xlfn.AGGREGATE(16,6,FIND({0,1,2,3,4,5,6,7,8,9},A224,ROW(INDIRECT("1:"&amp;LEN(A224)))),1))," ",REPT(" ",LEN(A224))),LEN(A224))))))), 1)) * ROW(INDIRECT("1:"&amp;LEN((--TRIM(RIGHT(SUBSTITUTE(LEFT(A224,_xlfn.AGGREGATE(16,6,FIND({0,1,2,3,4,5,6,7,8,9},A224,ROW(INDIRECT("1:"&amp;LEN(A224)))),1))," ",REPT(" ",LEN(A224))),LEN(A224))))))), 0), ROW(INDIRECT("1:"&amp;LEN((--TRIM(RIGHT(SUBSTITUTE(LEFT(A224,_xlfn.AGGREGATE(16,6,FIND({0,1,2,3,4,5,6,7,8,9},A224,ROW(INDIRECT("1:"&amp;LEN(A224)))),1))," ",REPT(" ",LEN(A224))),LEN(A224))))))))+1, 1) * 10^ROW(INDIRECT("1:"&amp;LEN((--TRIM(RIGHT(SUBSTITUTE(LEFT(A224,_xlfn.AGGREGATE(16,6,FIND({0,1,2,3,4,5,6,7,8,9},A224,ROW(INDIRECT("1:"&amp;LEN(A224)))),1))," ",REPT(" ",LEN(A224))),LEN(A224)))))))/10))*100+1</f>
        <v>201 &amp; 401</v>
      </c>
      <c r="B225" s="135"/>
      <c r="C225" s="64" t="s">
        <v>195</v>
      </c>
      <c r="D225" s="64">
        <f>(29.83+3.05)*10.764</f>
        <v>353.92031999999995</v>
      </c>
      <c r="E225" s="64">
        <f>(2.95)*10.764</f>
        <v>31.753799999999998</v>
      </c>
      <c r="F225" s="52">
        <v>575</v>
      </c>
      <c r="G225" s="100" t="str">
        <f>A224</f>
        <v>2nd &amp; 4th Floor</v>
      </c>
      <c r="H225" s="101"/>
      <c r="I225" s="46">
        <f t="shared" si="3"/>
        <v>1.6246594713748002</v>
      </c>
    </row>
    <row r="226" spans="1:14" s="36" customFormat="1" x14ac:dyDescent="0.3">
      <c r="A226" s="134" t="str">
        <f ca="1">(SUMPRODUCT(MID(0&amp;(LEFT(A225,SUM(LEN(A225)-LEN(SUBSTITUTE(A225,{"0","1","2"},""))))), LARGE(INDEX(ISNUMBER(--MID((LEFT(A225,SUM(LEN(A225)-LEN(SUBSTITUTE(A225,{"0","1","2"},""))))), ROW(INDIRECT("1:"&amp;LEN((LEFT(A225,SUM(LEN(A225)-LEN(SUBSTITUTE(A225,{"0","1","2"},"")))))))), 1)) * ROW(INDIRECT("1:"&amp;LEN((LEFT(A225,SUM(LEN(A225)-LEN(SUBSTITUTE(A225,{"0","1","2"},"")))))))), 0), ROW(INDIRECT("1:"&amp;LEN((LEFT(A225,SUM(LEN(A225)-LEN(SUBSTITUTE(A225,{"0","1","2"},"")))))))))+1, 1) * 10^ROW(INDIRECT("1:"&amp;LEN((LEFT(A225,SUM(LEN(A225)-LEN(SUBSTITUTE(A225,{"0","1","2"},""))))))))/10))*1+1&amp;""&amp;" &amp; "&amp;""&amp;(SUMPRODUCT(MID(0&amp;(--TRIM(RIGHT(SUBSTITUTE(LEFT(A225,_xlfn.AGGREGATE(16,6,FIND({0,1,2,3,4,5,6,7,8,9},A225,ROW(INDIRECT("1:"&amp;LEN(A225)))),1))," ",REPT(" ",LEN(A225))),LEN(A225)))), LARGE(INDEX(ISNUMBER(--MID((--TRIM(RIGHT(SUBSTITUTE(LEFT(A225,_xlfn.AGGREGATE(16,6,FIND({0,1,2,3,4,5,6,7,8,9},A225,ROW(INDIRECT("1:"&amp;LEN(A225)))),1))," ",REPT(" ",LEN(A225))),LEN(A225)))), ROW(INDIRECT("1:"&amp;LEN((--TRIM(RIGHT(SUBSTITUTE(LEFT(A225,_xlfn.AGGREGATE(16,6,FIND({0,1,2,3,4,5,6,7,8,9},A225,ROW(INDIRECT("1:"&amp;LEN(A225)))),1))," ",REPT(" ",LEN(A225))),LEN(A225))))))), 1)) * ROW(INDIRECT("1:"&amp;LEN((--TRIM(RIGHT(SUBSTITUTE(LEFT(A225,_xlfn.AGGREGATE(16,6,FIND({0,1,2,3,4,5,6,7,8,9},A225,ROW(INDIRECT("1:"&amp;LEN(A225)))),1))," ",REPT(" ",LEN(A225))),LEN(A225))))))), 0), ROW(INDIRECT("1:"&amp;LEN((--TRIM(RIGHT(SUBSTITUTE(LEFT(A225,_xlfn.AGGREGATE(16,6,FIND({0,1,2,3,4,5,6,7,8,9},A225,ROW(INDIRECT("1:"&amp;LEN(A225)))),1))," ",REPT(" ",LEN(A225))),LEN(A225))))))))+1, 1) * 10^ROW(INDIRECT("1:"&amp;LEN((--TRIM(RIGHT(SUBSTITUTE(LEFT(A225,_xlfn.AGGREGATE(16,6,FIND({0,1,2,3,4,5,6,7,8,9},A225,ROW(INDIRECT("1:"&amp;LEN(A225)))),1))," ",REPT(" ",LEN(A225))),LEN(A225)))))))/10))*1+1</f>
        <v>202 &amp; 402</v>
      </c>
      <c r="B226" s="135"/>
      <c r="C226" s="64" t="s">
        <v>195</v>
      </c>
      <c r="D226" s="64">
        <f>(29.62+5.35)*10.764</f>
        <v>376.41707999999994</v>
      </c>
      <c r="E226" s="64">
        <v>0</v>
      </c>
      <c r="F226" s="52">
        <v>580</v>
      </c>
      <c r="G226" s="102"/>
      <c r="H226" s="103"/>
      <c r="I226" s="46">
        <f t="shared" si="3"/>
        <v>1.5408440020840715</v>
      </c>
    </row>
    <row r="227" spans="1:14" s="36" customFormat="1" x14ac:dyDescent="0.3">
      <c r="A227" s="134" t="str">
        <f ca="1">(SUMPRODUCT(MID(0&amp;(LEFT(A226,SUM(LEN(A226)-LEN(SUBSTITUTE(A226,{"0","1","2"},""))))), LARGE(INDEX(ISNUMBER(--MID((LEFT(A226,SUM(LEN(A226)-LEN(SUBSTITUTE(A226,{"0","1","2"},""))))), ROW(INDIRECT("1:"&amp;LEN((LEFT(A226,SUM(LEN(A226)-LEN(SUBSTITUTE(A226,{"0","1","2"},"")))))))), 1)) * ROW(INDIRECT("1:"&amp;LEN((LEFT(A226,SUM(LEN(A226)-LEN(SUBSTITUTE(A226,{"0","1","2"},"")))))))), 0), ROW(INDIRECT("1:"&amp;LEN((LEFT(A226,SUM(LEN(A226)-LEN(SUBSTITUTE(A226,{"0","1","2"},"")))))))))+1, 1) * 10^ROW(INDIRECT("1:"&amp;LEN((LEFT(A226,SUM(LEN(A226)-LEN(SUBSTITUTE(A226,{"0","1","2"},""))))))))/10))*1+1&amp;""&amp;" &amp; "&amp;""&amp;(SUMPRODUCT(MID(0&amp;(--TRIM(RIGHT(SUBSTITUTE(LEFT(A226,_xlfn.AGGREGATE(16,6,FIND({0,1,2,3,4,5,6,7,8,9},A226,ROW(INDIRECT("1:"&amp;LEN(A226)))),1))," ",REPT(" ",LEN(A226))),LEN(A226)))), LARGE(INDEX(ISNUMBER(--MID((--TRIM(RIGHT(SUBSTITUTE(LEFT(A226,_xlfn.AGGREGATE(16,6,FIND({0,1,2,3,4,5,6,7,8,9},A226,ROW(INDIRECT("1:"&amp;LEN(A226)))),1))," ",REPT(" ",LEN(A226))),LEN(A226)))), ROW(INDIRECT("1:"&amp;LEN((--TRIM(RIGHT(SUBSTITUTE(LEFT(A226,_xlfn.AGGREGATE(16,6,FIND({0,1,2,3,4,5,6,7,8,9},A226,ROW(INDIRECT("1:"&amp;LEN(A226)))),1))," ",REPT(" ",LEN(A226))),LEN(A226))))))), 1)) * ROW(INDIRECT("1:"&amp;LEN((--TRIM(RIGHT(SUBSTITUTE(LEFT(A226,_xlfn.AGGREGATE(16,6,FIND({0,1,2,3,4,5,6,7,8,9},A226,ROW(INDIRECT("1:"&amp;LEN(A226)))),1))," ",REPT(" ",LEN(A226))),LEN(A226))))))), 0), ROW(INDIRECT("1:"&amp;LEN((--TRIM(RIGHT(SUBSTITUTE(LEFT(A226,_xlfn.AGGREGATE(16,6,FIND({0,1,2,3,4,5,6,7,8,9},A226,ROW(INDIRECT("1:"&amp;LEN(A226)))),1))," ",REPT(" ",LEN(A226))),LEN(A226))))))))+1, 1) * 10^ROW(INDIRECT("1:"&amp;LEN((--TRIM(RIGHT(SUBSTITUTE(LEFT(A226,_xlfn.AGGREGATE(16,6,FIND({0,1,2,3,4,5,6,7,8,9},A226,ROW(INDIRECT("1:"&amp;LEN(A226)))),1))," ",REPT(" ",LEN(A226))),LEN(A226)))))))/10))*1+1</f>
        <v>203 &amp; 403</v>
      </c>
      <c r="B227" s="135"/>
      <c r="C227" s="64" t="s">
        <v>195</v>
      </c>
      <c r="D227" s="64">
        <f>(30.77+2.95)*10.764</f>
        <v>362.96207999999996</v>
      </c>
      <c r="E227" s="64">
        <v>0</v>
      </c>
      <c r="F227" s="52">
        <v>560</v>
      </c>
      <c r="G227" s="102"/>
      <c r="H227" s="103"/>
      <c r="I227" s="46">
        <f t="shared" si="3"/>
        <v>1.5428608961024251</v>
      </c>
    </row>
    <row r="228" spans="1:14" s="36" customFormat="1" x14ac:dyDescent="0.3">
      <c r="A228" s="134" t="str">
        <f ca="1">(SUMPRODUCT(MID(0&amp;(LEFT(A227,SUM(LEN(A227)-LEN(SUBSTITUTE(A227,{"0","1","2"},""))))), LARGE(INDEX(ISNUMBER(--MID((LEFT(A227,SUM(LEN(A227)-LEN(SUBSTITUTE(A227,{"0","1","2"},""))))), ROW(INDIRECT("1:"&amp;LEN((LEFT(A227,SUM(LEN(A227)-LEN(SUBSTITUTE(A227,{"0","1","2"},"")))))))), 1)) * ROW(INDIRECT("1:"&amp;LEN((LEFT(A227,SUM(LEN(A227)-LEN(SUBSTITUTE(A227,{"0","1","2"},"")))))))), 0), ROW(INDIRECT("1:"&amp;LEN((LEFT(A227,SUM(LEN(A227)-LEN(SUBSTITUTE(A227,{"0","1","2"},"")))))))))+1, 1) * 10^ROW(INDIRECT("1:"&amp;LEN((LEFT(A227,SUM(LEN(A227)-LEN(SUBSTITUTE(A227,{"0","1","2"},""))))))))/10))*1+1&amp;""&amp;" &amp; "&amp;""&amp;(SUMPRODUCT(MID(0&amp;(--TRIM(RIGHT(SUBSTITUTE(LEFT(A227,_xlfn.AGGREGATE(16,6,FIND({0,1,2,3,4,5,6,7,8,9},A227,ROW(INDIRECT("1:"&amp;LEN(A227)))),1))," ",REPT(" ",LEN(A227))),LEN(A227)))), LARGE(INDEX(ISNUMBER(--MID((--TRIM(RIGHT(SUBSTITUTE(LEFT(A227,_xlfn.AGGREGATE(16,6,FIND({0,1,2,3,4,5,6,7,8,9},A227,ROW(INDIRECT("1:"&amp;LEN(A227)))),1))," ",REPT(" ",LEN(A227))),LEN(A227)))), ROW(INDIRECT("1:"&amp;LEN((--TRIM(RIGHT(SUBSTITUTE(LEFT(A227,_xlfn.AGGREGATE(16,6,FIND({0,1,2,3,4,5,6,7,8,9},A227,ROW(INDIRECT("1:"&amp;LEN(A227)))),1))," ",REPT(" ",LEN(A227))),LEN(A227))))))), 1)) * ROW(INDIRECT("1:"&amp;LEN((--TRIM(RIGHT(SUBSTITUTE(LEFT(A227,_xlfn.AGGREGATE(16,6,FIND({0,1,2,3,4,5,6,7,8,9},A227,ROW(INDIRECT("1:"&amp;LEN(A227)))),1))," ",REPT(" ",LEN(A227))),LEN(A227))))))), 0), ROW(INDIRECT("1:"&amp;LEN((--TRIM(RIGHT(SUBSTITUTE(LEFT(A227,_xlfn.AGGREGATE(16,6,FIND({0,1,2,3,4,5,6,7,8,9},A227,ROW(INDIRECT("1:"&amp;LEN(A227)))),1))," ",REPT(" ",LEN(A227))),LEN(A227))))))))+1, 1) * 10^ROW(INDIRECT("1:"&amp;LEN((--TRIM(RIGHT(SUBSTITUTE(LEFT(A227,_xlfn.AGGREGATE(16,6,FIND({0,1,2,3,4,5,6,7,8,9},A227,ROW(INDIRECT("1:"&amp;LEN(A227)))),1))," ",REPT(" ",LEN(A227))),LEN(A227)))))))/10))*1+1</f>
        <v>204 &amp; 404</v>
      </c>
      <c r="B228" s="135"/>
      <c r="C228" s="64" t="s">
        <v>195</v>
      </c>
      <c r="D228" s="64">
        <f>(30.64+5.35)*10.764</f>
        <v>387.39636000000002</v>
      </c>
      <c r="E228" s="64">
        <v>0</v>
      </c>
      <c r="F228" s="52">
        <v>595</v>
      </c>
      <c r="G228" s="102"/>
      <c r="H228" s="103"/>
      <c r="I228" s="46">
        <f t="shared" si="3"/>
        <v>1.535894658380373</v>
      </c>
    </row>
    <row r="229" spans="1:14" s="36" customFormat="1" x14ac:dyDescent="0.3">
      <c r="A229" s="134" t="str">
        <f ca="1">(SUMPRODUCT(MID(0&amp;(LEFT(A228,SUM(LEN(A228)-LEN(SUBSTITUTE(A228,{"0","1","2"},""))))), LARGE(INDEX(ISNUMBER(--MID((LEFT(A228,SUM(LEN(A228)-LEN(SUBSTITUTE(A228,{"0","1","2"},""))))), ROW(INDIRECT("1:"&amp;LEN((LEFT(A228,SUM(LEN(A228)-LEN(SUBSTITUTE(A228,{"0","1","2"},"")))))))), 1)) * ROW(INDIRECT("1:"&amp;LEN((LEFT(A228,SUM(LEN(A228)-LEN(SUBSTITUTE(A228,{"0","1","2"},"")))))))), 0), ROW(INDIRECT("1:"&amp;LEN((LEFT(A228,SUM(LEN(A228)-LEN(SUBSTITUTE(A228,{"0","1","2"},"")))))))))+1, 1) * 10^ROW(INDIRECT("1:"&amp;LEN((LEFT(A228,SUM(LEN(A228)-LEN(SUBSTITUTE(A228,{"0","1","2"},""))))))))/10))*1+1&amp;""&amp;" &amp; "&amp;""&amp;(SUMPRODUCT(MID(0&amp;(--TRIM(RIGHT(SUBSTITUTE(LEFT(A228,_xlfn.AGGREGATE(16,6,FIND({0,1,2,3,4,5,6,7,8,9},A228,ROW(INDIRECT("1:"&amp;LEN(A228)))),1))," ",REPT(" ",LEN(A228))),LEN(A228)))), LARGE(INDEX(ISNUMBER(--MID((--TRIM(RIGHT(SUBSTITUTE(LEFT(A228,_xlfn.AGGREGATE(16,6,FIND({0,1,2,3,4,5,6,7,8,9},A228,ROW(INDIRECT("1:"&amp;LEN(A228)))),1))," ",REPT(" ",LEN(A228))),LEN(A228)))), ROW(INDIRECT("1:"&amp;LEN((--TRIM(RIGHT(SUBSTITUTE(LEFT(A228,_xlfn.AGGREGATE(16,6,FIND({0,1,2,3,4,5,6,7,8,9},A228,ROW(INDIRECT("1:"&amp;LEN(A228)))),1))," ",REPT(" ",LEN(A228))),LEN(A228))))))), 1)) * ROW(INDIRECT("1:"&amp;LEN((--TRIM(RIGHT(SUBSTITUTE(LEFT(A228,_xlfn.AGGREGATE(16,6,FIND({0,1,2,3,4,5,6,7,8,9},A228,ROW(INDIRECT("1:"&amp;LEN(A228)))),1))," ",REPT(" ",LEN(A228))),LEN(A228))))))), 0), ROW(INDIRECT("1:"&amp;LEN((--TRIM(RIGHT(SUBSTITUTE(LEFT(A228,_xlfn.AGGREGATE(16,6,FIND({0,1,2,3,4,5,6,7,8,9},A228,ROW(INDIRECT("1:"&amp;LEN(A228)))),1))," ",REPT(" ",LEN(A228))),LEN(A228))))))))+1, 1) * 10^ROW(INDIRECT("1:"&amp;LEN((--TRIM(RIGHT(SUBSTITUTE(LEFT(A228,_xlfn.AGGREGATE(16,6,FIND({0,1,2,3,4,5,6,7,8,9},A228,ROW(INDIRECT("1:"&amp;LEN(A228)))),1))," ",REPT(" ",LEN(A228))),LEN(A228)))))))/10))*1+1</f>
        <v>205 &amp; 405</v>
      </c>
      <c r="B229" s="135"/>
      <c r="C229" s="64" t="s">
        <v>195</v>
      </c>
      <c r="D229" s="64">
        <f>(30.77+3.05)*10.764</f>
        <v>364.03847999999999</v>
      </c>
      <c r="E229" s="64">
        <f>(6.29)*10.764</f>
        <v>67.705559999999991</v>
      </c>
      <c r="F229" s="52">
        <v>630</v>
      </c>
      <c r="G229" s="104"/>
      <c r="H229" s="105"/>
      <c r="I229" s="46">
        <f t="shared" si="3"/>
        <v>1.7305862830764485</v>
      </c>
    </row>
    <row r="230" spans="1:14" s="36" customFormat="1" ht="15.75" customHeight="1" x14ac:dyDescent="0.3">
      <c r="A230" s="147" t="s">
        <v>194</v>
      </c>
      <c r="B230" s="148"/>
      <c r="C230" s="148"/>
      <c r="D230" s="148"/>
      <c r="E230" s="148"/>
      <c r="F230" s="148"/>
      <c r="G230" s="148"/>
      <c r="H230" s="149"/>
      <c r="I230" s="46" t="e">
        <f t="shared" si="3"/>
        <v>#DIV/0!</v>
      </c>
      <c r="J230" s="35"/>
    </row>
    <row r="231" spans="1:14" s="36" customFormat="1" ht="15.75" customHeight="1" x14ac:dyDescent="0.3">
      <c r="A231" s="147" t="s">
        <v>123</v>
      </c>
      <c r="B231" s="148"/>
      <c r="C231" s="148"/>
      <c r="D231" s="148"/>
      <c r="E231" s="148"/>
      <c r="F231" s="148"/>
      <c r="G231" s="148"/>
      <c r="H231" s="149"/>
      <c r="I231" s="46" t="e">
        <f t="shared" si="3"/>
        <v>#DIV/0!</v>
      </c>
      <c r="J231" s="35"/>
    </row>
    <row r="232" spans="1:14" s="36" customFormat="1" ht="15.75" customHeight="1" x14ac:dyDescent="0.3">
      <c r="A232" s="134">
        <v>1</v>
      </c>
      <c r="B232" s="135"/>
      <c r="C232" s="64" t="s">
        <v>203</v>
      </c>
      <c r="D232" s="64">
        <f>(22.71)*10.764</f>
        <v>244.45043999999999</v>
      </c>
      <c r="E232" s="64">
        <v>0</v>
      </c>
      <c r="F232" s="52">
        <v>375</v>
      </c>
      <c r="G232" s="100" t="str">
        <f>A231</f>
        <v>Ground Floor</v>
      </c>
      <c r="H232" s="101"/>
      <c r="I232" s="46">
        <f t="shared" si="3"/>
        <v>1.5340532829476601</v>
      </c>
      <c r="L232" s="49">
        <v>376.06</v>
      </c>
      <c r="M232" s="50">
        <f>L232/D232</f>
        <v>1.5383895402274588</v>
      </c>
      <c r="N232" s="35"/>
    </row>
    <row r="233" spans="1:14" s="36" customFormat="1" x14ac:dyDescent="0.3">
      <c r="A233" s="134">
        <f t="shared" ref="A233:A234" si="8">A232+1</f>
        <v>2</v>
      </c>
      <c r="B233" s="135"/>
      <c r="C233" s="64" t="s">
        <v>195</v>
      </c>
      <c r="D233" s="64">
        <f>(29.4)*10.764</f>
        <v>316.46159999999998</v>
      </c>
      <c r="E233" s="64">
        <v>0</v>
      </c>
      <c r="F233" s="52">
        <v>485</v>
      </c>
      <c r="G233" s="102"/>
      <c r="H233" s="103"/>
      <c r="I233" s="46">
        <f t="shared" si="3"/>
        <v>1.5325714083478059</v>
      </c>
      <c r="L233" s="49">
        <v>486.84</v>
      </c>
      <c r="M233" s="50">
        <f>L233/D233</f>
        <v>1.5383856998763832</v>
      </c>
      <c r="N233" s="35"/>
    </row>
    <row r="234" spans="1:14" s="36" customFormat="1" x14ac:dyDescent="0.3">
      <c r="A234" s="134">
        <f t="shared" si="8"/>
        <v>3</v>
      </c>
      <c r="B234" s="135"/>
      <c r="C234" s="64" t="s">
        <v>195</v>
      </c>
      <c r="D234" s="64">
        <f>(28.9)*10.764</f>
        <v>311.07959999999997</v>
      </c>
      <c r="E234" s="64">
        <v>0</v>
      </c>
      <c r="F234" s="52">
        <v>480</v>
      </c>
      <c r="G234" s="104"/>
      <c r="H234" s="105"/>
      <c r="I234" s="46">
        <f t="shared" si="3"/>
        <v>1.5430134280743579</v>
      </c>
      <c r="L234" s="49">
        <v>478.56</v>
      </c>
      <c r="M234" s="50">
        <f>L234/D234</f>
        <v>1.5383843877901349</v>
      </c>
      <c r="N234" s="35"/>
    </row>
    <row r="235" spans="1:14" s="36" customFormat="1" x14ac:dyDescent="0.3">
      <c r="A235" s="147" t="s">
        <v>199</v>
      </c>
      <c r="B235" s="148"/>
      <c r="C235" s="148"/>
      <c r="D235" s="148"/>
      <c r="E235" s="148"/>
      <c r="F235" s="148"/>
      <c r="G235" s="148"/>
      <c r="H235" s="149"/>
      <c r="I235" s="46" t="e">
        <f t="shared" si="3"/>
        <v>#DIV/0!</v>
      </c>
    </row>
    <row r="236" spans="1:14" s="36" customFormat="1" ht="15.75" customHeight="1" x14ac:dyDescent="0.3">
      <c r="A236" s="134" t="str">
        <f ca="1">(SUMPRODUCT(MID(0&amp;(LEFT(A235,SUM(LEN(A235)-LEN(SUBSTITUTE(A235,{"0","1","2"},""))))), LARGE(INDEX(ISNUMBER(--MID((LEFT(A235,SUM(LEN(A235)-LEN(SUBSTITUTE(A235,{"0","1","2"},""))))), ROW(INDIRECT("1:"&amp;LEN((LEFT(A235,SUM(LEN(A235)-LEN(SUBSTITUTE(A235,{"0","1","2"},"")))))))), 1)) * ROW(INDIRECT("1:"&amp;LEN((LEFT(A235,SUM(LEN(A235)-LEN(SUBSTITUTE(A235,{"0","1","2"},"")))))))), 0), ROW(INDIRECT("1:"&amp;LEN((LEFT(A235,SUM(LEN(A235)-LEN(SUBSTITUTE(A235,{"0","1","2"},"")))))))))+1, 1) * 10^ROW(INDIRECT("1:"&amp;LEN((LEFT(A235,SUM(LEN(A235)-LEN(SUBSTITUTE(A235,{"0","1","2"},""))))))))/10))*100+1&amp;""&amp;" &amp; "&amp;""&amp;(SUMPRODUCT(MID(0&amp;(--TRIM(RIGHT(SUBSTITUTE(LEFT(A235,_xlfn.AGGREGATE(16,6,FIND({0,1,2,3,4,5,6,7,8,9},A235,ROW(INDIRECT("1:"&amp;LEN(A235)))),1))," ",REPT(" ",LEN(A235))),LEN(A235)))), LARGE(INDEX(ISNUMBER(--MID((--TRIM(RIGHT(SUBSTITUTE(LEFT(A235,_xlfn.AGGREGATE(16,6,FIND({0,1,2,3,4,5,6,7,8,9},A235,ROW(INDIRECT("1:"&amp;LEN(A235)))),1))," ",REPT(" ",LEN(A235))),LEN(A235)))), ROW(INDIRECT("1:"&amp;LEN((--TRIM(RIGHT(SUBSTITUTE(LEFT(A235,_xlfn.AGGREGATE(16,6,FIND({0,1,2,3,4,5,6,7,8,9},A235,ROW(INDIRECT("1:"&amp;LEN(A235)))),1))," ",REPT(" ",LEN(A235))),LEN(A235))))))), 1)) * ROW(INDIRECT("1:"&amp;LEN((--TRIM(RIGHT(SUBSTITUTE(LEFT(A235,_xlfn.AGGREGATE(16,6,FIND({0,1,2,3,4,5,6,7,8,9},A235,ROW(INDIRECT("1:"&amp;LEN(A235)))),1))," ",REPT(" ",LEN(A235))),LEN(A235))))))), 0), ROW(INDIRECT("1:"&amp;LEN((--TRIM(RIGHT(SUBSTITUTE(LEFT(A235,_xlfn.AGGREGATE(16,6,FIND({0,1,2,3,4,5,6,7,8,9},A235,ROW(INDIRECT("1:"&amp;LEN(A235)))),1))," ",REPT(" ",LEN(A235))),LEN(A235))))))))+1, 1) * 10^ROW(INDIRECT("1:"&amp;LEN((--TRIM(RIGHT(SUBSTITUTE(LEFT(A235,_xlfn.AGGREGATE(16,6,FIND({0,1,2,3,4,5,6,7,8,9},A235,ROW(INDIRECT("1:"&amp;LEN(A235)))),1))," ",REPT(" ",LEN(A235))),LEN(A235)))))))/10))*100+1</f>
        <v>101 &amp; 301</v>
      </c>
      <c r="B236" s="135"/>
      <c r="C236" s="64" t="s">
        <v>195</v>
      </c>
      <c r="D236" s="64">
        <f>(29.83+3.05)*10.764</f>
        <v>353.92031999999995</v>
      </c>
      <c r="E236" s="64">
        <f>(3.85)*10.764</f>
        <v>41.441400000000002</v>
      </c>
      <c r="F236" s="52">
        <v>585</v>
      </c>
      <c r="G236" s="100" t="str">
        <f>A235</f>
        <v>1st &amp; 3rd Floor</v>
      </c>
      <c r="H236" s="101"/>
      <c r="I236" s="46">
        <f t="shared" si="3"/>
        <v>1.6529144187030576</v>
      </c>
      <c r="J236" s="46"/>
      <c r="L236" s="46">
        <v>544.47</v>
      </c>
      <c r="M236" s="46">
        <f>L236/D236</f>
        <v>1.5383971171816304</v>
      </c>
    </row>
    <row r="237" spans="1:14" s="36" customFormat="1" x14ac:dyDescent="0.3">
      <c r="A237" s="134" t="str">
        <f ca="1">(SUMPRODUCT(MID(0&amp;(LEFT(A236,SUM(LEN(A236)-LEN(SUBSTITUTE(A236,{"0","1","2"},""))))), LARGE(INDEX(ISNUMBER(--MID((LEFT(A236,SUM(LEN(A236)-LEN(SUBSTITUTE(A236,{"0","1","2"},""))))), ROW(INDIRECT("1:"&amp;LEN((LEFT(A236,SUM(LEN(A236)-LEN(SUBSTITUTE(A236,{"0","1","2"},"")))))))), 1)) * ROW(INDIRECT("1:"&amp;LEN((LEFT(A236,SUM(LEN(A236)-LEN(SUBSTITUTE(A236,{"0","1","2"},"")))))))), 0), ROW(INDIRECT("1:"&amp;LEN((LEFT(A236,SUM(LEN(A236)-LEN(SUBSTITUTE(A236,{"0","1","2"},"")))))))))+1, 1) * 10^ROW(INDIRECT("1:"&amp;LEN((LEFT(A236,SUM(LEN(A236)-LEN(SUBSTITUTE(A236,{"0","1","2"},""))))))))/10))*1+1&amp;""&amp;" &amp; "&amp;""&amp;(SUMPRODUCT(MID(0&amp;(--TRIM(RIGHT(SUBSTITUTE(LEFT(A236,_xlfn.AGGREGATE(16,6,FIND({0,1,2,3,4,5,6,7,8,9},A236,ROW(INDIRECT("1:"&amp;LEN(A236)))),1))," ",REPT(" ",LEN(A236))),LEN(A236)))), LARGE(INDEX(ISNUMBER(--MID((--TRIM(RIGHT(SUBSTITUTE(LEFT(A236,_xlfn.AGGREGATE(16,6,FIND({0,1,2,3,4,5,6,7,8,9},A236,ROW(INDIRECT("1:"&amp;LEN(A236)))),1))," ",REPT(" ",LEN(A236))),LEN(A236)))), ROW(INDIRECT("1:"&amp;LEN((--TRIM(RIGHT(SUBSTITUTE(LEFT(A236,_xlfn.AGGREGATE(16,6,FIND({0,1,2,3,4,5,6,7,8,9},A236,ROW(INDIRECT("1:"&amp;LEN(A236)))),1))," ",REPT(" ",LEN(A236))),LEN(A236))))))), 1)) * ROW(INDIRECT("1:"&amp;LEN((--TRIM(RIGHT(SUBSTITUTE(LEFT(A236,_xlfn.AGGREGATE(16,6,FIND({0,1,2,3,4,5,6,7,8,9},A236,ROW(INDIRECT("1:"&amp;LEN(A236)))),1))," ",REPT(" ",LEN(A236))),LEN(A236))))))), 0), ROW(INDIRECT("1:"&amp;LEN((--TRIM(RIGHT(SUBSTITUTE(LEFT(A236,_xlfn.AGGREGATE(16,6,FIND({0,1,2,3,4,5,6,7,8,9},A236,ROW(INDIRECT("1:"&amp;LEN(A236)))),1))," ",REPT(" ",LEN(A236))),LEN(A236))))))))+1, 1) * 10^ROW(INDIRECT("1:"&amp;LEN((--TRIM(RIGHT(SUBSTITUTE(LEFT(A236,_xlfn.AGGREGATE(16,6,FIND({0,1,2,3,4,5,6,7,8,9},A236,ROW(INDIRECT("1:"&amp;LEN(A236)))),1))," ",REPT(" ",LEN(A236))),LEN(A236)))))))/10))*1+1</f>
        <v>102 &amp; 302</v>
      </c>
      <c r="B237" s="135"/>
      <c r="C237" s="64" t="s">
        <v>195</v>
      </c>
      <c r="D237" s="64">
        <f>(29.83+3.05)*10.764</f>
        <v>353.92031999999995</v>
      </c>
      <c r="E237" s="64">
        <f>(4.59)*10.764</f>
        <v>49.406759999999998</v>
      </c>
      <c r="F237" s="52">
        <v>595</v>
      </c>
      <c r="G237" s="102"/>
      <c r="H237" s="103"/>
      <c r="I237" s="46">
        <f t="shared" si="3"/>
        <v>1.6811693660313149</v>
      </c>
      <c r="L237" s="36">
        <v>544.47</v>
      </c>
      <c r="M237" s="46">
        <f t="shared" ref="M237:M240" si="9">L237/D237</f>
        <v>1.5383971171816304</v>
      </c>
    </row>
    <row r="238" spans="1:14" s="36" customFormat="1" x14ac:dyDescent="0.3">
      <c r="A238" s="134" t="str">
        <f ca="1">(SUMPRODUCT(MID(0&amp;(LEFT(A237,SUM(LEN(A237)-LEN(SUBSTITUTE(A237,{"0","1","2"},""))))), LARGE(INDEX(ISNUMBER(--MID((LEFT(A237,SUM(LEN(A237)-LEN(SUBSTITUTE(A237,{"0","1","2"},""))))), ROW(INDIRECT("1:"&amp;LEN((LEFT(A237,SUM(LEN(A237)-LEN(SUBSTITUTE(A237,{"0","1","2"},"")))))))), 1)) * ROW(INDIRECT("1:"&amp;LEN((LEFT(A237,SUM(LEN(A237)-LEN(SUBSTITUTE(A237,{"0","1","2"},"")))))))), 0), ROW(INDIRECT("1:"&amp;LEN((LEFT(A237,SUM(LEN(A237)-LEN(SUBSTITUTE(A237,{"0","1","2"},"")))))))))+1, 1) * 10^ROW(INDIRECT("1:"&amp;LEN((LEFT(A237,SUM(LEN(A237)-LEN(SUBSTITUTE(A237,{"0","1","2"},""))))))))/10))*1+1&amp;""&amp;" &amp; "&amp;""&amp;(SUMPRODUCT(MID(0&amp;(--TRIM(RIGHT(SUBSTITUTE(LEFT(A237,_xlfn.AGGREGATE(16,6,FIND({0,1,2,3,4,5,6,7,8,9},A237,ROW(INDIRECT("1:"&amp;LEN(A237)))),1))," ",REPT(" ",LEN(A237))),LEN(A237)))), LARGE(INDEX(ISNUMBER(--MID((--TRIM(RIGHT(SUBSTITUTE(LEFT(A237,_xlfn.AGGREGATE(16,6,FIND({0,1,2,3,4,5,6,7,8,9},A237,ROW(INDIRECT("1:"&amp;LEN(A237)))),1))," ",REPT(" ",LEN(A237))),LEN(A237)))), ROW(INDIRECT("1:"&amp;LEN((--TRIM(RIGHT(SUBSTITUTE(LEFT(A237,_xlfn.AGGREGATE(16,6,FIND({0,1,2,3,4,5,6,7,8,9},A237,ROW(INDIRECT("1:"&amp;LEN(A237)))),1))," ",REPT(" ",LEN(A237))),LEN(A237))))))), 1)) * ROW(INDIRECT("1:"&amp;LEN((--TRIM(RIGHT(SUBSTITUTE(LEFT(A237,_xlfn.AGGREGATE(16,6,FIND({0,1,2,3,4,5,6,7,8,9},A237,ROW(INDIRECT("1:"&amp;LEN(A237)))),1))," ",REPT(" ",LEN(A237))),LEN(A237))))))), 0), ROW(INDIRECT("1:"&amp;LEN((--TRIM(RIGHT(SUBSTITUTE(LEFT(A237,_xlfn.AGGREGATE(16,6,FIND({0,1,2,3,4,5,6,7,8,9},A237,ROW(INDIRECT("1:"&amp;LEN(A237)))),1))," ",REPT(" ",LEN(A237))),LEN(A237))))))))+1, 1) * 10^ROW(INDIRECT("1:"&amp;LEN((--TRIM(RIGHT(SUBSTITUTE(LEFT(A237,_xlfn.AGGREGATE(16,6,FIND({0,1,2,3,4,5,6,7,8,9},A237,ROW(INDIRECT("1:"&amp;LEN(A237)))),1))," ",REPT(" ",LEN(A237))),LEN(A237)))))))/10))*1+1</f>
        <v>103 &amp; 303</v>
      </c>
      <c r="B238" s="135"/>
      <c r="C238" s="64" t="s">
        <v>203</v>
      </c>
      <c r="D238" s="64">
        <f>(22.71)*10.764</f>
        <v>244.45043999999999</v>
      </c>
      <c r="E238" s="64">
        <v>0</v>
      </c>
      <c r="F238" s="52">
        <v>375</v>
      </c>
      <c r="G238" s="102"/>
      <c r="H238" s="103"/>
      <c r="I238" s="46">
        <f t="shared" si="3"/>
        <v>1.5340532829476601</v>
      </c>
      <c r="L238" s="36">
        <v>376.06</v>
      </c>
      <c r="M238" s="46">
        <f t="shared" si="9"/>
        <v>1.5383895402274588</v>
      </c>
    </row>
    <row r="239" spans="1:14" s="36" customFormat="1" x14ac:dyDescent="0.3">
      <c r="A239" s="134" t="str">
        <f ca="1">(SUMPRODUCT(MID(0&amp;(LEFT(A238,SUM(LEN(A238)-LEN(SUBSTITUTE(A238,{"0","1","2"},""))))), LARGE(INDEX(ISNUMBER(--MID((LEFT(A238,SUM(LEN(A238)-LEN(SUBSTITUTE(A238,{"0","1","2"},""))))), ROW(INDIRECT("1:"&amp;LEN((LEFT(A238,SUM(LEN(A238)-LEN(SUBSTITUTE(A238,{"0","1","2"},"")))))))), 1)) * ROW(INDIRECT("1:"&amp;LEN((LEFT(A238,SUM(LEN(A238)-LEN(SUBSTITUTE(A238,{"0","1","2"},"")))))))), 0), ROW(INDIRECT("1:"&amp;LEN((LEFT(A238,SUM(LEN(A238)-LEN(SUBSTITUTE(A238,{"0","1","2"},"")))))))))+1, 1) * 10^ROW(INDIRECT("1:"&amp;LEN((LEFT(A238,SUM(LEN(A238)-LEN(SUBSTITUTE(A238,{"0","1","2"},""))))))))/10))*1+1&amp;""&amp;" &amp; "&amp;""&amp;(SUMPRODUCT(MID(0&amp;(--TRIM(RIGHT(SUBSTITUTE(LEFT(A238,_xlfn.AGGREGATE(16,6,FIND({0,1,2,3,4,5,6,7,8,9},A238,ROW(INDIRECT("1:"&amp;LEN(A238)))),1))," ",REPT(" ",LEN(A238))),LEN(A238)))), LARGE(INDEX(ISNUMBER(--MID((--TRIM(RIGHT(SUBSTITUTE(LEFT(A238,_xlfn.AGGREGATE(16,6,FIND({0,1,2,3,4,5,6,7,8,9},A238,ROW(INDIRECT("1:"&amp;LEN(A238)))),1))," ",REPT(" ",LEN(A238))),LEN(A238)))), ROW(INDIRECT("1:"&amp;LEN((--TRIM(RIGHT(SUBSTITUTE(LEFT(A238,_xlfn.AGGREGATE(16,6,FIND({0,1,2,3,4,5,6,7,8,9},A238,ROW(INDIRECT("1:"&amp;LEN(A238)))),1))," ",REPT(" ",LEN(A238))),LEN(A238))))))), 1)) * ROW(INDIRECT("1:"&amp;LEN((--TRIM(RIGHT(SUBSTITUTE(LEFT(A238,_xlfn.AGGREGATE(16,6,FIND({0,1,2,3,4,5,6,7,8,9},A238,ROW(INDIRECT("1:"&amp;LEN(A238)))),1))," ",REPT(" ",LEN(A238))),LEN(A238))))))), 0), ROW(INDIRECT("1:"&amp;LEN((--TRIM(RIGHT(SUBSTITUTE(LEFT(A238,_xlfn.AGGREGATE(16,6,FIND({0,1,2,3,4,5,6,7,8,9},A238,ROW(INDIRECT("1:"&amp;LEN(A238)))),1))," ",REPT(" ",LEN(A238))),LEN(A238))))))))+1, 1) * 10^ROW(INDIRECT("1:"&amp;LEN((--TRIM(RIGHT(SUBSTITUTE(LEFT(A238,_xlfn.AGGREGATE(16,6,FIND({0,1,2,3,4,5,6,7,8,9},A238,ROW(INDIRECT("1:"&amp;LEN(A238)))),1))," ",REPT(" ",LEN(A238))),LEN(A238)))))))/10))*1+1</f>
        <v>104 &amp; 304</v>
      </c>
      <c r="B239" s="135"/>
      <c r="C239" s="64" t="s">
        <v>195</v>
      </c>
      <c r="D239" s="64">
        <f>(29.81+3.05)*10.764</f>
        <v>353.70504</v>
      </c>
      <c r="E239" s="64">
        <f>(3.11)*10.764</f>
        <v>33.476039999999998</v>
      </c>
      <c r="F239" s="52">
        <v>580</v>
      </c>
      <c r="G239" s="102"/>
      <c r="H239" s="103"/>
      <c r="I239" s="46">
        <f t="shared" si="3"/>
        <v>1.6397843807936692</v>
      </c>
      <c r="L239" s="36">
        <v>544.14</v>
      </c>
      <c r="M239" s="46">
        <f t="shared" si="9"/>
        <v>1.5384004706294261</v>
      </c>
    </row>
    <row r="240" spans="1:14" s="36" customFormat="1" x14ac:dyDescent="0.3">
      <c r="A240" s="134" t="str">
        <f ca="1">(SUMPRODUCT(MID(0&amp;(LEFT(A239,SUM(LEN(A239)-LEN(SUBSTITUTE(A239,{"0","1","2"},""))))), LARGE(INDEX(ISNUMBER(--MID((LEFT(A239,SUM(LEN(A239)-LEN(SUBSTITUTE(A239,{"0","1","2"},""))))), ROW(INDIRECT("1:"&amp;LEN((LEFT(A239,SUM(LEN(A239)-LEN(SUBSTITUTE(A239,{"0","1","2"},"")))))))), 1)) * ROW(INDIRECT("1:"&amp;LEN((LEFT(A239,SUM(LEN(A239)-LEN(SUBSTITUTE(A239,{"0","1","2"},"")))))))), 0), ROW(INDIRECT("1:"&amp;LEN((LEFT(A239,SUM(LEN(A239)-LEN(SUBSTITUTE(A239,{"0","1","2"},"")))))))))+1, 1) * 10^ROW(INDIRECT("1:"&amp;LEN((LEFT(A239,SUM(LEN(A239)-LEN(SUBSTITUTE(A239,{"0","1","2"},""))))))))/10))*1+1&amp;""&amp;" &amp; "&amp;""&amp;(SUMPRODUCT(MID(0&amp;(--TRIM(RIGHT(SUBSTITUTE(LEFT(A239,_xlfn.AGGREGATE(16,6,FIND({0,1,2,3,4,5,6,7,8,9},A239,ROW(INDIRECT("1:"&amp;LEN(A239)))),1))," ",REPT(" ",LEN(A239))),LEN(A239)))), LARGE(INDEX(ISNUMBER(--MID((--TRIM(RIGHT(SUBSTITUTE(LEFT(A239,_xlfn.AGGREGATE(16,6,FIND({0,1,2,3,4,5,6,7,8,9},A239,ROW(INDIRECT("1:"&amp;LEN(A239)))),1))," ",REPT(" ",LEN(A239))),LEN(A239)))), ROW(INDIRECT("1:"&amp;LEN((--TRIM(RIGHT(SUBSTITUTE(LEFT(A239,_xlfn.AGGREGATE(16,6,FIND({0,1,2,3,4,5,6,7,8,9},A239,ROW(INDIRECT("1:"&amp;LEN(A239)))),1))," ",REPT(" ",LEN(A239))),LEN(A239))))))), 1)) * ROW(INDIRECT("1:"&amp;LEN((--TRIM(RIGHT(SUBSTITUTE(LEFT(A239,_xlfn.AGGREGATE(16,6,FIND({0,1,2,3,4,5,6,7,8,9},A239,ROW(INDIRECT("1:"&amp;LEN(A239)))),1))," ",REPT(" ",LEN(A239))),LEN(A239))))))), 0), ROW(INDIRECT("1:"&amp;LEN((--TRIM(RIGHT(SUBSTITUTE(LEFT(A239,_xlfn.AGGREGATE(16,6,FIND({0,1,2,3,4,5,6,7,8,9},A239,ROW(INDIRECT("1:"&amp;LEN(A239)))),1))," ",REPT(" ",LEN(A239))),LEN(A239))))))))+1, 1) * 10^ROW(INDIRECT("1:"&amp;LEN((--TRIM(RIGHT(SUBSTITUTE(LEFT(A239,_xlfn.AGGREGATE(16,6,FIND({0,1,2,3,4,5,6,7,8,9},A239,ROW(INDIRECT("1:"&amp;LEN(A239)))),1))," ",REPT(" ",LEN(A239))),LEN(A239)))))))/10))*1+1</f>
        <v>105 &amp; 305</v>
      </c>
      <c r="B240" s="135"/>
      <c r="C240" s="64" t="s">
        <v>195</v>
      </c>
      <c r="D240" s="64">
        <f>(29.32+3.05)*10.764</f>
        <v>348.43067999999994</v>
      </c>
      <c r="E240" s="64">
        <f>(7.7)*10.764</f>
        <v>82.882800000000003</v>
      </c>
      <c r="F240" s="52">
        <v>620</v>
      </c>
      <c r="G240" s="104"/>
      <c r="H240" s="105"/>
      <c r="I240" s="46">
        <f t="shared" si="3"/>
        <v>1.7794070258107011</v>
      </c>
      <c r="L240" s="36">
        <v>536.03</v>
      </c>
      <c r="M240" s="46">
        <f t="shared" si="9"/>
        <v>1.538412174266629</v>
      </c>
    </row>
    <row r="241" spans="1:14" s="36" customFormat="1" x14ac:dyDescent="0.3">
      <c r="A241" s="147" t="s">
        <v>205</v>
      </c>
      <c r="B241" s="148"/>
      <c r="C241" s="148"/>
      <c r="D241" s="148"/>
      <c r="E241" s="148"/>
      <c r="F241" s="148"/>
      <c r="G241" s="148"/>
      <c r="H241" s="149"/>
      <c r="I241" s="46" t="e">
        <f t="shared" si="3"/>
        <v>#DIV/0!</v>
      </c>
    </row>
    <row r="242" spans="1:14" s="36" customFormat="1" ht="15.75" customHeight="1" x14ac:dyDescent="0.3">
      <c r="A242" s="134" t="str">
        <f ca="1">(SUMPRODUCT(MID(0&amp;(LEFT(A241,SUM(LEN(A241)-LEN(SUBSTITUTE(A241,{"0","1","2"},""))))), LARGE(INDEX(ISNUMBER(--MID((LEFT(A241,SUM(LEN(A241)-LEN(SUBSTITUTE(A241,{"0","1","2"},""))))), ROW(INDIRECT("1:"&amp;LEN((LEFT(A241,SUM(LEN(A241)-LEN(SUBSTITUTE(A241,{"0","1","2"},"")))))))), 1)) * ROW(INDIRECT("1:"&amp;LEN((LEFT(A241,SUM(LEN(A241)-LEN(SUBSTITUTE(A241,{"0","1","2"},"")))))))), 0), ROW(INDIRECT("1:"&amp;LEN((LEFT(A241,SUM(LEN(A241)-LEN(SUBSTITUTE(A241,{"0","1","2"},"")))))))))+1, 1) * 10^ROW(INDIRECT("1:"&amp;LEN((LEFT(A241,SUM(LEN(A241)-LEN(SUBSTITUTE(A241,{"0","1","2"},""))))))))/10))*100+1&amp;""&amp;" &amp; "&amp;""&amp;(SUMPRODUCT(MID(0&amp;(--TRIM(RIGHT(SUBSTITUTE(LEFT(A241,_xlfn.AGGREGATE(16,6,FIND({0,1,2,3,4,5,6,7,8,9},A241,ROW(INDIRECT("1:"&amp;LEN(A241)))),1))," ",REPT(" ",LEN(A241))),LEN(A241)))), LARGE(INDEX(ISNUMBER(--MID((--TRIM(RIGHT(SUBSTITUTE(LEFT(A241,_xlfn.AGGREGATE(16,6,FIND({0,1,2,3,4,5,6,7,8,9},A241,ROW(INDIRECT("1:"&amp;LEN(A241)))),1))," ",REPT(" ",LEN(A241))),LEN(A241)))), ROW(INDIRECT("1:"&amp;LEN((--TRIM(RIGHT(SUBSTITUTE(LEFT(A241,_xlfn.AGGREGATE(16,6,FIND({0,1,2,3,4,5,6,7,8,9},A241,ROW(INDIRECT("1:"&amp;LEN(A241)))),1))," ",REPT(" ",LEN(A241))),LEN(A241))))))), 1)) * ROW(INDIRECT("1:"&amp;LEN((--TRIM(RIGHT(SUBSTITUTE(LEFT(A241,_xlfn.AGGREGATE(16,6,FIND({0,1,2,3,4,5,6,7,8,9},A241,ROW(INDIRECT("1:"&amp;LEN(A241)))),1))," ",REPT(" ",LEN(A241))),LEN(A241))))))), 0), ROW(INDIRECT("1:"&amp;LEN((--TRIM(RIGHT(SUBSTITUTE(LEFT(A241,_xlfn.AGGREGATE(16,6,FIND({0,1,2,3,4,5,6,7,8,9},A241,ROW(INDIRECT("1:"&amp;LEN(A241)))),1))," ",REPT(" ",LEN(A241))),LEN(A241))))))))+1, 1) * 10^ROW(INDIRECT("1:"&amp;LEN((--TRIM(RIGHT(SUBSTITUTE(LEFT(A241,_xlfn.AGGREGATE(16,6,FIND({0,1,2,3,4,5,6,7,8,9},A241,ROW(INDIRECT("1:"&amp;LEN(A241)))),1))," ",REPT(" ",LEN(A241))),LEN(A241)))))))/10))*100+1</f>
        <v>201 &amp; 401</v>
      </c>
      <c r="B242" s="135"/>
      <c r="C242" s="64" t="s">
        <v>195</v>
      </c>
      <c r="D242" s="64">
        <f>(29.83+3.05)*10.764</f>
        <v>353.92031999999995</v>
      </c>
      <c r="E242" s="64">
        <v>0</v>
      </c>
      <c r="F242" s="52">
        <v>545</v>
      </c>
      <c r="G242" s="100" t="str">
        <f>A241</f>
        <v>2nd &amp; 4th Floor</v>
      </c>
      <c r="H242" s="101"/>
      <c r="I242" s="46">
        <f t="shared" si="3"/>
        <v>1.539894629390028</v>
      </c>
    </row>
    <row r="243" spans="1:14" s="36" customFormat="1" x14ac:dyDescent="0.3">
      <c r="A243" s="134" t="str">
        <f ca="1">(SUMPRODUCT(MID(0&amp;(LEFT(A242,SUM(LEN(A242)-LEN(SUBSTITUTE(A242,{"0","1","2"},""))))), LARGE(INDEX(ISNUMBER(--MID((LEFT(A242,SUM(LEN(A242)-LEN(SUBSTITUTE(A242,{"0","1","2"},""))))), ROW(INDIRECT("1:"&amp;LEN((LEFT(A242,SUM(LEN(A242)-LEN(SUBSTITUTE(A242,{"0","1","2"},"")))))))), 1)) * ROW(INDIRECT("1:"&amp;LEN((LEFT(A242,SUM(LEN(A242)-LEN(SUBSTITUTE(A242,{"0","1","2"},"")))))))), 0), ROW(INDIRECT("1:"&amp;LEN((LEFT(A242,SUM(LEN(A242)-LEN(SUBSTITUTE(A242,{"0","1","2"},"")))))))))+1, 1) * 10^ROW(INDIRECT("1:"&amp;LEN((LEFT(A242,SUM(LEN(A242)-LEN(SUBSTITUTE(A242,{"0","1","2"},""))))))))/10))*1+1&amp;""&amp;" &amp; "&amp;""&amp;(SUMPRODUCT(MID(0&amp;(--TRIM(RIGHT(SUBSTITUTE(LEFT(A242,_xlfn.AGGREGATE(16,6,FIND({0,1,2,3,4,5,6,7,8,9},A242,ROW(INDIRECT("1:"&amp;LEN(A242)))),1))," ",REPT(" ",LEN(A242))),LEN(A242)))), LARGE(INDEX(ISNUMBER(--MID((--TRIM(RIGHT(SUBSTITUTE(LEFT(A242,_xlfn.AGGREGATE(16,6,FIND({0,1,2,3,4,5,6,7,8,9},A242,ROW(INDIRECT("1:"&amp;LEN(A242)))),1))," ",REPT(" ",LEN(A242))),LEN(A242)))), ROW(INDIRECT("1:"&amp;LEN((--TRIM(RIGHT(SUBSTITUTE(LEFT(A242,_xlfn.AGGREGATE(16,6,FIND({0,1,2,3,4,5,6,7,8,9},A242,ROW(INDIRECT("1:"&amp;LEN(A242)))),1))," ",REPT(" ",LEN(A242))),LEN(A242))))))), 1)) * ROW(INDIRECT("1:"&amp;LEN((--TRIM(RIGHT(SUBSTITUTE(LEFT(A242,_xlfn.AGGREGATE(16,6,FIND({0,1,2,3,4,5,6,7,8,9},A242,ROW(INDIRECT("1:"&amp;LEN(A242)))),1))," ",REPT(" ",LEN(A242))),LEN(A242))))))), 0), ROW(INDIRECT("1:"&amp;LEN((--TRIM(RIGHT(SUBSTITUTE(LEFT(A242,_xlfn.AGGREGATE(16,6,FIND({0,1,2,3,4,5,6,7,8,9},A242,ROW(INDIRECT("1:"&amp;LEN(A242)))),1))," ",REPT(" ",LEN(A242))),LEN(A242))))))))+1, 1) * 10^ROW(INDIRECT("1:"&amp;LEN((--TRIM(RIGHT(SUBSTITUTE(LEFT(A242,_xlfn.AGGREGATE(16,6,FIND({0,1,2,3,4,5,6,7,8,9},A242,ROW(INDIRECT("1:"&amp;LEN(A242)))),1))," ",REPT(" ",LEN(A242))),LEN(A242)))))))/10))*1+1</f>
        <v>202 &amp; 402</v>
      </c>
      <c r="B243" s="135"/>
      <c r="C243" s="64" t="s">
        <v>195</v>
      </c>
      <c r="D243" s="64">
        <f>(29.83+3.05)*10.764</f>
        <v>353.92031999999995</v>
      </c>
      <c r="E243" s="64">
        <v>0</v>
      </c>
      <c r="F243" s="52">
        <v>545</v>
      </c>
      <c r="G243" s="102"/>
      <c r="H243" s="103"/>
      <c r="I243" s="46">
        <f t="shared" si="3"/>
        <v>1.539894629390028</v>
      </c>
    </row>
    <row r="244" spans="1:14" s="36" customFormat="1" x14ac:dyDescent="0.3">
      <c r="A244" s="134" t="str">
        <f ca="1">(SUMPRODUCT(MID(0&amp;(LEFT(A243,SUM(LEN(A243)-LEN(SUBSTITUTE(A243,{"0","1","2"},""))))), LARGE(INDEX(ISNUMBER(--MID((LEFT(A243,SUM(LEN(A243)-LEN(SUBSTITUTE(A243,{"0","1","2"},""))))), ROW(INDIRECT("1:"&amp;LEN((LEFT(A243,SUM(LEN(A243)-LEN(SUBSTITUTE(A243,{"0","1","2"},"")))))))), 1)) * ROW(INDIRECT("1:"&amp;LEN((LEFT(A243,SUM(LEN(A243)-LEN(SUBSTITUTE(A243,{"0","1","2"},"")))))))), 0), ROW(INDIRECT("1:"&amp;LEN((LEFT(A243,SUM(LEN(A243)-LEN(SUBSTITUTE(A243,{"0","1","2"},"")))))))))+1, 1) * 10^ROW(INDIRECT("1:"&amp;LEN((LEFT(A243,SUM(LEN(A243)-LEN(SUBSTITUTE(A243,{"0","1","2"},""))))))))/10))*1+1&amp;""&amp;" &amp; "&amp;""&amp;(SUMPRODUCT(MID(0&amp;(--TRIM(RIGHT(SUBSTITUTE(LEFT(A243,_xlfn.AGGREGATE(16,6,FIND({0,1,2,3,4,5,6,7,8,9},A243,ROW(INDIRECT("1:"&amp;LEN(A243)))),1))," ",REPT(" ",LEN(A243))),LEN(A243)))), LARGE(INDEX(ISNUMBER(--MID((--TRIM(RIGHT(SUBSTITUTE(LEFT(A243,_xlfn.AGGREGATE(16,6,FIND({0,1,2,3,4,5,6,7,8,9},A243,ROW(INDIRECT("1:"&amp;LEN(A243)))),1))," ",REPT(" ",LEN(A243))),LEN(A243)))), ROW(INDIRECT("1:"&amp;LEN((--TRIM(RIGHT(SUBSTITUTE(LEFT(A243,_xlfn.AGGREGATE(16,6,FIND({0,1,2,3,4,5,6,7,8,9},A243,ROW(INDIRECT("1:"&amp;LEN(A243)))),1))," ",REPT(" ",LEN(A243))),LEN(A243))))))), 1)) * ROW(INDIRECT("1:"&amp;LEN((--TRIM(RIGHT(SUBSTITUTE(LEFT(A243,_xlfn.AGGREGATE(16,6,FIND({0,1,2,3,4,5,6,7,8,9},A243,ROW(INDIRECT("1:"&amp;LEN(A243)))),1))," ",REPT(" ",LEN(A243))),LEN(A243))))))), 0), ROW(INDIRECT("1:"&amp;LEN((--TRIM(RIGHT(SUBSTITUTE(LEFT(A243,_xlfn.AGGREGATE(16,6,FIND({0,1,2,3,4,5,6,7,8,9},A243,ROW(INDIRECT("1:"&amp;LEN(A243)))),1))," ",REPT(" ",LEN(A243))),LEN(A243))))))))+1, 1) * 10^ROW(INDIRECT("1:"&amp;LEN((--TRIM(RIGHT(SUBSTITUTE(LEFT(A243,_xlfn.AGGREGATE(16,6,FIND({0,1,2,3,4,5,6,7,8,9},A243,ROW(INDIRECT("1:"&amp;LEN(A243)))),1))," ",REPT(" ",LEN(A243))),LEN(A243)))))))/10))*1+1</f>
        <v>203 &amp; 403</v>
      </c>
      <c r="B244" s="135"/>
      <c r="C244" s="64" t="s">
        <v>203</v>
      </c>
      <c r="D244" s="64">
        <f>(22.71)*10.764</f>
        <v>244.45043999999999</v>
      </c>
      <c r="E244" s="64">
        <v>0</v>
      </c>
      <c r="F244" s="52">
        <v>375</v>
      </c>
      <c r="G244" s="102"/>
      <c r="H244" s="103"/>
      <c r="I244" s="46">
        <f t="shared" si="3"/>
        <v>1.5340532829476601</v>
      </c>
    </row>
    <row r="245" spans="1:14" s="36" customFormat="1" x14ac:dyDescent="0.3">
      <c r="A245" s="134" t="str">
        <f ca="1">(SUMPRODUCT(MID(0&amp;(LEFT(A244,SUM(LEN(A244)-LEN(SUBSTITUTE(A244,{"0","1","2"},""))))), LARGE(INDEX(ISNUMBER(--MID((LEFT(A244,SUM(LEN(A244)-LEN(SUBSTITUTE(A244,{"0","1","2"},""))))), ROW(INDIRECT("1:"&amp;LEN((LEFT(A244,SUM(LEN(A244)-LEN(SUBSTITUTE(A244,{"0","1","2"},"")))))))), 1)) * ROW(INDIRECT("1:"&amp;LEN((LEFT(A244,SUM(LEN(A244)-LEN(SUBSTITUTE(A244,{"0","1","2"},"")))))))), 0), ROW(INDIRECT("1:"&amp;LEN((LEFT(A244,SUM(LEN(A244)-LEN(SUBSTITUTE(A244,{"0","1","2"},"")))))))))+1, 1) * 10^ROW(INDIRECT("1:"&amp;LEN((LEFT(A244,SUM(LEN(A244)-LEN(SUBSTITUTE(A244,{"0","1","2"},""))))))))/10))*1+1&amp;""&amp;" &amp; "&amp;""&amp;(SUMPRODUCT(MID(0&amp;(--TRIM(RIGHT(SUBSTITUTE(LEFT(A244,_xlfn.AGGREGATE(16,6,FIND({0,1,2,3,4,5,6,7,8,9},A244,ROW(INDIRECT("1:"&amp;LEN(A244)))),1))," ",REPT(" ",LEN(A244))),LEN(A244)))), LARGE(INDEX(ISNUMBER(--MID((--TRIM(RIGHT(SUBSTITUTE(LEFT(A244,_xlfn.AGGREGATE(16,6,FIND({0,1,2,3,4,5,6,7,8,9},A244,ROW(INDIRECT("1:"&amp;LEN(A244)))),1))," ",REPT(" ",LEN(A244))),LEN(A244)))), ROW(INDIRECT("1:"&amp;LEN((--TRIM(RIGHT(SUBSTITUTE(LEFT(A244,_xlfn.AGGREGATE(16,6,FIND({0,1,2,3,4,5,6,7,8,9},A244,ROW(INDIRECT("1:"&amp;LEN(A244)))),1))," ",REPT(" ",LEN(A244))),LEN(A244))))))), 1)) * ROW(INDIRECT("1:"&amp;LEN((--TRIM(RIGHT(SUBSTITUTE(LEFT(A244,_xlfn.AGGREGATE(16,6,FIND({0,1,2,3,4,5,6,7,8,9},A244,ROW(INDIRECT("1:"&amp;LEN(A244)))),1))," ",REPT(" ",LEN(A244))),LEN(A244))))))), 0), ROW(INDIRECT("1:"&amp;LEN((--TRIM(RIGHT(SUBSTITUTE(LEFT(A244,_xlfn.AGGREGATE(16,6,FIND({0,1,2,3,4,5,6,7,8,9},A244,ROW(INDIRECT("1:"&amp;LEN(A244)))),1))," ",REPT(" ",LEN(A244))),LEN(A244))))))))+1, 1) * 10^ROW(INDIRECT("1:"&amp;LEN((--TRIM(RIGHT(SUBSTITUTE(LEFT(A244,_xlfn.AGGREGATE(16,6,FIND({0,1,2,3,4,5,6,7,8,9},A244,ROW(INDIRECT("1:"&amp;LEN(A244)))),1))," ",REPT(" ",LEN(A244))),LEN(A244)))))))/10))*1+1</f>
        <v>204 &amp; 404</v>
      </c>
      <c r="B245" s="135"/>
      <c r="C245" s="64" t="s">
        <v>195</v>
      </c>
      <c r="D245" s="64">
        <f>(29.81+3.05)*10.764</f>
        <v>353.70504</v>
      </c>
      <c r="E245" s="64">
        <v>0</v>
      </c>
      <c r="F245" s="52">
        <v>545</v>
      </c>
      <c r="G245" s="102"/>
      <c r="H245" s="103"/>
      <c r="I245" s="46">
        <f t="shared" si="3"/>
        <v>1.5408318750561203</v>
      </c>
    </row>
    <row r="246" spans="1:14" s="36" customFormat="1" x14ac:dyDescent="0.3">
      <c r="A246" s="134" t="str">
        <f ca="1">(SUMPRODUCT(MID(0&amp;(LEFT(A245,SUM(LEN(A245)-LEN(SUBSTITUTE(A245,{"0","1","2"},""))))), LARGE(INDEX(ISNUMBER(--MID((LEFT(A245,SUM(LEN(A245)-LEN(SUBSTITUTE(A245,{"0","1","2"},""))))), ROW(INDIRECT("1:"&amp;LEN((LEFT(A245,SUM(LEN(A245)-LEN(SUBSTITUTE(A245,{"0","1","2"},"")))))))), 1)) * ROW(INDIRECT("1:"&amp;LEN((LEFT(A245,SUM(LEN(A245)-LEN(SUBSTITUTE(A245,{"0","1","2"},"")))))))), 0), ROW(INDIRECT("1:"&amp;LEN((LEFT(A245,SUM(LEN(A245)-LEN(SUBSTITUTE(A245,{"0","1","2"},"")))))))))+1, 1) * 10^ROW(INDIRECT("1:"&amp;LEN((LEFT(A245,SUM(LEN(A245)-LEN(SUBSTITUTE(A245,{"0","1","2"},""))))))))/10))*1+1&amp;""&amp;" &amp; "&amp;""&amp;(SUMPRODUCT(MID(0&amp;(--TRIM(RIGHT(SUBSTITUTE(LEFT(A245,_xlfn.AGGREGATE(16,6,FIND({0,1,2,3,4,5,6,7,8,9},A245,ROW(INDIRECT("1:"&amp;LEN(A245)))),1))," ",REPT(" ",LEN(A245))),LEN(A245)))), LARGE(INDEX(ISNUMBER(--MID((--TRIM(RIGHT(SUBSTITUTE(LEFT(A245,_xlfn.AGGREGATE(16,6,FIND({0,1,2,3,4,5,6,7,8,9},A245,ROW(INDIRECT("1:"&amp;LEN(A245)))),1))," ",REPT(" ",LEN(A245))),LEN(A245)))), ROW(INDIRECT("1:"&amp;LEN((--TRIM(RIGHT(SUBSTITUTE(LEFT(A245,_xlfn.AGGREGATE(16,6,FIND({0,1,2,3,4,5,6,7,8,9},A245,ROW(INDIRECT("1:"&amp;LEN(A245)))),1))," ",REPT(" ",LEN(A245))),LEN(A245))))))), 1)) * ROW(INDIRECT("1:"&amp;LEN((--TRIM(RIGHT(SUBSTITUTE(LEFT(A245,_xlfn.AGGREGATE(16,6,FIND({0,1,2,3,4,5,6,7,8,9},A245,ROW(INDIRECT("1:"&amp;LEN(A245)))),1))," ",REPT(" ",LEN(A245))),LEN(A245))))))), 0), ROW(INDIRECT("1:"&amp;LEN((--TRIM(RIGHT(SUBSTITUTE(LEFT(A245,_xlfn.AGGREGATE(16,6,FIND({0,1,2,3,4,5,6,7,8,9},A245,ROW(INDIRECT("1:"&amp;LEN(A245)))),1))," ",REPT(" ",LEN(A245))),LEN(A245))))))))+1, 1) * 10^ROW(INDIRECT("1:"&amp;LEN((--TRIM(RIGHT(SUBSTITUTE(LEFT(A245,_xlfn.AGGREGATE(16,6,FIND({0,1,2,3,4,5,6,7,8,9},A245,ROW(INDIRECT("1:"&amp;LEN(A245)))),1))," ",REPT(" ",LEN(A245))),LEN(A245)))))))/10))*1+1</f>
        <v>205 &amp; 405</v>
      </c>
      <c r="B246" s="135"/>
      <c r="C246" s="64" t="s">
        <v>195</v>
      </c>
      <c r="D246" s="64">
        <f>(29.32+3.05)*10.764</f>
        <v>348.43067999999994</v>
      </c>
      <c r="E246" s="64">
        <v>0</v>
      </c>
      <c r="F246" s="52">
        <v>535</v>
      </c>
      <c r="G246" s="104"/>
      <c r="H246" s="105"/>
      <c r="I246" s="46">
        <f t="shared" si="3"/>
        <v>1.5354560625947178</v>
      </c>
    </row>
    <row r="247" spans="1:14" s="36" customFormat="1" ht="15.75" customHeight="1" x14ac:dyDescent="0.3">
      <c r="A247" s="147" t="s">
        <v>204</v>
      </c>
      <c r="B247" s="148"/>
      <c r="C247" s="148"/>
      <c r="D247" s="148"/>
      <c r="E247" s="148"/>
      <c r="F247" s="148"/>
      <c r="G247" s="148"/>
      <c r="H247" s="149"/>
      <c r="I247" s="46" t="e">
        <f t="shared" si="3"/>
        <v>#DIV/0!</v>
      </c>
      <c r="J247" s="35"/>
    </row>
    <row r="248" spans="1:14" s="36" customFormat="1" ht="15.75" customHeight="1" x14ac:dyDescent="0.3">
      <c r="A248" s="147" t="s">
        <v>123</v>
      </c>
      <c r="B248" s="148"/>
      <c r="C248" s="148"/>
      <c r="D248" s="148"/>
      <c r="E248" s="148"/>
      <c r="F248" s="148"/>
      <c r="G248" s="148"/>
      <c r="H248" s="149"/>
      <c r="I248" s="46" t="e">
        <f t="shared" si="3"/>
        <v>#DIV/0!</v>
      </c>
      <c r="J248" s="35"/>
    </row>
    <row r="249" spans="1:14" s="36" customFormat="1" ht="15.75" customHeight="1" x14ac:dyDescent="0.3">
      <c r="A249" s="134">
        <v>1</v>
      </c>
      <c r="B249" s="135"/>
      <c r="C249" s="64" t="s">
        <v>195</v>
      </c>
      <c r="D249" s="64">
        <f>(28.9)*10.764</f>
        <v>311.07959999999997</v>
      </c>
      <c r="E249" s="64">
        <v>0</v>
      </c>
      <c r="F249" s="52">
        <v>480</v>
      </c>
      <c r="G249" s="100" t="str">
        <f>A248</f>
        <v>Ground Floor</v>
      </c>
      <c r="H249" s="101"/>
      <c r="I249" s="46">
        <f t="shared" si="3"/>
        <v>1.5430134280743579</v>
      </c>
      <c r="L249" s="49">
        <v>478.56</v>
      </c>
      <c r="M249" s="50">
        <f>L249/D249</f>
        <v>1.5383843877901349</v>
      </c>
      <c r="N249" s="35"/>
    </row>
    <row r="250" spans="1:14" s="36" customFormat="1" x14ac:dyDescent="0.3">
      <c r="A250" s="134">
        <f t="shared" ref="A250" si="10">A249+1</f>
        <v>2</v>
      </c>
      <c r="B250" s="135"/>
      <c r="C250" s="64" t="s">
        <v>196</v>
      </c>
      <c r="D250" s="64">
        <f>(38.55)*10.764</f>
        <v>414.95219999999995</v>
      </c>
      <c r="E250" s="64">
        <v>0</v>
      </c>
      <c r="F250" s="52">
        <v>640</v>
      </c>
      <c r="G250" s="102"/>
      <c r="H250" s="103"/>
      <c r="I250" s="46">
        <f t="shared" si="3"/>
        <v>1.5423463232632579</v>
      </c>
      <c r="L250" s="49">
        <v>638.36</v>
      </c>
      <c r="M250" s="50">
        <f>L250/D250</f>
        <v>1.5383940608098958</v>
      </c>
      <c r="N250" s="35"/>
    </row>
    <row r="251" spans="1:14" s="36" customFormat="1" x14ac:dyDescent="0.3">
      <c r="A251" s="147" t="s">
        <v>199</v>
      </c>
      <c r="B251" s="148"/>
      <c r="C251" s="148"/>
      <c r="D251" s="148"/>
      <c r="E251" s="148"/>
      <c r="F251" s="148"/>
      <c r="G251" s="148"/>
      <c r="H251" s="149"/>
      <c r="I251" s="46" t="e">
        <f t="shared" si="3"/>
        <v>#DIV/0!</v>
      </c>
    </row>
    <row r="252" spans="1:14" s="36" customFormat="1" ht="15.75" customHeight="1" x14ac:dyDescent="0.3">
      <c r="A252" s="134" t="str">
        <f ca="1">(SUMPRODUCT(MID(0&amp;(LEFT(A251,SUM(LEN(A251)-LEN(SUBSTITUTE(A251,{"0","1","2"},""))))), LARGE(INDEX(ISNUMBER(--MID((LEFT(A251,SUM(LEN(A251)-LEN(SUBSTITUTE(A251,{"0","1","2"},""))))), ROW(INDIRECT("1:"&amp;LEN((LEFT(A251,SUM(LEN(A251)-LEN(SUBSTITUTE(A251,{"0","1","2"},"")))))))), 1)) * ROW(INDIRECT("1:"&amp;LEN((LEFT(A251,SUM(LEN(A251)-LEN(SUBSTITUTE(A251,{"0","1","2"},"")))))))), 0), ROW(INDIRECT("1:"&amp;LEN((LEFT(A251,SUM(LEN(A251)-LEN(SUBSTITUTE(A251,{"0","1","2"},"")))))))))+1, 1) * 10^ROW(INDIRECT("1:"&amp;LEN((LEFT(A251,SUM(LEN(A251)-LEN(SUBSTITUTE(A251,{"0","1","2"},""))))))))/10))*100+1&amp;""&amp;" &amp; "&amp;""&amp;(SUMPRODUCT(MID(0&amp;(--TRIM(RIGHT(SUBSTITUTE(LEFT(A251,_xlfn.AGGREGATE(16,6,FIND({0,1,2,3,4,5,6,7,8,9},A251,ROW(INDIRECT("1:"&amp;LEN(A251)))),1))," ",REPT(" ",LEN(A251))),LEN(A251)))), LARGE(INDEX(ISNUMBER(--MID((--TRIM(RIGHT(SUBSTITUTE(LEFT(A251,_xlfn.AGGREGATE(16,6,FIND({0,1,2,3,4,5,6,7,8,9},A251,ROW(INDIRECT("1:"&amp;LEN(A251)))),1))," ",REPT(" ",LEN(A251))),LEN(A251)))), ROW(INDIRECT("1:"&amp;LEN((--TRIM(RIGHT(SUBSTITUTE(LEFT(A251,_xlfn.AGGREGATE(16,6,FIND({0,1,2,3,4,5,6,7,8,9},A251,ROW(INDIRECT("1:"&amp;LEN(A251)))),1))," ",REPT(" ",LEN(A251))),LEN(A251))))))), 1)) * ROW(INDIRECT("1:"&amp;LEN((--TRIM(RIGHT(SUBSTITUTE(LEFT(A251,_xlfn.AGGREGATE(16,6,FIND({0,1,2,3,4,5,6,7,8,9},A251,ROW(INDIRECT("1:"&amp;LEN(A251)))),1))," ",REPT(" ",LEN(A251))),LEN(A251))))))), 0), ROW(INDIRECT("1:"&amp;LEN((--TRIM(RIGHT(SUBSTITUTE(LEFT(A251,_xlfn.AGGREGATE(16,6,FIND({0,1,2,3,4,5,6,7,8,9},A251,ROW(INDIRECT("1:"&amp;LEN(A251)))),1))," ",REPT(" ",LEN(A251))),LEN(A251))))))))+1, 1) * 10^ROW(INDIRECT("1:"&amp;LEN((--TRIM(RIGHT(SUBSTITUTE(LEFT(A251,_xlfn.AGGREGATE(16,6,FIND({0,1,2,3,4,5,6,7,8,9},A251,ROW(INDIRECT("1:"&amp;LEN(A251)))),1))," ",REPT(" ",LEN(A251))),LEN(A251)))))))/10))*100+1</f>
        <v>101 &amp; 301</v>
      </c>
      <c r="B252" s="135"/>
      <c r="C252" s="64" t="s">
        <v>195</v>
      </c>
      <c r="D252" s="64">
        <f>(29.32+3.05)*10.764</f>
        <v>348.43067999999994</v>
      </c>
      <c r="E252" s="64">
        <f>(3.1)*10.764</f>
        <v>33.368400000000001</v>
      </c>
      <c r="F252" s="52">
        <v>570</v>
      </c>
      <c r="G252" s="100" t="str">
        <f>A251</f>
        <v>1st &amp; 3rd Floor</v>
      </c>
      <c r="H252" s="101"/>
      <c r="I252" s="46">
        <f t="shared" si="3"/>
        <v>1.6359064592130639</v>
      </c>
      <c r="J252" s="46"/>
      <c r="L252" s="45">
        <v>536.03</v>
      </c>
      <c r="M252" s="46">
        <f>L252/D252</f>
        <v>1.538412174266629</v>
      </c>
    </row>
    <row r="253" spans="1:14" s="36" customFormat="1" x14ac:dyDescent="0.3">
      <c r="A253" s="134" t="str">
        <f ca="1">(SUMPRODUCT(MID(0&amp;(LEFT(A252,SUM(LEN(A252)-LEN(SUBSTITUTE(A252,{"0","1","2"},""))))), LARGE(INDEX(ISNUMBER(--MID((LEFT(A252,SUM(LEN(A252)-LEN(SUBSTITUTE(A252,{"0","1","2"},""))))), ROW(INDIRECT("1:"&amp;LEN((LEFT(A252,SUM(LEN(A252)-LEN(SUBSTITUTE(A252,{"0","1","2"},"")))))))), 1)) * ROW(INDIRECT("1:"&amp;LEN((LEFT(A252,SUM(LEN(A252)-LEN(SUBSTITUTE(A252,{"0","1","2"},"")))))))), 0), ROW(INDIRECT("1:"&amp;LEN((LEFT(A252,SUM(LEN(A252)-LEN(SUBSTITUTE(A252,{"0","1","2"},"")))))))))+1, 1) * 10^ROW(INDIRECT("1:"&amp;LEN((LEFT(A252,SUM(LEN(A252)-LEN(SUBSTITUTE(A252,{"0","1","2"},""))))))))/10))*1+1&amp;""&amp;" &amp; "&amp;""&amp;(SUMPRODUCT(MID(0&amp;(--TRIM(RIGHT(SUBSTITUTE(LEFT(A252,_xlfn.AGGREGATE(16,6,FIND({0,1,2,3,4,5,6,7,8,9},A252,ROW(INDIRECT("1:"&amp;LEN(A252)))),1))," ",REPT(" ",LEN(A252))),LEN(A252)))), LARGE(INDEX(ISNUMBER(--MID((--TRIM(RIGHT(SUBSTITUTE(LEFT(A252,_xlfn.AGGREGATE(16,6,FIND({0,1,2,3,4,5,6,7,8,9},A252,ROW(INDIRECT("1:"&amp;LEN(A252)))),1))," ",REPT(" ",LEN(A252))),LEN(A252)))), ROW(INDIRECT("1:"&amp;LEN((--TRIM(RIGHT(SUBSTITUTE(LEFT(A252,_xlfn.AGGREGATE(16,6,FIND({0,1,2,3,4,5,6,7,8,9},A252,ROW(INDIRECT("1:"&amp;LEN(A252)))),1))," ",REPT(" ",LEN(A252))),LEN(A252))))))), 1)) * ROW(INDIRECT("1:"&amp;LEN((--TRIM(RIGHT(SUBSTITUTE(LEFT(A252,_xlfn.AGGREGATE(16,6,FIND({0,1,2,3,4,5,6,7,8,9},A252,ROW(INDIRECT("1:"&amp;LEN(A252)))),1))," ",REPT(" ",LEN(A252))),LEN(A252))))))), 0), ROW(INDIRECT("1:"&amp;LEN((--TRIM(RIGHT(SUBSTITUTE(LEFT(A252,_xlfn.AGGREGATE(16,6,FIND({0,1,2,3,4,5,6,7,8,9},A252,ROW(INDIRECT("1:"&amp;LEN(A252)))),1))," ",REPT(" ",LEN(A252))),LEN(A252))))))))+1, 1) * 10^ROW(INDIRECT("1:"&amp;LEN((--TRIM(RIGHT(SUBSTITUTE(LEFT(A252,_xlfn.AGGREGATE(16,6,FIND({0,1,2,3,4,5,6,7,8,9},A252,ROW(INDIRECT("1:"&amp;LEN(A252)))),1))," ",REPT(" ",LEN(A252))),LEN(A252)))))))/10))*1+1</f>
        <v>102 &amp; 302</v>
      </c>
      <c r="B253" s="135"/>
      <c r="C253" s="64" t="s">
        <v>196</v>
      </c>
      <c r="D253" s="64">
        <f>(39.61+7.5)*10.764</f>
        <v>507.09203999999994</v>
      </c>
      <c r="E253" s="64">
        <f>(4.5)*10.764</f>
        <v>48.437999999999995</v>
      </c>
      <c r="F253" s="52">
        <v>830</v>
      </c>
      <c r="G253" s="102"/>
      <c r="H253" s="103"/>
      <c r="I253" s="46">
        <f t="shared" si="3"/>
        <v>1.6367837286501286</v>
      </c>
      <c r="L253" s="36">
        <v>780.11</v>
      </c>
      <c r="M253" s="46">
        <f t="shared" ref="M253:M256" si="11">L253/D253</f>
        <v>1.5383992223581346</v>
      </c>
    </row>
    <row r="254" spans="1:14" s="36" customFormat="1" x14ac:dyDescent="0.3">
      <c r="A254" s="134" t="str">
        <f ca="1">(SUMPRODUCT(MID(0&amp;(LEFT(A253,SUM(LEN(A253)-LEN(SUBSTITUTE(A253,{"0","1","2"},""))))), LARGE(INDEX(ISNUMBER(--MID((LEFT(A253,SUM(LEN(A253)-LEN(SUBSTITUTE(A253,{"0","1","2"},""))))), ROW(INDIRECT("1:"&amp;LEN((LEFT(A253,SUM(LEN(A253)-LEN(SUBSTITUTE(A253,{"0","1","2"},"")))))))), 1)) * ROW(INDIRECT("1:"&amp;LEN((LEFT(A253,SUM(LEN(A253)-LEN(SUBSTITUTE(A253,{"0","1","2"},"")))))))), 0), ROW(INDIRECT("1:"&amp;LEN((LEFT(A253,SUM(LEN(A253)-LEN(SUBSTITUTE(A253,{"0","1","2"},"")))))))))+1, 1) * 10^ROW(INDIRECT("1:"&amp;LEN((LEFT(A253,SUM(LEN(A253)-LEN(SUBSTITUTE(A253,{"0","1","2"},""))))))))/10))*1+1&amp;""&amp;" &amp; "&amp;""&amp;(SUMPRODUCT(MID(0&amp;(--TRIM(RIGHT(SUBSTITUTE(LEFT(A253,_xlfn.AGGREGATE(16,6,FIND({0,1,2,3,4,5,6,7,8,9},A253,ROW(INDIRECT("1:"&amp;LEN(A253)))),1))," ",REPT(" ",LEN(A253))),LEN(A253)))), LARGE(INDEX(ISNUMBER(--MID((--TRIM(RIGHT(SUBSTITUTE(LEFT(A253,_xlfn.AGGREGATE(16,6,FIND({0,1,2,3,4,5,6,7,8,9},A253,ROW(INDIRECT("1:"&amp;LEN(A253)))),1))," ",REPT(" ",LEN(A253))),LEN(A253)))), ROW(INDIRECT("1:"&amp;LEN((--TRIM(RIGHT(SUBSTITUTE(LEFT(A253,_xlfn.AGGREGATE(16,6,FIND({0,1,2,3,4,5,6,7,8,9},A253,ROW(INDIRECT("1:"&amp;LEN(A253)))),1))," ",REPT(" ",LEN(A253))),LEN(A253))))))), 1)) * ROW(INDIRECT("1:"&amp;LEN((--TRIM(RIGHT(SUBSTITUTE(LEFT(A253,_xlfn.AGGREGATE(16,6,FIND({0,1,2,3,4,5,6,7,8,9},A253,ROW(INDIRECT("1:"&amp;LEN(A253)))),1))," ",REPT(" ",LEN(A253))),LEN(A253))))))), 0), ROW(INDIRECT("1:"&amp;LEN((--TRIM(RIGHT(SUBSTITUTE(LEFT(A253,_xlfn.AGGREGATE(16,6,FIND({0,1,2,3,4,5,6,7,8,9},A253,ROW(INDIRECT("1:"&amp;LEN(A253)))),1))," ",REPT(" ",LEN(A253))),LEN(A253))))))))+1, 1) * 10^ROW(INDIRECT("1:"&amp;LEN((--TRIM(RIGHT(SUBSTITUTE(LEFT(A253,_xlfn.AGGREGATE(16,6,FIND({0,1,2,3,4,5,6,7,8,9},A253,ROW(INDIRECT("1:"&amp;LEN(A253)))),1))," ",REPT(" ",LEN(A253))),LEN(A253)))))))/10))*1+1</f>
        <v>103 &amp; 303</v>
      </c>
      <c r="B254" s="135"/>
      <c r="C254" s="64" t="s">
        <v>195</v>
      </c>
      <c r="D254" s="64">
        <f>(31.85+5.35)*10.764</f>
        <v>400.42079999999999</v>
      </c>
      <c r="E254" s="64">
        <v>0</v>
      </c>
      <c r="F254" s="52">
        <v>615</v>
      </c>
      <c r="G254" s="102"/>
      <c r="H254" s="103"/>
      <c r="I254" s="46">
        <f t="shared" si="3"/>
        <v>1.5358842497692429</v>
      </c>
      <c r="L254" s="36">
        <v>616.01</v>
      </c>
      <c r="M254" s="46">
        <f t="shared" si="11"/>
        <v>1.5384065962607338</v>
      </c>
    </row>
    <row r="255" spans="1:14" s="36" customFormat="1" x14ac:dyDescent="0.3">
      <c r="A255" s="134" t="str">
        <f ca="1">(SUMPRODUCT(MID(0&amp;(LEFT(A254,SUM(LEN(A254)-LEN(SUBSTITUTE(A254,{"0","1","2"},""))))), LARGE(INDEX(ISNUMBER(--MID((LEFT(A254,SUM(LEN(A254)-LEN(SUBSTITUTE(A254,{"0","1","2"},""))))), ROW(INDIRECT("1:"&amp;LEN((LEFT(A254,SUM(LEN(A254)-LEN(SUBSTITUTE(A254,{"0","1","2"},"")))))))), 1)) * ROW(INDIRECT("1:"&amp;LEN((LEFT(A254,SUM(LEN(A254)-LEN(SUBSTITUTE(A254,{"0","1","2"},"")))))))), 0), ROW(INDIRECT("1:"&amp;LEN((LEFT(A254,SUM(LEN(A254)-LEN(SUBSTITUTE(A254,{"0","1","2"},"")))))))))+1, 1) * 10^ROW(INDIRECT("1:"&amp;LEN((LEFT(A254,SUM(LEN(A254)-LEN(SUBSTITUTE(A254,{"0","1","2"},""))))))))/10))*1+1&amp;""&amp;" &amp; "&amp;""&amp;(SUMPRODUCT(MID(0&amp;(--TRIM(RIGHT(SUBSTITUTE(LEFT(A254,_xlfn.AGGREGATE(16,6,FIND({0,1,2,3,4,5,6,7,8,9},A254,ROW(INDIRECT("1:"&amp;LEN(A254)))),1))," ",REPT(" ",LEN(A254))),LEN(A254)))), LARGE(INDEX(ISNUMBER(--MID((--TRIM(RIGHT(SUBSTITUTE(LEFT(A254,_xlfn.AGGREGATE(16,6,FIND({0,1,2,3,4,5,6,7,8,9},A254,ROW(INDIRECT("1:"&amp;LEN(A254)))),1))," ",REPT(" ",LEN(A254))),LEN(A254)))), ROW(INDIRECT("1:"&amp;LEN((--TRIM(RIGHT(SUBSTITUTE(LEFT(A254,_xlfn.AGGREGATE(16,6,FIND({0,1,2,3,4,5,6,7,8,9},A254,ROW(INDIRECT("1:"&amp;LEN(A254)))),1))," ",REPT(" ",LEN(A254))),LEN(A254))))))), 1)) * ROW(INDIRECT("1:"&amp;LEN((--TRIM(RIGHT(SUBSTITUTE(LEFT(A254,_xlfn.AGGREGATE(16,6,FIND({0,1,2,3,4,5,6,7,8,9},A254,ROW(INDIRECT("1:"&amp;LEN(A254)))),1))," ",REPT(" ",LEN(A254))),LEN(A254))))))), 0), ROW(INDIRECT("1:"&amp;LEN((--TRIM(RIGHT(SUBSTITUTE(LEFT(A254,_xlfn.AGGREGATE(16,6,FIND({0,1,2,3,4,5,6,7,8,9},A254,ROW(INDIRECT("1:"&amp;LEN(A254)))),1))," ",REPT(" ",LEN(A254))),LEN(A254))))))))+1, 1) * 10^ROW(INDIRECT("1:"&amp;LEN((--TRIM(RIGHT(SUBSTITUTE(LEFT(A254,_xlfn.AGGREGATE(16,6,FIND({0,1,2,3,4,5,6,7,8,9},A254,ROW(INDIRECT("1:"&amp;LEN(A254)))),1))," ",REPT(" ",LEN(A254))),LEN(A254)))))))/10))*1+1</f>
        <v>104 &amp; 304</v>
      </c>
      <c r="B255" s="135"/>
      <c r="C255" s="64" t="s">
        <v>195</v>
      </c>
      <c r="D255" s="64">
        <f>(29.32+3.05)*10.764</f>
        <v>348.43067999999994</v>
      </c>
      <c r="E255" s="64">
        <f>(6.94)*10.764</f>
        <v>74.702160000000006</v>
      </c>
      <c r="F255" s="52">
        <v>610</v>
      </c>
      <c r="G255" s="102"/>
      <c r="H255" s="103"/>
      <c r="I255" s="46">
        <f t="shared" si="3"/>
        <v>1.7507069124911736</v>
      </c>
      <c r="L255" s="36">
        <v>536.03</v>
      </c>
      <c r="M255" s="46">
        <f t="shared" si="11"/>
        <v>1.538412174266629</v>
      </c>
    </row>
    <row r="256" spans="1:14" s="36" customFormat="1" x14ac:dyDescent="0.3">
      <c r="A256" s="134" t="str">
        <f ca="1">(SUMPRODUCT(MID(0&amp;(LEFT(A255,SUM(LEN(A255)-LEN(SUBSTITUTE(A255,{"0","1","2"},""))))), LARGE(INDEX(ISNUMBER(--MID((LEFT(A255,SUM(LEN(A255)-LEN(SUBSTITUTE(A255,{"0","1","2"},""))))), ROW(INDIRECT("1:"&amp;LEN((LEFT(A255,SUM(LEN(A255)-LEN(SUBSTITUTE(A255,{"0","1","2"},"")))))))), 1)) * ROW(INDIRECT("1:"&amp;LEN((LEFT(A255,SUM(LEN(A255)-LEN(SUBSTITUTE(A255,{"0","1","2"},"")))))))), 0), ROW(INDIRECT("1:"&amp;LEN((LEFT(A255,SUM(LEN(A255)-LEN(SUBSTITUTE(A255,{"0","1","2"},"")))))))))+1, 1) * 10^ROW(INDIRECT("1:"&amp;LEN((LEFT(A255,SUM(LEN(A255)-LEN(SUBSTITUTE(A255,{"0","1","2"},""))))))))/10))*1+1&amp;""&amp;" &amp; "&amp;""&amp;(SUMPRODUCT(MID(0&amp;(--TRIM(RIGHT(SUBSTITUTE(LEFT(A255,_xlfn.AGGREGATE(16,6,FIND({0,1,2,3,4,5,6,7,8,9},A255,ROW(INDIRECT("1:"&amp;LEN(A255)))),1))," ",REPT(" ",LEN(A255))),LEN(A255)))), LARGE(INDEX(ISNUMBER(--MID((--TRIM(RIGHT(SUBSTITUTE(LEFT(A255,_xlfn.AGGREGATE(16,6,FIND({0,1,2,3,4,5,6,7,8,9},A255,ROW(INDIRECT("1:"&amp;LEN(A255)))),1))," ",REPT(" ",LEN(A255))),LEN(A255)))), ROW(INDIRECT("1:"&amp;LEN((--TRIM(RIGHT(SUBSTITUTE(LEFT(A255,_xlfn.AGGREGATE(16,6,FIND({0,1,2,3,4,5,6,7,8,9},A255,ROW(INDIRECT("1:"&amp;LEN(A255)))),1))," ",REPT(" ",LEN(A255))),LEN(A255))))))), 1)) * ROW(INDIRECT("1:"&amp;LEN((--TRIM(RIGHT(SUBSTITUTE(LEFT(A255,_xlfn.AGGREGATE(16,6,FIND({0,1,2,3,4,5,6,7,8,9},A255,ROW(INDIRECT("1:"&amp;LEN(A255)))),1))," ",REPT(" ",LEN(A255))),LEN(A255))))))), 0), ROW(INDIRECT("1:"&amp;LEN((--TRIM(RIGHT(SUBSTITUTE(LEFT(A255,_xlfn.AGGREGATE(16,6,FIND({0,1,2,3,4,5,6,7,8,9},A255,ROW(INDIRECT("1:"&amp;LEN(A255)))),1))," ",REPT(" ",LEN(A255))),LEN(A255))))))))+1, 1) * 10^ROW(INDIRECT("1:"&amp;LEN((--TRIM(RIGHT(SUBSTITUTE(LEFT(A255,_xlfn.AGGREGATE(16,6,FIND({0,1,2,3,4,5,6,7,8,9},A255,ROW(INDIRECT("1:"&amp;LEN(A255)))),1))," ",REPT(" ",LEN(A255))),LEN(A255)))))))/10))*1+1</f>
        <v>105 &amp; 305</v>
      </c>
      <c r="B256" s="135"/>
      <c r="C256" s="64" t="s">
        <v>195</v>
      </c>
      <c r="D256" s="64">
        <f>(30.04+3.05)*10.764</f>
        <v>356.18075999999996</v>
      </c>
      <c r="E256" s="64">
        <f>(6.94)*10.764</f>
        <v>74.702160000000006</v>
      </c>
      <c r="F256" s="52">
        <v>625</v>
      </c>
      <c r="G256" s="104"/>
      <c r="H256" s="105"/>
      <c r="I256" s="46">
        <f t="shared" si="3"/>
        <v>1.7547270099597745</v>
      </c>
      <c r="L256" s="36">
        <v>547.95000000000005</v>
      </c>
      <c r="M256" s="46">
        <f t="shared" si="11"/>
        <v>1.5384042641719338</v>
      </c>
    </row>
    <row r="257" spans="1:14" s="36" customFormat="1" x14ac:dyDescent="0.3">
      <c r="A257" s="147" t="s">
        <v>205</v>
      </c>
      <c r="B257" s="148"/>
      <c r="C257" s="148"/>
      <c r="D257" s="148"/>
      <c r="E257" s="148"/>
      <c r="F257" s="148"/>
      <c r="G257" s="148"/>
      <c r="H257" s="149"/>
      <c r="I257" s="46" t="e">
        <f t="shared" si="3"/>
        <v>#DIV/0!</v>
      </c>
    </row>
    <row r="258" spans="1:14" s="36" customFormat="1" ht="15.75" customHeight="1" x14ac:dyDescent="0.3">
      <c r="A258" s="134" t="str">
        <f ca="1">(SUMPRODUCT(MID(0&amp;(LEFT(A257,SUM(LEN(A257)-LEN(SUBSTITUTE(A257,{"0","1","2"},""))))), LARGE(INDEX(ISNUMBER(--MID((LEFT(A257,SUM(LEN(A257)-LEN(SUBSTITUTE(A257,{"0","1","2"},""))))), ROW(INDIRECT("1:"&amp;LEN((LEFT(A257,SUM(LEN(A257)-LEN(SUBSTITUTE(A257,{"0","1","2"},"")))))))), 1)) * ROW(INDIRECT("1:"&amp;LEN((LEFT(A257,SUM(LEN(A257)-LEN(SUBSTITUTE(A257,{"0","1","2"},"")))))))), 0), ROW(INDIRECT("1:"&amp;LEN((LEFT(A257,SUM(LEN(A257)-LEN(SUBSTITUTE(A257,{"0","1","2"},"")))))))))+1, 1) * 10^ROW(INDIRECT("1:"&amp;LEN((LEFT(A257,SUM(LEN(A257)-LEN(SUBSTITUTE(A257,{"0","1","2"},""))))))))/10))*100+1&amp;""&amp;" &amp; "&amp;""&amp;(SUMPRODUCT(MID(0&amp;(--TRIM(RIGHT(SUBSTITUTE(LEFT(A257,_xlfn.AGGREGATE(16,6,FIND({0,1,2,3,4,5,6,7,8,9},A257,ROW(INDIRECT("1:"&amp;LEN(A257)))),1))," ",REPT(" ",LEN(A257))),LEN(A257)))), LARGE(INDEX(ISNUMBER(--MID((--TRIM(RIGHT(SUBSTITUTE(LEFT(A257,_xlfn.AGGREGATE(16,6,FIND({0,1,2,3,4,5,6,7,8,9},A257,ROW(INDIRECT("1:"&amp;LEN(A257)))),1))," ",REPT(" ",LEN(A257))),LEN(A257)))), ROW(INDIRECT("1:"&amp;LEN((--TRIM(RIGHT(SUBSTITUTE(LEFT(A257,_xlfn.AGGREGATE(16,6,FIND({0,1,2,3,4,5,6,7,8,9},A257,ROW(INDIRECT("1:"&amp;LEN(A257)))),1))," ",REPT(" ",LEN(A257))),LEN(A257))))))), 1)) * ROW(INDIRECT("1:"&amp;LEN((--TRIM(RIGHT(SUBSTITUTE(LEFT(A257,_xlfn.AGGREGATE(16,6,FIND({0,1,2,3,4,5,6,7,8,9},A257,ROW(INDIRECT("1:"&amp;LEN(A257)))),1))," ",REPT(" ",LEN(A257))),LEN(A257))))))), 0), ROW(INDIRECT("1:"&amp;LEN((--TRIM(RIGHT(SUBSTITUTE(LEFT(A257,_xlfn.AGGREGATE(16,6,FIND({0,1,2,3,4,5,6,7,8,9},A257,ROW(INDIRECT("1:"&amp;LEN(A257)))),1))," ",REPT(" ",LEN(A257))),LEN(A257))))))))+1, 1) * 10^ROW(INDIRECT("1:"&amp;LEN((--TRIM(RIGHT(SUBSTITUTE(LEFT(A257,_xlfn.AGGREGATE(16,6,FIND({0,1,2,3,4,5,6,7,8,9},A257,ROW(INDIRECT("1:"&amp;LEN(A257)))),1))," ",REPT(" ",LEN(A257))),LEN(A257)))))))/10))*100+1</f>
        <v>201 &amp; 401</v>
      </c>
      <c r="B258" s="135"/>
      <c r="C258" s="64" t="s">
        <v>195</v>
      </c>
      <c r="D258" s="64">
        <f>(29.32+3.05)*10.764</f>
        <v>348.43067999999994</v>
      </c>
      <c r="E258" s="64">
        <v>0</v>
      </c>
      <c r="F258" s="52">
        <v>535</v>
      </c>
      <c r="G258" s="100" t="str">
        <f>A257</f>
        <v>2nd &amp; 4th Floor</v>
      </c>
      <c r="H258" s="101"/>
      <c r="I258" s="46">
        <f t="shared" si="3"/>
        <v>1.5354560625947178</v>
      </c>
    </row>
    <row r="259" spans="1:14" s="36" customFormat="1" x14ac:dyDescent="0.3">
      <c r="A259" s="134" t="str">
        <f ca="1">(SUMPRODUCT(MID(0&amp;(LEFT(A258,SUM(LEN(A258)-LEN(SUBSTITUTE(A258,{"0","1","2"},""))))), LARGE(INDEX(ISNUMBER(--MID((LEFT(A258,SUM(LEN(A258)-LEN(SUBSTITUTE(A258,{"0","1","2"},""))))), ROW(INDIRECT("1:"&amp;LEN((LEFT(A258,SUM(LEN(A258)-LEN(SUBSTITUTE(A258,{"0","1","2"},"")))))))), 1)) * ROW(INDIRECT("1:"&amp;LEN((LEFT(A258,SUM(LEN(A258)-LEN(SUBSTITUTE(A258,{"0","1","2"},"")))))))), 0), ROW(INDIRECT("1:"&amp;LEN((LEFT(A258,SUM(LEN(A258)-LEN(SUBSTITUTE(A258,{"0","1","2"},"")))))))))+1, 1) * 10^ROW(INDIRECT("1:"&amp;LEN((LEFT(A258,SUM(LEN(A258)-LEN(SUBSTITUTE(A258,{"0","1","2"},""))))))))/10))*1+1&amp;""&amp;" &amp; "&amp;""&amp;(SUMPRODUCT(MID(0&amp;(--TRIM(RIGHT(SUBSTITUTE(LEFT(A258,_xlfn.AGGREGATE(16,6,FIND({0,1,2,3,4,5,6,7,8,9},A258,ROW(INDIRECT("1:"&amp;LEN(A258)))),1))," ",REPT(" ",LEN(A258))),LEN(A258)))), LARGE(INDEX(ISNUMBER(--MID((--TRIM(RIGHT(SUBSTITUTE(LEFT(A258,_xlfn.AGGREGATE(16,6,FIND({0,1,2,3,4,5,6,7,8,9},A258,ROW(INDIRECT("1:"&amp;LEN(A258)))),1))," ",REPT(" ",LEN(A258))),LEN(A258)))), ROW(INDIRECT("1:"&amp;LEN((--TRIM(RIGHT(SUBSTITUTE(LEFT(A258,_xlfn.AGGREGATE(16,6,FIND({0,1,2,3,4,5,6,7,8,9},A258,ROW(INDIRECT("1:"&amp;LEN(A258)))),1))," ",REPT(" ",LEN(A258))),LEN(A258))))))), 1)) * ROW(INDIRECT("1:"&amp;LEN((--TRIM(RIGHT(SUBSTITUTE(LEFT(A258,_xlfn.AGGREGATE(16,6,FIND({0,1,2,3,4,5,6,7,8,9},A258,ROW(INDIRECT("1:"&amp;LEN(A258)))),1))," ",REPT(" ",LEN(A258))),LEN(A258))))))), 0), ROW(INDIRECT("1:"&amp;LEN((--TRIM(RIGHT(SUBSTITUTE(LEFT(A258,_xlfn.AGGREGATE(16,6,FIND({0,1,2,3,4,5,6,7,8,9},A258,ROW(INDIRECT("1:"&amp;LEN(A258)))),1))," ",REPT(" ",LEN(A258))),LEN(A258))))))))+1, 1) * 10^ROW(INDIRECT("1:"&amp;LEN((--TRIM(RIGHT(SUBSTITUTE(LEFT(A258,_xlfn.AGGREGATE(16,6,FIND({0,1,2,3,4,5,6,7,8,9},A258,ROW(INDIRECT("1:"&amp;LEN(A258)))),1))," ",REPT(" ",LEN(A258))),LEN(A258)))))))/10))*1+1</f>
        <v>202 &amp; 402</v>
      </c>
      <c r="B259" s="135"/>
      <c r="C259" s="64" t="s">
        <v>196</v>
      </c>
      <c r="D259" s="64">
        <f>(39.61+7.5)*10.764</f>
        <v>507.09203999999994</v>
      </c>
      <c r="E259" s="64">
        <v>0</v>
      </c>
      <c r="F259" s="52">
        <v>780</v>
      </c>
      <c r="G259" s="102"/>
      <c r="H259" s="103"/>
      <c r="I259" s="46">
        <f t="shared" si="3"/>
        <v>1.5381822992133738</v>
      </c>
    </row>
    <row r="260" spans="1:14" s="36" customFormat="1" x14ac:dyDescent="0.3">
      <c r="A260" s="134" t="str">
        <f ca="1">(SUMPRODUCT(MID(0&amp;(LEFT(A259,SUM(LEN(A259)-LEN(SUBSTITUTE(A259,{"0","1","2"},""))))), LARGE(INDEX(ISNUMBER(--MID((LEFT(A259,SUM(LEN(A259)-LEN(SUBSTITUTE(A259,{"0","1","2"},""))))), ROW(INDIRECT("1:"&amp;LEN((LEFT(A259,SUM(LEN(A259)-LEN(SUBSTITUTE(A259,{"0","1","2"},"")))))))), 1)) * ROW(INDIRECT("1:"&amp;LEN((LEFT(A259,SUM(LEN(A259)-LEN(SUBSTITUTE(A259,{"0","1","2"},"")))))))), 0), ROW(INDIRECT("1:"&amp;LEN((LEFT(A259,SUM(LEN(A259)-LEN(SUBSTITUTE(A259,{"0","1","2"},"")))))))))+1, 1) * 10^ROW(INDIRECT("1:"&amp;LEN((LEFT(A259,SUM(LEN(A259)-LEN(SUBSTITUTE(A259,{"0","1","2"},""))))))))/10))*1+1&amp;""&amp;" &amp; "&amp;""&amp;(SUMPRODUCT(MID(0&amp;(--TRIM(RIGHT(SUBSTITUTE(LEFT(A259,_xlfn.AGGREGATE(16,6,FIND({0,1,2,3,4,5,6,7,8,9},A259,ROW(INDIRECT("1:"&amp;LEN(A259)))),1))," ",REPT(" ",LEN(A259))),LEN(A259)))), LARGE(INDEX(ISNUMBER(--MID((--TRIM(RIGHT(SUBSTITUTE(LEFT(A259,_xlfn.AGGREGATE(16,6,FIND({0,1,2,3,4,5,6,7,8,9},A259,ROW(INDIRECT("1:"&amp;LEN(A259)))),1))," ",REPT(" ",LEN(A259))),LEN(A259)))), ROW(INDIRECT("1:"&amp;LEN((--TRIM(RIGHT(SUBSTITUTE(LEFT(A259,_xlfn.AGGREGATE(16,6,FIND({0,1,2,3,4,5,6,7,8,9},A259,ROW(INDIRECT("1:"&amp;LEN(A259)))),1))," ",REPT(" ",LEN(A259))),LEN(A259))))))), 1)) * ROW(INDIRECT("1:"&amp;LEN((--TRIM(RIGHT(SUBSTITUTE(LEFT(A259,_xlfn.AGGREGATE(16,6,FIND({0,1,2,3,4,5,6,7,8,9},A259,ROW(INDIRECT("1:"&amp;LEN(A259)))),1))," ",REPT(" ",LEN(A259))),LEN(A259))))))), 0), ROW(INDIRECT("1:"&amp;LEN((--TRIM(RIGHT(SUBSTITUTE(LEFT(A259,_xlfn.AGGREGATE(16,6,FIND({0,1,2,3,4,5,6,7,8,9},A259,ROW(INDIRECT("1:"&amp;LEN(A259)))),1))," ",REPT(" ",LEN(A259))),LEN(A259))))))))+1, 1) * 10^ROW(INDIRECT("1:"&amp;LEN((--TRIM(RIGHT(SUBSTITUTE(LEFT(A259,_xlfn.AGGREGATE(16,6,FIND({0,1,2,3,4,5,6,7,8,9},A259,ROW(INDIRECT("1:"&amp;LEN(A259)))),1))," ",REPT(" ",LEN(A259))),LEN(A259)))))))/10))*1+1</f>
        <v>203 &amp; 403</v>
      </c>
      <c r="B260" s="135"/>
      <c r="C260" s="64" t="s">
        <v>195</v>
      </c>
      <c r="D260" s="64">
        <f>(31.85+5.35)*10.764</f>
        <v>400.42079999999999</v>
      </c>
      <c r="E260" s="64">
        <v>0</v>
      </c>
      <c r="F260" s="52">
        <v>615</v>
      </c>
      <c r="G260" s="102"/>
      <c r="H260" s="103"/>
      <c r="I260" s="46">
        <f t="shared" si="3"/>
        <v>1.5358842497692429</v>
      </c>
    </row>
    <row r="261" spans="1:14" s="36" customFormat="1" x14ac:dyDescent="0.3">
      <c r="A261" s="134" t="str">
        <f ca="1">(SUMPRODUCT(MID(0&amp;(LEFT(A260,SUM(LEN(A260)-LEN(SUBSTITUTE(A260,{"0","1","2"},""))))), LARGE(INDEX(ISNUMBER(--MID((LEFT(A260,SUM(LEN(A260)-LEN(SUBSTITUTE(A260,{"0","1","2"},""))))), ROW(INDIRECT("1:"&amp;LEN((LEFT(A260,SUM(LEN(A260)-LEN(SUBSTITUTE(A260,{"0","1","2"},"")))))))), 1)) * ROW(INDIRECT("1:"&amp;LEN((LEFT(A260,SUM(LEN(A260)-LEN(SUBSTITUTE(A260,{"0","1","2"},"")))))))), 0), ROW(INDIRECT("1:"&amp;LEN((LEFT(A260,SUM(LEN(A260)-LEN(SUBSTITUTE(A260,{"0","1","2"},"")))))))))+1, 1) * 10^ROW(INDIRECT("1:"&amp;LEN((LEFT(A260,SUM(LEN(A260)-LEN(SUBSTITUTE(A260,{"0","1","2"},""))))))))/10))*1+1&amp;""&amp;" &amp; "&amp;""&amp;(SUMPRODUCT(MID(0&amp;(--TRIM(RIGHT(SUBSTITUTE(LEFT(A260,_xlfn.AGGREGATE(16,6,FIND({0,1,2,3,4,5,6,7,8,9},A260,ROW(INDIRECT("1:"&amp;LEN(A260)))),1))," ",REPT(" ",LEN(A260))),LEN(A260)))), LARGE(INDEX(ISNUMBER(--MID((--TRIM(RIGHT(SUBSTITUTE(LEFT(A260,_xlfn.AGGREGATE(16,6,FIND({0,1,2,3,4,5,6,7,8,9},A260,ROW(INDIRECT("1:"&amp;LEN(A260)))),1))," ",REPT(" ",LEN(A260))),LEN(A260)))), ROW(INDIRECT("1:"&amp;LEN((--TRIM(RIGHT(SUBSTITUTE(LEFT(A260,_xlfn.AGGREGATE(16,6,FIND({0,1,2,3,4,5,6,7,8,9},A260,ROW(INDIRECT("1:"&amp;LEN(A260)))),1))," ",REPT(" ",LEN(A260))),LEN(A260))))))), 1)) * ROW(INDIRECT("1:"&amp;LEN((--TRIM(RIGHT(SUBSTITUTE(LEFT(A260,_xlfn.AGGREGATE(16,6,FIND({0,1,2,3,4,5,6,7,8,9},A260,ROW(INDIRECT("1:"&amp;LEN(A260)))),1))," ",REPT(" ",LEN(A260))),LEN(A260))))))), 0), ROW(INDIRECT("1:"&amp;LEN((--TRIM(RIGHT(SUBSTITUTE(LEFT(A260,_xlfn.AGGREGATE(16,6,FIND({0,1,2,3,4,5,6,7,8,9},A260,ROW(INDIRECT("1:"&amp;LEN(A260)))),1))," ",REPT(" ",LEN(A260))),LEN(A260))))))))+1, 1) * 10^ROW(INDIRECT("1:"&amp;LEN((--TRIM(RIGHT(SUBSTITUTE(LEFT(A260,_xlfn.AGGREGATE(16,6,FIND({0,1,2,3,4,5,6,7,8,9},A260,ROW(INDIRECT("1:"&amp;LEN(A260)))),1))," ",REPT(" ",LEN(A260))),LEN(A260)))))))/10))*1+1</f>
        <v>204 &amp; 404</v>
      </c>
      <c r="B261" s="135"/>
      <c r="C261" s="64" t="s">
        <v>195</v>
      </c>
      <c r="D261" s="64">
        <f>(29.32+3.05)*10.764</f>
        <v>348.43067999999994</v>
      </c>
      <c r="E261" s="64">
        <v>0</v>
      </c>
      <c r="F261" s="52">
        <v>535</v>
      </c>
      <c r="G261" s="102"/>
      <c r="H261" s="103"/>
      <c r="I261" s="46">
        <f t="shared" si="3"/>
        <v>1.5354560625947178</v>
      </c>
    </row>
    <row r="262" spans="1:14" s="36" customFormat="1" x14ac:dyDescent="0.3">
      <c r="A262" s="134" t="str">
        <f ca="1">(SUMPRODUCT(MID(0&amp;(LEFT(A261,SUM(LEN(A261)-LEN(SUBSTITUTE(A261,{"0","1","2"},""))))), LARGE(INDEX(ISNUMBER(--MID((LEFT(A261,SUM(LEN(A261)-LEN(SUBSTITUTE(A261,{"0","1","2"},""))))), ROW(INDIRECT("1:"&amp;LEN((LEFT(A261,SUM(LEN(A261)-LEN(SUBSTITUTE(A261,{"0","1","2"},"")))))))), 1)) * ROW(INDIRECT("1:"&amp;LEN((LEFT(A261,SUM(LEN(A261)-LEN(SUBSTITUTE(A261,{"0","1","2"},"")))))))), 0), ROW(INDIRECT("1:"&amp;LEN((LEFT(A261,SUM(LEN(A261)-LEN(SUBSTITUTE(A261,{"0","1","2"},"")))))))))+1, 1) * 10^ROW(INDIRECT("1:"&amp;LEN((LEFT(A261,SUM(LEN(A261)-LEN(SUBSTITUTE(A261,{"0","1","2"},""))))))))/10))*1+1&amp;""&amp;" &amp; "&amp;""&amp;(SUMPRODUCT(MID(0&amp;(--TRIM(RIGHT(SUBSTITUTE(LEFT(A261,_xlfn.AGGREGATE(16,6,FIND({0,1,2,3,4,5,6,7,8,9},A261,ROW(INDIRECT("1:"&amp;LEN(A261)))),1))," ",REPT(" ",LEN(A261))),LEN(A261)))), LARGE(INDEX(ISNUMBER(--MID((--TRIM(RIGHT(SUBSTITUTE(LEFT(A261,_xlfn.AGGREGATE(16,6,FIND({0,1,2,3,4,5,6,7,8,9},A261,ROW(INDIRECT("1:"&amp;LEN(A261)))),1))," ",REPT(" ",LEN(A261))),LEN(A261)))), ROW(INDIRECT("1:"&amp;LEN((--TRIM(RIGHT(SUBSTITUTE(LEFT(A261,_xlfn.AGGREGATE(16,6,FIND({0,1,2,3,4,5,6,7,8,9},A261,ROW(INDIRECT("1:"&amp;LEN(A261)))),1))," ",REPT(" ",LEN(A261))),LEN(A261))))))), 1)) * ROW(INDIRECT("1:"&amp;LEN((--TRIM(RIGHT(SUBSTITUTE(LEFT(A261,_xlfn.AGGREGATE(16,6,FIND({0,1,2,3,4,5,6,7,8,9},A261,ROW(INDIRECT("1:"&amp;LEN(A261)))),1))," ",REPT(" ",LEN(A261))),LEN(A261))))))), 0), ROW(INDIRECT("1:"&amp;LEN((--TRIM(RIGHT(SUBSTITUTE(LEFT(A261,_xlfn.AGGREGATE(16,6,FIND({0,1,2,3,4,5,6,7,8,9},A261,ROW(INDIRECT("1:"&amp;LEN(A261)))),1))," ",REPT(" ",LEN(A261))),LEN(A261))))))))+1, 1) * 10^ROW(INDIRECT("1:"&amp;LEN((--TRIM(RIGHT(SUBSTITUTE(LEFT(A261,_xlfn.AGGREGATE(16,6,FIND({0,1,2,3,4,5,6,7,8,9},A261,ROW(INDIRECT("1:"&amp;LEN(A261)))),1))," ",REPT(" ",LEN(A261))),LEN(A261)))))))/10))*1+1</f>
        <v>205 &amp; 405</v>
      </c>
      <c r="B262" s="135"/>
      <c r="C262" s="64" t="s">
        <v>195</v>
      </c>
      <c r="D262" s="64">
        <f>(30.04+3.05)*10.764</f>
        <v>356.18075999999996</v>
      </c>
      <c r="E262" s="64">
        <f>(2.76)*10.764</f>
        <v>29.708639999999995</v>
      </c>
      <c r="F262" s="52">
        <v>580</v>
      </c>
      <c r="G262" s="104"/>
      <c r="H262" s="105"/>
      <c r="I262" s="46">
        <f t="shared" ref="I262:I325" si="12">F262/D262</f>
        <v>1.6283866652426708</v>
      </c>
    </row>
    <row r="263" spans="1:14" s="36" customFormat="1" x14ac:dyDescent="0.3">
      <c r="A263" s="147" t="s">
        <v>206</v>
      </c>
      <c r="B263" s="148"/>
      <c r="C263" s="148"/>
      <c r="D263" s="148"/>
      <c r="E263" s="148"/>
      <c r="F263" s="148"/>
      <c r="G263" s="148"/>
      <c r="H263" s="149"/>
      <c r="I263" s="46" t="e">
        <f t="shared" si="12"/>
        <v>#DIV/0!</v>
      </c>
      <c r="J263" s="35"/>
    </row>
    <row r="264" spans="1:14" s="36" customFormat="1" ht="15.75" customHeight="1" x14ac:dyDescent="0.3">
      <c r="A264" s="147" t="s">
        <v>191</v>
      </c>
      <c r="B264" s="148"/>
      <c r="C264" s="148"/>
      <c r="D264" s="148"/>
      <c r="E264" s="148"/>
      <c r="F264" s="148"/>
      <c r="G264" s="148"/>
      <c r="H264" s="149"/>
      <c r="I264" s="46" t="e">
        <f t="shared" si="12"/>
        <v>#DIV/0!</v>
      </c>
      <c r="J264" s="35"/>
    </row>
    <row r="265" spans="1:14" s="36" customFormat="1" ht="15.75" customHeight="1" x14ac:dyDescent="0.3">
      <c r="A265" s="147" t="s">
        <v>217</v>
      </c>
      <c r="B265" s="148"/>
      <c r="C265" s="148"/>
      <c r="D265" s="148"/>
      <c r="E265" s="148"/>
      <c r="F265" s="148"/>
      <c r="G265" s="148"/>
      <c r="H265" s="149"/>
      <c r="I265" s="46" t="e">
        <f t="shared" si="12"/>
        <v>#DIV/0!</v>
      </c>
      <c r="J265" s="35"/>
    </row>
    <row r="266" spans="1:14" s="36" customFormat="1" ht="15.75" customHeight="1" x14ac:dyDescent="0.3">
      <c r="A266" s="134">
        <v>1</v>
      </c>
      <c r="B266" s="135"/>
      <c r="C266" s="64" t="s">
        <v>195</v>
      </c>
      <c r="D266" s="64">
        <f>(31.03)*10.764</f>
        <v>334.00691999999998</v>
      </c>
      <c r="E266" s="64">
        <v>0</v>
      </c>
      <c r="F266" s="52">
        <v>515</v>
      </c>
      <c r="G266" s="100" t="str">
        <f>A265</f>
        <v>Ground Floor for Residential</v>
      </c>
      <c r="H266" s="101"/>
      <c r="I266" s="46">
        <f t="shared" si="12"/>
        <v>1.5418842220394715</v>
      </c>
      <c r="L266" s="49">
        <v>513.84</v>
      </c>
      <c r="M266" s="50">
        <f>L266/D266</f>
        <v>1.5384112401024508</v>
      </c>
      <c r="N266" s="35"/>
    </row>
    <row r="267" spans="1:14" s="36" customFormat="1" x14ac:dyDescent="0.3">
      <c r="A267" s="134">
        <f t="shared" ref="A267:A269" si="13">A266+1</f>
        <v>2</v>
      </c>
      <c r="B267" s="135"/>
      <c r="C267" s="64" t="s">
        <v>203</v>
      </c>
      <c r="D267" s="64">
        <f>(21.42)*10.764</f>
        <v>230.56488000000002</v>
      </c>
      <c r="E267" s="64">
        <v>0</v>
      </c>
      <c r="F267" s="52">
        <v>355</v>
      </c>
      <c r="G267" s="102"/>
      <c r="H267" s="103"/>
      <c r="I267" s="46">
        <f t="shared" si="12"/>
        <v>1.539696765613219</v>
      </c>
      <c r="L267" s="49">
        <v>354.7</v>
      </c>
      <c r="M267" s="50">
        <f t="shared" ref="M267:M269" si="14">L267/D267</f>
        <v>1.5383956134169261</v>
      </c>
      <c r="N267" s="35"/>
    </row>
    <row r="268" spans="1:14" s="36" customFormat="1" x14ac:dyDescent="0.3">
      <c r="A268" s="134">
        <f t="shared" si="13"/>
        <v>3</v>
      </c>
      <c r="B268" s="135"/>
      <c r="C268" s="64" t="s">
        <v>203</v>
      </c>
      <c r="D268" s="64">
        <f>(19.99)*10.764</f>
        <v>215.17235999999997</v>
      </c>
      <c r="E268" s="64">
        <v>0</v>
      </c>
      <c r="F268" s="52">
        <v>330</v>
      </c>
      <c r="G268" s="102"/>
      <c r="H268" s="103"/>
      <c r="I268" s="46">
        <f t="shared" si="12"/>
        <v>1.5336542295674038</v>
      </c>
      <c r="L268" s="49">
        <v>331.02</v>
      </c>
      <c r="M268" s="50">
        <f t="shared" si="14"/>
        <v>1.5383946153678847</v>
      </c>
      <c r="N268" s="35"/>
    </row>
    <row r="269" spans="1:14" s="36" customFormat="1" x14ac:dyDescent="0.3">
      <c r="A269" s="134">
        <f t="shared" si="13"/>
        <v>4</v>
      </c>
      <c r="B269" s="135"/>
      <c r="C269" s="64" t="s">
        <v>195</v>
      </c>
      <c r="D269" s="64">
        <f>(28.77)*10.764</f>
        <v>309.68027999999998</v>
      </c>
      <c r="E269" s="64">
        <v>0</v>
      </c>
      <c r="F269" s="52">
        <v>475</v>
      </c>
      <c r="G269" s="104"/>
      <c r="H269" s="105"/>
      <c r="I269" s="46">
        <f t="shared" si="12"/>
        <v>1.5338399978196868</v>
      </c>
      <c r="L269" s="49">
        <v>476.41</v>
      </c>
      <c r="M269" s="50">
        <f t="shared" si="14"/>
        <v>1.5383930807605832</v>
      </c>
      <c r="N269" s="35"/>
    </row>
    <row r="270" spans="1:14" s="36" customFormat="1" x14ac:dyDescent="0.3">
      <c r="A270" s="147" t="s">
        <v>199</v>
      </c>
      <c r="B270" s="148"/>
      <c r="C270" s="148"/>
      <c r="D270" s="148"/>
      <c r="E270" s="148"/>
      <c r="F270" s="148"/>
      <c r="G270" s="148"/>
      <c r="H270" s="149"/>
      <c r="I270" s="46" t="e">
        <f t="shared" si="12"/>
        <v>#DIV/0!</v>
      </c>
    </row>
    <row r="271" spans="1:14" s="36" customFormat="1" ht="15.75" customHeight="1" x14ac:dyDescent="0.3">
      <c r="A271" s="134" t="str">
        <f ca="1">(SUMPRODUCT(MID(0&amp;(LEFT(A270,SUM(LEN(A270)-LEN(SUBSTITUTE(A270,{"0","1","2"},""))))), LARGE(INDEX(ISNUMBER(--MID((LEFT(A270,SUM(LEN(A270)-LEN(SUBSTITUTE(A270,{"0","1","2"},""))))), ROW(INDIRECT("1:"&amp;LEN((LEFT(A270,SUM(LEN(A270)-LEN(SUBSTITUTE(A270,{"0","1","2"},"")))))))), 1)) * ROW(INDIRECT("1:"&amp;LEN((LEFT(A270,SUM(LEN(A270)-LEN(SUBSTITUTE(A270,{"0","1","2"},"")))))))), 0), ROW(INDIRECT("1:"&amp;LEN((LEFT(A270,SUM(LEN(A270)-LEN(SUBSTITUTE(A270,{"0","1","2"},"")))))))))+1, 1) * 10^ROW(INDIRECT("1:"&amp;LEN((LEFT(A270,SUM(LEN(A270)-LEN(SUBSTITUTE(A270,{"0","1","2"},""))))))))/10))*100+1&amp;""&amp;" &amp; "&amp;""&amp;(SUMPRODUCT(MID(0&amp;(--TRIM(RIGHT(SUBSTITUTE(LEFT(A270,_xlfn.AGGREGATE(16,6,FIND({0,1,2,3,4,5,6,7,8,9},A270,ROW(INDIRECT("1:"&amp;LEN(A270)))),1))," ",REPT(" ",LEN(A270))),LEN(A270)))), LARGE(INDEX(ISNUMBER(--MID((--TRIM(RIGHT(SUBSTITUTE(LEFT(A270,_xlfn.AGGREGATE(16,6,FIND({0,1,2,3,4,5,6,7,8,9},A270,ROW(INDIRECT("1:"&amp;LEN(A270)))),1))," ",REPT(" ",LEN(A270))),LEN(A270)))), ROW(INDIRECT("1:"&amp;LEN((--TRIM(RIGHT(SUBSTITUTE(LEFT(A270,_xlfn.AGGREGATE(16,6,FIND({0,1,2,3,4,5,6,7,8,9},A270,ROW(INDIRECT("1:"&amp;LEN(A270)))),1))," ",REPT(" ",LEN(A270))),LEN(A270))))))), 1)) * ROW(INDIRECT("1:"&amp;LEN((--TRIM(RIGHT(SUBSTITUTE(LEFT(A270,_xlfn.AGGREGATE(16,6,FIND({0,1,2,3,4,5,6,7,8,9},A270,ROW(INDIRECT("1:"&amp;LEN(A270)))),1))," ",REPT(" ",LEN(A270))),LEN(A270))))))), 0), ROW(INDIRECT("1:"&amp;LEN((--TRIM(RIGHT(SUBSTITUTE(LEFT(A270,_xlfn.AGGREGATE(16,6,FIND({0,1,2,3,4,5,6,7,8,9},A270,ROW(INDIRECT("1:"&amp;LEN(A270)))),1))," ",REPT(" ",LEN(A270))),LEN(A270))))))))+1, 1) * 10^ROW(INDIRECT("1:"&amp;LEN((--TRIM(RIGHT(SUBSTITUTE(LEFT(A270,_xlfn.AGGREGATE(16,6,FIND({0,1,2,3,4,5,6,7,8,9},A270,ROW(INDIRECT("1:"&amp;LEN(A270)))),1))," ",REPT(" ",LEN(A270))),LEN(A270)))))))/10))*100+1</f>
        <v>101 &amp; 301</v>
      </c>
      <c r="B271" s="135"/>
      <c r="C271" s="64" t="s">
        <v>195</v>
      </c>
      <c r="D271" s="64">
        <f>(31.87+5.91)*10.764</f>
        <v>406.66391999999996</v>
      </c>
      <c r="E271" s="64">
        <v>0</v>
      </c>
      <c r="F271" s="52">
        <v>625</v>
      </c>
      <c r="G271" s="100" t="str">
        <f>A270</f>
        <v>1st &amp; 3rd Floor</v>
      </c>
      <c r="H271" s="101"/>
      <c r="I271" s="46">
        <f t="shared" si="12"/>
        <v>1.5368956262458693</v>
      </c>
      <c r="J271" s="46"/>
      <c r="L271" s="45">
        <v>625.61</v>
      </c>
      <c r="M271" s="46">
        <f>L271/D271</f>
        <v>1.5383956363770852</v>
      </c>
    </row>
    <row r="272" spans="1:14" s="36" customFormat="1" x14ac:dyDescent="0.3">
      <c r="A272" s="134" t="str">
        <f ca="1">(SUMPRODUCT(MID(0&amp;(LEFT(A271,SUM(LEN(A271)-LEN(SUBSTITUTE(A271,{"0","1","2"},""))))), LARGE(INDEX(ISNUMBER(--MID((LEFT(A271,SUM(LEN(A271)-LEN(SUBSTITUTE(A271,{"0","1","2"},""))))), ROW(INDIRECT("1:"&amp;LEN((LEFT(A271,SUM(LEN(A271)-LEN(SUBSTITUTE(A271,{"0","1","2"},"")))))))), 1)) * ROW(INDIRECT("1:"&amp;LEN((LEFT(A271,SUM(LEN(A271)-LEN(SUBSTITUTE(A271,{"0","1","2"},"")))))))), 0), ROW(INDIRECT("1:"&amp;LEN((LEFT(A271,SUM(LEN(A271)-LEN(SUBSTITUTE(A271,{"0","1","2"},"")))))))))+1, 1) * 10^ROW(INDIRECT("1:"&amp;LEN((LEFT(A271,SUM(LEN(A271)-LEN(SUBSTITUTE(A271,{"0","1","2"},""))))))))/10))*1+1&amp;""&amp;" &amp; "&amp;""&amp;(SUMPRODUCT(MID(0&amp;(--TRIM(RIGHT(SUBSTITUTE(LEFT(A271,_xlfn.AGGREGATE(16,6,FIND({0,1,2,3,4,5,6,7,8,9},A271,ROW(INDIRECT("1:"&amp;LEN(A271)))),1))," ",REPT(" ",LEN(A271))),LEN(A271)))), LARGE(INDEX(ISNUMBER(--MID((--TRIM(RIGHT(SUBSTITUTE(LEFT(A271,_xlfn.AGGREGATE(16,6,FIND({0,1,2,3,4,5,6,7,8,9},A271,ROW(INDIRECT("1:"&amp;LEN(A271)))),1))," ",REPT(" ",LEN(A271))),LEN(A271)))), ROW(INDIRECT("1:"&amp;LEN((--TRIM(RIGHT(SUBSTITUTE(LEFT(A271,_xlfn.AGGREGATE(16,6,FIND({0,1,2,3,4,5,6,7,8,9},A271,ROW(INDIRECT("1:"&amp;LEN(A271)))),1))," ",REPT(" ",LEN(A271))),LEN(A271))))))), 1)) * ROW(INDIRECT("1:"&amp;LEN((--TRIM(RIGHT(SUBSTITUTE(LEFT(A271,_xlfn.AGGREGATE(16,6,FIND({0,1,2,3,4,5,6,7,8,9},A271,ROW(INDIRECT("1:"&amp;LEN(A271)))),1))," ",REPT(" ",LEN(A271))),LEN(A271))))))), 0), ROW(INDIRECT("1:"&amp;LEN((--TRIM(RIGHT(SUBSTITUTE(LEFT(A271,_xlfn.AGGREGATE(16,6,FIND({0,1,2,3,4,5,6,7,8,9},A271,ROW(INDIRECT("1:"&amp;LEN(A271)))),1))," ",REPT(" ",LEN(A271))),LEN(A271))))))))+1, 1) * 10^ROW(INDIRECT("1:"&amp;LEN((--TRIM(RIGHT(SUBSTITUTE(LEFT(A271,_xlfn.AGGREGATE(16,6,FIND({0,1,2,3,4,5,6,7,8,9},A271,ROW(INDIRECT("1:"&amp;LEN(A271)))),1))," ",REPT(" ",LEN(A271))),LEN(A271)))))))/10))*1+1</f>
        <v>102 &amp; 302</v>
      </c>
      <c r="B272" s="135"/>
      <c r="C272" s="64" t="s">
        <v>203</v>
      </c>
      <c r="D272" s="64">
        <f>(21.42)*10.764</f>
        <v>230.56488000000002</v>
      </c>
      <c r="E272" s="64">
        <f>(2.41)*10.764</f>
        <v>25.941240000000001</v>
      </c>
      <c r="F272" s="52">
        <v>380</v>
      </c>
      <c r="G272" s="102"/>
      <c r="H272" s="103"/>
      <c r="I272" s="46">
        <f t="shared" si="12"/>
        <v>1.6481261153042908</v>
      </c>
      <c r="L272" s="36">
        <v>354.7</v>
      </c>
      <c r="M272" s="46">
        <f t="shared" ref="M272:M276" si="15">L272/D272</f>
        <v>1.5383956134169261</v>
      </c>
    </row>
    <row r="273" spans="1:14" s="36" customFormat="1" x14ac:dyDescent="0.3">
      <c r="A273" s="134" t="str">
        <f ca="1">(SUMPRODUCT(MID(0&amp;(LEFT(A272,SUM(LEN(A272)-LEN(SUBSTITUTE(A272,{"0","1","2"},""))))), LARGE(INDEX(ISNUMBER(--MID((LEFT(A272,SUM(LEN(A272)-LEN(SUBSTITUTE(A272,{"0","1","2"},""))))), ROW(INDIRECT("1:"&amp;LEN((LEFT(A272,SUM(LEN(A272)-LEN(SUBSTITUTE(A272,{"0","1","2"},"")))))))), 1)) * ROW(INDIRECT("1:"&amp;LEN((LEFT(A272,SUM(LEN(A272)-LEN(SUBSTITUTE(A272,{"0","1","2"},"")))))))), 0), ROW(INDIRECT("1:"&amp;LEN((LEFT(A272,SUM(LEN(A272)-LEN(SUBSTITUTE(A272,{"0","1","2"},"")))))))))+1, 1) * 10^ROW(INDIRECT("1:"&amp;LEN((LEFT(A272,SUM(LEN(A272)-LEN(SUBSTITUTE(A272,{"0","1","2"},""))))))))/10))*1+1&amp;""&amp;" &amp; "&amp;""&amp;(SUMPRODUCT(MID(0&amp;(--TRIM(RIGHT(SUBSTITUTE(LEFT(A272,_xlfn.AGGREGATE(16,6,FIND({0,1,2,3,4,5,6,7,8,9},A272,ROW(INDIRECT("1:"&amp;LEN(A272)))),1))," ",REPT(" ",LEN(A272))),LEN(A272)))), LARGE(INDEX(ISNUMBER(--MID((--TRIM(RIGHT(SUBSTITUTE(LEFT(A272,_xlfn.AGGREGATE(16,6,FIND({0,1,2,3,4,5,6,7,8,9},A272,ROW(INDIRECT("1:"&amp;LEN(A272)))),1))," ",REPT(" ",LEN(A272))),LEN(A272)))), ROW(INDIRECT("1:"&amp;LEN((--TRIM(RIGHT(SUBSTITUTE(LEFT(A272,_xlfn.AGGREGATE(16,6,FIND({0,1,2,3,4,5,6,7,8,9},A272,ROW(INDIRECT("1:"&amp;LEN(A272)))),1))," ",REPT(" ",LEN(A272))),LEN(A272))))))), 1)) * ROW(INDIRECT("1:"&amp;LEN((--TRIM(RIGHT(SUBSTITUTE(LEFT(A272,_xlfn.AGGREGATE(16,6,FIND({0,1,2,3,4,5,6,7,8,9},A272,ROW(INDIRECT("1:"&amp;LEN(A272)))),1))," ",REPT(" ",LEN(A272))),LEN(A272))))))), 0), ROW(INDIRECT("1:"&amp;LEN((--TRIM(RIGHT(SUBSTITUTE(LEFT(A272,_xlfn.AGGREGATE(16,6,FIND({0,1,2,3,4,5,6,7,8,9},A272,ROW(INDIRECT("1:"&amp;LEN(A272)))),1))," ",REPT(" ",LEN(A272))),LEN(A272))))))))+1, 1) * 10^ROW(INDIRECT("1:"&amp;LEN((--TRIM(RIGHT(SUBSTITUTE(LEFT(A272,_xlfn.AGGREGATE(16,6,FIND({0,1,2,3,4,5,6,7,8,9},A272,ROW(INDIRECT("1:"&amp;LEN(A272)))),1))," ",REPT(" ",LEN(A272))),LEN(A272)))))))/10))*1+1</f>
        <v>103 &amp; 303</v>
      </c>
      <c r="B273" s="135"/>
      <c r="C273" s="64" t="s">
        <v>195</v>
      </c>
      <c r="D273" s="64">
        <f>(32.77+5.97)*10.764</f>
        <v>416.99736000000001</v>
      </c>
      <c r="E273" s="64">
        <v>0</v>
      </c>
      <c r="F273" s="52">
        <v>640</v>
      </c>
      <c r="G273" s="102"/>
      <c r="H273" s="103"/>
      <c r="I273" s="46">
        <f t="shared" si="12"/>
        <v>1.5347818988590238</v>
      </c>
      <c r="L273" s="36">
        <v>641.51</v>
      </c>
      <c r="M273" s="46">
        <f t="shared" si="15"/>
        <v>1.5384030249016445</v>
      </c>
    </row>
    <row r="274" spans="1:14" s="36" customFormat="1" x14ac:dyDescent="0.3">
      <c r="A274" s="134" t="str">
        <f ca="1">(SUMPRODUCT(MID(0&amp;(LEFT(A273,SUM(LEN(A273)-LEN(SUBSTITUTE(A273,{"0","1","2"},""))))), LARGE(INDEX(ISNUMBER(--MID((LEFT(A273,SUM(LEN(A273)-LEN(SUBSTITUTE(A273,{"0","1","2"},""))))), ROW(INDIRECT("1:"&amp;LEN((LEFT(A273,SUM(LEN(A273)-LEN(SUBSTITUTE(A273,{"0","1","2"},"")))))))), 1)) * ROW(INDIRECT("1:"&amp;LEN((LEFT(A273,SUM(LEN(A273)-LEN(SUBSTITUTE(A273,{"0","1","2"},"")))))))), 0), ROW(INDIRECT("1:"&amp;LEN((LEFT(A273,SUM(LEN(A273)-LEN(SUBSTITUTE(A273,{"0","1","2"},"")))))))))+1, 1) * 10^ROW(INDIRECT("1:"&amp;LEN((LEFT(A273,SUM(LEN(A273)-LEN(SUBSTITUTE(A273,{"0","1","2"},""))))))))/10))*1+1&amp;""&amp;" &amp; "&amp;""&amp;(SUMPRODUCT(MID(0&amp;(--TRIM(RIGHT(SUBSTITUTE(LEFT(A273,_xlfn.AGGREGATE(16,6,FIND({0,1,2,3,4,5,6,7,8,9},A273,ROW(INDIRECT("1:"&amp;LEN(A273)))),1))," ",REPT(" ",LEN(A273))),LEN(A273)))), LARGE(INDEX(ISNUMBER(--MID((--TRIM(RIGHT(SUBSTITUTE(LEFT(A273,_xlfn.AGGREGATE(16,6,FIND({0,1,2,3,4,5,6,7,8,9},A273,ROW(INDIRECT("1:"&amp;LEN(A273)))),1))," ",REPT(" ",LEN(A273))),LEN(A273)))), ROW(INDIRECT("1:"&amp;LEN((--TRIM(RIGHT(SUBSTITUTE(LEFT(A273,_xlfn.AGGREGATE(16,6,FIND({0,1,2,3,4,5,6,7,8,9},A273,ROW(INDIRECT("1:"&amp;LEN(A273)))),1))," ",REPT(" ",LEN(A273))),LEN(A273))))))), 1)) * ROW(INDIRECT("1:"&amp;LEN((--TRIM(RIGHT(SUBSTITUTE(LEFT(A273,_xlfn.AGGREGATE(16,6,FIND({0,1,2,3,4,5,6,7,8,9},A273,ROW(INDIRECT("1:"&amp;LEN(A273)))),1))," ",REPT(" ",LEN(A273))),LEN(A273))))))), 0), ROW(INDIRECT("1:"&amp;LEN((--TRIM(RIGHT(SUBSTITUTE(LEFT(A273,_xlfn.AGGREGATE(16,6,FIND({0,1,2,3,4,5,6,7,8,9},A273,ROW(INDIRECT("1:"&amp;LEN(A273)))),1))," ",REPT(" ",LEN(A273))),LEN(A273))))))))+1, 1) * 10^ROW(INDIRECT("1:"&amp;LEN((--TRIM(RIGHT(SUBSTITUTE(LEFT(A273,_xlfn.AGGREGATE(16,6,FIND({0,1,2,3,4,5,6,7,8,9},A273,ROW(INDIRECT("1:"&amp;LEN(A273)))),1))," ",REPT(" ",LEN(A273))),LEN(A273)))))))/10))*1+1</f>
        <v>104 &amp; 304</v>
      </c>
      <c r="B274" s="135"/>
      <c r="C274" s="64" t="s">
        <v>195</v>
      </c>
      <c r="D274" s="64">
        <f>(29.62+5.27)*10.764</f>
        <v>375.55595999999997</v>
      </c>
      <c r="E274" s="64">
        <v>0</v>
      </c>
      <c r="F274" s="52">
        <v>580</v>
      </c>
      <c r="G274" s="102"/>
      <c r="H274" s="103"/>
      <c r="I274" s="46">
        <f t="shared" si="12"/>
        <v>1.5443770350495836</v>
      </c>
      <c r="L274" s="36">
        <v>577.76</v>
      </c>
      <c r="M274" s="46">
        <f t="shared" si="15"/>
        <v>1.5384125444314611</v>
      </c>
    </row>
    <row r="275" spans="1:14" s="36" customFormat="1" x14ac:dyDescent="0.3">
      <c r="A275" s="134" t="str">
        <f ca="1">(SUMPRODUCT(MID(0&amp;(LEFT(A274,SUM(LEN(A274)-LEN(SUBSTITUTE(A274,{"0","1","2"},""))))), LARGE(INDEX(ISNUMBER(--MID((LEFT(A274,SUM(LEN(A274)-LEN(SUBSTITUTE(A274,{"0","1","2"},""))))), ROW(INDIRECT("1:"&amp;LEN((LEFT(A274,SUM(LEN(A274)-LEN(SUBSTITUTE(A274,{"0","1","2"},"")))))))), 1)) * ROW(INDIRECT("1:"&amp;LEN((LEFT(A274,SUM(LEN(A274)-LEN(SUBSTITUTE(A274,{"0","1","2"},"")))))))), 0), ROW(INDIRECT("1:"&amp;LEN((LEFT(A274,SUM(LEN(A274)-LEN(SUBSTITUTE(A274,{"0","1","2"},"")))))))))+1, 1) * 10^ROW(INDIRECT("1:"&amp;LEN((LEFT(A274,SUM(LEN(A274)-LEN(SUBSTITUTE(A274,{"0","1","2"},""))))))))/10))*1+1&amp;""&amp;" &amp; "&amp;""&amp;(SUMPRODUCT(MID(0&amp;(--TRIM(RIGHT(SUBSTITUTE(LEFT(A274,_xlfn.AGGREGATE(16,6,FIND({0,1,2,3,4,5,6,7,8,9},A274,ROW(INDIRECT("1:"&amp;LEN(A274)))),1))," ",REPT(" ",LEN(A274))),LEN(A274)))), LARGE(INDEX(ISNUMBER(--MID((--TRIM(RIGHT(SUBSTITUTE(LEFT(A274,_xlfn.AGGREGATE(16,6,FIND({0,1,2,3,4,5,6,7,8,9},A274,ROW(INDIRECT("1:"&amp;LEN(A274)))),1))," ",REPT(" ",LEN(A274))),LEN(A274)))), ROW(INDIRECT("1:"&amp;LEN((--TRIM(RIGHT(SUBSTITUTE(LEFT(A274,_xlfn.AGGREGATE(16,6,FIND({0,1,2,3,4,5,6,7,8,9},A274,ROW(INDIRECT("1:"&amp;LEN(A274)))),1))," ",REPT(" ",LEN(A274))),LEN(A274))))))), 1)) * ROW(INDIRECT("1:"&amp;LEN((--TRIM(RIGHT(SUBSTITUTE(LEFT(A274,_xlfn.AGGREGATE(16,6,FIND({0,1,2,3,4,5,6,7,8,9},A274,ROW(INDIRECT("1:"&amp;LEN(A274)))),1))," ",REPT(" ",LEN(A274))),LEN(A274))))))), 0), ROW(INDIRECT("1:"&amp;LEN((--TRIM(RIGHT(SUBSTITUTE(LEFT(A274,_xlfn.AGGREGATE(16,6,FIND({0,1,2,3,4,5,6,7,8,9},A274,ROW(INDIRECT("1:"&amp;LEN(A274)))),1))," ",REPT(" ",LEN(A274))),LEN(A274))))))))+1, 1) * 10^ROW(INDIRECT("1:"&amp;LEN((--TRIM(RIGHT(SUBSTITUTE(LEFT(A274,_xlfn.AGGREGATE(16,6,FIND({0,1,2,3,4,5,6,7,8,9},A274,ROW(INDIRECT("1:"&amp;LEN(A274)))),1))," ",REPT(" ",LEN(A274))),LEN(A274)))))))/10))*1+1</f>
        <v>105 &amp; 305</v>
      </c>
      <c r="B275" s="135"/>
      <c r="C275" s="64" t="s">
        <v>203</v>
      </c>
      <c r="D275" s="64">
        <f>(20.39+2.72)*10.764</f>
        <v>248.75603999999998</v>
      </c>
      <c r="E275" s="64">
        <v>0</v>
      </c>
      <c r="F275" s="52">
        <v>385</v>
      </c>
      <c r="G275" s="102"/>
      <c r="H275" s="103"/>
      <c r="I275" s="46">
        <f t="shared" si="12"/>
        <v>1.5477011131066407</v>
      </c>
      <c r="L275" s="36">
        <v>382.69</v>
      </c>
      <c r="M275" s="46">
        <f t="shared" si="15"/>
        <v>1.5384149064280008</v>
      </c>
    </row>
    <row r="276" spans="1:14" s="36" customFormat="1" x14ac:dyDescent="0.3">
      <c r="A276" s="134" t="str">
        <f ca="1">(SUMPRODUCT(MID(0&amp;(LEFT(A275,SUM(LEN(A275)-LEN(SUBSTITUTE(A275,{"0","1","2"},""))))), LARGE(INDEX(ISNUMBER(--MID((LEFT(A275,SUM(LEN(A275)-LEN(SUBSTITUTE(A275,{"0","1","2"},""))))), ROW(INDIRECT("1:"&amp;LEN((LEFT(A275,SUM(LEN(A275)-LEN(SUBSTITUTE(A275,{"0","1","2"},"")))))))), 1)) * ROW(INDIRECT("1:"&amp;LEN((LEFT(A275,SUM(LEN(A275)-LEN(SUBSTITUTE(A275,{"0","1","2"},"")))))))), 0), ROW(INDIRECT("1:"&amp;LEN((LEFT(A275,SUM(LEN(A275)-LEN(SUBSTITUTE(A275,{"0","1","2"},"")))))))))+1, 1) * 10^ROW(INDIRECT("1:"&amp;LEN((LEFT(A275,SUM(LEN(A275)-LEN(SUBSTITUTE(A275,{"0","1","2"},""))))))))/10))*1+1&amp;""&amp;" &amp; "&amp;""&amp;(SUMPRODUCT(MID(0&amp;(--TRIM(RIGHT(SUBSTITUTE(LEFT(A275,_xlfn.AGGREGATE(16,6,FIND({0,1,2,3,4,5,6,7,8,9},A275,ROW(INDIRECT("1:"&amp;LEN(A275)))),1))," ",REPT(" ",LEN(A275))),LEN(A275)))), LARGE(INDEX(ISNUMBER(--MID((--TRIM(RIGHT(SUBSTITUTE(LEFT(A275,_xlfn.AGGREGATE(16,6,FIND({0,1,2,3,4,5,6,7,8,9},A275,ROW(INDIRECT("1:"&amp;LEN(A275)))),1))," ",REPT(" ",LEN(A275))),LEN(A275)))), ROW(INDIRECT("1:"&amp;LEN((--TRIM(RIGHT(SUBSTITUTE(LEFT(A275,_xlfn.AGGREGATE(16,6,FIND({0,1,2,3,4,5,6,7,8,9},A275,ROW(INDIRECT("1:"&amp;LEN(A275)))),1))," ",REPT(" ",LEN(A275))),LEN(A275))))))), 1)) * ROW(INDIRECT("1:"&amp;LEN((--TRIM(RIGHT(SUBSTITUTE(LEFT(A275,_xlfn.AGGREGATE(16,6,FIND({0,1,2,3,4,5,6,7,8,9},A275,ROW(INDIRECT("1:"&amp;LEN(A275)))),1))," ",REPT(" ",LEN(A275))),LEN(A275))))))), 0), ROW(INDIRECT("1:"&amp;LEN((--TRIM(RIGHT(SUBSTITUTE(LEFT(A275,_xlfn.AGGREGATE(16,6,FIND({0,1,2,3,4,5,6,7,8,9},A275,ROW(INDIRECT("1:"&amp;LEN(A275)))),1))," ",REPT(" ",LEN(A275))),LEN(A275))))))))+1, 1) * 10^ROW(INDIRECT("1:"&amp;LEN((--TRIM(RIGHT(SUBSTITUTE(LEFT(A275,_xlfn.AGGREGATE(16,6,FIND({0,1,2,3,4,5,6,7,8,9},A275,ROW(INDIRECT("1:"&amp;LEN(A275)))),1))," ",REPT(" ",LEN(A275))),LEN(A275)))))))/10))*1+1</f>
        <v>106 &amp; 306</v>
      </c>
      <c r="B276" s="135"/>
      <c r="C276" s="64" t="s">
        <v>195</v>
      </c>
      <c r="D276" s="64">
        <f>(29.19+3.1)*10.764</f>
        <v>347.56955999999997</v>
      </c>
      <c r="E276" s="64">
        <f>(3.47)*10.764</f>
        <v>37.351080000000003</v>
      </c>
      <c r="F276" s="52">
        <v>575</v>
      </c>
      <c r="G276" s="104"/>
      <c r="H276" s="105"/>
      <c r="I276" s="46">
        <f t="shared" si="12"/>
        <v>1.6543451043296198</v>
      </c>
      <c r="L276" s="36">
        <v>534.70000000000005</v>
      </c>
      <c r="M276" s="46">
        <f t="shared" si="15"/>
        <v>1.5383970909305178</v>
      </c>
    </row>
    <row r="277" spans="1:14" s="36" customFormat="1" x14ac:dyDescent="0.3">
      <c r="A277" s="147" t="s">
        <v>205</v>
      </c>
      <c r="B277" s="148"/>
      <c r="C277" s="148"/>
      <c r="D277" s="148"/>
      <c r="E277" s="148"/>
      <c r="F277" s="148"/>
      <c r="G277" s="148"/>
      <c r="H277" s="149"/>
      <c r="I277" s="46" t="e">
        <f t="shared" si="12"/>
        <v>#DIV/0!</v>
      </c>
    </row>
    <row r="278" spans="1:14" s="36" customFormat="1" ht="15.75" customHeight="1" x14ac:dyDescent="0.3">
      <c r="A278" s="134" t="str">
        <f ca="1">(SUMPRODUCT(MID(0&amp;(LEFT(A277,SUM(LEN(A277)-LEN(SUBSTITUTE(A277,{"0","1","2"},""))))), LARGE(INDEX(ISNUMBER(--MID((LEFT(A277,SUM(LEN(A277)-LEN(SUBSTITUTE(A277,{"0","1","2"},""))))), ROW(INDIRECT("1:"&amp;LEN((LEFT(A277,SUM(LEN(A277)-LEN(SUBSTITUTE(A277,{"0","1","2"},"")))))))), 1)) * ROW(INDIRECT("1:"&amp;LEN((LEFT(A277,SUM(LEN(A277)-LEN(SUBSTITUTE(A277,{"0","1","2"},"")))))))), 0), ROW(INDIRECT("1:"&amp;LEN((LEFT(A277,SUM(LEN(A277)-LEN(SUBSTITUTE(A277,{"0","1","2"},"")))))))))+1, 1) * 10^ROW(INDIRECT("1:"&amp;LEN((LEFT(A277,SUM(LEN(A277)-LEN(SUBSTITUTE(A277,{"0","1","2"},""))))))))/10))*100+1&amp;""&amp;" &amp; "&amp;""&amp;(SUMPRODUCT(MID(0&amp;(--TRIM(RIGHT(SUBSTITUTE(LEFT(A277,_xlfn.AGGREGATE(16,6,FIND({0,1,2,3,4,5,6,7,8,9},A277,ROW(INDIRECT("1:"&amp;LEN(A277)))),1))," ",REPT(" ",LEN(A277))),LEN(A277)))), LARGE(INDEX(ISNUMBER(--MID((--TRIM(RIGHT(SUBSTITUTE(LEFT(A277,_xlfn.AGGREGATE(16,6,FIND({0,1,2,3,4,5,6,7,8,9},A277,ROW(INDIRECT("1:"&amp;LEN(A277)))),1))," ",REPT(" ",LEN(A277))),LEN(A277)))), ROW(INDIRECT("1:"&amp;LEN((--TRIM(RIGHT(SUBSTITUTE(LEFT(A277,_xlfn.AGGREGATE(16,6,FIND({0,1,2,3,4,5,6,7,8,9},A277,ROW(INDIRECT("1:"&amp;LEN(A277)))),1))," ",REPT(" ",LEN(A277))),LEN(A277))))))), 1)) * ROW(INDIRECT("1:"&amp;LEN((--TRIM(RIGHT(SUBSTITUTE(LEFT(A277,_xlfn.AGGREGATE(16,6,FIND({0,1,2,3,4,5,6,7,8,9},A277,ROW(INDIRECT("1:"&amp;LEN(A277)))),1))," ",REPT(" ",LEN(A277))),LEN(A277))))))), 0), ROW(INDIRECT("1:"&amp;LEN((--TRIM(RIGHT(SUBSTITUTE(LEFT(A277,_xlfn.AGGREGATE(16,6,FIND({0,1,2,3,4,5,6,7,8,9},A277,ROW(INDIRECT("1:"&amp;LEN(A277)))),1))," ",REPT(" ",LEN(A277))),LEN(A277))))))))+1, 1) * 10^ROW(INDIRECT("1:"&amp;LEN((--TRIM(RIGHT(SUBSTITUTE(LEFT(A277,_xlfn.AGGREGATE(16,6,FIND({0,1,2,3,4,5,6,7,8,9},A277,ROW(INDIRECT("1:"&amp;LEN(A277)))),1))," ",REPT(" ",LEN(A277))),LEN(A277)))))))/10))*100+1</f>
        <v>201 &amp; 401</v>
      </c>
      <c r="B278" s="135"/>
      <c r="C278" s="64" t="s">
        <v>195</v>
      </c>
      <c r="D278" s="64">
        <f>(31.87+5.91)*10.764</f>
        <v>406.66391999999996</v>
      </c>
      <c r="E278" s="64">
        <v>0</v>
      </c>
      <c r="F278" s="52">
        <v>625</v>
      </c>
      <c r="G278" s="100" t="str">
        <f>A277</f>
        <v>2nd &amp; 4th Floor</v>
      </c>
      <c r="H278" s="101"/>
      <c r="I278" s="46">
        <f t="shared" si="12"/>
        <v>1.5368956262458693</v>
      </c>
    </row>
    <row r="279" spans="1:14" s="36" customFormat="1" x14ac:dyDescent="0.3">
      <c r="A279" s="134" t="str">
        <f ca="1">(SUMPRODUCT(MID(0&amp;(LEFT(A278,SUM(LEN(A278)-LEN(SUBSTITUTE(A278,{"0","1","2"},""))))), LARGE(INDEX(ISNUMBER(--MID((LEFT(A278,SUM(LEN(A278)-LEN(SUBSTITUTE(A278,{"0","1","2"},""))))), ROW(INDIRECT("1:"&amp;LEN((LEFT(A278,SUM(LEN(A278)-LEN(SUBSTITUTE(A278,{"0","1","2"},"")))))))), 1)) * ROW(INDIRECT("1:"&amp;LEN((LEFT(A278,SUM(LEN(A278)-LEN(SUBSTITUTE(A278,{"0","1","2"},"")))))))), 0), ROW(INDIRECT("1:"&amp;LEN((LEFT(A278,SUM(LEN(A278)-LEN(SUBSTITUTE(A278,{"0","1","2"},"")))))))))+1, 1) * 10^ROW(INDIRECT("1:"&amp;LEN((LEFT(A278,SUM(LEN(A278)-LEN(SUBSTITUTE(A278,{"0","1","2"},""))))))))/10))*1+1&amp;""&amp;" &amp; "&amp;""&amp;(SUMPRODUCT(MID(0&amp;(--TRIM(RIGHT(SUBSTITUTE(LEFT(A278,_xlfn.AGGREGATE(16,6,FIND({0,1,2,3,4,5,6,7,8,9},A278,ROW(INDIRECT("1:"&amp;LEN(A278)))),1))," ",REPT(" ",LEN(A278))),LEN(A278)))), LARGE(INDEX(ISNUMBER(--MID((--TRIM(RIGHT(SUBSTITUTE(LEFT(A278,_xlfn.AGGREGATE(16,6,FIND({0,1,2,3,4,5,6,7,8,9},A278,ROW(INDIRECT("1:"&amp;LEN(A278)))),1))," ",REPT(" ",LEN(A278))),LEN(A278)))), ROW(INDIRECT("1:"&amp;LEN((--TRIM(RIGHT(SUBSTITUTE(LEFT(A278,_xlfn.AGGREGATE(16,6,FIND({0,1,2,3,4,5,6,7,8,9},A278,ROW(INDIRECT("1:"&amp;LEN(A278)))),1))," ",REPT(" ",LEN(A278))),LEN(A278))))))), 1)) * ROW(INDIRECT("1:"&amp;LEN((--TRIM(RIGHT(SUBSTITUTE(LEFT(A278,_xlfn.AGGREGATE(16,6,FIND({0,1,2,3,4,5,6,7,8,9},A278,ROW(INDIRECT("1:"&amp;LEN(A278)))),1))," ",REPT(" ",LEN(A278))),LEN(A278))))))), 0), ROW(INDIRECT("1:"&amp;LEN((--TRIM(RIGHT(SUBSTITUTE(LEFT(A278,_xlfn.AGGREGATE(16,6,FIND({0,1,2,3,4,5,6,7,8,9},A278,ROW(INDIRECT("1:"&amp;LEN(A278)))),1))," ",REPT(" ",LEN(A278))),LEN(A278))))))))+1, 1) * 10^ROW(INDIRECT("1:"&amp;LEN((--TRIM(RIGHT(SUBSTITUTE(LEFT(A278,_xlfn.AGGREGATE(16,6,FIND({0,1,2,3,4,5,6,7,8,9},A278,ROW(INDIRECT("1:"&amp;LEN(A278)))),1))," ",REPT(" ",LEN(A278))),LEN(A278)))))))/10))*1+1</f>
        <v>202 &amp; 402</v>
      </c>
      <c r="B279" s="135"/>
      <c r="C279" s="64" t="s">
        <v>203</v>
      </c>
      <c r="D279" s="64">
        <f>(21.42)*10.764</f>
        <v>230.56488000000002</v>
      </c>
      <c r="E279" s="64">
        <v>0</v>
      </c>
      <c r="F279" s="52">
        <v>355</v>
      </c>
      <c r="G279" s="102"/>
      <c r="H279" s="103"/>
      <c r="I279" s="46">
        <f t="shared" si="12"/>
        <v>1.539696765613219</v>
      </c>
    </row>
    <row r="280" spans="1:14" s="36" customFormat="1" x14ac:dyDescent="0.3">
      <c r="A280" s="134" t="str">
        <f ca="1">(SUMPRODUCT(MID(0&amp;(LEFT(A279,SUM(LEN(A279)-LEN(SUBSTITUTE(A279,{"0","1","2"},""))))), LARGE(INDEX(ISNUMBER(--MID((LEFT(A279,SUM(LEN(A279)-LEN(SUBSTITUTE(A279,{"0","1","2"},""))))), ROW(INDIRECT("1:"&amp;LEN((LEFT(A279,SUM(LEN(A279)-LEN(SUBSTITUTE(A279,{"0","1","2"},"")))))))), 1)) * ROW(INDIRECT("1:"&amp;LEN((LEFT(A279,SUM(LEN(A279)-LEN(SUBSTITUTE(A279,{"0","1","2"},"")))))))), 0), ROW(INDIRECT("1:"&amp;LEN((LEFT(A279,SUM(LEN(A279)-LEN(SUBSTITUTE(A279,{"0","1","2"},"")))))))))+1, 1) * 10^ROW(INDIRECT("1:"&amp;LEN((LEFT(A279,SUM(LEN(A279)-LEN(SUBSTITUTE(A279,{"0","1","2"},""))))))))/10))*1+1&amp;""&amp;" &amp; "&amp;""&amp;(SUMPRODUCT(MID(0&amp;(--TRIM(RIGHT(SUBSTITUTE(LEFT(A279,_xlfn.AGGREGATE(16,6,FIND({0,1,2,3,4,5,6,7,8,9},A279,ROW(INDIRECT("1:"&amp;LEN(A279)))),1))," ",REPT(" ",LEN(A279))),LEN(A279)))), LARGE(INDEX(ISNUMBER(--MID((--TRIM(RIGHT(SUBSTITUTE(LEFT(A279,_xlfn.AGGREGATE(16,6,FIND({0,1,2,3,4,5,6,7,8,9},A279,ROW(INDIRECT("1:"&amp;LEN(A279)))),1))," ",REPT(" ",LEN(A279))),LEN(A279)))), ROW(INDIRECT("1:"&amp;LEN((--TRIM(RIGHT(SUBSTITUTE(LEFT(A279,_xlfn.AGGREGATE(16,6,FIND({0,1,2,3,4,5,6,7,8,9},A279,ROW(INDIRECT("1:"&amp;LEN(A279)))),1))," ",REPT(" ",LEN(A279))),LEN(A279))))))), 1)) * ROW(INDIRECT("1:"&amp;LEN((--TRIM(RIGHT(SUBSTITUTE(LEFT(A279,_xlfn.AGGREGATE(16,6,FIND({0,1,2,3,4,5,6,7,8,9},A279,ROW(INDIRECT("1:"&amp;LEN(A279)))),1))," ",REPT(" ",LEN(A279))),LEN(A279))))))), 0), ROW(INDIRECT("1:"&amp;LEN((--TRIM(RIGHT(SUBSTITUTE(LEFT(A279,_xlfn.AGGREGATE(16,6,FIND({0,1,2,3,4,5,6,7,8,9},A279,ROW(INDIRECT("1:"&amp;LEN(A279)))),1))," ",REPT(" ",LEN(A279))),LEN(A279))))))))+1, 1) * 10^ROW(INDIRECT("1:"&amp;LEN((--TRIM(RIGHT(SUBSTITUTE(LEFT(A279,_xlfn.AGGREGATE(16,6,FIND({0,1,2,3,4,5,6,7,8,9},A279,ROW(INDIRECT("1:"&amp;LEN(A279)))),1))," ",REPT(" ",LEN(A279))),LEN(A279)))))))/10))*1+1</f>
        <v>203 &amp; 403</v>
      </c>
      <c r="B280" s="135"/>
      <c r="C280" s="64" t="s">
        <v>195</v>
      </c>
      <c r="D280" s="64">
        <f>(32.77+5.97)*10.764</f>
        <v>416.99736000000001</v>
      </c>
      <c r="E280" s="64">
        <v>0</v>
      </c>
      <c r="F280" s="52">
        <v>640</v>
      </c>
      <c r="G280" s="102"/>
      <c r="H280" s="103"/>
      <c r="I280" s="46">
        <f t="shared" si="12"/>
        <v>1.5347818988590238</v>
      </c>
    </row>
    <row r="281" spans="1:14" s="36" customFormat="1" x14ac:dyDescent="0.3">
      <c r="A281" s="134" t="str">
        <f ca="1">(SUMPRODUCT(MID(0&amp;(LEFT(A280,SUM(LEN(A280)-LEN(SUBSTITUTE(A280,{"0","1","2"},""))))), LARGE(INDEX(ISNUMBER(--MID((LEFT(A280,SUM(LEN(A280)-LEN(SUBSTITUTE(A280,{"0","1","2"},""))))), ROW(INDIRECT("1:"&amp;LEN((LEFT(A280,SUM(LEN(A280)-LEN(SUBSTITUTE(A280,{"0","1","2"},"")))))))), 1)) * ROW(INDIRECT("1:"&amp;LEN((LEFT(A280,SUM(LEN(A280)-LEN(SUBSTITUTE(A280,{"0","1","2"},"")))))))), 0), ROW(INDIRECT("1:"&amp;LEN((LEFT(A280,SUM(LEN(A280)-LEN(SUBSTITUTE(A280,{"0","1","2"},"")))))))))+1, 1) * 10^ROW(INDIRECT("1:"&amp;LEN((LEFT(A280,SUM(LEN(A280)-LEN(SUBSTITUTE(A280,{"0","1","2"},""))))))))/10))*1+1&amp;""&amp;" &amp; "&amp;""&amp;(SUMPRODUCT(MID(0&amp;(--TRIM(RIGHT(SUBSTITUTE(LEFT(A280,_xlfn.AGGREGATE(16,6,FIND({0,1,2,3,4,5,6,7,8,9},A280,ROW(INDIRECT("1:"&amp;LEN(A280)))),1))," ",REPT(" ",LEN(A280))),LEN(A280)))), LARGE(INDEX(ISNUMBER(--MID((--TRIM(RIGHT(SUBSTITUTE(LEFT(A280,_xlfn.AGGREGATE(16,6,FIND({0,1,2,3,4,5,6,7,8,9},A280,ROW(INDIRECT("1:"&amp;LEN(A280)))),1))," ",REPT(" ",LEN(A280))),LEN(A280)))), ROW(INDIRECT("1:"&amp;LEN((--TRIM(RIGHT(SUBSTITUTE(LEFT(A280,_xlfn.AGGREGATE(16,6,FIND({0,1,2,3,4,5,6,7,8,9},A280,ROW(INDIRECT("1:"&amp;LEN(A280)))),1))," ",REPT(" ",LEN(A280))),LEN(A280))))))), 1)) * ROW(INDIRECT("1:"&amp;LEN((--TRIM(RIGHT(SUBSTITUTE(LEFT(A280,_xlfn.AGGREGATE(16,6,FIND({0,1,2,3,4,5,6,7,8,9},A280,ROW(INDIRECT("1:"&amp;LEN(A280)))),1))," ",REPT(" ",LEN(A280))),LEN(A280))))))), 0), ROW(INDIRECT("1:"&amp;LEN((--TRIM(RIGHT(SUBSTITUTE(LEFT(A280,_xlfn.AGGREGATE(16,6,FIND({0,1,2,3,4,5,6,7,8,9},A280,ROW(INDIRECT("1:"&amp;LEN(A280)))),1))," ",REPT(" ",LEN(A280))),LEN(A280))))))))+1, 1) * 10^ROW(INDIRECT("1:"&amp;LEN((--TRIM(RIGHT(SUBSTITUTE(LEFT(A280,_xlfn.AGGREGATE(16,6,FIND({0,1,2,3,4,5,6,7,8,9},A280,ROW(INDIRECT("1:"&amp;LEN(A280)))),1))," ",REPT(" ",LEN(A280))),LEN(A280)))))))/10))*1+1</f>
        <v>204 &amp; 404</v>
      </c>
      <c r="B281" s="135"/>
      <c r="C281" s="64" t="s">
        <v>195</v>
      </c>
      <c r="D281" s="64">
        <f>(29.62+5.27)*10.764</f>
        <v>375.55595999999997</v>
      </c>
      <c r="E281" s="64">
        <v>0</v>
      </c>
      <c r="F281" s="52">
        <v>580</v>
      </c>
      <c r="G281" s="102"/>
      <c r="H281" s="103"/>
      <c r="I281" s="46">
        <f t="shared" si="12"/>
        <v>1.5443770350495836</v>
      </c>
    </row>
    <row r="282" spans="1:14" s="36" customFormat="1" x14ac:dyDescent="0.3">
      <c r="A282" s="134" t="str">
        <f ca="1">(SUMPRODUCT(MID(0&amp;(LEFT(A281,SUM(LEN(A281)-LEN(SUBSTITUTE(A281,{"0","1","2"},""))))), LARGE(INDEX(ISNUMBER(--MID((LEFT(A281,SUM(LEN(A281)-LEN(SUBSTITUTE(A281,{"0","1","2"},""))))), ROW(INDIRECT("1:"&amp;LEN((LEFT(A281,SUM(LEN(A281)-LEN(SUBSTITUTE(A281,{"0","1","2"},"")))))))), 1)) * ROW(INDIRECT("1:"&amp;LEN((LEFT(A281,SUM(LEN(A281)-LEN(SUBSTITUTE(A281,{"0","1","2"},"")))))))), 0), ROW(INDIRECT("1:"&amp;LEN((LEFT(A281,SUM(LEN(A281)-LEN(SUBSTITUTE(A281,{"0","1","2"},"")))))))))+1, 1) * 10^ROW(INDIRECT("1:"&amp;LEN((LEFT(A281,SUM(LEN(A281)-LEN(SUBSTITUTE(A281,{"0","1","2"},""))))))))/10))*1+1&amp;""&amp;" &amp; "&amp;""&amp;(SUMPRODUCT(MID(0&amp;(--TRIM(RIGHT(SUBSTITUTE(LEFT(A281,_xlfn.AGGREGATE(16,6,FIND({0,1,2,3,4,5,6,7,8,9},A281,ROW(INDIRECT("1:"&amp;LEN(A281)))),1))," ",REPT(" ",LEN(A281))),LEN(A281)))), LARGE(INDEX(ISNUMBER(--MID((--TRIM(RIGHT(SUBSTITUTE(LEFT(A281,_xlfn.AGGREGATE(16,6,FIND({0,1,2,3,4,5,6,7,8,9},A281,ROW(INDIRECT("1:"&amp;LEN(A281)))),1))," ",REPT(" ",LEN(A281))),LEN(A281)))), ROW(INDIRECT("1:"&amp;LEN((--TRIM(RIGHT(SUBSTITUTE(LEFT(A281,_xlfn.AGGREGATE(16,6,FIND({0,1,2,3,4,5,6,7,8,9},A281,ROW(INDIRECT("1:"&amp;LEN(A281)))),1))," ",REPT(" ",LEN(A281))),LEN(A281))))))), 1)) * ROW(INDIRECT("1:"&amp;LEN((--TRIM(RIGHT(SUBSTITUTE(LEFT(A281,_xlfn.AGGREGATE(16,6,FIND({0,1,2,3,4,5,6,7,8,9},A281,ROW(INDIRECT("1:"&amp;LEN(A281)))),1))," ",REPT(" ",LEN(A281))),LEN(A281))))))), 0), ROW(INDIRECT("1:"&amp;LEN((--TRIM(RIGHT(SUBSTITUTE(LEFT(A281,_xlfn.AGGREGATE(16,6,FIND({0,1,2,3,4,5,6,7,8,9},A281,ROW(INDIRECT("1:"&amp;LEN(A281)))),1))," ",REPT(" ",LEN(A281))),LEN(A281))))))))+1, 1) * 10^ROW(INDIRECT("1:"&amp;LEN((--TRIM(RIGHT(SUBSTITUTE(LEFT(A281,_xlfn.AGGREGATE(16,6,FIND({0,1,2,3,4,5,6,7,8,9},A281,ROW(INDIRECT("1:"&amp;LEN(A281)))),1))," ",REPT(" ",LEN(A281))),LEN(A281)))))))/10))*1+1</f>
        <v>205 &amp; 405</v>
      </c>
      <c r="B282" s="135"/>
      <c r="C282" s="64" t="s">
        <v>203</v>
      </c>
      <c r="D282" s="64">
        <f>(20.39+2.72)*10.764</f>
        <v>248.75603999999998</v>
      </c>
      <c r="E282" s="64">
        <v>0</v>
      </c>
      <c r="F282" s="52">
        <v>385</v>
      </c>
      <c r="G282" s="102"/>
      <c r="H282" s="103"/>
      <c r="I282" s="46">
        <f t="shared" si="12"/>
        <v>1.5477011131066407</v>
      </c>
    </row>
    <row r="283" spans="1:14" s="36" customFormat="1" x14ac:dyDescent="0.3">
      <c r="A283" s="134" t="str">
        <f ca="1">(SUMPRODUCT(MID(0&amp;(LEFT(A282,SUM(LEN(A282)-LEN(SUBSTITUTE(A282,{"0","1","2"},""))))), LARGE(INDEX(ISNUMBER(--MID((LEFT(A282,SUM(LEN(A282)-LEN(SUBSTITUTE(A282,{"0","1","2"},""))))), ROW(INDIRECT("1:"&amp;LEN((LEFT(A282,SUM(LEN(A282)-LEN(SUBSTITUTE(A282,{"0","1","2"},"")))))))), 1)) * ROW(INDIRECT("1:"&amp;LEN((LEFT(A282,SUM(LEN(A282)-LEN(SUBSTITUTE(A282,{"0","1","2"},"")))))))), 0), ROW(INDIRECT("1:"&amp;LEN((LEFT(A282,SUM(LEN(A282)-LEN(SUBSTITUTE(A282,{"0","1","2"},"")))))))))+1, 1) * 10^ROW(INDIRECT("1:"&amp;LEN((LEFT(A282,SUM(LEN(A282)-LEN(SUBSTITUTE(A282,{"0","1","2"},""))))))))/10))*1+1&amp;""&amp;" &amp; "&amp;""&amp;(SUMPRODUCT(MID(0&amp;(--TRIM(RIGHT(SUBSTITUTE(LEFT(A282,_xlfn.AGGREGATE(16,6,FIND({0,1,2,3,4,5,6,7,8,9},A282,ROW(INDIRECT("1:"&amp;LEN(A282)))),1))," ",REPT(" ",LEN(A282))),LEN(A282)))), LARGE(INDEX(ISNUMBER(--MID((--TRIM(RIGHT(SUBSTITUTE(LEFT(A282,_xlfn.AGGREGATE(16,6,FIND({0,1,2,3,4,5,6,7,8,9},A282,ROW(INDIRECT("1:"&amp;LEN(A282)))),1))," ",REPT(" ",LEN(A282))),LEN(A282)))), ROW(INDIRECT("1:"&amp;LEN((--TRIM(RIGHT(SUBSTITUTE(LEFT(A282,_xlfn.AGGREGATE(16,6,FIND({0,1,2,3,4,5,6,7,8,9},A282,ROW(INDIRECT("1:"&amp;LEN(A282)))),1))," ",REPT(" ",LEN(A282))),LEN(A282))))))), 1)) * ROW(INDIRECT("1:"&amp;LEN((--TRIM(RIGHT(SUBSTITUTE(LEFT(A282,_xlfn.AGGREGATE(16,6,FIND({0,1,2,3,4,5,6,7,8,9},A282,ROW(INDIRECT("1:"&amp;LEN(A282)))),1))," ",REPT(" ",LEN(A282))),LEN(A282))))))), 0), ROW(INDIRECT("1:"&amp;LEN((--TRIM(RIGHT(SUBSTITUTE(LEFT(A282,_xlfn.AGGREGATE(16,6,FIND({0,1,2,3,4,5,6,7,8,9},A282,ROW(INDIRECT("1:"&amp;LEN(A282)))),1))," ",REPT(" ",LEN(A282))),LEN(A282))))))))+1, 1) * 10^ROW(INDIRECT("1:"&amp;LEN((--TRIM(RIGHT(SUBSTITUTE(LEFT(A282,_xlfn.AGGREGATE(16,6,FIND({0,1,2,3,4,5,6,7,8,9},A282,ROW(INDIRECT("1:"&amp;LEN(A282)))),1))," ",REPT(" ",LEN(A282))),LEN(A282)))))))/10))*1+1</f>
        <v>206 &amp; 406</v>
      </c>
      <c r="B283" s="135"/>
      <c r="C283" s="64" t="s">
        <v>195</v>
      </c>
      <c r="D283" s="64">
        <f>(29.19+3.1)*10.764</f>
        <v>347.56955999999997</v>
      </c>
      <c r="E283" s="64">
        <v>0</v>
      </c>
      <c r="F283" s="52">
        <v>535</v>
      </c>
      <c r="G283" s="104"/>
      <c r="H283" s="105"/>
      <c r="I283" s="46">
        <f t="shared" si="12"/>
        <v>1.5392602275066898</v>
      </c>
    </row>
    <row r="284" spans="1:14" s="36" customFormat="1" ht="15.75" customHeight="1" x14ac:dyDescent="0.3">
      <c r="A284" s="147" t="s">
        <v>194</v>
      </c>
      <c r="B284" s="148"/>
      <c r="C284" s="148"/>
      <c r="D284" s="148"/>
      <c r="E284" s="148"/>
      <c r="F284" s="148"/>
      <c r="G284" s="148"/>
      <c r="H284" s="149"/>
      <c r="I284" s="46" t="e">
        <f t="shared" si="12"/>
        <v>#DIV/0!</v>
      </c>
      <c r="J284" s="35"/>
    </row>
    <row r="285" spans="1:14" s="36" customFormat="1" ht="15.75" customHeight="1" x14ac:dyDescent="0.3">
      <c r="A285" s="147" t="s">
        <v>123</v>
      </c>
      <c r="B285" s="148"/>
      <c r="C285" s="148"/>
      <c r="D285" s="148"/>
      <c r="E285" s="148"/>
      <c r="F285" s="148"/>
      <c r="G285" s="148"/>
      <c r="H285" s="149"/>
      <c r="I285" s="46" t="e">
        <f t="shared" si="12"/>
        <v>#DIV/0!</v>
      </c>
      <c r="J285" s="35"/>
    </row>
    <row r="286" spans="1:14" s="36" customFormat="1" ht="15.75" customHeight="1" x14ac:dyDescent="0.3">
      <c r="A286" s="134">
        <v>1</v>
      </c>
      <c r="B286" s="135"/>
      <c r="C286" s="64" t="s">
        <v>195</v>
      </c>
      <c r="D286" s="64">
        <f>(28.9)*10.764</f>
        <v>311.07959999999997</v>
      </c>
      <c r="E286" s="64">
        <v>0</v>
      </c>
      <c r="F286" s="52">
        <v>480</v>
      </c>
      <c r="G286" s="100" t="str">
        <f>A285</f>
        <v>Ground Floor</v>
      </c>
      <c r="H286" s="101"/>
      <c r="I286" s="46">
        <f t="shared" si="12"/>
        <v>1.5430134280743579</v>
      </c>
      <c r="L286" s="49">
        <v>478.56</v>
      </c>
      <c r="M286" s="50">
        <f>L286/D286</f>
        <v>1.5383843877901349</v>
      </c>
      <c r="N286" s="35"/>
    </row>
    <row r="287" spans="1:14" s="36" customFormat="1" x14ac:dyDescent="0.3">
      <c r="A287" s="134">
        <f t="shared" ref="A287:A288" si="16">A286+1</f>
        <v>2</v>
      </c>
      <c r="B287" s="135"/>
      <c r="C287" s="64" t="s">
        <v>195</v>
      </c>
      <c r="D287" s="64">
        <f>(29.23)*10.764</f>
        <v>314.63171999999997</v>
      </c>
      <c r="E287" s="64">
        <v>0</v>
      </c>
      <c r="F287" s="52">
        <v>485</v>
      </c>
      <c r="G287" s="102"/>
      <c r="H287" s="103"/>
      <c r="I287" s="46">
        <f t="shared" si="12"/>
        <v>1.5414847555739137</v>
      </c>
      <c r="L287" s="49">
        <v>484.03</v>
      </c>
      <c r="M287" s="50">
        <f t="shared" ref="M287:M288" si="17">L287/D287</f>
        <v>1.5384017860627657</v>
      </c>
      <c r="N287" s="35"/>
    </row>
    <row r="288" spans="1:14" s="36" customFormat="1" x14ac:dyDescent="0.3">
      <c r="A288" s="134">
        <f t="shared" si="16"/>
        <v>3</v>
      </c>
      <c r="B288" s="135"/>
      <c r="C288" s="64" t="s">
        <v>203</v>
      </c>
      <c r="D288" s="64">
        <f>(20.98)*10.764</f>
        <v>225.82872</v>
      </c>
      <c r="E288" s="64">
        <v>0</v>
      </c>
      <c r="F288" s="52">
        <v>350</v>
      </c>
      <c r="G288" s="104"/>
      <c r="H288" s="105"/>
      <c r="I288" s="46">
        <f t="shared" si="12"/>
        <v>1.5498471585013633</v>
      </c>
      <c r="L288" s="49">
        <v>347.41</v>
      </c>
      <c r="M288" s="50">
        <f t="shared" si="17"/>
        <v>1.5383782895284532</v>
      </c>
      <c r="N288" s="35"/>
    </row>
    <row r="289" spans="1:14" s="36" customFormat="1" x14ac:dyDescent="0.3">
      <c r="A289" s="147" t="s">
        <v>199</v>
      </c>
      <c r="B289" s="148"/>
      <c r="C289" s="148"/>
      <c r="D289" s="148"/>
      <c r="E289" s="148"/>
      <c r="F289" s="148"/>
      <c r="G289" s="148"/>
      <c r="H289" s="149"/>
      <c r="I289" s="46" t="e">
        <f t="shared" si="12"/>
        <v>#DIV/0!</v>
      </c>
    </row>
    <row r="290" spans="1:14" s="36" customFormat="1" ht="15.75" customHeight="1" x14ac:dyDescent="0.3">
      <c r="A290" s="134" t="str">
        <f ca="1">(SUMPRODUCT(MID(0&amp;(LEFT(A289,SUM(LEN(A289)-LEN(SUBSTITUTE(A289,{"0","1","2"},""))))), LARGE(INDEX(ISNUMBER(--MID((LEFT(A289,SUM(LEN(A289)-LEN(SUBSTITUTE(A289,{"0","1","2"},""))))), ROW(INDIRECT("1:"&amp;LEN((LEFT(A289,SUM(LEN(A289)-LEN(SUBSTITUTE(A289,{"0","1","2"},"")))))))), 1)) * ROW(INDIRECT("1:"&amp;LEN((LEFT(A289,SUM(LEN(A289)-LEN(SUBSTITUTE(A289,{"0","1","2"},"")))))))), 0), ROW(INDIRECT("1:"&amp;LEN((LEFT(A289,SUM(LEN(A289)-LEN(SUBSTITUTE(A289,{"0","1","2"},"")))))))))+1, 1) * 10^ROW(INDIRECT("1:"&amp;LEN((LEFT(A289,SUM(LEN(A289)-LEN(SUBSTITUTE(A289,{"0","1","2"},""))))))))/10))*100+1&amp;""&amp;" &amp; "&amp;""&amp;(SUMPRODUCT(MID(0&amp;(--TRIM(RIGHT(SUBSTITUTE(LEFT(A289,_xlfn.AGGREGATE(16,6,FIND({0,1,2,3,4,5,6,7,8,9},A289,ROW(INDIRECT("1:"&amp;LEN(A289)))),1))," ",REPT(" ",LEN(A289))),LEN(A289)))), LARGE(INDEX(ISNUMBER(--MID((--TRIM(RIGHT(SUBSTITUTE(LEFT(A289,_xlfn.AGGREGATE(16,6,FIND({0,1,2,3,4,5,6,7,8,9},A289,ROW(INDIRECT("1:"&amp;LEN(A289)))),1))," ",REPT(" ",LEN(A289))),LEN(A289)))), ROW(INDIRECT("1:"&amp;LEN((--TRIM(RIGHT(SUBSTITUTE(LEFT(A289,_xlfn.AGGREGATE(16,6,FIND({0,1,2,3,4,5,6,7,8,9},A289,ROW(INDIRECT("1:"&amp;LEN(A289)))),1))," ",REPT(" ",LEN(A289))),LEN(A289))))))), 1)) * ROW(INDIRECT("1:"&amp;LEN((--TRIM(RIGHT(SUBSTITUTE(LEFT(A289,_xlfn.AGGREGATE(16,6,FIND({0,1,2,3,4,5,6,7,8,9},A289,ROW(INDIRECT("1:"&amp;LEN(A289)))),1))," ",REPT(" ",LEN(A289))),LEN(A289))))))), 0), ROW(INDIRECT("1:"&amp;LEN((--TRIM(RIGHT(SUBSTITUTE(LEFT(A289,_xlfn.AGGREGATE(16,6,FIND({0,1,2,3,4,5,6,7,8,9},A289,ROW(INDIRECT("1:"&amp;LEN(A289)))),1))," ",REPT(" ",LEN(A289))),LEN(A289))))))))+1, 1) * 10^ROW(INDIRECT("1:"&amp;LEN((--TRIM(RIGHT(SUBSTITUTE(LEFT(A289,_xlfn.AGGREGATE(16,6,FIND({0,1,2,3,4,5,6,7,8,9},A289,ROW(INDIRECT("1:"&amp;LEN(A289)))),1))," ",REPT(" ",LEN(A289))),LEN(A289)))))))/10))*100+1</f>
        <v>101 &amp; 301</v>
      </c>
      <c r="B290" s="135"/>
      <c r="C290" s="64" t="s">
        <v>195</v>
      </c>
      <c r="D290" s="64">
        <f>(29.32+2.97)*10.764</f>
        <v>347.56955999999997</v>
      </c>
      <c r="E290" s="64">
        <f>(3.64)*10.764</f>
        <v>39.180959999999999</v>
      </c>
      <c r="F290" s="52">
        <v>575</v>
      </c>
      <c r="G290" s="100" t="str">
        <f>A289</f>
        <v>1st &amp; 3rd Floor</v>
      </c>
      <c r="H290" s="101"/>
      <c r="I290" s="46">
        <f t="shared" si="12"/>
        <v>1.6543451043296198</v>
      </c>
      <c r="J290" s="46"/>
      <c r="L290" s="46">
        <v>534.70000000000005</v>
      </c>
      <c r="M290" s="46">
        <f>L290/D290</f>
        <v>1.5383970909305178</v>
      </c>
    </row>
    <row r="291" spans="1:14" s="36" customFormat="1" x14ac:dyDescent="0.3">
      <c r="A291" s="134" t="str">
        <f ca="1">(SUMPRODUCT(MID(0&amp;(LEFT(A290,SUM(LEN(A290)-LEN(SUBSTITUTE(A290,{"0","1","2"},""))))), LARGE(INDEX(ISNUMBER(--MID((LEFT(A290,SUM(LEN(A290)-LEN(SUBSTITUTE(A290,{"0","1","2"},""))))), ROW(INDIRECT("1:"&amp;LEN((LEFT(A290,SUM(LEN(A290)-LEN(SUBSTITUTE(A290,{"0","1","2"},"")))))))), 1)) * ROW(INDIRECT("1:"&amp;LEN((LEFT(A290,SUM(LEN(A290)-LEN(SUBSTITUTE(A290,{"0","1","2"},"")))))))), 0), ROW(INDIRECT("1:"&amp;LEN((LEFT(A290,SUM(LEN(A290)-LEN(SUBSTITUTE(A290,{"0","1","2"},"")))))))))+1, 1) * 10^ROW(INDIRECT("1:"&amp;LEN((LEFT(A290,SUM(LEN(A290)-LEN(SUBSTITUTE(A290,{"0","1","2"},""))))))))/10))*1+1&amp;""&amp;" &amp; "&amp;""&amp;(SUMPRODUCT(MID(0&amp;(--TRIM(RIGHT(SUBSTITUTE(LEFT(A290,_xlfn.AGGREGATE(16,6,FIND({0,1,2,3,4,5,6,7,8,9},A290,ROW(INDIRECT("1:"&amp;LEN(A290)))),1))," ",REPT(" ",LEN(A290))),LEN(A290)))), LARGE(INDEX(ISNUMBER(--MID((--TRIM(RIGHT(SUBSTITUTE(LEFT(A290,_xlfn.AGGREGATE(16,6,FIND({0,1,2,3,4,5,6,7,8,9},A290,ROW(INDIRECT("1:"&amp;LEN(A290)))),1))," ",REPT(" ",LEN(A290))),LEN(A290)))), ROW(INDIRECT("1:"&amp;LEN((--TRIM(RIGHT(SUBSTITUTE(LEFT(A290,_xlfn.AGGREGATE(16,6,FIND({0,1,2,3,4,5,6,7,8,9},A290,ROW(INDIRECT("1:"&amp;LEN(A290)))),1))," ",REPT(" ",LEN(A290))),LEN(A290))))))), 1)) * ROW(INDIRECT("1:"&amp;LEN((--TRIM(RIGHT(SUBSTITUTE(LEFT(A290,_xlfn.AGGREGATE(16,6,FIND({0,1,2,3,4,5,6,7,8,9},A290,ROW(INDIRECT("1:"&amp;LEN(A290)))),1))," ",REPT(" ",LEN(A290))),LEN(A290))))))), 0), ROW(INDIRECT("1:"&amp;LEN((--TRIM(RIGHT(SUBSTITUTE(LEFT(A290,_xlfn.AGGREGATE(16,6,FIND({0,1,2,3,4,5,6,7,8,9},A290,ROW(INDIRECT("1:"&amp;LEN(A290)))),1))," ",REPT(" ",LEN(A290))),LEN(A290))))))))+1, 1) * 10^ROW(INDIRECT("1:"&amp;LEN((--TRIM(RIGHT(SUBSTITUTE(LEFT(A290,_xlfn.AGGREGATE(16,6,FIND({0,1,2,3,4,5,6,7,8,9},A290,ROW(INDIRECT("1:"&amp;LEN(A290)))),1))," ",REPT(" ",LEN(A290))),LEN(A290)))))))/10))*1+1</f>
        <v>102 &amp; 302</v>
      </c>
      <c r="B291" s="135"/>
      <c r="C291" s="64" t="s">
        <v>195</v>
      </c>
      <c r="D291" s="64">
        <f>(21.27+5.9)*10.764</f>
        <v>292.45787999999999</v>
      </c>
      <c r="E291" s="64">
        <v>0</v>
      </c>
      <c r="F291" s="52">
        <v>450</v>
      </c>
      <c r="G291" s="102"/>
      <c r="H291" s="103"/>
      <c r="I291" s="46">
        <f t="shared" si="12"/>
        <v>1.5386831088292099</v>
      </c>
      <c r="L291" s="36">
        <v>449.92</v>
      </c>
      <c r="M291" s="46">
        <f t="shared" ref="M291:M294" si="18">L291/D291</f>
        <v>1.5384095651654182</v>
      </c>
    </row>
    <row r="292" spans="1:14" s="36" customFormat="1" x14ac:dyDescent="0.3">
      <c r="A292" s="134" t="str">
        <f ca="1">(SUMPRODUCT(MID(0&amp;(LEFT(A291,SUM(LEN(A291)-LEN(SUBSTITUTE(A291,{"0","1","2"},""))))), LARGE(INDEX(ISNUMBER(--MID((LEFT(A291,SUM(LEN(A291)-LEN(SUBSTITUTE(A291,{"0","1","2"},""))))), ROW(INDIRECT("1:"&amp;LEN((LEFT(A291,SUM(LEN(A291)-LEN(SUBSTITUTE(A291,{"0","1","2"},"")))))))), 1)) * ROW(INDIRECT("1:"&amp;LEN((LEFT(A291,SUM(LEN(A291)-LEN(SUBSTITUTE(A291,{"0","1","2"},"")))))))), 0), ROW(INDIRECT("1:"&amp;LEN((LEFT(A291,SUM(LEN(A291)-LEN(SUBSTITUTE(A291,{"0","1","2"},"")))))))))+1, 1) * 10^ROW(INDIRECT("1:"&amp;LEN((LEFT(A291,SUM(LEN(A291)-LEN(SUBSTITUTE(A291,{"0","1","2"},""))))))))/10))*1+1&amp;""&amp;" &amp; "&amp;""&amp;(SUMPRODUCT(MID(0&amp;(--TRIM(RIGHT(SUBSTITUTE(LEFT(A291,_xlfn.AGGREGATE(16,6,FIND({0,1,2,3,4,5,6,7,8,9},A291,ROW(INDIRECT("1:"&amp;LEN(A291)))),1))," ",REPT(" ",LEN(A291))),LEN(A291)))), LARGE(INDEX(ISNUMBER(--MID((--TRIM(RIGHT(SUBSTITUTE(LEFT(A291,_xlfn.AGGREGATE(16,6,FIND({0,1,2,3,4,5,6,7,8,9},A291,ROW(INDIRECT("1:"&amp;LEN(A291)))),1))," ",REPT(" ",LEN(A291))),LEN(A291)))), ROW(INDIRECT("1:"&amp;LEN((--TRIM(RIGHT(SUBSTITUTE(LEFT(A291,_xlfn.AGGREGATE(16,6,FIND({0,1,2,3,4,5,6,7,8,9},A291,ROW(INDIRECT("1:"&amp;LEN(A291)))),1))," ",REPT(" ",LEN(A291))),LEN(A291))))))), 1)) * ROW(INDIRECT("1:"&amp;LEN((--TRIM(RIGHT(SUBSTITUTE(LEFT(A291,_xlfn.AGGREGATE(16,6,FIND({0,1,2,3,4,5,6,7,8,9},A291,ROW(INDIRECT("1:"&amp;LEN(A291)))),1))," ",REPT(" ",LEN(A291))),LEN(A291))))))), 0), ROW(INDIRECT("1:"&amp;LEN((--TRIM(RIGHT(SUBSTITUTE(LEFT(A291,_xlfn.AGGREGATE(16,6,FIND({0,1,2,3,4,5,6,7,8,9},A291,ROW(INDIRECT("1:"&amp;LEN(A291)))),1))," ",REPT(" ",LEN(A291))),LEN(A291))))))))+1, 1) * 10^ROW(INDIRECT("1:"&amp;LEN((--TRIM(RIGHT(SUBSTITUTE(LEFT(A291,_xlfn.AGGREGATE(16,6,FIND({0,1,2,3,4,5,6,7,8,9},A291,ROW(INDIRECT("1:"&amp;LEN(A291)))),1))," ",REPT(" ",LEN(A291))),LEN(A291)))))))/10))*1+1</f>
        <v>103 &amp; 303</v>
      </c>
      <c r="B292" s="135"/>
      <c r="C292" s="64" t="s">
        <v>203</v>
      </c>
      <c r="D292" s="64">
        <f>(21.27)*10.764</f>
        <v>228.95027999999999</v>
      </c>
      <c r="E292" s="64">
        <v>0</v>
      </c>
      <c r="F292" s="52">
        <v>355</v>
      </c>
      <c r="G292" s="102"/>
      <c r="H292" s="103"/>
      <c r="I292" s="46">
        <f t="shared" si="12"/>
        <v>1.5505549938615495</v>
      </c>
      <c r="L292" s="36">
        <v>352.22</v>
      </c>
      <c r="M292" s="46">
        <f t="shared" si="18"/>
        <v>1.5384126195434225</v>
      </c>
    </row>
    <row r="293" spans="1:14" s="36" customFormat="1" x14ac:dyDescent="0.3">
      <c r="A293" s="134" t="str">
        <f ca="1">(SUMPRODUCT(MID(0&amp;(LEFT(A292,SUM(LEN(A292)-LEN(SUBSTITUTE(A292,{"0","1","2"},""))))), LARGE(INDEX(ISNUMBER(--MID((LEFT(A292,SUM(LEN(A292)-LEN(SUBSTITUTE(A292,{"0","1","2"},""))))), ROW(INDIRECT("1:"&amp;LEN((LEFT(A292,SUM(LEN(A292)-LEN(SUBSTITUTE(A292,{"0","1","2"},"")))))))), 1)) * ROW(INDIRECT("1:"&amp;LEN((LEFT(A292,SUM(LEN(A292)-LEN(SUBSTITUTE(A292,{"0","1","2"},"")))))))), 0), ROW(INDIRECT("1:"&amp;LEN((LEFT(A292,SUM(LEN(A292)-LEN(SUBSTITUTE(A292,{"0","1","2"},"")))))))))+1, 1) * 10^ROW(INDIRECT("1:"&amp;LEN((LEFT(A292,SUM(LEN(A292)-LEN(SUBSTITUTE(A292,{"0","1","2"},""))))))))/10))*1+1&amp;""&amp;" &amp; "&amp;""&amp;(SUMPRODUCT(MID(0&amp;(--TRIM(RIGHT(SUBSTITUTE(LEFT(A292,_xlfn.AGGREGATE(16,6,FIND({0,1,2,3,4,5,6,7,8,9},A292,ROW(INDIRECT("1:"&amp;LEN(A292)))),1))," ",REPT(" ",LEN(A292))),LEN(A292)))), LARGE(INDEX(ISNUMBER(--MID((--TRIM(RIGHT(SUBSTITUTE(LEFT(A292,_xlfn.AGGREGATE(16,6,FIND({0,1,2,3,4,5,6,7,8,9},A292,ROW(INDIRECT("1:"&amp;LEN(A292)))),1))," ",REPT(" ",LEN(A292))),LEN(A292)))), ROW(INDIRECT("1:"&amp;LEN((--TRIM(RIGHT(SUBSTITUTE(LEFT(A292,_xlfn.AGGREGATE(16,6,FIND({0,1,2,3,4,5,6,7,8,9},A292,ROW(INDIRECT("1:"&amp;LEN(A292)))),1))," ",REPT(" ",LEN(A292))),LEN(A292))))))), 1)) * ROW(INDIRECT("1:"&amp;LEN((--TRIM(RIGHT(SUBSTITUTE(LEFT(A292,_xlfn.AGGREGATE(16,6,FIND({0,1,2,3,4,5,6,7,8,9},A292,ROW(INDIRECT("1:"&amp;LEN(A292)))),1))," ",REPT(" ",LEN(A292))),LEN(A292))))))), 0), ROW(INDIRECT("1:"&amp;LEN((--TRIM(RIGHT(SUBSTITUTE(LEFT(A292,_xlfn.AGGREGATE(16,6,FIND({0,1,2,3,4,5,6,7,8,9},A292,ROW(INDIRECT("1:"&amp;LEN(A292)))),1))," ",REPT(" ",LEN(A292))),LEN(A292))))))))+1, 1) * 10^ROW(INDIRECT("1:"&amp;LEN((--TRIM(RIGHT(SUBSTITUTE(LEFT(A292,_xlfn.AGGREGATE(16,6,FIND({0,1,2,3,4,5,6,7,8,9},A292,ROW(INDIRECT("1:"&amp;LEN(A292)))),1))," ",REPT(" ",LEN(A292))),LEN(A292)))))))/10))*1+1</f>
        <v>104 &amp; 304</v>
      </c>
      <c r="B293" s="135"/>
      <c r="C293" s="64" t="s">
        <v>195</v>
      </c>
      <c r="D293" s="64">
        <f>(29.76+5.82)*10.764</f>
        <v>382.98311999999999</v>
      </c>
      <c r="E293" s="64">
        <v>0</v>
      </c>
      <c r="F293" s="52">
        <v>590</v>
      </c>
      <c r="G293" s="102"/>
      <c r="H293" s="103"/>
      <c r="I293" s="46">
        <f t="shared" si="12"/>
        <v>1.5405378701808059</v>
      </c>
      <c r="L293" s="36">
        <v>589.17999999999995</v>
      </c>
      <c r="M293" s="46">
        <f t="shared" si="18"/>
        <v>1.5383967836493682</v>
      </c>
    </row>
    <row r="294" spans="1:14" s="36" customFormat="1" x14ac:dyDescent="0.3">
      <c r="A294" s="134" t="str">
        <f ca="1">(SUMPRODUCT(MID(0&amp;(LEFT(A293,SUM(LEN(A293)-LEN(SUBSTITUTE(A293,{"0","1","2"},""))))), LARGE(INDEX(ISNUMBER(--MID((LEFT(A293,SUM(LEN(A293)-LEN(SUBSTITUTE(A293,{"0","1","2"},""))))), ROW(INDIRECT("1:"&amp;LEN((LEFT(A293,SUM(LEN(A293)-LEN(SUBSTITUTE(A293,{"0","1","2"},"")))))))), 1)) * ROW(INDIRECT("1:"&amp;LEN((LEFT(A293,SUM(LEN(A293)-LEN(SUBSTITUTE(A293,{"0","1","2"},"")))))))), 0), ROW(INDIRECT("1:"&amp;LEN((LEFT(A293,SUM(LEN(A293)-LEN(SUBSTITUTE(A293,{"0","1","2"},"")))))))))+1, 1) * 10^ROW(INDIRECT("1:"&amp;LEN((LEFT(A293,SUM(LEN(A293)-LEN(SUBSTITUTE(A293,{"0","1","2"},""))))))))/10))*1+1&amp;""&amp;" &amp; "&amp;""&amp;(SUMPRODUCT(MID(0&amp;(--TRIM(RIGHT(SUBSTITUTE(LEFT(A293,_xlfn.AGGREGATE(16,6,FIND({0,1,2,3,4,5,6,7,8,9},A293,ROW(INDIRECT("1:"&amp;LEN(A293)))),1))," ",REPT(" ",LEN(A293))),LEN(A293)))), LARGE(INDEX(ISNUMBER(--MID((--TRIM(RIGHT(SUBSTITUTE(LEFT(A293,_xlfn.AGGREGATE(16,6,FIND({0,1,2,3,4,5,6,7,8,9},A293,ROW(INDIRECT("1:"&amp;LEN(A293)))),1))," ",REPT(" ",LEN(A293))),LEN(A293)))), ROW(INDIRECT("1:"&amp;LEN((--TRIM(RIGHT(SUBSTITUTE(LEFT(A293,_xlfn.AGGREGATE(16,6,FIND({0,1,2,3,4,5,6,7,8,9},A293,ROW(INDIRECT("1:"&amp;LEN(A293)))),1))," ",REPT(" ",LEN(A293))),LEN(A293))))))), 1)) * ROW(INDIRECT("1:"&amp;LEN((--TRIM(RIGHT(SUBSTITUTE(LEFT(A293,_xlfn.AGGREGATE(16,6,FIND({0,1,2,3,4,5,6,7,8,9},A293,ROW(INDIRECT("1:"&amp;LEN(A293)))),1))," ",REPT(" ",LEN(A293))),LEN(A293))))))), 0), ROW(INDIRECT("1:"&amp;LEN((--TRIM(RIGHT(SUBSTITUTE(LEFT(A293,_xlfn.AGGREGATE(16,6,FIND({0,1,2,3,4,5,6,7,8,9},A293,ROW(INDIRECT("1:"&amp;LEN(A293)))),1))," ",REPT(" ",LEN(A293))),LEN(A293))))))))+1, 1) * 10^ROW(INDIRECT("1:"&amp;LEN((--TRIM(RIGHT(SUBSTITUTE(LEFT(A293,_xlfn.AGGREGATE(16,6,FIND({0,1,2,3,4,5,6,7,8,9},A293,ROW(INDIRECT("1:"&amp;LEN(A293)))),1))," ",REPT(" ",LEN(A293))),LEN(A293)))))))/10))*1+1</f>
        <v>105 &amp; 305</v>
      </c>
      <c r="B294" s="135"/>
      <c r="C294" s="64" t="s">
        <v>195</v>
      </c>
      <c r="D294" s="64">
        <f>(29.32+2.97)*10.764</f>
        <v>347.56955999999997</v>
      </c>
      <c r="E294" s="64">
        <f>(3.78)*10.764</f>
        <v>40.687919999999998</v>
      </c>
      <c r="F294" s="52">
        <v>575</v>
      </c>
      <c r="G294" s="104"/>
      <c r="H294" s="105"/>
      <c r="I294" s="46">
        <f t="shared" si="12"/>
        <v>1.6543451043296198</v>
      </c>
      <c r="L294" s="36">
        <v>534.70000000000005</v>
      </c>
      <c r="M294" s="46">
        <f t="shared" si="18"/>
        <v>1.5383970909305178</v>
      </c>
    </row>
    <row r="295" spans="1:14" s="36" customFormat="1" x14ac:dyDescent="0.3">
      <c r="A295" s="147" t="s">
        <v>205</v>
      </c>
      <c r="B295" s="148"/>
      <c r="C295" s="148"/>
      <c r="D295" s="148"/>
      <c r="E295" s="148"/>
      <c r="F295" s="148"/>
      <c r="G295" s="148"/>
      <c r="H295" s="149"/>
      <c r="I295" s="46" t="e">
        <f t="shared" si="12"/>
        <v>#DIV/0!</v>
      </c>
    </row>
    <row r="296" spans="1:14" s="36" customFormat="1" ht="15.75" customHeight="1" x14ac:dyDescent="0.3">
      <c r="A296" s="134" t="str">
        <f ca="1">(SUMPRODUCT(MID(0&amp;(LEFT(A295,SUM(LEN(A295)-LEN(SUBSTITUTE(A295,{"0","1","2"},""))))), LARGE(INDEX(ISNUMBER(--MID((LEFT(A295,SUM(LEN(A295)-LEN(SUBSTITUTE(A295,{"0","1","2"},""))))), ROW(INDIRECT("1:"&amp;LEN((LEFT(A295,SUM(LEN(A295)-LEN(SUBSTITUTE(A295,{"0","1","2"},"")))))))), 1)) * ROW(INDIRECT("1:"&amp;LEN((LEFT(A295,SUM(LEN(A295)-LEN(SUBSTITUTE(A295,{"0","1","2"},"")))))))), 0), ROW(INDIRECT("1:"&amp;LEN((LEFT(A295,SUM(LEN(A295)-LEN(SUBSTITUTE(A295,{"0","1","2"},"")))))))))+1, 1) * 10^ROW(INDIRECT("1:"&amp;LEN((LEFT(A295,SUM(LEN(A295)-LEN(SUBSTITUTE(A295,{"0","1","2"},""))))))))/10))*100+1&amp;""&amp;" &amp; "&amp;""&amp;(SUMPRODUCT(MID(0&amp;(--TRIM(RIGHT(SUBSTITUTE(LEFT(A295,_xlfn.AGGREGATE(16,6,FIND({0,1,2,3,4,5,6,7,8,9},A295,ROW(INDIRECT("1:"&amp;LEN(A295)))),1))," ",REPT(" ",LEN(A295))),LEN(A295)))), LARGE(INDEX(ISNUMBER(--MID((--TRIM(RIGHT(SUBSTITUTE(LEFT(A295,_xlfn.AGGREGATE(16,6,FIND({0,1,2,3,4,5,6,7,8,9},A295,ROW(INDIRECT("1:"&amp;LEN(A295)))),1))," ",REPT(" ",LEN(A295))),LEN(A295)))), ROW(INDIRECT("1:"&amp;LEN((--TRIM(RIGHT(SUBSTITUTE(LEFT(A295,_xlfn.AGGREGATE(16,6,FIND({0,1,2,3,4,5,6,7,8,9},A295,ROW(INDIRECT("1:"&amp;LEN(A295)))),1))," ",REPT(" ",LEN(A295))),LEN(A295))))))), 1)) * ROW(INDIRECT("1:"&amp;LEN((--TRIM(RIGHT(SUBSTITUTE(LEFT(A295,_xlfn.AGGREGATE(16,6,FIND({0,1,2,3,4,5,6,7,8,9},A295,ROW(INDIRECT("1:"&amp;LEN(A295)))),1))," ",REPT(" ",LEN(A295))),LEN(A295))))))), 0), ROW(INDIRECT("1:"&amp;LEN((--TRIM(RIGHT(SUBSTITUTE(LEFT(A295,_xlfn.AGGREGATE(16,6,FIND({0,1,2,3,4,5,6,7,8,9},A295,ROW(INDIRECT("1:"&amp;LEN(A295)))),1))," ",REPT(" ",LEN(A295))),LEN(A295))))))))+1, 1) * 10^ROW(INDIRECT("1:"&amp;LEN((--TRIM(RIGHT(SUBSTITUTE(LEFT(A295,_xlfn.AGGREGATE(16,6,FIND({0,1,2,3,4,5,6,7,8,9},A295,ROW(INDIRECT("1:"&amp;LEN(A295)))),1))," ",REPT(" ",LEN(A295))),LEN(A295)))))))/10))*100+1</f>
        <v>201 &amp; 401</v>
      </c>
      <c r="B296" s="135"/>
      <c r="C296" s="64" t="s">
        <v>195</v>
      </c>
      <c r="D296" s="64">
        <f>(28.14+2.97)*10.764</f>
        <v>334.86803999999995</v>
      </c>
      <c r="E296" s="64">
        <v>0</v>
      </c>
      <c r="F296" s="52">
        <v>535</v>
      </c>
      <c r="G296" s="100" t="str">
        <f>A295</f>
        <v>2nd &amp; 4th Floor</v>
      </c>
      <c r="H296" s="101"/>
      <c r="I296" s="46">
        <f t="shared" si="12"/>
        <v>1.5976442541366447</v>
      </c>
    </row>
    <row r="297" spans="1:14" s="36" customFormat="1" x14ac:dyDescent="0.3">
      <c r="A297" s="134" t="str">
        <f ca="1">(SUMPRODUCT(MID(0&amp;(LEFT(A296,SUM(LEN(A296)-LEN(SUBSTITUTE(A296,{"0","1","2"},""))))), LARGE(INDEX(ISNUMBER(--MID((LEFT(A296,SUM(LEN(A296)-LEN(SUBSTITUTE(A296,{"0","1","2"},""))))), ROW(INDIRECT("1:"&amp;LEN((LEFT(A296,SUM(LEN(A296)-LEN(SUBSTITUTE(A296,{"0","1","2"},"")))))))), 1)) * ROW(INDIRECT("1:"&amp;LEN((LEFT(A296,SUM(LEN(A296)-LEN(SUBSTITUTE(A296,{"0","1","2"},"")))))))), 0), ROW(INDIRECT("1:"&amp;LEN((LEFT(A296,SUM(LEN(A296)-LEN(SUBSTITUTE(A296,{"0","1","2"},"")))))))))+1, 1) * 10^ROW(INDIRECT("1:"&amp;LEN((LEFT(A296,SUM(LEN(A296)-LEN(SUBSTITUTE(A296,{"0","1","2"},""))))))))/10))*1+1&amp;""&amp;" &amp; "&amp;""&amp;(SUMPRODUCT(MID(0&amp;(--TRIM(RIGHT(SUBSTITUTE(LEFT(A296,_xlfn.AGGREGATE(16,6,FIND({0,1,2,3,4,5,6,7,8,9},A296,ROW(INDIRECT("1:"&amp;LEN(A296)))),1))," ",REPT(" ",LEN(A296))),LEN(A296)))), LARGE(INDEX(ISNUMBER(--MID((--TRIM(RIGHT(SUBSTITUTE(LEFT(A296,_xlfn.AGGREGATE(16,6,FIND({0,1,2,3,4,5,6,7,8,9},A296,ROW(INDIRECT("1:"&amp;LEN(A296)))),1))," ",REPT(" ",LEN(A296))),LEN(A296)))), ROW(INDIRECT("1:"&amp;LEN((--TRIM(RIGHT(SUBSTITUTE(LEFT(A296,_xlfn.AGGREGATE(16,6,FIND({0,1,2,3,4,5,6,7,8,9},A296,ROW(INDIRECT("1:"&amp;LEN(A296)))),1))," ",REPT(" ",LEN(A296))),LEN(A296))))))), 1)) * ROW(INDIRECT("1:"&amp;LEN((--TRIM(RIGHT(SUBSTITUTE(LEFT(A296,_xlfn.AGGREGATE(16,6,FIND({0,1,2,3,4,5,6,7,8,9},A296,ROW(INDIRECT("1:"&amp;LEN(A296)))),1))," ",REPT(" ",LEN(A296))),LEN(A296))))))), 0), ROW(INDIRECT("1:"&amp;LEN((--TRIM(RIGHT(SUBSTITUTE(LEFT(A296,_xlfn.AGGREGATE(16,6,FIND({0,1,2,3,4,5,6,7,8,9},A296,ROW(INDIRECT("1:"&amp;LEN(A296)))),1))," ",REPT(" ",LEN(A296))),LEN(A296))))))))+1, 1) * 10^ROW(INDIRECT("1:"&amp;LEN((--TRIM(RIGHT(SUBSTITUTE(LEFT(A296,_xlfn.AGGREGATE(16,6,FIND({0,1,2,3,4,5,6,7,8,9},A296,ROW(INDIRECT("1:"&amp;LEN(A296)))),1))," ",REPT(" ",LEN(A296))),LEN(A296)))))))/10))*1+1</f>
        <v>202 &amp; 402</v>
      </c>
      <c r="B297" s="135"/>
      <c r="C297" s="64" t="s">
        <v>195</v>
      </c>
      <c r="D297" s="64">
        <f>(28.47+5.9)*10.764</f>
        <v>369.95867999999996</v>
      </c>
      <c r="E297" s="64">
        <v>0</v>
      </c>
      <c r="F297" s="52">
        <v>450</v>
      </c>
      <c r="G297" s="102"/>
      <c r="H297" s="103"/>
      <c r="I297" s="46">
        <f t="shared" si="12"/>
        <v>1.2163520531536118</v>
      </c>
    </row>
    <row r="298" spans="1:14" s="36" customFormat="1" x14ac:dyDescent="0.3">
      <c r="A298" s="134" t="str">
        <f ca="1">(SUMPRODUCT(MID(0&amp;(LEFT(A297,SUM(LEN(A297)-LEN(SUBSTITUTE(A297,{"0","1","2"},""))))), LARGE(INDEX(ISNUMBER(--MID((LEFT(A297,SUM(LEN(A297)-LEN(SUBSTITUTE(A297,{"0","1","2"},""))))), ROW(INDIRECT("1:"&amp;LEN((LEFT(A297,SUM(LEN(A297)-LEN(SUBSTITUTE(A297,{"0","1","2"},"")))))))), 1)) * ROW(INDIRECT("1:"&amp;LEN((LEFT(A297,SUM(LEN(A297)-LEN(SUBSTITUTE(A297,{"0","1","2"},"")))))))), 0), ROW(INDIRECT("1:"&amp;LEN((LEFT(A297,SUM(LEN(A297)-LEN(SUBSTITUTE(A297,{"0","1","2"},"")))))))))+1, 1) * 10^ROW(INDIRECT("1:"&amp;LEN((LEFT(A297,SUM(LEN(A297)-LEN(SUBSTITUTE(A297,{"0","1","2"},""))))))))/10))*1+1&amp;""&amp;" &amp; "&amp;""&amp;(SUMPRODUCT(MID(0&amp;(--TRIM(RIGHT(SUBSTITUTE(LEFT(A297,_xlfn.AGGREGATE(16,6,FIND({0,1,2,3,4,5,6,7,8,9},A297,ROW(INDIRECT("1:"&amp;LEN(A297)))),1))," ",REPT(" ",LEN(A297))),LEN(A297)))), LARGE(INDEX(ISNUMBER(--MID((--TRIM(RIGHT(SUBSTITUTE(LEFT(A297,_xlfn.AGGREGATE(16,6,FIND({0,1,2,3,4,5,6,7,8,9},A297,ROW(INDIRECT("1:"&amp;LEN(A297)))),1))," ",REPT(" ",LEN(A297))),LEN(A297)))), ROW(INDIRECT("1:"&amp;LEN((--TRIM(RIGHT(SUBSTITUTE(LEFT(A297,_xlfn.AGGREGATE(16,6,FIND({0,1,2,3,4,5,6,7,8,9},A297,ROW(INDIRECT("1:"&amp;LEN(A297)))),1))," ",REPT(" ",LEN(A297))),LEN(A297))))))), 1)) * ROW(INDIRECT("1:"&amp;LEN((--TRIM(RIGHT(SUBSTITUTE(LEFT(A297,_xlfn.AGGREGATE(16,6,FIND({0,1,2,3,4,5,6,7,8,9},A297,ROW(INDIRECT("1:"&amp;LEN(A297)))),1))," ",REPT(" ",LEN(A297))),LEN(A297))))))), 0), ROW(INDIRECT("1:"&amp;LEN((--TRIM(RIGHT(SUBSTITUTE(LEFT(A297,_xlfn.AGGREGATE(16,6,FIND({0,1,2,3,4,5,6,7,8,9},A297,ROW(INDIRECT("1:"&amp;LEN(A297)))),1))," ",REPT(" ",LEN(A297))),LEN(A297))))))))+1, 1) * 10^ROW(INDIRECT("1:"&amp;LEN((--TRIM(RIGHT(SUBSTITUTE(LEFT(A297,_xlfn.AGGREGATE(16,6,FIND({0,1,2,3,4,5,6,7,8,9},A297,ROW(INDIRECT("1:"&amp;LEN(A297)))),1))," ",REPT(" ",LEN(A297))),LEN(A297)))))))/10))*1+1</f>
        <v>203 &amp; 403</v>
      </c>
      <c r="B298" s="135"/>
      <c r="C298" s="64" t="s">
        <v>203</v>
      </c>
      <c r="D298" s="64">
        <f>(20.53)*10.764</f>
        <v>220.98491999999999</v>
      </c>
      <c r="E298" s="64">
        <v>0</v>
      </c>
      <c r="F298" s="52">
        <v>355</v>
      </c>
      <c r="G298" s="102"/>
      <c r="H298" s="103"/>
      <c r="I298" s="46">
        <f t="shared" si="12"/>
        <v>1.6064444578390236</v>
      </c>
    </row>
    <row r="299" spans="1:14" s="36" customFormat="1" x14ac:dyDescent="0.3">
      <c r="A299" s="134" t="str">
        <f ca="1">(SUMPRODUCT(MID(0&amp;(LEFT(A298,SUM(LEN(A298)-LEN(SUBSTITUTE(A298,{"0","1","2"},""))))), LARGE(INDEX(ISNUMBER(--MID((LEFT(A298,SUM(LEN(A298)-LEN(SUBSTITUTE(A298,{"0","1","2"},""))))), ROW(INDIRECT("1:"&amp;LEN((LEFT(A298,SUM(LEN(A298)-LEN(SUBSTITUTE(A298,{"0","1","2"},"")))))))), 1)) * ROW(INDIRECT("1:"&amp;LEN((LEFT(A298,SUM(LEN(A298)-LEN(SUBSTITUTE(A298,{"0","1","2"},"")))))))), 0), ROW(INDIRECT("1:"&amp;LEN((LEFT(A298,SUM(LEN(A298)-LEN(SUBSTITUTE(A298,{"0","1","2"},"")))))))))+1, 1) * 10^ROW(INDIRECT("1:"&amp;LEN((LEFT(A298,SUM(LEN(A298)-LEN(SUBSTITUTE(A298,{"0","1","2"},""))))))))/10))*1+1&amp;""&amp;" &amp; "&amp;""&amp;(SUMPRODUCT(MID(0&amp;(--TRIM(RIGHT(SUBSTITUTE(LEFT(A298,_xlfn.AGGREGATE(16,6,FIND({0,1,2,3,4,5,6,7,8,9},A298,ROW(INDIRECT("1:"&amp;LEN(A298)))),1))," ",REPT(" ",LEN(A298))),LEN(A298)))), LARGE(INDEX(ISNUMBER(--MID((--TRIM(RIGHT(SUBSTITUTE(LEFT(A298,_xlfn.AGGREGATE(16,6,FIND({0,1,2,3,4,5,6,7,8,9},A298,ROW(INDIRECT("1:"&amp;LEN(A298)))),1))," ",REPT(" ",LEN(A298))),LEN(A298)))), ROW(INDIRECT("1:"&amp;LEN((--TRIM(RIGHT(SUBSTITUTE(LEFT(A298,_xlfn.AGGREGATE(16,6,FIND({0,1,2,3,4,5,6,7,8,9},A298,ROW(INDIRECT("1:"&amp;LEN(A298)))),1))," ",REPT(" ",LEN(A298))),LEN(A298))))))), 1)) * ROW(INDIRECT("1:"&amp;LEN((--TRIM(RIGHT(SUBSTITUTE(LEFT(A298,_xlfn.AGGREGATE(16,6,FIND({0,1,2,3,4,5,6,7,8,9},A298,ROW(INDIRECT("1:"&amp;LEN(A298)))),1))," ",REPT(" ",LEN(A298))),LEN(A298))))))), 0), ROW(INDIRECT("1:"&amp;LEN((--TRIM(RIGHT(SUBSTITUTE(LEFT(A298,_xlfn.AGGREGATE(16,6,FIND({0,1,2,3,4,5,6,7,8,9},A298,ROW(INDIRECT("1:"&amp;LEN(A298)))),1))," ",REPT(" ",LEN(A298))),LEN(A298))))))))+1, 1) * 10^ROW(INDIRECT("1:"&amp;LEN((--TRIM(RIGHT(SUBSTITUTE(LEFT(A298,_xlfn.AGGREGATE(16,6,FIND({0,1,2,3,4,5,6,7,8,9},A298,ROW(INDIRECT("1:"&amp;LEN(A298)))),1))," ",REPT(" ",LEN(A298))),LEN(A298)))))))/10))*1+1</f>
        <v>204 &amp; 404</v>
      </c>
      <c r="B299" s="135"/>
      <c r="C299" s="64" t="s">
        <v>195</v>
      </c>
      <c r="D299" s="64">
        <f>(28.28+5.82)*10.764</f>
        <v>367.05239999999998</v>
      </c>
      <c r="E299" s="64">
        <v>0</v>
      </c>
      <c r="F299" s="52">
        <v>590</v>
      </c>
      <c r="G299" s="102"/>
      <c r="H299" s="103"/>
      <c r="I299" s="46">
        <f t="shared" si="12"/>
        <v>1.6073999243704715</v>
      </c>
    </row>
    <row r="300" spans="1:14" s="36" customFormat="1" x14ac:dyDescent="0.3">
      <c r="A300" s="134" t="str">
        <f ca="1">(SUMPRODUCT(MID(0&amp;(LEFT(A299,SUM(LEN(A299)-LEN(SUBSTITUTE(A299,{"0","1","2"},""))))), LARGE(INDEX(ISNUMBER(--MID((LEFT(A299,SUM(LEN(A299)-LEN(SUBSTITUTE(A299,{"0","1","2"},""))))), ROW(INDIRECT("1:"&amp;LEN((LEFT(A299,SUM(LEN(A299)-LEN(SUBSTITUTE(A299,{"0","1","2"},"")))))))), 1)) * ROW(INDIRECT("1:"&amp;LEN((LEFT(A299,SUM(LEN(A299)-LEN(SUBSTITUTE(A299,{"0","1","2"},"")))))))), 0), ROW(INDIRECT("1:"&amp;LEN((LEFT(A299,SUM(LEN(A299)-LEN(SUBSTITUTE(A299,{"0","1","2"},"")))))))))+1, 1) * 10^ROW(INDIRECT("1:"&amp;LEN((LEFT(A299,SUM(LEN(A299)-LEN(SUBSTITUTE(A299,{"0","1","2"},""))))))))/10))*1+1&amp;""&amp;" &amp; "&amp;""&amp;(SUMPRODUCT(MID(0&amp;(--TRIM(RIGHT(SUBSTITUTE(LEFT(A299,_xlfn.AGGREGATE(16,6,FIND({0,1,2,3,4,5,6,7,8,9},A299,ROW(INDIRECT("1:"&amp;LEN(A299)))),1))," ",REPT(" ",LEN(A299))),LEN(A299)))), LARGE(INDEX(ISNUMBER(--MID((--TRIM(RIGHT(SUBSTITUTE(LEFT(A299,_xlfn.AGGREGATE(16,6,FIND({0,1,2,3,4,5,6,7,8,9},A299,ROW(INDIRECT("1:"&amp;LEN(A299)))),1))," ",REPT(" ",LEN(A299))),LEN(A299)))), ROW(INDIRECT("1:"&amp;LEN((--TRIM(RIGHT(SUBSTITUTE(LEFT(A299,_xlfn.AGGREGATE(16,6,FIND({0,1,2,3,4,5,6,7,8,9},A299,ROW(INDIRECT("1:"&amp;LEN(A299)))),1))," ",REPT(" ",LEN(A299))),LEN(A299))))))), 1)) * ROW(INDIRECT("1:"&amp;LEN((--TRIM(RIGHT(SUBSTITUTE(LEFT(A299,_xlfn.AGGREGATE(16,6,FIND({0,1,2,3,4,5,6,7,8,9},A299,ROW(INDIRECT("1:"&amp;LEN(A299)))),1))," ",REPT(" ",LEN(A299))),LEN(A299))))))), 0), ROW(INDIRECT("1:"&amp;LEN((--TRIM(RIGHT(SUBSTITUTE(LEFT(A299,_xlfn.AGGREGATE(16,6,FIND({0,1,2,3,4,5,6,7,8,9},A299,ROW(INDIRECT("1:"&amp;LEN(A299)))),1))," ",REPT(" ",LEN(A299))),LEN(A299))))))))+1, 1) * 10^ROW(INDIRECT("1:"&amp;LEN((--TRIM(RIGHT(SUBSTITUTE(LEFT(A299,_xlfn.AGGREGATE(16,6,FIND({0,1,2,3,4,5,6,7,8,9},A299,ROW(INDIRECT("1:"&amp;LEN(A299)))),1))," ",REPT(" ",LEN(A299))),LEN(A299)))))))/10))*1+1</f>
        <v>205 &amp; 405</v>
      </c>
      <c r="B300" s="135"/>
      <c r="C300" s="64" t="s">
        <v>195</v>
      </c>
      <c r="D300" s="64">
        <f>(28.28+2.97)*10.764</f>
        <v>336.375</v>
      </c>
      <c r="E300" s="64">
        <f>(3.49)*10.764</f>
        <v>37.566360000000003</v>
      </c>
      <c r="F300" s="52">
        <v>575</v>
      </c>
      <c r="G300" s="104"/>
      <c r="H300" s="105"/>
      <c r="I300" s="46">
        <f t="shared" si="12"/>
        <v>1.7094017094017093</v>
      </c>
    </row>
    <row r="301" spans="1:14" s="36" customFormat="1" ht="15.75" customHeight="1" x14ac:dyDescent="0.3">
      <c r="A301" s="147" t="s">
        <v>204</v>
      </c>
      <c r="B301" s="148"/>
      <c r="C301" s="148"/>
      <c r="D301" s="148"/>
      <c r="E301" s="148"/>
      <c r="F301" s="148"/>
      <c r="G301" s="148"/>
      <c r="H301" s="149"/>
      <c r="I301" s="46" t="e">
        <f t="shared" si="12"/>
        <v>#DIV/0!</v>
      </c>
      <c r="J301" s="35"/>
    </row>
    <row r="302" spans="1:14" s="36" customFormat="1" ht="15.75" customHeight="1" x14ac:dyDescent="0.3">
      <c r="A302" s="147" t="s">
        <v>123</v>
      </c>
      <c r="B302" s="148"/>
      <c r="C302" s="148"/>
      <c r="D302" s="148"/>
      <c r="E302" s="148"/>
      <c r="F302" s="148"/>
      <c r="G302" s="148"/>
      <c r="H302" s="149"/>
      <c r="I302" s="46" t="e">
        <f t="shared" si="12"/>
        <v>#DIV/0!</v>
      </c>
      <c r="J302" s="35"/>
    </row>
    <row r="303" spans="1:14" s="36" customFormat="1" ht="15.75" customHeight="1" x14ac:dyDescent="0.3">
      <c r="A303" s="134">
        <v>1</v>
      </c>
      <c r="B303" s="135"/>
      <c r="C303" s="64" t="s">
        <v>203</v>
      </c>
      <c r="D303" s="64">
        <f>(21.57)*10.764</f>
        <v>232.17947999999998</v>
      </c>
      <c r="E303" s="64">
        <v>0</v>
      </c>
      <c r="F303" s="52">
        <v>360</v>
      </c>
      <c r="G303" s="100" t="str">
        <f>A302</f>
        <v>Ground Floor</v>
      </c>
      <c r="H303" s="101"/>
      <c r="I303" s="46">
        <f t="shared" si="12"/>
        <v>1.5505246200051788</v>
      </c>
      <c r="L303" s="49">
        <v>357.18</v>
      </c>
      <c r="M303" s="50">
        <f>L303/D303</f>
        <v>1.5383788438151382</v>
      </c>
      <c r="N303" s="35"/>
    </row>
    <row r="304" spans="1:14" s="36" customFormat="1" x14ac:dyDescent="0.3">
      <c r="A304" s="134">
        <f t="shared" ref="A304:A305" si="19">A303+1</f>
        <v>2</v>
      </c>
      <c r="B304" s="135"/>
      <c r="C304" s="64" t="s">
        <v>195</v>
      </c>
      <c r="D304" s="64">
        <f>(29.23)*10.764</f>
        <v>314.63171999999997</v>
      </c>
      <c r="E304" s="64">
        <v>0</v>
      </c>
      <c r="F304" s="52">
        <v>485</v>
      </c>
      <c r="G304" s="102"/>
      <c r="H304" s="103"/>
      <c r="I304" s="46">
        <f t="shared" si="12"/>
        <v>1.5414847555739137</v>
      </c>
      <c r="L304" s="49">
        <v>484.03</v>
      </c>
      <c r="M304" s="50">
        <f t="shared" ref="M304:M305" si="20">L304/D304</f>
        <v>1.5384017860627657</v>
      </c>
      <c r="N304" s="35"/>
    </row>
    <row r="305" spans="1:14" s="36" customFormat="1" x14ac:dyDescent="0.3">
      <c r="A305" s="134">
        <f t="shared" si="19"/>
        <v>3</v>
      </c>
      <c r="B305" s="135"/>
      <c r="C305" s="64" t="s">
        <v>195</v>
      </c>
      <c r="D305" s="64">
        <f>(28.9)*10.764</f>
        <v>311.07959999999997</v>
      </c>
      <c r="E305" s="64">
        <v>0</v>
      </c>
      <c r="F305" s="52">
        <v>480</v>
      </c>
      <c r="G305" s="104"/>
      <c r="H305" s="105"/>
      <c r="I305" s="46">
        <f t="shared" si="12"/>
        <v>1.5430134280743579</v>
      </c>
      <c r="L305" s="49">
        <v>478.56</v>
      </c>
      <c r="M305" s="50">
        <f t="shared" si="20"/>
        <v>1.5383843877901349</v>
      </c>
      <c r="N305" s="35"/>
    </row>
    <row r="306" spans="1:14" s="36" customFormat="1" x14ac:dyDescent="0.3">
      <c r="A306" s="147" t="s">
        <v>199</v>
      </c>
      <c r="B306" s="148"/>
      <c r="C306" s="148"/>
      <c r="D306" s="148"/>
      <c r="E306" s="148"/>
      <c r="F306" s="148"/>
      <c r="G306" s="148"/>
      <c r="H306" s="149"/>
      <c r="I306" s="46" t="e">
        <f t="shared" si="12"/>
        <v>#DIV/0!</v>
      </c>
    </row>
    <row r="307" spans="1:14" s="36" customFormat="1" ht="15.75" customHeight="1" x14ac:dyDescent="0.3">
      <c r="A307" s="134" t="str">
        <f ca="1">(SUMPRODUCT(MID(0&amp;(LEFT(A306,SUM(LEN(A306)-LEN(SUBSTITUTE(A306,{"0","1","2"},""))))), LARGE(INDEX(ISNUMBER(--MID((LEFT(A306,SUM(LEN(A306)-LEN(SUBSTITUTE(A306,{"0","1","2"},""))))), ROW(INDIRECT("1:"&amp;LEN((LEFT(A306,SUM(LEN(A306)-LEN(SUBSTITUTE(A306,{"0","1","2"},"")))))))), 1)) * ROW(INDIRECT("1:"&amp;LEN((LEFT(A306,SUM(LEN(A306)-LEN(SUBSTITUTE(A306,{"0","1","2"},"")))))))), 0), ROW(INDIRECT("1:"&amp;LEN((LEFT(A306,SUM(LEN(A306)-LEN(SUBSTITUTE(A306,{"0","1","2"},"")))))))))+1, 1) * 10^ROW(INDIRECT("1:"&amp;LEN((LEFT(A306,SUM(LEN(A306)-LEN(SUBSTITUTE(A306,{"0","1","2"},""))))))))/10))*100+1&amp;""&amp;" &amp; "&amp;""&amp;(SUMPRODUCT(MID(0&amp;(--TRIM(RIGHT(SUBSTITUTE(LEFT(A306,_xlfn.AGGREGATE(16,6,FIND({0,1,2,3,4,5,6,7,8,9},A306,ROW(INDIRECT("1:"&amp;LEN(A306)))),1))," ",REPT(" ",LEN(A306))),LEN(A306)))), LARGE(INDEX(ISNUMBER(--MID((--TRIM(RIGHT(SUBSTITUTE(LEFT(A306,_xlfn.AGGREGATE(16,6,FIND({0,1,2,3,4,5,6,7,8,9},A306,ROW(INDIRECT("1:"&amp;LEN(A306)))),1))," ",REPT(" ",LEN(A306))),LEN(A306)))), ROW(INDIRECT("1:"&amp;LEN((--TRIM(RIGHT(SUBSTITUTE(LEFT(A306,_xlfn.AGGREGATE(16,6,FIND({0,1,2,3,4,5,6,7,8,9},A306,ROW(INDIRECT("1:"&amp;LEN(A306)))),1))," ",REPT(" ",LEN(A306))),LEN(A306))))))), 1)) * ROW(INDIRECT("1:"&amp;LEN((--TRIM(RIGHT(SUBSTITUTE(LEFT(A306,_xlfn.AGGREGATE(16,6,FIND({0,1,2,3,4,5,6,7,8,9},A306,ROW(INDIRECT("1:"&amp;LEN(A306)))),1))," ",REPT(" ",LEN(A306))),LEN(A306))))))), 0), ROW(INDIRECT("1:"&amp;LEN((--TRIM(RIGHT(SUBSTITUTE(LEFT(A306,_xlfn.AGGREGATE(16,6,FIND({0,1,2,3,4,5,6,7,8,9},A306,ROW(INDIRECT("1:"&amp;LEN(A306)))),1))," ",REPT(" ",LEN(A306))),LEN(A306))))))))+1, 1) * 10^ROW(INDIRECT("1:"&amp;LEN((--TRIM(RIGHT(SUBSTITUTE(LEFT(A306,_xlfn.AGGREGATE(16,6,FIND({0,1,2,3,4,5,6,7,8,9},A306,ROW(INDIRECT("1:"&amp;LEN(A306)))),1))," ",REPT(" ",LEN(A306))),LEN(A306)))))))/10))*100+1</f>
        <v>101 &amp; 301</v>
      </c>
      <c r="B307" s="135"/>
      <c r="C307" s="64" t="s">
        <v>195</v>
      </c>
      <c r="D307" s="64">
        <f>(32.27+5.97)*10.764</f>
        <v>411.61536000000001</v>
      </c>
      <c r="E307" s="64">
        <v>0</v>
      </c>
      <c r="F307" s="52">
        <v>635</v>
      </c>
      <c r="G307" s="100" t="str">
        <f>A306</f>
        <v>1st &amp; 3rd Floor</v>
      </c>
      <c r="H307" s="101"/>
      <c r="I307" s="46">
        <f t="shared" si="12"/>
        <v>1.5427023908923125</v>
      </c>
      <c r="J307" s="46"/>
      <c r="L307" s="45">
        <v>633.23</v>
      </c>
      <c r="M307" s="46">
        <f>L307/D307</f>
        <v>1.5384022598184868</v>
      </c>
    </row>
    <row r="308" spans="1:14" s="36" customFormat="1" x14ac:dyDescent="0.3">
      <c r="A308" s="134" t="str">
        <f ca="1">(SUMPRODUCT(MID(0&amp;(LEFT(A307,SUM(LEN(A307)-LEN(SUBSTITUTE(A307,{"0","1","2"},""))))), LARGE(INDEX(ISNUMBER(--MID((LEFT(A307,SUM(LEN(A307)-LEN(SUBSTITUTE(A307,{"0","1","2"},""))))), ROW(INDIRECT("1:"&amp;LEN((LEFT(A307,SUM(LEN(A307)-LEN(SUBSTITUTE(A307,{"0","1","2"},"")))))))), 1)) * ROW(INDIRECT("1:"&amp;LEN((LEFT(A307,SUM(LEN(A307)-LEN(SUBSTITUTE(A307,{"0","1","2"},"")))))))), 0), ROW(INDIRECT("1:"&amp;LEN((LEFT(A307,SUM(LEN(A307)-LEN(SUBSTITUTE(A307,{"0","1","2"},"")))))))))+1, 1) * 10^ROW(INDIRECT("1:"&amp;LEN((LEFT(A307,SUM(LEN(A307)-LEN(SUBSTITUTE(A307,{"0","1","2"},""))))))))/10))*1+1&amp;""&amp;" &amp; "&amp;""&amp;(SUMPRODUCT(MID(0&amp;(--TRIM(RIGHT(SUBSTITUTE(LEFT(A307,_xlfn.AGGREGATE(16,6,FIND({0,1,2,3,4,5,6,7,8,9},A307,ROW(INDIRECT("1:"&amp;LEN(A307)))),1))," ",REPT(" ",LEN(A307))),LEN(A307)))), LARGE(INDEX(ISNUMBER(--MID((--TRIM(RIGHT(SUBSTITUTE(LEFT(A307,_xlfn.AGGREGATE(16,6,FIND({0,1,2,3,4,5,6,7,8,9},A307,ROW(INDIRECT("1:"&amp;LEN(A307)))),1))," ",REPT(" ",LEN(A307))),LEN(A307)))), ROW(INDIRECT("1:"&amp;LEN((--TRIM(RIGHT(SUBSTITUTE(LEFT(A307,_xlfn.AGGREGATE(16,6,FIND({0,1,2,3,4,5,6,7,8,9},A307,ROW(INDIRECT("1:"&amp;LEN(A307)))),1))," ",REPT(" ",LEN(A307))),LEN(A307))))))), 1)) * ROW(INDIRECT("1:"&amp;LEN((--TRIM(RIGHT(SUBSTITUTE(LEFT(A307,_xlfn.AGGREGATE(16,6,FIND({0,1,2,3,4,5,6,7,8,9},A307,ROW(INDIRECT("1:"&amp;LEN(A307)))),1))," ",REPT(" ",LEN(A307))),LEN(A307))))))), 0), ROW(INDIRECT("1:"&amp;LEN((--TRIM(RIGHT(SUBSTITUTE(LEFT(A307,_xlfn.AGGREGATE(16,6,FIND({0,1,2,3,4,5,6,7,8,9},A307,ROW(INDIRECT("1:"&amp;LEN(A307)))),1))," ",REPT(" ",LEN(A307))),LEN(A307))))))))+1, 1) * 10^ROW(INDIRECT("1:"&amp;LEN((--TRIM(RIGHT(SUBSTITUTE(LEFT(A307,_xlfn.AGGREGATE(16,6,FIND({0,1,2,3,4,5,6,7,8,9},A307,ROW(INDIRECT("1:"&amp;LEN(A307)))),1))," ",REPT(" ",LEN(A307))),LEN(A307)))))))/10))*1+1</f>
        <v>102 &amp; 302</v>
      </c>
      <c r="B308" s="135"/>
      <c r="C308" s="64" t="s">
        <v>203</v>
      </c>
      <c r="D308" s="64">
        <f>(21.57)*10.764</f>
        <v>232.17947999999998</v>
      </c>
      <c r="E308" s="64">
        <f>(2.32)*10.764</f>
        <v>24.972479999999997</v>
      </c>
      <c r="F308" s="52">
        <v>385</v>
      </c>
      <c r="G308" s="102"/>
      <c r="H308" s="103"/>
      <c r="I308" s="46">
        <f t="shared" si="12"/>
        <v>1.6581999408388719</v>
      </c>
      <c r="L308" s="36">
        <v>357.18</v>
      </c>
      <c r="M308" s="46">
        <f t="shared" ref="M308:M312" si="21">L308/D308</f>
        <v>1.5383788438151382</v>
      </c>
    </row>
    <row r="309" spans="1:14" s="36" customFormat="1" x14ac:dyDescent="0.3">
      <c r="A309" s="134" t="str">
        <f ca="1">(SUMPRODUCT(MID(0&amp;(LEFT(A308,SUM(LEN(A308)-LEN(SUBSTITUTE(A308,{"0","1","2"},""))))), LARGE(INDEX(ISNUMBER(--MID((LEFT(A308,SUM(LEN(A308)-LEN(SUBSTITUTE(A308,{"0","1","2"},""))))), ROW(INDIRECT("1:"&amp;LEN((LEFT(A308,SUM(LEN(A308)-LEN(SUBSTITUTE(A308,{"0","1","2"},"")))))))), 1)) * ROW(INDIRECT("1:"&amp;LEN((LEFT(A308,SUM(LEN(A308)-LEN(SUBSTITUTE(A308,{"0","1","2"},"")))))))), 0), ROW(INDIRECT("1:"&amp;LEN((LEFT(A308,SUM(LEN(A308)-LEN(SUBSTITUTE(A308,{"0","1","2"},"")))))))))+1, 1) * 10^ROW(INDIRECT("1:"&amp;LEN((LEFT(A308,SUM(LEN(A308)-LEN(SUBSTITUTE(A308,{"0","1","2"},""))))))))/10))*1+1&amp;""&amp;" &amp; "&amp;""&amp;(SUMPRODUCT(MID(0&amp;(--TRIM(RIGHT(SUBSTITUTE(LEFT(A308,_xlfn.AGGREGATE(16,6,FIND({0,1,2,3,4,5,6,7,8,9},A308,ROW(INDIRECT("1:"&amp;LEN(A308)))),1))," ",REPT(" ",LEN(A308))),LEN(A308)))), LARGE(INDEX(ISNUMBER(--MID((--TRIM(RIGHT(SUBSTITUTE(LEFT(A308,_xlfn.AGGREGATE(16,6,FIND({0,1,2,3,4,5,6,7,8,9},A308,ROW(INDIRECT("1:"&amp;LEN(A308)))),1))," ",REPT(" ",LEN(A308))),LEN(A308)))), ROW(INDIRECT("1:"&amp;LEN((--TRIM(RIGHT(SUBSTITUTE(LEFT(A308,_xlfn.AGGREGATE(16,6,FIND({0,1,2,3,4,5,6,7,8,9},A308,ROW(INDIRECT("1:"&amp;LEN(A308)))),1))," ",REPT(" ",LEN(A308))),LEN(A308))))))), 1)) * ROW(INDIRECT("1:"&amp;LEN((--TRIM(RIGHT(SUBSTITUTE(LEFT(A308,_xlfn.AGGREGATE(16,6,FIND({0,1,2,3,4,5,6,7,8,9},A308,ROW(INDIRECT("1:"&amp;LEN(A308)))),1))," ",REPT(" ",LEN(A308))),LEN(A308))))))), 0), ROW(INDIRECT("1:"&amp;LEN((--TRIM(RIGHT(SUBSTITUTE(LEFT(A308,_xlfn.AGGREGATE(16,6,FIND({0,1,2,3,4,5,6,7,8,9},A308,ROW(INDIRECT("1:"&amp;LEN(A308)))),1))," ",REPT(" ",LEN(A308))),LEN(A308))))))))+1, 1) * 10^ROW(INDIRECT("1:"&amp;LEN((--TRIM(RIGHT(SUBSTITUTE(LEFT(A308,_xlfn.AGGREGATE(16,6,FIND({0,1,2,3,4,5,6,7,8,9},A308,ROW(INDIRECT("1:"&amp;LEN(A308)))),1))," ",REPT(" ",LEN(A308))),LEN(A308)))))))/10))*1+1</f>
        <v>103 &amp; 303</v>
      </c>
      <c r="B309" s="135"/>
      <c r="C309" s="64" t="s">
        <v>195</v>
      </c>
      <c r="D309" s="64">
        <f>(30.07+5.9)*10.764</f>
        <v>387.18107999999995</v>
      </c>
      <c r="E309" s="64">
        <v>0</v>
      </c>
      <c r="F309" s="52">
        <v>595</v>
      </c>
      <c r="G309" s="102"/>
      <c r="H309" s="103"/>
      <c r="I309" s="46">
        <f t="shared" si="12"/>
        <v>1.5367486448459726</v>
      </c>
      <c r="L309" s="36">
        <v>595.64</v>
      </c>
      <c r="M309" s="46">
        <f t="shared" si="21"/>
        <v>1.5384016181782438</v>
      </c>
    </row>
    <row r="310" spans="1:14" s="36" customFormat="1" x14ac:dyDescent="0.3">
      <c r="A310" s="134" t="str">
        <f ca="1">(SUMPRODUCT(MID(0&amp;(LEFT(A309,SUM(LEN(A309)-LEN(SUBSTITUTE(A309,{"0","1","2"},""))))), LARGE(INDEX(ISNUMBER(--MID((LEFT(A309,SUM(LEN(A309)-LEN(SUBSTITUTE(A309,{"0","1","2"},""))))), ROW(INDIRECT("1:"&amp;LEN((LEFT(A309,SUM(LEN(A309)-LEN(SUBSTITUTE(A309,{"0","1","2"},"")))))))), 1)) * ROW(INDIRECT("1:"&amp;LEN((LEFT(A309,SUM(LEN(A309)-LEN(SUBSTITUTE(A309,{"0","1","2"},"")))))))), 0), ROW(INDIRECT("1:"&amp;LEN((LEFT(A309,SUM(LEN(A309)-LEN(SUBSTITUTE(A309,{"0","1","2"},"")))))))))+1, 1) * 10^ROW(INDIRECT("1:"&amp;LEN((LEFT(A309,SUM(LEN(A309)-LEN(SUBSTITUTE(A309,{"0","1","2"},""))))))))/10))*1+1&amp;""&amp;" &amp; "&amp;""&amp;(SUMPRODUCT(MID(0&amp;(--TRIM(RIGHT(SUBSTITUTE(LEFT(A309,_xlfn.AGGREGATE(16,6,FIND({0,1,2,3,4,5,6,7,8,9},A309,ROW(INDIRECT("1:"&amp;LEN(A309)))),1))," ",REPT(" ",LEN(A309))),LEN(A309)))), LARGE(INDEX(ISNUMBER(--MID((--TRIM(RIGHT(SUBSTITUTE(LEFT(A309,_xlfn.AGGREGATE(16,6,FIND({0,1,2,3,4,5,6,7,8,9},A309,ROW(INDIRECT("1:"&amp;LEN(A309)))),1))," ",REPT(" ",LEN(A309))),LEN(A309)))), ROW(INDIRECT("1:"&amp;LEN((--TRIM(RIGHT(SUBSTITUTE(LEFT(A309,_xlfn.AGGREGATE(16,6,FIND({0,1,2,3,4,5,6,7,8,9},A309,ROW(INDIRECT("1:"&amp;LEN(A309)))),1))," ",REPT(" ",LEN(A309))),LEN(A309))))))), 1)) * ROW(INDIRECT("1:"&amp;LEN((--TRIM(RIGHT(SUBSTITUTE(LEFT(A309,_xlfn.AGGREGATE(16,6,FIND({0,1,2,3,4,5,6,7,8,9},A309,ROW(INDIRECT("1:"&amp;LEN(A309)))),1))," ",REPT(" ",LEN(A309))),LEN(A309))))))), 0), ROW(INDIRECT("1:"&amp;LEN((--TRIM(RIGHT(SUBSTITUTE(LEFT(A309,_xlfn.AGGREGATE(16,6,FIND({0,1,2,3,4,5,6,7,8,9},A309,ROW(INDIRECT("1:"&amp;LEN(A309)))),1))," ",REPT(" ",LEN(A309))),LEN(A309))))))))+1, 1) * 10^ROW(INDIRECT("1:"&amp;LEN((--TRIM(RIGHT(SUBSTITUTE(LEFT(A309,_xlfn.AGGREGATE(16,6,FIND({0,1,2,3,4,5,6,7,8,9},A309,ROW(INDIRECT("1:"&amp;LEN(A309)))),1))," ",REPT(" ",LEN(A309))),LEN(A309)))))))/10))*1+1</f>
        <v>104 &amp; 304</v>
      </c>
      <c r="B310" s="135"/>
      <c r="C310" s="64" t="s">
        <v>195</v>
      </c>
      <c r="D310" s="64">
        <f>(29.62+5.2)*10.764</f>
        <v>374.80248</v>
      </c>
      <c r="E310" s="64">
        <f>(3.64)*10.764</f>
        <v>39.180959999999999</v>
      </c>
      <c r="F310" s="52">
        <v>615</v>
      </c>
      <c r="G310" s="102"/>
      <c r="H310" s="103"/>
      <c r="I310" s="46">
        <f t="shared" si="12"/>
        <v>1.6408642760314713</v>
      </c>
      <c r="L310" s="36">
        <v>576.6</v>
      </c>
      <c r="M310" s="46">
        <f t="shared" si="21"/>
        <v>1.5384103114792624</v>
      </c>
    </row>
    <row r="311" spans="1:14" s="36" customFormat="1" x14ac:dyDescent="0.3">
      <c r="A311" s="134" t="str">
        <f ca="1">(SUMPRODUCT(MID(0&amp;(LEFT(A310,SUM(LEN(A310)-LEN(SUBSTITUTE(A310,{"0","1","2"},""))))), LARGE(INDEX(ISNUMBER(--MID((LEFT(A310,SUM(LEN(A310)-LEN(SUBSTITUTE(A310,{"0","1","2"},""))))), ROW(INDIRECT("1:"&amp;LEN((LEFT(A310,SUM(LEN(A310)-LEN(SUBSTITUTE(A310,{"0","1","2"},"")))))))), 1)) * ROW(INDIRECT("1:"&amp;LEN((LEFT(A310,SUM(LEN(A310)-LEN(SUBSTITUTE(A310,{"0","1","2"},"")))))))), 0), ROW(INDIRECT("1:"&amp;LEN((LEFT(A310,SUM(LEN(A310)-LEN(SUBSTITUTE(A310,{"0","1","2"},"")))))))))+1, 1) * 10^ROW(INDIRECT("1:"&amp;LEN((LEFT(A310,SUM(LEN(A310)-LEN(SUBSTITUTE(A310,{"0","1","2"},""))))))))/10))*1+1&amp;""&amp;" &amp; "&amp;""&amp;(SUMPRODUCT(MID(0&amp;(--TRIM(RIGHT(SUBSTITUTE(LEFT(A310,_xlfn.AGGREGATE(16,6,FIND({0,1,2,3,4,5,6,7,8,9},A310,ROW(INDIRECT("1:"&amp;LEN(A310)))),1))," ",REPT(" ",LEN(A310))),LEN(A310)))), LARGE(INDEX(ISNUMBER(--MID((--TRIM(RIGHT(SUBSTITUTE(LEFT(A310,_xlfn.AGGREGATE(16,6,FIND({0,1,2,3,4,5,6,7,8,9},A310,ROW(INDIRECT("1:"&amp;LEN(A310)))),1))," ",REPT(" ",LEN(A310))),LEN(A310)))), ROW(INDIRECT("1:"&amp;LEN((--TRIM(RIGHT(SUBSTITUTE(LEFT(A310,_xlfn.AGGREGATE(16,6,FIND({0,1,2,3,4,5,6,7,8,9},A310,ROW(INDIRECT("1:"&amp;LEN(A310)))),1))," ",REPT(" ",LEN(A310))),LEN(A310))))))), 1)) * ROW(INDIRECT("1:"&amp;LEN((--TRIM(RIGHT(SUBSTITUTE(LEFT(A310,_xlfn.AGGREGATE(16,6,FIND({0,1,2,3,4,5,6,7,8,9},A310,ROW(INDIRECT("1:"&amp;LEN(A310)))),1))," ",REPT(" ",LEN(A310))),LEN(A310))))))), 0), ROW(INDIRECT("1:"&amp;LEN((--TRIM(RIGHT(SUBSTITUTE(LEFT(A310,_xlfn.AGGREGATE(16,6,FIND({0,1,2,3,4,5,6,7,8,9},A310,ROW(INDIRECT("1:"&amp;LEN(A310)))),1))," ",REPT(" ",LEN(A310))),LEN(A310))))))))+1, 1) * 10^ROW(INDIRECT("1:"&amp;LEN((--TRIM(RIGHT(SUBSTITUTE(LEFT(A310,_xlfn.AGGREGATE(16,6,FIND({0,1,2,3,4,5,6,7,8,9},A310,ROW(INDIRECT("1:"&amp;LEN(A310)))),1))," ",REPT(" ",LEN(A310))),LEN(A310)))))))/10))*1+1</f>
        <v>105 &amp; 305</v>
      </c>
      <c r="B311" s="135"/>
      <c r="C311" s="64" t="s">
        <v>203</v>
      </c>
      <c r="D311" s="64">
        <f>(22.51+2.5)*10.764</f>
        <v>269.20764000000003</v>
      </c>
      <c r="E311" s="64">
        <f>(5.8)*10.764</f>
        <v>62.431199999999997</v>
      </c>
      <c r="F311" s="52">
        <v>475</v>
      </c>
      <c r="G311" s="102"/>
      <c r="H311" s="103"/>
      <c r="I311" s="46">
        <f t="shared" si="12"/>
        <v>1.7644372945730662</v>
      </c>
      <c r="L311" s="36">
        <v>414.15</v>
      </c>
      <c r="M311" s="46">
        <f t="shared" si="21"/>
        <v>1.5384035906261797</v>
      </c>
    </row>
    <row r="312" spans="1:14" s="36" customFormat="1" x14ac:dyDescent="0.3">
      <c r="A312" s="134" t="str">
        <f ca="1">(SUMPRODUCT(MID(0&amp;(LEFT(A311,SUM(LEN(A311)-LEN(SUBSTITUTE(A311,{"0","1","2"},""))))), LARGE(INDEX(ISNUMBER(--MID((LEFT(A311,SUM(LEN(A311)-LEN(SUBSTITUTE(A311,{"0","1","2"},""))))), ROW(INDIRECT("1:"&amp;LEN((LEFT(A311,SUM(LEN(A311)-LEN(SUBSTITUTE(A311,{"0","1","2"},"")))))))), 1)) * ROW(INDIRECT("1:"&amp;LEN((LEFT(A311,SUM(LEN(A311)-LEN(SUBSTITUTE(A311,{"0","1","2"},"")))))))), 0), ROW(INDIRECT("1:"&amp;LEN((LEFT(A311,SUM(LEN(A311)-LEN(SUBSTITUTE(A311,{"0","1","2"},"")))))))))+1, 1) * 10^ROW(INDIRECT("1:"&amp;LEN((LEFT(A311,SUM(LEN(A311)-LEN(SUBSTITUTE(A311,{"0","1","2"},""))))))))/10))*1+1&amp;""&amp;" &amp; "&amp;""&amp;(SUMPRODUCT(MID(0&amp;(--TRIM(RIGHT(SUBSTITUTE(LEFT(A311,_xlfn.AGGREGATE(16,6,FIND({0,1,2,3,4,5,6,7,8,9},A311,ROW(INDIRECT("1:"&amp;LEN(A311)))),1))," ",REPT(" ",LEN(A311))),LEN(A311)))), LARGE(INDEX(ISNUMBER(--MID((--TRIM(RIGHT(SUBSTITUTE(LEFT(A311,_xlfn.AGGREGATE(16,6,FIND({0,1,2,3,4,5,6,7,8,9},A311,ROW(INDIRECT("1:"&amp;LEN(A311)))),1))," ",REPT(" ",LEN(A311))),LEN(A311)))), ROW(INDIRECT("1:"&amp;LEN((--TRIM(RIGHT(SUBSTITUTE(LEFT(A311,_xlfn.AGGREGATE(16,6,FIND({0,1,2,3,4,5,6,7,8,9},A311,ROW(INDIRECT("1:"&amp;LEN(A311)))),1))," ",REPT(" ",LEN(A311))),LEN(A311))))))), 1)) * ROW(INDIRECT("1:"&amp;LEN((--TRIM(RIGHT(SUBSTITUTE(LEFT(A311,_xlfn.AGGREGATE(16,6,FIND({0,1,2,3,4,5,6,7,8,9},A311,ROW(INDIRECT("1:"&amp;LEN(A311)))),1))," ",REPT(" ",LEN(A311))),LEN(A311))))))), 0), ROW(INDIRECT("1:"&amp;LEN((--TRIM(RIGHT(SUBSTITUTE(LEFT(A311,_xlfn.AGGREGATE(16,6,FIND({0,1,2,3,4,5,6,7,8,9},A311,ROW(INDIRECT("1:"&amp;LEN(A311)))),1))," ",REPT(" ",LEN(A311))),LEN(A311))))))))+1, 1) * 10^ROW(INDIRECT("1:"&amp;LEN((--TRIM(RIGHT(SUBSTITUTE(LEFT(A311,_xlfn.AGGREGATE(16,6,FIND({0,1,2,3,4,5,6,7,8,9},A311,ROW(INDIRECT("1:"&amp;LEN(A311)))),1))," ",REPT(" ",LEN(A311))),LEN(A311)))))))/10))*1+1</f>
        <v>106 &amp; 306</v>
      </c>
      <c r="B312" s="135"/>
      <c r="C312" s="64" t="s">
        <v>195</v>
      </c>
      <c r="D312" s="64">
        <f>(29.3+3.4)*10.764</f>
        <v>351.9828</v>
      </c>
      <c r="E312" s="64">
        <f>(5.4)*10.764</f>
        <v>58.125599999999999</v>
      </c>
      <c r="F312" s="52">
        <v>600</v>
      </c>
      <c r="G312" s="104"/>
      <c r="H312" s="105"/>
      <c r="I312" s="46">
        <f t="shared" si="12"/>
        <v>1.704628748904776</v>
      </c>
      <c r="L312" s="36">
        <v>541.49</v>
      </c>
      <c r="M312" s="46">
        <f t="shared" si="21"/>
        <v>1.538399035407412</v>
      </c>
    </row>
    <row r="313" spans="1:14" s="36" customFormat="1" x14ac:dyDescent="0.3">
      <c r="A313" s="147" t="s">
        <v>205</v>
      </c>
      <c r="B313" s="148"/>
      <c r="C313" s="148"/>
      <c r="D313" s="148"/>
      <c r="E313" s="148"/>
      <c r="F313" s="148"/>
      <c r="G313" s="148"/>
      <c r="H313" s="149"/>
      <c r="I313" s="46" t="e">
        <f t="shared" si="12"/>
        <v>#DIV/0!</v>
      </c>
    </row>
    <row r="314" spans="1:14" s="36" customFormat="1" ht="15.75" customHeight="1" x14ac:dyDescent="0.3">
      <c r="A314" s="134" t="str">
        <f ca="1">(SUMPRODUCT(MID(0&amp;(LEFT(A313,SUM(LEN(A313)-LEN(SUBSTITUTE(A313,{"0","1","2"},""))))), LARGE(INDEX(ISNUMBER(--MID((LEFT(A313,SUM(LEN(A313)-LEN(SUBSTITUTE(A313,{"0","1","2"},""))))), ROW(INDIRECT("1:"&amp;LEN((LEFT(A313,SUM(LEN(A313)-LEN(SUBSTITUTE(A313,{"0","1","2"},"")))))))), 1)) * ROW(INDIRECT("1:"&amp;LEN((LEFT(A313,SUM(LEN(A313)-LEN(SUBSTITUTE(A313,{"0","1","2"},"")))))))), 0), ROW(INDIRECT("1:"&amp;LEN((LEFT(A313,SUM(LEN(A313)-LEN(SUBSTITUTE(A313,{"0","1","2"},"")))))))))+1, 1) * 10^ROW(INDIRECT("1:"&amp;LEN((LEFT(A313,SUM(LEN(A313)-LEN(SUBSTITUTE(A313,{"0","1","2"},""))))))))/10))*100+1&amp;""&amp;" &amp; "&amp;""&amp;(SUMPRODUCT(MID(0&amp;(--TRIM(RIGHT(SUBSTITUTE(LEFT(A313,_xlfn.AGGREGATE(16,6,FIND({0,1,2,3,4,5,6,7,8,9},A313,ROW(INDIRECT("1:"&amp;LEN(A313)))),1))," ",REPT(" ",LEN(A313))),LEN(A313)))), LARGE(INDEX(ISNUMBER(--MID((--TRIM(RIGHT(SUBSTITUTE(LEFT(A313,_xlfn.AGGREGATE(16,6,FIND({0,1,2,3,4,5,6,7,8,9},A313,ROW(INDIRECT("1:"&amp;LEN(A313)))),1))," ",REPT(" ",LEN(A313))),LEN(A313)))), ROW(INDIRECT("1:"&amp;LEN((--TRIM(RIGHT(SUBSTITUTE(LEFT(A313,_xlfn.AGGREGATE(16,6,FIND({0,1,2,3,4,5,6,7,8,9},A313,ROW(INDIRECT("1:"&amp;LEN(A313)))),1))," ",REPT(" ",LEN(A313))),LEN(A313))))))), 1)) * ROW(INDIRECT("1:"&amp;LEN((--TRIM(RIGHT(SUBSTITUTE(LEFT(A313,_xlfn.AGGREGATE(16,6,FIND({0,1,2,3,4,5,6,7,8,9},A313,ROW(INDIRECT("1:"&amp;LEN(A313)))),1))," ",REPT(" ",LEN(A313))),LEN(A313))))))), 0), ROW(INDIRECT("1:"&amp;LEN((--TRIM(RIGHT(SUBSTITUTE(LEFT(A313,_xlfn.AGGREGATE(16,6,FIND({0,1,2,3,4,5,6,7,8,9},A313,ROW(INDIRECT("1:"&amp;LEN(A313)))),1))," ",REPT(" ",LEN(A313))),LEN(A313))))))))+1, 1) * 10^ROW(INDIRECT("1:"&amp;LEN((--TRIM(RIGHT(SUBSTITUTE(LEFT(A313,_xlfn.AGGREGATE(16,6,FIND({0,1,2,3,4,5,6,7,8,9},A313,ROW(INDIRECT("1:"&amp;LEN(A313)))),1))," ",REPT(" ",LEN(A313))),LEN(A313)))))))/10))*100+1</f>
        <v>201 &amp; 401</v>
      </c>
      <c r="B314" s="135"/>
      <c r="C314" s="64" t="s">
        <v>195</v>
      </c>
      <c r="D314" s="64">
        <f>(32.27+5.97)*10.764</f>
        <v>411.61536000000001</v>
      </c>
      <c r="E314" s="64">
        <f>(2.3)*10.764</f>
        <v>24.757199999999997</v>
      </c>
      <c r="F314" s="52">
        <v>660</v>
      </c>
      <c r="G314" s="100" t="str">
        <f>A313</f>
        <v>2nd &amp; 4th Floor</v>
      </c>
      <c r="H314" s="101"/>
      <c r="I314" s="46">
        <f t="shared" si="12"/>
        <v>1.6034387054943722</v>
      </c>
    </row>
    <row r="315" spans="1:14" s="36" customFormat="1" x14ac:dyDescent="0.3">
      <c r="A315" s="134" t="str">
        <f ca="1">(SUMPRODUCT(MID(0&amp;(LEFT(A314,SUM(LEN(A314)-LEN(SUBSTITUTE(A314,{"0","1","2"},""))))), LARGE(INDEX(ISNUMBER(--MID((LEFT(A314,SUM(LEN(A314)-LEN(SUBSTITUTE(A314,{"0","1","2"},""))))), ROW(INDIRECT("1:"&amp;LEN((LEFT(A314,SUM(LEN(A314)-LEN(SUBSTITUTE(A314,{"0","1","2"},"")))))))), 1)) * ROW(INDIRECT("1:"&amp;LEN((LEFT(A314,SUM(LEN(A314)-LEN(SUBSTITUTE(A314,{"0","1","2"},"")))))))), 0), ROW(INDIRECT("1:"&amp;LEN((LEFT(A314,SUM(LEN(A314)-LEN(SUBSTITUTE(A314,{"0","1","2"},"")))))))))+1, 1) * 10^ROW(INDIRECT("1:"&amp;LEN((LEFT(A314,SUM(LEN(A314)-LEN(SUBSTITUTE(A314,{"0","1","2"},""))))))))/10))*1+1&amp;""&amp;" &amp; "&amp;""&amp;(SUMPRODUCT(MID(0&amp;(--TRIM(RIGHT(SUBSTITUTE(LEFT(A314,_xlfn.AGGREGATE(16,6,FIND({0,1,2,3,4,5,6,7,8,9},A314,ROW(INDIRECT("1:"&amp;LEN(A314)))),1))," ",REPT(" ",LEN(A314))),LEN(A314)))), LARGE(INDEX(ISNUMBER(--MID((--TRIM(RIGHT(SUBSTITUTE(LEFT(A314,_xlfn.AGGREGATE(16,6,FIND({0,1,2,3,4,5,6,7,8,9},A314,ROW(INDIRECT("1:"&amp;LEN(A314)))),1))," ",REPT(" ",LEN(A314))),LEN(A314)))), ROW(INDIRECT("1:"&amp;LEN((--TRIM(RIGHT(SUBSTITUTE(LEFT(A314,_xlfn.AGGREGATE(16,6,FIND({0,1,2,3,4,5,6,7,8,9},A314,ROW(INDIRECT("1:"&amp;LEN(A314)))),1))," ",REPT(" ",LEN(A314))),LEN(A314))))))), 1)) * ROW(INDIRECT("1:"&amp;LEN((--TRIM(RIGHT(SUBSTITUTE(LEFT(A314,_xlfn.AGGREGATE(16,6,FIND({0,1,2,3,4,5,6,7,8,9},A314,ROW(INDIRECT("1:"&amp;LEN(A314)))),1))," ",REPT(" ",LEN(A314))),LEN(A314))))))), 0), ROW(INDIRECT("1:"&amp;LEN((--TRIM(RIGHT(SUBSTITUTE(LEFT(A314,_xlfn.AGGREGATE(16,6,FIND({0,1,2,3,4,5,6,7,8,9},A314,ROW(INDIRECT("1:"&amp;LEN(A314)))),1))," ",REPT(" ",LEN(A314))),LEN(A314))))))))+1, 1) * 10^ROW(INDIRECT("1:"&amp;LEN((--TRIM(RIGHT(SUBSTITUTE(LEFT(A314,_xlfn.AGGREGATE(16,6,FIND({0,1,2,3,4,5,6,7,8,9},A314,ROW(INDIRECT("1:"&amp;LEN(A314)))),1))," ",REPT(" ",LEN(A314))),LEN(A314)))))))/10))*1+1</f>
        <v>202 &amp; 402</v>
      </c>
      <c r="B315" s="135"/>
      <c r="C315" s="64" t="s">
        <v>203</v>
      </c>
      <c r="D315" s="64">
        <f>(21.57)*10.764</f>
        <v>232.17947999999998</v>
      </c>
      <c r="E315" s="64">
        <v>0</v>
      </c>
      <c r="F315" s="52">
        <v>360</v>
      </c>
      <c r="G315" s="102"/>
      <c r="H315" s="103"/>
      <c r="I315" s="46">
        <f t="shared" si="12"/>
        <v>1.5505246200051788</v>
      </c>
    </row>
    <row r="316" spans="1:14" s="36" customFormat="1" x14ac:dyDescent="0.3">
      <c r="A316" s="134" t="str">
        <f ca="1">(SUMPRODUCT(MID(0&amp;(LEFT(A315,SUM(LEN(A315)-LEN(SUBSTITUTE(A315,{"0","1","2"},""))))), LARGE(INDEX(ISNUMBER(--MID((LEFT(A315,SUM(LEN(A315)-LEN(SUBSTITUTE(A315,{"0","1","2"},""))))), ROW(INDIRECT("1:"&amp;LEN((LEFT(A315,SUM(LEN(A315)-LEN(SUBSTITUTE(A315,{"0","1","2"},"")))))))), 1)) * ROW(INDIRECT("1:"&amp;LEN((LEFT(A315,SUM(LEN(A315)-LEN(SUBSTITUTE(A315,{"0","1","2"},"")))))))), 0), ROW(INDIRECT("1:"&amp;LEN((LEFT(A315,SUM(LEN(A315)-LEN(SUBSTITUTE(A315,{"0","1","2"},"")))))))))+1, 1) * 10^ROW(INDIRECT("1:"&amp;LEN((LEFT(A315,SUM(LEN(A315)-LEN(SUBSTITUTE(A315,{"0","1","2"},""))))))))/10))*1+1&amp;""&amp;" &amp; "&amp;""&amp;(SUMPRODUCT(MID(0&amp;(--TRIM(RIGHT(SUBSTITUTE(LEFT(A315,_xlfn.AGGREGATE(16,6,FIND({0,1,2,3,4,5,6,7,8,9},A315,ROW(INDIRECT("1:"&amp;LEN(A315)))),1))," ",REPT(" ",LEN(A315))),LEN(A315)))), LARGE(INDEX(ISNUMBER(--MID((--TRIM(RIGHT(SUBSTITUTE(LEFT(A315,_xlfn.AGGREGATE(16,6,FIND({0,1,2,3,4,5,6,7,8,9},A315,ROW(INDIRECT("1:"&amp;LEN(A315)))),1))," ",REPT(" ",LEN(A315))),LEN(A315)))), ROW(INDIRECT("1:"&amp;LEN((--TRIM(RIGHT(SUBSTITUTE(LEFT(A315,_xlfn.AGGREGATE(16,6,FIND({0,1,2,3,4,5,6,7,8,9},A315,ROW(INDIRECT("1:"&amp;LEN(A315)))),1))," ",REPT(" ",LEN(A315))),LEN(A315))))))), 1)) * ROW(INDIRECT("1:"&amp;LEN((--TRIM(RIGHT(SUBSTITUTE(LEFT(A315,_xlfn.AGGREGATE(16,6,FIND({0,1,2,3,4,5,6,7,8,9},A315,ROW(INDIRECT("1:"&amp;LEN(A315)))),1))," ",REPT(" ",LEN(A315))),LEN(A315))))))), 0), ROW(INDIRECT("1:"&amp;LEN((--TRIM(RIGHT(SUBSTITUTE(LEFT(A315,_xlfn.AGGREGATE(16,6,FIND({0,1,2,3,4,5,6,7,8,9},A315,ROW(INDIRECT("1:"&amp;LEN(A315)))),1))," ",REPT(" ",LEN(A315))),LEN(A315))))))))+1, 1) * 10^ROW(INDIRECT("1:"&amp;LEN((--TRIM(RIGHT(SUBSTITUTE(LEFT(A315,_xlfn.AGGREGATE(16,6,FIND({0,1,2,3,4,5,6,7,8,9},A315,ROW(INDIRECT("1:"&amp;LEN(A315)))),1))," ",REPT(" ",LEN(A315))),LEN(A315)))))))/10))*1+1</f>
        <v>203 &amp; 403</v>
      </c>
      <c r="B316" s="135"/>
      <c r="C316" s="64" t="s">
        <v>195</v>
      </c>
      <c r="D316" s="64">
        <f>(30.07+5.9)*10.764</f>
        <v>387.18107999999995</v>
      </c>
      <c r="E316" s="64">
        <f>(2.3)*10.764</f>
        <v>24.757199999999997</v>
      </c>
      <c r="F316" s="52">
        <v>620</v>
      </c>
      <c r="G316" s="102"/>
      <c r="H316" s="103"/>
      <c r="I316" s="46">
        <f t="shared" si="12"/>
        <v>1.6013179156378201</v>
      </c>
    </row>
    <row r="317" spans="1:14" s="36" customFormat="1" x14ac:dyDescent="0.3">
      <c r="A317" s="134" t="str">
        <f ca="1">(SUMPRODUCT(MID(0&amp;(LEFT(A316,SUM(LEN(A316)-LEN(SUBSTITUTE(A316,{"0","1","2"},""))))), LARGE(INDEX(ISNUMBER(--MID((LEFT(A316,SUM(LEN(A316)-LEN(SUBSTITUTE(A316,{"0","1","2"},""))))), ROW(INDIRECT("1:"&amp;LEN((LEFT(A316,SUM(LEN(A316)-LEN(SUBSTITUTE(A316,{"0","1","2"},"")))))))), 1)) * ROW(INDIRECT("1:"&amp;LEN((LEFT(A316,SUM(LEN(A316)-LEN(SUBSTITUTE(A316,{"0","1","2"},"")))))))), 0), ROW(INDIRECT("1:"&amp;LEN((LEFT(A316,SUM(LEN(A316)-LEN(SUBSTITUTE(A316,{"0","1","2"},"")))))))))+1, 1) * 10^ROW(INDIRECT("1:"&amp;LEN((LEFT(A316,SUM(LEN(A316)-LEN(SUBSTITUTE(A316,{"0","1","2"},""))))))))/10))*1+1&amp;""&amp;" &amp; "&amp;""&amp;(SUMPRODUCT(MID(0&amp;(--TRIM(RIGHT(SUBSTITUTE(LEFT(A316,_xlfn.AGGREGATE(16,6,FIND({0,1,2,3,4,5,6,7,8,9},A316,ROW(INDIRECT("1:"&amp;LEN(A316)))),1))," ",REPT(" ",LEN(A316))),LEN(A316)))), LARGE(INDEX(ISNUMBER(--MID((--TRIM(RIGHT(SUBSTITUTE(LEFT(A316,_xlfn.AGGREGATE(16,6,FIND({0,1,2,3,4,5,6,7,8,9},A316,ROW(INDIRECT("1:"&amp;LEN(A316)))),1))," ",REPT(" ",LEN(A316))),LEN(A316)))), ROW(INDIRECT("1:"&amp;LEN((--TRIM(RIGHT(SUBSTITUTE(LEFT(A316,_xlfn.AGGREGATE(16,6,FIND({0,1,2,3,4,5,6,7,8,9},A316,ROW(INDIRECT("1:"&amp;LEN(A316)))),1))," ",REPT(" ",LEN(A316))),LEN(A316))))))), 1)) * ROW(INDIRECT("1:"&amp;LEN((--TRIM(RIGHT(SUBSTITUTE(LEFT(A316,_xlfn.AGGREGATE(16,6,FIND({0,1,2,3,4,5,6,7,8,9},A316,ROW(INDIRECT("1:"&amp;LEN(A316)))),1))," ",REPT(" ",LEN(A316))),LEN(A316))))))), 0), ROW(INDIRECT("1:"&amp;LEN((--TRIM(RIGHT(SUBSTITUTE(LEFT(A316,_xlfn.AGGREGATE(16,6,FIND({0,1,2,3,4,5,6,7,8,9},A316,ROW(INDIRECT("1:"&amp;LEN(A316)))),1))," ",REPT(" ",LEN(A316))),LEN(A316))))))))+1, 1) * 10^ROW(INDIRECT("1:"&amp;LEN((--TRIM(RIGHT(SUBSTITUTE(LEFT(A316,_xlfn.AGGREGATE(16,6,FIND({0,1,2,3,4,5,6,7,8,9},A316,ROW(INDIRECT("1:"&amp;LEN(A316)))),1))," ",REPT(" ",LEN(A316))),LEN(A316)))))))/10))*1+1</f>
        <v>204 &amp; 404</v>
      </c>
      <c r="B317" s="135"/>
      <c r="C317" s="64" t="s">
        <v>195</v>
      </c>
      <c r="D317" s="64">
        <f>(29.62+5.2)*10.764</f>
        <v>374.80248</v>
      </c>
      <c r="E317" s="64">
        <v>0</v>
      </c>
      <c r="F317" s="52">
        <v>575</v>
      </c>
      <c r="G317" s="102"/>
      <c r="H317" s="103"/>
      <c r="I317" s="46">
        <f t="shared" si="12"/>
        <v>1.5341413962895869</v>
      </c>
    </row>
    <row r="318" spans="1:14" s="36" customFormat="1" x14ac:dyDescent="0.3">
      <c r="A318" s="134" t="str">
        <f ca="1">(SUMPRODUCT(MID(0&amp;(LEFT(A317,SUM(LEN(A317)-LEN(SUBSTITUTE(A317,{"0","1","2"},""))))), LARGE(INDEX(ISNUMBER(--MID((LEFT(A317,SUM(LEN(A317)-LEN(SUBSTITUTE(A317,{"0","1","2"},""))))), ROW(INDIRECT("1:"&amp;LEN((LEFT(A317,SUM(LEN(A317)-LEN(SUBSTITUTE(A317,{"0","1","2"},"")))))))), 1)) * ROW(INDIRECT("1:"&amp;LEN((LEFT(A317,SUM(LEN(A317)-LEN(SUBSTITUTE(A317,{"0","1","2"},"")))))))), 0), ROW(INDIRECT("1:"&amp;LEN((LEFT(A317,SUM(LEN(A317)-LEN(SUBSTITUTE(A317,{"0","1","2"},"")))))))))+1, 1) * 10^ROW(INDIRECT("1:"&amp;LEN((LEFT(A317,SUM(LEN(A317)-LEN(SUBSTITUTE(A317,{"0","1","2"},""))))))))/10))*1+1&amp;""&amp;" &amp; "&amp;""&amp;(SUMPRODUCT(MID(0&amp;(--TRIM(RIGHT(SUBSTITUTE(LEFT(A317,_xlfn.AGGREGATE(16,6,FIND({0,1,2,3,4,5,6,7,8,9},A317,ROW(INDIRECT("1:"&amp;LEN(A317)))),1))," ",REPT(" ",LEN(A317))),LEN(A317)))), LARGE(INDEX(ISNUMBER(--MID((--TRIM(RIGHT(SUBSTITUTE(LEFT(A317,_xlfn.AGGREGATE(16,6,FIND({0,1,2,3,4,5,6,7,8,9},A317,ROW(INDIRECT("1:"&amp;LEN(A317)))),1))," ",REPT(" ",LEN(A317))),LEN(A317)))), ROW(INDIRECT("1:"&amp;LEN((--TRIM(RIGHT(SUBSTITUTE(LEFT(A317,_xlfn.AGGREGATE(16,6,FIND({0,1,2,3,4,5,6,7,8,9},A317,ROW(INDIRECT("1:"&amp;LEN(A317)))),1))," ",REPT(" ",LEN(A317))),LEN(A317))))))), 1)) * ROW(INDIRECT("1:"&amp;LEN((--TRIM(RIGHT(SUBSTITUTE(LEFT(A317,_xlfn.AGGREGATE(16,6,FIND({0,1,2,3,4,5,6,7,8,9},A317,ROW(INDIRECT("1:"&amp;LEN(A317)))),1))," ",REPT(" ",LEN(A317))),LEN(A317))))))), 0), ROW(INDIRECT("1:"&amp;LEN((--TRIM(RIGHT(SUBSTITUTE(LEFT(A317,_xlfn.AGGREGATE(16,6,FIND({0,1,2,3,4,5,6,7,8,9},A317,ROW(INDIRECT("1:"&amp;LEN(A317)))),1))," ",REPT(" ",LEN(A317))),LEN(A317))))))))+1, 1) * 10^ROW(INDIRECT("1:"&amp;LEN((--TRIM(RIGHT(SUBSTITUTE(LEFT(A317,_xlfn.AGGREGATE(16,6,FIND({0,1,2,3,4,5,6,7,8,9},A317,ROW(INDIRECT("1:"&amp;LEN(A317)))),1))," ",REPT(" ",LEN(A317))),LEN(A317)))))))/10))*1+1</f>
        <v>205 &amp; 405</v>
      </c>
      <c r="B318" s="135"/>
      <c r="C318" s="64" t="s">
        <v>203</v>
      </c>
      <c r="D318" s="64">
        <f>(22.51+2.5)*10.764</f>
        <v>269.20764000000003</v>
      </c>
      <c r="E318" s="64">
        <v>0</v>
      </c>
      <c r="F318" s="52">
        <v>415</v>
      </c>
      <c r="G318" s="102"/>
      <c r="H318" s="103"/>
      <c r="I318" s="46">
        <f t="shared" si="12"/>
        <v>1.5415610047322579</v>
      </c>
    </row>
    <row r="319" spans="1:14" s="36" customFormat="1" x14ac:dyDescent="0.3">
      <c r="A319" s="134" t="str">
        <f ca="1">(SUMPRODUCT(MID(0&amp;(LEFT(A318,SUM(LEN(A318)-LEN(SUBSTITUTE(A318,{"0","1","2"},""))))), LARGE(INDEX(ISNUMBER(--MID((LEFT(A318,SUM(LEN(A318)-LEN(SUBSTITUTE(A318,{"0","1","2"},""))))), ROW(INDIRECT("1:"&amp;LEN((LEFT(A318,SUM(LEN(A318)-LEN(SUBSTITUTE(A318,{"0","1","2"},"")))))))), 1)) * ROW(INDIRECT("1:"&amp;LEN((LEFT(A318,SUM(LEN(A318)-LEN(SUBSTITUTE(A318,{"0","1","2"},"")))))))), 0), ROW(INDIRECT("1:"&amp;LEN((LEFT(A318,SUM(LEN(A318)-LEN(SUBSTITUTE(A318,{"0","1","2"},"")))))))))+1, 1) * 10^ROW(INDIRECT("1:"&amp;LEN((LEFT(A318,SUM(LEN(A318)-LEN(SUBSTITUTE(A318,{"0","1","2"},""))))))))/10))*1+1&amp;""&amp;" &amp; "&amp;""&amp;(SUMPRODUCT(MID(0&amp;(--TRIM(RIGHT(SUBSTITUTE(LEFT(A318,_xlfn.AGGREGATE(16,6,FIND({0,1,2,3,4,5,6,7,8,9},A318,ROW(INDIRECT("1:"&amp;LEN(A318)))),1))," ",REPT(" ",LEN(A318))),LEN(A318)))), LARGE(INDEX(ISNUMBER(--MID((--TRIM(RIGHT(SUBSTITUTE(LEFT(A318,_xlfn.AGGREGATE(16,6,FIND({0,1,2,3,4,5,6,7,8,9},A318,ROW(INDIRECT("1:"&amp;LEN(A318)))),1))," ",REPT(" ",LEN(A318))),LEN(A318)))), ROW(INDIRECT("1:"&amp;LEN((--TRIM(RIGHT(SUBSTITUTE(LEFT(A318,_xlfn.AGGREGATE(16,6,FIND({0,1,2,3,4,5,6,7,8,9},A318,ROW(INDIRECT("1:"&amp;LEN(A318)))),1))," ",REPT(" ",LEN(A318))),LEN(A318))))))), 1)) * ROW(INDIRECT("1:"&amp;LEN((--TRIM(RIGHT(SUBSTITUTE(LEFT(A318,_xlfn.AGGREGATE(16,6,FIND({0,1,2,3,4,5,6,7,8,9},A318,ROW(INDIRECT("1:"&amp;LEN(A318)))),1))," ",REPT(" ",LEN(A318))),LEN(A318))))))), 0), ROW(INDIRECT("1:"&amp;LEN((--TRIM(RIGHT(SUBSTITUTE(LEFT(A318,_xlfn.AGGREGATE(16,6,FIND({0,1,2,3,4,5,6,7,8,9},A318,ROW(INDIRECT("1:"&amp;LEN(A318)))),1))," ",REPT(" ",LEN(A318))),LEN(A318))))))))+1, 1) * 10^ROW(INDIRECT("1:"&amp;LEN((--TRIM(RIGHT(SUBSTITUTE(LEFT(A318,_xlfn.AGGREGATE(16,6,FIND({0,1,2,3,4,5,6,7,8,9},A318,ROW(INDIRECT("1:"&amp;LEN(A318)))),1))," ",REPT(" ",LEN(A318))),LEN(A318)))))))/10))*1+1</f>
        <v>206 &amp; 406</v>
      </c>
      <c r="B319" s="135"/>
      <c r="C319" s="64" t="s">
        <v>195</v>
      </c>
      <c r="D319" s="64">
        <f>(29.3+3.4)*10.764</f>
        <v>351.9828</v>
      </c>
      <c r="E319" s="64">
        <v>0</v>
      </c>
      <c r="F319" s="52">
        <v>540</v>
      </c>
      <c r="G319" s="104"/>
      <c r="H319" s="105"/>
      <c r="I319" s="46">
        <f t="shared" si="12"/>
        <v>1.5341658740142985</v>
      </c>
    </row>
    <row r="320" spans="1:14" s="36" customFormat="1" x14ac:dyDescent="0.3">
      <c r="A320" s="147" t="s">
        <v>207</v>
      </c>
      <c r="B320" s="148"/>
      <c r="C320" s="148"/>
      <c r="D320" s="148"/>
      <c r="E320" s="148"/>
      <c r="F320" s="148"/>
      <c r="G320" s="148"/>
      <c r="H320" s="149"/>
      <c r="I320" s="46" t="e">
        <f t="shared" si="12"/>
        <v>#DIV/0!</v>
      </c>
      <c r="J320" s="35"/>
    </row>
    <row r="321" spans="1:13" s="36" customFormat="1" ht="15.75" customHeight="1" x14ac:dyDescent="0.3">
      <c r="A321" s="147" t="s">
        <v>198</v>
      </c>
      <c r="B321" s="148"/>
      <c r="C321" s="148"/>
      <c r="D321" s="148"/>
      <c r="E321" s="148"/>
      <c r="F321" s="148"/>
      <c r="G321" s="148"/>
      <c r="H321" s="149"/>
      <c r="I321" s="46" t="e">
        <f t="shared" si="12"/>
        <v>#DIV/0!</v>
      </c>
      <c r="J321" s="35"/>
    </row>
    <row r="322" spans="1:13" s="36" customFormat="1" x14ac:dyDescent="0.3">
      <c r="A322" s="147" t="s">
        <v>200</v>
      </c>
      <c r="B322" s="148"/>
      <c r="C322" s="148"/>
      <c r="D322" s="148"/>
      <c r="E322" s="148"/>
      <c r="F322" s="148"/>
      <c r="G322" s="148"/>
      <c r="H322" s="149"/>
      <c r="I322" s="46" t="e">
        <f t="shared" si="12"/>
        <v>#DIV/0!</v>
      </c>
    </row>
    <row r="323" spans="1:13" s="36" customFormat="1" ht="15.75" customHeight="1" x14ac:dyDescent="0.3">
      <c r="A323" s="134" t="str">
        <f ca="1">(SUMPRODUCT(MID(0&amp;(LEFT(A322,SUM(LEN(A322)-LEN(SUBSTITUTE(A322,{"0","1","2"},""))))), LARGE(INDEX(ISNUMBER(--MID((LEFT(A322,SUM(LEN(A322)-LEN(SUBSTITUTE(A322,{"0","1","2"},""))))), ROW(INDIRECT("1:"&amp;LEN((LEFT(A322,SUM(LEN(A322)-LEN(SUBSTITUTE(A322,{"0","1","2"},"")))))))), 1)) * ROW(INDIRECT("1:"&amp;LEN((LEFT(A322,SUM(LEN(A322)-LEN(SUBSTITUTE(A322,{"0","1","2"},"")))))))), 0), ROW(INDIRECT("1:"&amp;LEN((LEFT(A322,SUM(LEN(A322)-LEN(SUBSTITUTE(A322,{"0","1","2"},"")))))))))+1, 1) * 10^ROW(INDIRECT("1:"&amp;LEN((LEFT(A322,SUM(LEN(A322)-LEN(SUBSTITUTE(A322,{"0","1","2"},""))))))))/10))*100+1&amp;""&amp;" &amp; "&amp;""&amp;(SUMPRODUCT(MID(0&amp;(--TRIM(RIGHT(SUBSTITUTE(LEFT(A322,_xlfn.AGGREGATE(16,6,FIND({0,1,2,3,4,5,6,7,8,9},A322,ROW(INDIRECT("1:"&amp;LEN(A322)))),1))," ",REPT(" ",LEN(A322))),LEN(A322)))), LARGE(INDEX(ISNUMBER(--MID((--TRIM(RIGHT(SUBSTITUTE(LEFT(A322,_xlfn.AGGREGATE(16,6,FIND({0,1,2,3,4,5,6,7,8,9},A322,ROW(INDIRECT("1:"&amp;LEN(A322)))),1))," ",REPT(" ",LEN(A322))),LEN(A322)))), ROW(INDIRECT("1:"&amp;LEN((--TRIM(RIGHT(SUBSTITUTE(LEFT(A322,_xlfn.AGGREGATE(16,6,FIND({0,1,2,3,4,5,6,7,8,9},A322,ROW(INDIRECT("1:"&amp;LEN(A322)))),1))," ",REPT(" ",LEN(A322))),LEN(A322))))))), 1)) * ROW(INDIRECT("1:"&amp;LEN((--TRIM(RIGHT(SUBSTITUTE(LEFT(A322,_xlfn.AGGREGATE(16,6,FIND({0,1,2,3,4,5,6,7,8,9},A322,ROW(INDIRECT("1:"&amp;LEN(A322)))),1))," ",REPT(" ",LEN(A322))),LEN(A322))))))), 0), ROW(INDIRECT("1:"&amp;LEN((--TRIM(RIGHT(SUBSTITUTE(LEFT(A322,_xlfn.AGGREGATE(16,6,FIND({0,1,2,3,4,5,6,7,8,9},A322,ROW(INDIRECT("1:"&amp;LEN(A322)))),1))," ",REPT(" ",LEN(A322))),LEN(A322))))))))+1, 1) * 10^ROW(INDIRECT("1:"&amp;LEN((--TRIM(RIGHT(SUBSTITUTE(LEFT(A322,_xlfn.AGGREGATE(16,6,FIND({0,1,2,3,4,5,6,7,8,9},A322,ROW(INDIRECT("1:"&amp;LEN(A322)))),1))," ",REPT(" ",LEN(A322))),LEN(A322)))))))/10))*100+1</f>
        <v>101 &amp; 301</v>
      </c>
      <c r="B323" s="135"/>
      <c r="C323" s="64" t="s">
        <v>195</v>
      </c>
      <c r="D323" s="64">
        <f>(32+2.5)*10.764</f>
        <v>371.358</v>
      </c>
      <c r="E323" s="64">
        <v>0</v>
      </c>
      <c r="F323" s="52">
        <v>570</v>
      </c>
      <c r="G323" s="100" t="str">
        <f>A322</f>
        <v>1st &amp; 3rd Floor For Residential</v>
      </c>
      <c r="H323" s="101"/>
      <c r="I323" s="46">
        <f t="shared" si="12"/>
        <v>1.5349070169486048</v>
      </c>
      <c r="J323" s="46">
        <f>(4*2.75+2.15*2.2+2.75*2.55+0.9*1.2+1.2*1.2+2.1*0.9)</f>
        <v>27.1525</v>
      </c>
      <c r="K323" s="36">
        <f>2.85*1</f>
        <v>2.85</v>
      </c>
      <c r="L323" s="46">
        <v>571.29999999999995</v>
      </c>
      <c r="M323" s="46">
        <f>L323/D323</f>
        <v>1.5384076820749788</v>
      </c>
    </row>
    <row r="324" spans="1:13" s="36" customFormat="1" x14ac:dyDescent="0.3">
      <c r="A324" s="134" t="str">
        <f ca="1">(SUMPRODUCT(MID(0&amp;(LEFT(A323,SUM(LEN(A323)-LEN(SUBSTITUTE(A323,{"0","1","2"},""))))), LARGE(INDEX(ISNUMBER(--MID((LEFT(A323,SUM(LEN(A323)-LEN(SUBSTITUTE(A323,{"0","1","2"},""))))), ROW(INDIRECT("1:"&amp;LEN((LEFT(A323,SUM(LEN(A323)-LEN(SUBSTITUTE(A323,{"0","1","2"},"")))))))), 1)) * ROW(INDIRECT("1:"&amp;LEN((LEFT(A323,SUM(LEN(A323)-LEN(SUBSTITUTE(A323,{"0","1","2"},"")))))))), 0), ROW(INDIRECT("1:"&amp;LEN((LEFT(A323,SUM(LEN(A323)-LEN(SUBSTITUTE(A323,{"0","1","2"},"")))))))))+1, 1) * 10^ROW(INDIRECT("1:"&amp;LEN((LEFT(A323,SUM(LEN(A323)-LEN(SUBSTITUTE(A323,{"0","1","2"},""))))))))/10))*1+1&amp;""&amp;" &amp; "&amp;""&amp;(SUMPRODUCT(MID(0&amp;(--TRIM(RIGHT(SUBSTITUTE(LEFT(A323,_xlfn.AGGREGATE(16,6,FIND({0,1,2,3,4,5,6,7,8,9},A323,ROW(INDIRECT("1:"&amp;LEN(A323)))),1))," ",REPT(" ",LEN(A323))),LEN(A323)))), LARGE(INDEX(ISNUMBER(--MID((--TRIM(RIGHT(SUBSTITUTE(LEFT(A323,_xlfn.AGGREGATE(16,6,FIND({0,1,2,3,4,5,6,7,8,9},A323,ROW(INDIRECT("1:"&amp;LEN(A323)))),1))," ",REPT(" ",LEN(A323))),LEN(A323)))), ROW(INDIRECT("1:"&amp;LEN((--TRIM(RIGHT(SUBSTITUTE(LEFT(A323,_xlfn.AGGREGATE(16,6,FIND({0,1,2,3,4,5,6,7,8,9},A323,ROW(INDIRECT("1:"&amp;LEN(A323)))),1))," ",REPT(" ",LEN(A323))),LEN(A323))))))), 1)) * ROW(INDIRECT("1:"&amp;LEN((--TRIM(RIGHT(SUBSTITUTE(LEFT(A323,_xlfn.AGGREGATE(16,6,FIND({0,1,2,3,4,5,6,7,8,9},A323,ROW(INDIRECT("1:"&amp;LEN(A323)))),1))," ",REPT(" ",LEN(A323))),LEN(A323))))))), 0), ROW(INDIRECT("1:"&amp;LEN((--TRIM(RIGHT(SUBSTITUTE(LEFT(A323,_xlfn.AGGREGATE(16,6,FIND({0,1,2,3,4,5,6,7,8,9},A323,ROW(INDIRECT("1:"&amp;LEN(A323)))),1))," ",REPT(" ",LEN(A323))),LEN(A323))))))))+1, 1) * 10^ROW(INDIRECT("1:"&amp;LEN((--TRIM(RIGHT(SUBSTITUTE(LEFT(A323,_xlfn.AGGREGATE(16,6,FIND({0,1,2,3,4,5,6,7,8,9},A323,ROW(INDIRECT("1:"&amp;LEN(A323)))),1))," ",REPT(" ",LEN(A323))),LEN(A323)))))))/10))*1+1</f>
        <v>102 &amp; 302</v>
      </c>
      <c r="B324" s="135"/>
      <c r="C324" s="64" t="s">
        <v>195</v>
      </c>
      <c r="D324" s="64">
        <f>(28.96+8.7)*10.764</f>
        <v>405.37223999999992</v>
      </c>
      <c r="E324" s="64">
        <v>0</v>
      </c>
      <c r="F324" s="52">
        <v>625</v>
      </c>
      <c r="G324" s="102"/>
      <c r="H324" s="103"/>
      <c r="I324" s="46">
        <f t="shared" si="12"/>
        <v>1.5417927976518573</v>
      </c>
      <c r="L324" s="36">
        <v>623.62</v>
      </c>
      <c r="M324" s="46">
        <f t="shared" ref="M324:M329" si="22">L324/D324</f>
        <v>1.538388519154642</v>
      </c>
    </row>
    <row r="325" spans="1:13" s="36" customFormat="1" x14ac:dyDescent="0.3">
      <c r="A325" s="134" t="str">
        <f ca="1">(SUMPRODUCT(MID(0&amp;(LEFT(A324,SUM(LEN(A324)-LEN(SUBSTITUTE(A324,{"0","1","2"},""))))), LARGE(INDEX(ISNUMBER(--MID((LEFT(A324,SUM(LEN(A324)-LEN(SUBSTITUTE(A324,{"0","1","2"},""))))), ROW(INDIRECT("1:"&amp;LEN((LEFT(A324,SUM(LEN(A324)-LEN(SUBSTITUTE(A324,{"0","1","2"},"")))))))), 1)) * ROW(INDIRECT("1:"&amp;LEN((LEFT(A324,SUM(LEN(A324)-LEN(SUBSTITUTE(A324,{"0","1","2"},"")))))))), 0), ROW(INDIRECT("1:"&amp;LEN((LEFT(A324,SUM(LEN(A324)-LEN(SUBSTITUTE(A324,{"0","1","2"},"")))))))))+1, 1) * 10^ROW(INDIRECT("1:"&amp;LEN((LEFT(A324,SUM(LEN(A324)-LEN(SUBSTITUTE(A324,{"0","1","2"},""))))))))/10))*1+1&amp;""&amp;" &amp; "&amp;""&amp;(SUMPRODUCT(MID(0&amp;(--TRIM(RIGHT(SUBSTITUTE(LEFT(A324,_xlfn.AGGREGATE(16,6,FIND({0,1,2,3,4,5,6,7,8,9},A324,ROW(INDIRECT("1:"&amp;LEN(A324)))),1))," ",REPT(" ",LEN(A324))),LEN(A324)))), LARGE(INDEX(ISNUMBER(--MID((--TRIM(RIGHT(SUBSTITUTE(LEFT(A324,_xlfn.AGGREGATE(16,6,FIND({0,1,2,3,4,5,6,7,8,9},A324,ROW(INDIRECT("1:"&amp;LEN(A324)))),1))," ",REPT(" ",LEN(A324))),LEN(A324)))), ROW(INDIRECT("1:"&amp;LEN((--TRIM(RIGHT(SUBSTITUTE(LEFT(A324,_xlfn.AGGREGATE(16,6,FIND({0,1,2,3,4,5,6,7,8,9},A324,ROW(INDIRECT("1:"&amp;LEN(A324)))),1))," ",REPT(" ",LEN(A324))),LEN(A324))))))), 1)) * ROW(INDIRECT("1:"&amp;LEN((--TRIM(RIGHT(SUBSTITUTE(LEFT(A324,_xlfn.AGGREGATE(16,6,FIND({0,1,2,3,4,5,6,7,8,9},A324,ROW(INDIRECT("1:"&amp;LEN(A324)))),1))," ",REPT(" ",LEN(A324))),LEN(A324))))))), 0), ROW(INDIRECT("1:"&amp;LEN((--TRIM(RIGHT(SUBSTITUTE(LEFT(A324,_xlfn.AGGREGATE(16,6,FIND({0,1,2,3,4,5,6,7,8,9},A324,ROW(INDIRECT("1:"&amp;LEN(A324)))),1))," ",REPT(" ",LEN(A324))),LEN(A324))))))))+1, 1) * 10^ROW(INDIRECT("1:"&amp;LEN((--TRIM(RIGHT(SUBSTITUTE(LEFT(A324,_xlfn.AGGREGATE(16,6,FIND({0,1,2,3,4,5,6,7,8,9},A324,ROW(INDIRECT("1:"&amp;LEN(A324)))),1))," ",REPT(" ",LEN(A324))),LEN(A324)))))))/10))*1+1</f>
        <v>103 &amp; 303</v>
      </c>
      <c r="B325" s="135"/>
      <c r="C325" s="64" t="s">
        <v>203</v>
      </c>
      <c r="D325" s="64">
        <f>(20.29+4.85)*10.764</f>
        <v>270.60696000000002</v>
      </c>
      <c r="E325" s="64">
        <v>0</v>
      </c>
      <c r="F325" s="52">
        <v>415</v>
      </c>
      <c r="G325" s="102"/>
      <c r="H325" s="103"/>
      <c r="I325" s="46">
        <f t="shared" si="12"/>
        <v>1.5335895277785907</v>
      </c>
      <c r="L325" s="46">
        <v>416.3</v>
      </c>
      <c r="M325" s="46">
        <f t="shared" si="22"/>
        <v>1.5383935431668128</v>
      </c>
    </row>
    <row r="326" spans="1:13" s="36" customFormat="1" x14ac:dyDescent="0.3">
      <c r="A326" s="134" t="str">
        <f ca="1">(SUMPRODUCT(MID(0&amp;(LEFT(A325,SUM(LEN(A325)-LEN(SUBSTITUTE(A325,{"0","1","2"},""))))), LARGE(INDEX(ISNUMBER(--MID((LEFT(A325,SUM(LEN(A325)-LEN(SUBSTITUTE(A325,{"0","1","2"},""))))), ROW(INDIRECT("1:"&amp;LEN((LEFT(A325,SUM(LEN(A325)-LEN(SUBSTITUTE(A325,{"0","1","2"},"")))))))), 1)) * ROW(INDIRECT("1:"&amp;LEN((LEFT(A325,SUM(LEN(A325)-LEN(SUBSTITUTE(A325,{"0","1","2"},"")))))))), 0), ROW(INDIRECT("1:"&amp;LEN((LEFT(A325,SUM(LEN(A325)-LEN(SUBSTITUTE(A325,{"0","1","2"},"")))))))))+1, 1) * 10^ROW(INDIRECT("1:"&amp;LEN((LEFT(A325,SUM(LEN(A325)-LEN(SUBSTITUTE(A325,{"0","1","2"},""))))))))/10))*1+1&amp;""&amp;" &amp; "&amp;""&amp;(SUMPRODUCT(MID(0&amp;(--TRIM(RIGHT(SUBSTITUTE(LEFT(A325,_xlfn.AGGREGATE(16,6,FIND({0,1,2,3,4,5,6,7,8,9},A325,ROW(INDIRECT("1:"&amp;LEN(A325)))),1))," ",REPT(" ",LEN(A325))),LEN(A325)))), LARGE(INDEX(ISNUMBER(--MID((--TRIM(RIGHT(SUBSTITUTE(LEFT(A325,_xlfn.AGGREGATE(16,6,FIND({0,1,2,3,4,5,6,7,8,9},A325,ROW(INDIRECT("1:"&amp;LEN(A325)))),1))," ",REPT(" ",LEN(A325))),LEN(A325)))), ROW(INDIRECT("1:"&amp;LEN((--TRIM(RIGHT(SUBSTITUTE(LEFT(A325,_xlfn.AGGREGATE(16,6,FIND({0,1,2,3,4,5,6,7,8,9},A325,ROW(INDIRECT("1:"&amp;LEN(A325)))),1))," ",REPT(" ",LEN(A325))),LEN(A325))))))), 1)) * ROW(INDIRECT("1:"&amp;LEN((--TRIM(RIGHT(SUBSTITUTE(LEFT(A325,_xlfn.AGGREGATE(16,6,FIND({0,1,2,3,4,5,6,7,8,9},A325,ROW(INDIRECT("1:"&amp;LEN(A325)))),1))," ",REPT(" ",LEN(A325))),LEN(A325))))))), 0), ROW(INDIRECT("1:"&amp;LEN((--TRIM(RIGHT(SUBSTITUTE(LEFT(A325,_xlfn.AGGREGATE(16,6,FIND({0,1,2,3,4,5,6,7,8,9},A325,ROW(INDIRECT("1:"&amp;LEN(A325)))),1))," ",REPT(" ",LEN(A325))),LEN(A325))))))))+1, 1) * 10^ROW(INDIRECT("1:"&amp;LEN((--TRIM(RIGHT(SUBSTITUTE(LEFT(A325,_xlfn.AGGREGATE(16,6,FIND({0,1,2,3,4,5,6,7,8,9},A325,ROW(INDIRECT("1:"&amp;LEN(A325)))),1))," ",REPT(" ",LEN(A325))),LEN(A325)))))))/10))*1+1</f>
        <v>104 &amp; 304</v>
      </c>
      <c r="B326" s="135"/>
      <c r="C326" s="64" t="s">
        <v>203</v>
      </c>
      <c r="D326" s="64">
        <f>(21.39+1.95)*10.764</f>
        <v>251.23175999999998</v>
      </c>
      <c r="E326" s="64">
        <f>(4.74)*10.764</f>
        <v>51.021360000000001</v>
      </c>
      <c r="F326" s="52">
        <v>440</v>
      </c>
      <c r="G326" s="102"/>
      <c r="H326" s="103"/>
      <c r="I326" s="46">
        <f t="shared" ref="I326:I365" si="23">F326/D326</f>
        <v>1.7513709253957384</v>
      </c>
      <c r="L326" s="36">
        <v>386.49</v>
      </c>
      <c r="M326" s="46">
        <f t="shared" si="22"/>
        <v>1.5383803385368158</v>
      </c>
    </row>
    <row r="327" spans="1:13" s="36" customFormat="1" x14ac:dyDescent="0.3">
      <c r="A327" s="134" t="str">
        <f ca="1">(SUMPRODUCT(MID(0&amp;(LEFT(A326,SUM(LEN(A326)-LEN(SUBSTITUTE(A326,{"0","1","2"},""))))), LARGE(INDEX(ISNUMBER(--MID((LEFT(A326,SUM(LEN(A326)-LEN(SUBSTITUTE(A326,{"0","1","2"},""))))), ROW(INDIRECT("1:"&amp;LEN((LEFT(A326,SUM(LEN(A326)-LEN(SUBSTITUTE(A326,{"0","1","2"},"")))))))), 1)) * ROW(INDIRECT("1:"&amp;LEN((LEFT(A326,SUM(LEN(A326)-LEN(SUBSTITUTE(A326,{"0","1","2"},"")))))))), 0), ROW(INDIRECT("1:"&amp;LEN((LEFT(A326,SUM(LEN(A326)-LEN(SUBSTITUTE(A326,{"0","1","2"},"")))))))))+1, 1) * 10^ROW(INDIRECT("1:"&amp;LEN((LEFT(A326,SUM(LEN(A326)-LEN(SUBSTITUTE(A326,{"0","1","2"},""))))))))/10))*1+1&amp;""&amp;" &amp; "&amp;""&amp;(SUMPRODUCT(MID(0&amp;(--TRIM(RIGHT(SUBSTITUTE(LEFT(A326,_xlfn.AGGREGATE(16,6,FIND({0,1,2,3,4,5,6,7,8,9},A326,ROW(INDIRECT("1:"&amp;LEN(A326)))),1))," ",REPT(" ",LEN(A326))),LEN(A326)))), LARGE(INDEX(ISNUMBER(--MID((--TRIM(RIGHT(SUBSTITUTE(LEFT(A326,_xlfn.AGGREGATE(16,6,FIND({0,1,2,3,4,5,6,7,8,9},A326,ROW(INDIRECT("1:"&amp;LEN(A326)))),1))," ",REPT(" ",LEN(A326))),LEN(A326)))), ROW(INDIRECT("1:"&amp;LEN((--TRIM(RIGHT(SUBSTITUTE(LEFT(A326,_xlfn.AGGREGATE(16,6,FIND({0,1,2,3,4,5,6,7,8,9},A326,ROW(INDIRECT("1:"&amp;LEN(A326)))),1))," ",REPT(" ",LEN(A326))),LEN(A326))))))), 1)) * ROW(INDIRECT("1:"&amp;LEN((--TRIM(RIGHT(SUBSTITUTE(LEFT(A326,_xlfn.AGGREGATE(16,6,FIND({0,1,2,3,4,5,6,7,8,9},A326,ROW(INDIRECT("1:"&amp;LEN(A326)))),1))," ",REPT(" ",LEN(A326))),LEN(A326))))))), 0), ROW(INDIRECT("1:"&amp;LEN((--TRIM(RIGHT(SUBSTITUTE(LEFT(A326,_xlfn.AGGREGATE(16,6,FIND({0,1,2,3,4,5,6,7,8,9},A326,ROW(INDIRECT("1:"&amp;LEN(A326)))),1))," ",REPT(" ",LEN(A326))),LEN(A326))))))))+1, 1) * 10^ROW(INDIRECT("1:"&amp;LEN((--TRIM(RIGHT(SUBSTITUTE(LEFT(A326,_xlfn.AGGREGATE(16,6,FIND({0,1,2,3,4,5,6,7,8,9},A326,ROW(INDIRECT("1:"&amp;LEN(A326)))),1))," ",REPT(" ",LEN(A326))),LEN(A326)))))))/10))*1+1</f>
        <v>105 &amp; 305</v>
      </c>
      <c r="B327" s="135"/>
      <c r="C327" s="64" t="s">
        <v>203</v>
      </c>
      <c r="D327" s="64">
        <f>(23.05+2.25)*10.764</f>
        <v>272.32920000000001</v>
      </c>
      <c r="E327" s="64">
        <v>0</v>
      </c>
      <c r="F327" s="52">
        <v>420</v>
      </c>
      <c r="G327" s="102"/>
      <c r="H327" s="103"/>
      <c r="I327" s="46">
        <f t="shared" si="23"/>
        <v>1.5422510696612775</v>
      </c>
      <c r="L327" s="36">
        <v>418.95</v>
      </c>
      <c r="M327" s="46">
        <f t="shared" si="22"/>
        <v>1.5383954419871242</v>
      </c>
    </row>
    <row r="328" spans="1:13" s="36" customFormat="1" x14ac:dyDescent="0.3">
      <c r="A328" s="134" t="str">
        <f ca="1">(SUMPRODUCT(MID(0&amp;(LEFT(A327,SUM(LEN(A327)-LEN(SUBSTITUTE(A327,{"0","1","2"},""))))), LARGE(INDEX(ISNUMBER(--MID((LEFT(A327,SUM(LEN(A327)-LEN(SUBSTITUTE(A327,{"0","1","2"},""))))), ROW(INDIRECT("1:"&amp;LEN((LEFT(A327,SUM(LEN(A327)-LEN(SUBSTITUTE(A327,{"0","1","2"},"")))))))), 1)) * ROW(INDIRECT("1:"&amp;LEN((LEFT(A327,SUM(LEN(A327)-LEN(SUBSTITUTE(A327,{"0","1","2"},"")))))))), 0), ROW(INDIRECT("1:"&amp;LEN((LEFT(A327,SUM(LEN(A327)-LEN(SUBSTITUTE(A327,{"0","1","2"},"")))))))))+1, 1) * 10^ROW(INDIRECT("1:"&amp;LEN((LEFT(A327,SUM(LEN(A327)-LEN(SUBSTITUTE(A327,{"0","1","2"},""))))))))/10))*1+1&amp;""&amp;" &amp; "&amp;""&amp;(SUMPRODUCT(MID(0&amp;(--TRIM(RIGHT(SUBSTITUTE(LEFT(A327,_xlfn.AGGREGATE(16,6,FIND({0,1,2,3,4,5,6,7,8,9},A327,ROW(INDIRECT("1:"&amp;LEN(A327)))),1))," ",REPT(" ",LEN(A327))),LEN(A327)))), LARGE(INDEX(ISNUMBER(--MID((--TRIM(RIGHT(SUBSTITUTE(LEFT(A327,_xlfn.AGGREGATE(16,6,FIND({0,1,2,3,4,5,6,7,8,9},A327,ROW(INDIRECT("1:"&amp;LEN(A327)))),1))," ",REPT(" ",LEN(A327))),LEN(A327)))), ROW(INDIRECT("1:"&amp;LEN((--TRIM(RIGHT(SUBSTITUTE(LEFT(A327,_xlfn.AGGREGATE(16,6,FIND({0,1,2,3,4,5,6,7,8,9},A327,ROW(INDIRECT("1:"&amp;LEN(A327)))),1))," ",REPT(" ",LEN(A327))),LEN(A327))))))), 1)) * ROW(INDIRECT("1:"&amp;LEN((--TRIM(RIGHT(SUBSTITUTE(LEFT(A327,_xlfn.AGGREGATE(16,6,FIND({0,1,2,3,4,5,6,7,8,9},A327,ROW(INDIRECT("1:"&amp;LEN(A327)))),1))," ",REPT(" ",LEN(A327))),LEN(A327))))))), 0), ROW(INDIRECT("1:"&amp;LEN((--TRIM(RIGHT(SUBSTITUTE(LEFT(A327,_xlfn.AGGREGATE(16,6,FIND({0,1,2,3,4,5,6,7,8,9},A327,ROW(INDIRECT("1:"&amp;LEN(A327)))),1))," ",REPT(" ",LEN(A327))),LEN(A327))))))))+1, 1) * 10^ROW(INDIRECT("1:"&amp;LEN((--TRIM(RIGHT(SUBSTITUTE(LEFT(A327,_xlfn.AGGREGATE(16,6,FIND({0,1,2,3,4,5,6,7,8,9},A327,ROW(INDIRECT("1:"&amp;LEN(A327)))),1))," ",REPT(" ",LEN(A327))),LEN(A327)))))))/10))*1+1</f>
        <v>106 &amp; 306</v>
      </c>
      <c r="B328" s="135"/>
      <c r="C328" s="64" t="s">
        <v>203</v>
      </c>
      <c r="D328" s="64">
        <f>(20.94)*10.764</f>
        <v>225.39815999999999</v>
      </c>
      <c r="E328" s="64">
        <v>0</v>
      </c>
      <c r="F328" s="52">
        <v>345</v>
      </c>
      <c r="G328" s="102"/>
      <c r="H328" s="103"/>
      <c r="I328" s="46">
        <f t="shared" si="23"/>
        <v>1.5306247397937942</v>
      </c>
      <c r="L328" s="36">
        <v>346.75</v>
      </c>
      <c r="M328" s="46">
        <f t="shared" si="22"/>
        <v>1.5383887783289802</v>
      </c>
    </row>
    <row r="329" spans="1:13" s="36" customFormat="1" x14ac:dyDescent="0.3">
      <c r="A329" s="134" t="str">
        <f ca="1">(SUMPRODUCT(MID(0&amp;(LEFT(A328,SUM(LEN(A328)-LEN(SUBSTITUTE(A328,{"0","1","2"},""))))), LARGE(INDEX(ISNUMBER(--MID((LEFT(A328,SUM(LEN(A328)-LEN(SUBSTITUTE(A328,{"0","1","2"},""))))), ROW(INDIRECT("1:"&amp;LEN((LEFT(A328,SUM(LEN(A328)-LEN(SUBSTITUTE(A328,{"0","1","2"},"")))))))), 1)) * ROW(INDIRECT("1:"&amp;LEN((LEFT(A328,SUM(LEN(A328)-LEN(SUBSTITUTE(A328,{"0","1","2"},"")))))))), 0), ROW(INDIRECT("1:"&amp;LEN((LEFT(A328,SUM(LEN(A328)-LEN(SUBSTITUTE(A328,{"0","1","2"},"")))))))))+1, 1) * 10^ROW(INDIRECT("1:"&amp;LEN((LEFT(A328,SUM(LEN(A328)-LEN(SUBSTITUTE(A328,{"0","1","2"},""))))))))/10))*1+1&amp;""&amp;" &amp; "&amp;""&amp;(SUMPRODUCT(MID(0&amp;(--TRIM(RIGHT(SUBSTITUTE(LEFT(A328,_xlfn.AGGREGATE(16,6,FIND({0,1,2,3,4,5,6,7,8,9},A328,ROW(INDIRECT("1:"&amp;LEN(A328)))),1))," ",REPT(" ",LEN(A328))),LEN(A328)))), LARGE(INDEX(ISNUMBER(--MID((--TRIM(RIGHT(SUBSTITUTE(LEFT(A328,_xlfn.AGGREGATE(16,6,FIND({0,1,2,3,4,5,6,7,8,9},A328,ROW(INDIRECT("1:"&amp;LEN(A328)))),1))," ",REPT(" ",LEN(A328))),LEN(A328)))), ROW(INDIRECT("1:"&amp;LEN((--TRIM(RIGHT(SUBSTITUTE(LEFT(A328,_xlfn.AGGREGATE(16,6,FIND({0,1,2,3,4,5,6,7,8,9},A328,ROW(INDIRECT("1:"&amp;LEN(A328)))),1))," ",REPT(" ",LEN(A328))),LEN(A328))))))), 1)) * ROW(INDIRECT("1:"&amp;LEN((--TRIM(RIGHT(SUBSTITUTE(LEFT(A328,_xlfn.AGGREGATE(16,6,FIND({0,1,2,3,4,5,6,7,8,9},A328,ROW(INDIRECT("1:"&amp;LEN(A328)))),1))," ",REPT(" ",LEN(A328))),LEN(A328))))))), 0), ROW(INDIRECT("1:"&amp;LEN((--TRIM(RIGHT(SUBSTITUTE(LEFT(A328,_xlfn.AGGREGATE(16,6,FIND({0,1,2,3,4,5,6,7,8,9},A328,ROW(INDIRECT("1:"&amp;LEN(A328)))),1))," ",REPT(" ",LEN(A328))),LEN(A328))))))))+1, 1) * 10^ROW(INDIRECT("1:"&amp;LEN((--TRIM(RIGHT(SUBSTITUTE(LEFT(A328,_xlfn.AGGREGATE(16,6,FIND({0,1,2,3,4,5,6,7,8,9},A328,ROW(INDIRECT("1:"&amp;LEN(A328)))),1))," ",REPT(" ",LEN(A328))),LEN(A328)))))))/10))*1+1</f>
        <v>107 &amp; 307</v>
      </c>
      <c r="B329" s="135"/>
      <c r="C329" s="64" t="s">
        <v>195</v>
      </c>
      <c r="D329" s="64">
        <f>(29)*10.764</f>
        <v>312.15600000000001</v>
      </c>
      <c r="E329" s="64">
        <f>(6.67)*10.764</f>
        <v>71.795879999999997</v>
      </c>
      <c r="F329" s="52">
        <v>555</v>
      </c>
      <c r="G329" s="104"/>
      <c r="H329" s="105"/>
      <c r="I329" s="46">
        <f t="shared" si="23"/>
        <v>1.7779571752585246</v>
      </c>
      <c r="L329" s="36">
        <v>480.22</v>
      </c>
      <c r="M329" s="46">
        <f t="shared" si="22"/>
        <v>1.5383974679327004</v>
      </c>
    </row>
    <row r="330" spans="1:13" s="36" customFormat="1" x14ac:dyDescent="0.3">
      <c r="A330" s="196" t="s">
        <v>205</v>
      </c>
      <c r="B330" s="196"/>
      <c r="C330" s="196"/>
      <c r="D330" s="196"/>
      <c r="E330" s="196"/>
      <c r="F330" s="196"/>
      <c r="G330" s="196"/>
      <c r="H330" s="196"/>
      <c r="I330" s="46" t="e">
        <f t="shared" si="23"/>
        <v>#DIV/0!</v>
      </c>
    </row>
    <row r="331" spans="1:13" s="36" customFormat="1" ht="15.75" customHeight="1" x14ac:dyDescent="0.3">
      <c r="A331" s="197" t="str">
        <f ca="1">(SUMPRODUCT(MID(0&amp;(LEFT(A330,SUM(LEN(A330)-LEN(SUBSTITUTE(A330,{"0","1","2"},""))))), LARGE(INDEX(ISNUMBER(--MID((LEFT(A330,SUM(LEN(A330)-LEN(SUBSTITUTE(A330,{"0","1","2"},""))))), ROW(INDIRECT("1:"&amp;LEN((LEFT(A330,SUM(LEN(A330)-LEN(SUBSTITUTE(A330,{"0","1","2"},"")))))))), 1)) * ROW(INDIRECT("1:"&amp;LEN((LEFT(A330,SUM(LEN(A330)-LEN(SUBSTITUTE(A330,{"0","1","2"},"")))))))), 0), ROW(INDIRECT("1:"&amp;LEN((LEFT(A330,SUM(LEN(A330)-LEN(SUBSTITUTE(A330,{"0","1","2"},"")))))))))+1, 1) * 10^ROW(INDIRECT("1:"&amp;LEN((LEFT(A330,SUM(LEN(A330)-LEN(SUBSTITUTE(A330,{"0","1","2"},""))))))))/10))*100+1&amp;""&amp;" &amp; "&amp;""&amp;(SUMPRODUCT(MID(0&amp;(--TRIM(RIGHT(SUBSTITUTE(LEFT(A330,_xlfn.AGGREGATE(16,6,FIND({0,1,2,3,4,5,6,7,8,9},A330,ROW(INDIRECT("1:"&amp;LEN(A330)))),1))," ",REPT(" ",LEN(A330))),LEN(A330)))), LARGE(INDEX(ISNUMBER(--MID((--TRIM(RIGHT(SUBSTITUTE(LEFT(A330,_xlfn.AGGREGATE(16,6,FIND({0,1,2,3,4,5,6,7,8,9},A330,ROW(INDIRECT("1:"&amp;LEN(A330)))),1))," ",REPT(" ",LEN(A330))),LEN(A330)))), ROW(INDIRECT("1:"&amp;LEN((--TRIM(RIGHT(SUBSTITUTE(LEFT(A330,_xlfn.AGGREGATE(16,6,FIND({0,1,2,3,4,5,6,7,8,9},A330,ROW(INDIRECT("1:"&amp;LEN(A330)))),1))," ",REPT(" ",LEN(A330))),LEN(A330))))))), 1)) * ROW(INDIRECT("1:"&amp;LEN((--TRIM(RIGHT(SUBSTITUTE(LEFT(A330,_xlfn.AGGREGATE(16,6,FIND({0,1,2,3,4,5,6,7,8,9},A330,ROW(INDIRECT("1:"&amp;LEN(A330)))),1))," ",REPT(" ",LEN(A330))),LEN(A330))))))), 0), ROW(INDIRECT("1:"&amp;LEN((--TRIM(RIGHT(SUBSTITUTE(LEFT(A330,_xlfn.AGGREGATE(16,6,FIND({0,1,2,3,4,5,6,7,8,9},A330,ROW(INDIRECT("1:"&amp;LEN(A330)))),1))," ",REPT(" ",LEN(A330))),LEN(A330))))))))+1, 1) * 10^ROW(INDIRECT("1:"&amp;LEN((--TRIM(RIGHT(SUBSTITUTE(LEFT(A330,_xlfn.AGGREGATE(16,6,FIND({0,1,2,3,4,5,6,7,8,9},A330,ROW(INDIRECT("1:"&amp;LEN(A330)))),1))," ",REPT(" ",LEN(A330))),LEN(A330)))))))/10))*100+1</f>
        <v>201 &amp; 401</v>
      </c>
      <c r="B331" s="197"/>
      <c r="C331" s="64" t="s">
        <v>195</v>
      </c>
      <c r="D331" s="64">
        <f>(32+2.5)*10.764</f>
        <v>371.358</v>
      </c>
      <c r="E331" s="64">
        <v>0</v>
      </c>
      <c r="F331" s="52">
        <v>570</v>
      </c>
      <c r="G331" s="197" t="str">
        <f>A330</f>
        <v>2nd &amp; 4th Floor</v>
      </c>
      <c r="H331" s="197"/>
      <c r="I331" s="46">
        <f t="shared" si="23"/>
        <v>1.5349070169486048</v>
      </c>
    </row>
    <row r="332" spans="1:13" s="36" customFormat="1" x14ac:dyDescent="0.3">
      <c r="A332" s="197" t="str">
        <f ca="1">(SUMPRODUCT(MID(0&amp;(LEFT(A331,SUM(LEN(A331)-LEN(SUBSTITUTE(A331,{"0","1","2"},""))))), LARGE(INDEX(ISNUMBER(--MID((LEFT(A331,SUM(LEN(A331)-LEN(SUBSTITUTE(A331,{"0","1","2"},""))))), ROW(INDIRECT("1:"&amp;LEN((LEFT(A331,SUM(LEN(A331)-LEN(SUBSTITUTE(A331,{"0","1","2"},"")))))))), 1)) * ROW(INDIRECT("1:"&amp;LEN((LEFT(A331,SUM(LEN(A331)-LEN(SUBSTITUTE(A331,{"0","1","2"},"")))))))), 0), ROW(INDIRECT("1:"&amp;LEN((LEFT(A331,SUM(LEN(A331)-LEN(SUBSTITUTE(A331,{"0","1","2"},"")))))))))+1, 1) * 10^ROW(INDIRECT("1:"&amp;LEN((LEFT(A331,SUM(LEN(A331)-LEN(SUBSTITUTE(A331,{"0","1","2"},""))))))))/10))*1+1&amp;""&amp;" &amp; "&amp;""&amp;(SUMPRODUCT(MID(0&amp;(--TRIM(RIGHT(SUBSTITUTE(LEFT(A331,_xlfn.AGGREGATE(16,6,FIND({0,1,2,3,4,5,6,7,8,9},A331,ROW(INDIRECT("1:"&amp;LEN(A331)))),1))," ",REPT(" ",LEN(A331))),LEN(A331)))), LARGE(INDEX(ISNUMBER(--MID((--TRIM(RIGHT(SUBSTITUTE(LEFT(A331,_xlfn.AGGREGATE(16,6,FIND({0,1,2,3,4,5,6,7,8,9},A331,ROW(INDIRECT("1:"&amp;LEN(A331)))),1))," ",REPT(" ",LEN(A331))),LEN(A331)))), ROW(INDIRECT("1:"&amp;LEN((--TRIM(RIGHT(SUBSTITUTE(LEFT(A331,_xlfn.AGGREGATE(16,6,FIND({0,1,2,3,4,5,6,7,8,9},A331,ROW(INDIRECT("1:"&amp;LEN(A331)))),1))," ",REPT(" ",LEN(A331))),LEN(A331))))))), 1)) * ROW(INDIRECT("1:"&amp;LEN((--TRIM(RIGHT(SUBSTITUTE(LEFT(A331,_xlfn.AGGREGATE(16,6,FIND({0,1,2,3,4,5,6,7,8,9},A331,ROW(INDIRECT("1:"&amp;LEN(A331)))),1))," ",REPT(" ",LEN(A331))),LEN(A331))))))), 0), ROW(INDIRECT("1:"&amp;LEN((--TRIM(RIGHT(SUBSTITUTE(LEFT(A331,_xlfn.AGGREGATE(16,6,FIND({0,1,2,3,4,5,6,7,8,9},A331,ROW(INDIRECT("1:"&amp;LEN(A331)))),1))," ",REPT(" ",LEN(A331))),LEN(A331))))))))+1, 1) * 10^ROW(INDIRECT("1:"&amp;LEN((--TRIM(RIGHT(SUBSTITUTE(LEFT(A331,_xlfn.AGGREGATE(16,6,FIND({0,1,2,3,4,5,6,7,8,9},A331,ROW(INDIRECT("1:"&amp;LEN(A331)))),1))," ",REPT(" ",LEN(A331))),LEN(A331)))))))/10))*1+1</f>
        <v>202 &amp; 402</v>
      </c>
      <c r="B332" s="197"/>
      <c r="C332" s="64" t="s">
        <v>195</v>
      </c>
      <c r="D332" s="64">
        <f>(28.96+8.7)*10.764</f>
        <v>405.37223999999992</v>
      </c>
      <c r="E332" s="64">
        <v>0</v>
      </c>
      <c r="F332" s="52">
        <v>625</v>
      </c>
      <c r="G332" s="197"/>
      <c r="H332" s="197"/>
      <c r="I332" s="46">
        <f t="shared" si="23"/>
        <v>1.5417927976518573</v>
      </c>
    </row>
    <row r="333" spans="1:13" s="36" customFormat="1" x14ac:dyDescent="0.3">
      <c r="A333" s="197" t="str">
        <f ca="1">(SUMPRODUCT(MID(0&amp;(LEFT(A332,SUM(LEN(A332)-LEN(SUBSTITUTE(A332,{"0","1","2"},""))))), LARGE(INDEX(ISNUMBER(--MID((LEFT(A332,SUM(LEN(A332)-LEN(SUBSTITUTE(A332,{"0","1","2"},""))))), ROW(INDIRECT("1:"&amp;LEN((LEFT(A332,SUM(LEN(A332)-LEN(SUBSTITUTE(A332,{"0","1","2"},"")))))))), 1)) * ROW(INDIRECT("1:"&amp;LEN((LEFT(A332,SUM(LEN(A332)-LEN(SUBSTITUTE(A332,{"0","1","2"},"")))))))), 0), ROW(INDIRECT("1:"&amp;LEN((LEFT(A332,SUM(LEN(A332)-LEN(SUBSTITUTE(A332,{"0","1","2"},"")))))))))+1, 1) * 10^ROW(INDIRECT("1:"&amp;LEN((LEFT(A332,SUM(LEN(A332)-LEN(SUBSTITUTE(A332,{"0","1","2"},""))))))))/10))*1+1&amp;""&amp;" &amp; "&amp;""&amp;(SUMPRODUCT(MID(0&amp;(--TRIM(RIGHT(SUBSTITUTE(LEFT(A332,_xlfn.AGGREGATE(16,6,FIND({0,1,2,3,4,5,6,7,8,9},A332,ROW(INDIRECT("1:"&amp;LEN(A332)))),1))," ",REPT(" ",LEN(A332))),LEN(A332)))), LARGE(INDEX(ISNUMBER(--MID((--TRIM(RIGHT(SUBSTITUTE(LEFT(A332,_xlfn.AGGREGATE(16,6,FIND({0,1,2,3,4,5,6,7,8,9},A332,ROW(INDIRECT("1:"&amp;LEN(A332)))),1))," ",REPT(" ",LEN(A332))),LEN(A332)))), ROW(INDIRECT("1:"&amp;LEN((--TRIM(RIGHT(SUBSTITUTE(LEFT(A332,_xlfn.AGGREGATE(16,6,FIND({0,1,2,3,4,5,6,7,8,9},A332,ROW(INDIRECT("1:"&amp;LEN(A332)))),1))," ",REPT(" ",LEN(A332))),LEN(A332))))))), 1)) * ROW(INDIRECT("1:"&amp;LEN((--TRIM(RIGHT(SUBSTITUTE(LEFT(A332,_xlfn.AGGREGATE(16,6,FIND({0,1,2,3,4,5,6,7,8,9},A332,ROW(INDIRECT("1:"&amp;LEN(A332)))),1))," ",REPT(" ",LEN(A332))),LEN(A332))))))), 0), ROW(INDIRECT("1:"&amp;LEN((--TRIM(RIGHT(SUBSTITUTE(LEFT(A332,_xlfn.AGGREGATE(16,6,FIND({0,1,2,3,4,5,6,7,8,9},A332,ROW(INDIRECT("1:"&amp;LEN(A332)))),1))," ",REPT(" ",LEN(A332))),LEN(A332))))))))+1, 1) * 10^ROW(INDIRECT("1:"&amp;LEN((--TRIM(RIGHT(SUBSTITUTE(LEFT(A332,_xlfn.AGGREGATE(16,6,FIND({0,1,2,3,4,5,6,7,8,9},A332,ROW(INDIRECT("1:"&amp;LEN(A332)))),1))," ",REPT(" ",LEN(A332))),LEN(A332)))))))/10))*1+1</f>
        <v>203 &amp; 403</v>
      </c>
      <c r="B333" s="197"/>
      <c r="C333" s="64" t="s">
        <v>203</v>
      </c>
      <c r="D333" s="64">
        <f>(20.29+4.85)*10.764</f>
        <v>270.60696000000002</v>
      </c>
      <c r="E333" s="64">
        <v>0</v>
      </c>
      <c r="F333" s="52">
        <v>415</v>
      </c>
      <c r="G333" s="197"/>
      <c r="H333" s="197"/>
      <c r="I333" s="46">
        <f t="shared" si="23"/>
        <v>1.5335895277785907</v>
      </c>
    </row>
    <row r="334" spans="1:13" s="36" customFormat="1" x14ac:dyDescent="0.3">
      <c r="A334" s="197" t="str">
        <f ca="1">(SUMPRODUCT(MID(0&amp;(LEFT(A333,SUM(LEN(A333)-LEN(SUBSTITUTE(A333,{"0","1","2"},""))))), LARGE(INDEX(ISNUMBER(--MID((LEFT(A333,SUM(LEN(A333)-LEN(SUBSTITUTE(A333,{"0","1","2"},""))))), ROW(INDIRECT("1:"&amp;LEN((LEFT(A333,SUM(LEN(A333)-LEN(SUBSTITUTE(A333,{"0","1","2"},"")))))))), 1)) * ROW(INDIRECT("1:"&amp;LEN((LEFT(A333,SUM(LEN(A333)-LEN(SUBSTITUTE(A333,{"0","1","2"},"")))))))), 0), ROW(INDIRECT("1:"&amp;LEN((LEFT(A333,SUM(LEN(A333)-LEN(SUBSTITUTE(A333,{"0","1","2"},"")))))))))+1, 1) * 10^ROW(INDIRECT("1:"&amp;LEN((LEFT(A333,SUM(LEN(A333)-LEN(SUBSTITUTE(A333,{"0","1","2"},""))))))))/10))*1+1&amp;""&amp;" &amp; "&amp;""&amp;(SUMPRODUCT(MID(0&amp;(--TRIM(RIGHT(SUBSTITUTE(LEFT(A333,_xlfn.AGGREGATE(16,6,FIND({0,1,2,3,4,5,6,7,8,9},A333,ROW(INDIRECT("1:"&amp;LEN(A333)))),1))," ",REPT(" ",LEN(A333))),LEN(A333)))), LARGE(INDEX(ISNUMBER(--MID((--TRIM(RIGHT(SUBSTITUTE(LEFT(A333,_xlfn.AGGREGATE(16,6,FIND({0,1,2,3,4,5,6,7,8,9},A333,ROW(INDIRECT("1:"&amp;LEN(A333)))),1))," ",REPT(" ",LEN(A333))),LEN(A333)))), ROW(INDIRECT("1:"&amp;LEN((--TRIM(RIGHT(SUBSTITUTE(LEFT(A333,_xlfn.AGGREGATE(16,6,FIND({0,1,2,3,4,5,6,7,8,9},A333,ROW(INDIRECT("1:"&amp;LEN(A333)))),1))," ",REPT(" ",LEN(A333))),LEN(A333))))))), 1)) * ROW(INDIRECT("1:"&amp;LEN((--TRIM(RIGHT(SUBSTITUTE(LEFT(A333,_xlfn.AGGREGATE(16,6,FIND({0,1,2,3,4,5,6,7,8,9},A333,ROW(INDIRECT("1:"&amp;LEN(A333)))),1))," ",REPT(" ",LEN(A333))),LEN(A333))))))), 0), ROW(INDIRECT("1:"&amp;LEN((--TRIM(RIGHT(SUBSTITUTE(LEFT(A333,_xlfn.AGGREGATE(16,6,FIND({0,1,2,3,4,5,6,7,8,9},A333,ROW(INDIRECT("1:"&amp;LEN(A333)))),1))," ",REPT(" ",LEN(A333))),LEN(A333))))))))+1, 1) * 10^ROW(INDIRECT("1:"&amp;LEN((--TRIM(RIGHT(SUBSTITUTE(LEFT(A333,_xlfn.AGGREGATE(16,6,FIND({0,1,2,3,4,5,6,7,8,9},A333,ROW(INDIRECT("1:"&amp;LEN(A333)))),1))," ",REPT(" ",LEN(A333))),LEN(A333)))))))/10))*1+1</f>
        <v>204 &amp; 404</v>
      </c>
      <c r="B334" s="197"/>
      <c r="C334" s="64" t="s">
        <v>203</v>
      </c>
      <c r="D334" s="64">
        <f>(21.39+1.95)*10.764</f>
        <v>251.23175999999998</v>
      </c>
      <c r="E334" s="64">
        <v>0</v>
      </c>
      <c r="F334" s="52">
        <v>385</v>
      </c>
      <c r="G334" s="197"/>
      <c r="H334" s="197"/>
      <c r="I334" s="46">
        <f t="shared" si="23"/>
        <v>1.5324495597212711</v>
      </c>
    </row>
    <row r="335" spans="1:13" s="36" customFormat="1" x14ac:dyDescent="0.3">
      <c r="A335" s="197" t="str">
        <f ca="1">(SUMPRODUCT(MID(0&amp;(LEFT(A334,SUM(LEN(A334)-LEN(SUBSTITUTE(A334,{"0","1","2"},""))))), LARGE(INDEX(ISNUMBER(--MID((LEFT(A334,SUM(LEN(A334)-LEN(SUBSTITUTE(A334,{"0","1","2"},""))))), ROW(INDIRECT("1:"&amp;LEN((LEFT(A334,SUM(LEN(A334)-LEN(SUBSTITUTE(A334,{"0","1","2"},"")))))))), 1)) * ROW(INDIRECT("1:"&amp;LEN((LEFT(A334,SUM(LEN(A334)-LEN(SUBSTITUTE(A334,{"0","1","2"},"")))))))), 0), ROW(INDIRECT("1:"&amp;LEN((LEFT(A334,SUM(LEN(A334)-LEN(SUBSTITUTE(A334,{"0","1","2"},"")))))))))+1, 1) * 10^ROW(INDIRECT("1:"&amp;LEN((LEFT(A334,SUM(LEN(A334)-LEN(SUBSTITUTE(A334,{"0","1","2"},""))))))))/10))*1+1&amp;""&amp;" &amp; "&amp;""&amp;(SUMPRODUCT(MID(0&amp;(--TRIM(RIGHT(SUBSTITUTE(LEFT(A334,_xlfn.AGGREGATE(16,6,FIND({0,1,2,3,4,5,6,7,8,9},A334,ROW(INDIRECT("1:"&amp;LEN(A334)))),1))," ",REPT(" ",LEN(A334))),LEN(A334)))), LARGE(INDEX(ISNUMBER(--MID((--TRIM(RIGHT(SUBSTITUTE(LEFT(A334,_xlfn.AGGREGATE(16,6,FIND({0,1,2,3,4,5,6,7,8,9},A334,ROW(INDIRECT("1:"&amp;LEN(A334)))),1))," ",REPT(" ",LEN(A334))),LEN(A334)))), ROW(INDIRECT("1:"&amp;LEN((--TRIM(RIGHT(SUBSTITUTE(LEFT(A334,_xlfn.AGGREGATE(16,6,FIND({0,1,2,3,4,5,6,7,8,9},A334,ROW(INDIRECT("1:"&amp;LEN(A334)))),1))," ",REPT(" ",LEN(A334))),LEN(A334))))))), 1)) * ROW(INDIRECT("1:"&amp;LEN((--TRIM(RIGHT(SUBSTITUTE(LEFT(A334,_xlfn.AGGREGATE(16,6,FIND({0,1,2,3,4,5,6,7,8,9},A334,ROW(INDIRECT("1:"&amp;LEN(A334)))),1))," ",REPT(" ",LEN(A334))),LEN(A334))))))), 0), ROW(INDIRECT("1:"&amp;LEN((--TRIM(RIGHT(SUBSTITUTE(LEFT(A334,_xlfn.AGGREGATE(16,6,FIND({0,1,2,3,4,5,6,7,8,9},A334,ROW(INDIRECT("1:"&amp;LEN(A334)))),1))," ",REPT(" ",LEN(A334))),LEN(A334))))))))+1, 1) * 10^ROW(INDIRECT("1:"&amp;LEN((--TRIM(RIGHT(SUBSTITUTE(LEFT(A334,_xlfn.AGGREGATE(16,6,FIND({0,1,2,3,4,5,6,7,8,9},A334,ROW(INDIRECT("1:"&amp;LEN(A334)))),1))," ",REPT(" ",LEN(A334))),LEN(A334)))))))/10))*1+1</f>
        <v>205 &amp; 405</v>
      </c>
      <c r="B335" s="197"/>
      <c r="C335" s="64" t="s">
        <v>203</v>
      </c>
      <c r="D335" s="64">
        <f>(23.05+2.22)*10.764</f>
        <v>272.00628</v>
      </c>
      <c r="E335" s="64">
        <v>0</v>
      </c>
      <c r="F335" s="52">
        <v>420</v>
      </c>
      <c r="G335" s="197"/>
      <c r="H335" s="197"/>
      <c r="I335" s="46">
        <f t="shared" si="23"/>
        <v>1.544081996930365</v>
      </c>
    </row>
    <row r="336" spans="1:13" s="36" customFormat="1" x14ac:dyDescent="0.3">
      <c r="A336" s="197" t="str">
        <f ca="1">(SUMPRODUCT(MID(0&amp;(LEFT(A335,SUM(LEN(A335)-LEN(SUBSTITUTE(A335,{"0","1","2"},""))))), LARGE(INDEX(ISNUMBER(--MID((LEFT(A335,SUM(LEN(A335)-LEN(SUBSTITUTE(A335,{"0","1","2"},""))))), ROW(INDIRECT("1:"&amp;LEN((LEFT(A335,SUM(LEN(A335)-LEN(SUBSTITUTE(A335,{"0","1","2"},"")))))))), 1)) * ROW(INDIRECT("1:"&amp;LEN((LEFT(A335,SUM(LEN(A335)-LEN(SUBSTITUTE(A335,{"0","1","2"},"")))))))), 0), ROW(INDIRECT("1:"&amp;LEN((LEFT(A335,SUM(LEN(A335)-LEN(SUBSTITUTE(A335,{"0","1","2"},"")))))))))+1, 1) * 10^ROW(INDIRECT("1:"&amp;LEN((LEFT(A335,SUM(LEN(A335)-LEN(SUBSTITUTE(A335,{"0","1","2"},""))))))))/10))*1+1&amp;""&amp;" &amp; "&amp;""&amp;(SUMPRODUCT(MID(0&amp;(--TRIM(RIGHT(SUBSTITUTE(LEFT(A335,_xlfn.AGGREGATE(16,6,FIND({0,1,2,3,4,5,6,7,8,9},A335,ROW(INDIRECT("1:"&amp;LEN(A335)))),1))," ",REPT(" ",LEN(A335))),LEN(A335)))), LARGE(INDEX(ISNUMBER(--MID((--TRIM(RIGHT(SUBSTITUTE(LEFT(A335,_xlfn.AGGREGATE(16,6,FIND({0,1,2,3,4,5,6,7,8,9},A335,ROW(INDIRECT("1:"&amp;LEN(A335)))),1))," ",REPT(" ",LEN(A335))),LEN(A335)))), ROW(INDIRECT("1:"&amp;LEN((--TRIM(RIGHT(SUBSTITUTE(LEFT(A335,_xlfn.AGGREGATE(16,6,FIND({0,1,2,3,4,5,6,7,8,9},A335,ROW(INDIRECT("1:"&amp;LEN(A335)))),1))," ",REPT(" ",LEN(A335))),LEN(A335))))))), 1)) * ROW(INDIRECT("1:"&amp;LEN((--TRIM(RIGHT(SUBSTITUTE(LEFT(A335,_xlfn.AGGREGATE(16,6,FIND({0,1,2,3,4,5,6,7,8,9},A335,ROW(INDIRECT("1:"&amp;LEN(A335)))),1))," ",REPT(" ",LEN(A335))),LEN(A335))))))), 0), ROW(INDIRECT("1:"&amp;LEN((--TRIM(RIGHT(SUBSTITUTE(LEFT(A335,_xlfn.AGGREGATE(16,6,FIND({0,1,2,3,4,5,6,7,8,9},A335,ROW(INDIRECT("1:"&amp;LEN(A335)))),1))," ",REPT(" ",LEN(A335))),LEN(A335))))))))+1, 1) * 10^ROW(INDIRECT("1:"&amp;LEN((--TRIM(RIGHT(SUBSTITUTE(LEFT(A335,_xlfn.AGGREGATE(16,6,FIND({0,1,2,3,4,5,6,7,8,9},A335,ROW(INDIRECT("1:"&amp;LEN(A335)))),1))," ",REPT(" ",LEN(A335))),LEN(A335)))))))/10))*1+1</f>
        <v>206 &amp; 406</v>
      </c>
      <c r="B336" s="197"/>
      <c r="C336" s="64" t="s">
        <v>203</v>
      </c>
      <c r="D336" s="64">
        <f>(20.94)*10.764</f>
        <v>225.39815999999999</v>
      </c>
      <c r="E336" s="64">
        <v>0</v>
      </c>
      <c r="F336" s="52">
        <v>345</v>
      </c>
      <c r="G336" s="197"/>
      <c r="H336" s="197"/>
      <c r="I336" s="46">
        <f t="shared" si="23"/>
        <v>1.5306247397937942</v>
      </c>
    </row>
    <row r="337" spans="1:12" s="36" customFormat="1" x14ac:dyDescent="0.3">
      <c r="A337" s="197" t="str">
        <f ca="1">(SUMPRODUCT(MID(0&amp;(LEFT(A336,SUM(LEN(A336)-LEN(SUBSTITUTE(A336,{"0","1","2"},""))))), LARGE(INDEX(ISNUMBER(--MID((LEFT(A336,SUM(LEN(A336)-LEN(SUBSTITUTE(A336,{"0","1","2"},""))))), ROW(INDIRECT("1:"&amp;LEN((LEFT(A336,SUM(LEN(A336)-LEN(SUBSTITUTE(A336,{"0","1","2"},"")))))))), 1)) * ROW(INDIRECT("1:"&amp;LEN((LEFT(A336,SUM(LEN(A336)-LEN(SUBSTITUTE(A336,{"0","1","2"},"")))))))), 0), ROW(INDIRECT("1:"&amp;LEN((LEFT(A336,SUM(LEN(A336)-LEN(SUBSTITUTE(A336,{"0","1","2"},"")))))))))+1, 1) * 10^ROW(INDIRECT("1:"&amp;LEN((LEFT(A336,SUM(LEN(A336)-LEN(SUBSTITUTE(A336,{"0","1","2"},""))))))))/10))*1+1&amp;""&amp;" &amp; "&amp;""&amp;(SUMPRODUCT(MID(0&amp;(--TRIM(RIGHT(SUBSTITUTE(LEFT(A336,_xlfn.AGGREGATE(16,6,FIND({0,1,2,3,4,5,6,7,8,9},A336,ROW(INDIRECT("1:"&amp;LEN(A336)))),1))," ",REPT(" ",LEN(A336))),LEN(A336)))), LARGE(INDEX(ISNUMBER(--MID((--TRIM(RIGHT(SUBSTITUTE(LEFT(A336,_xlfn.AGGREGATE(16,6,FIND({0,1,2,3,4,5,6,7,8,9},A336,ROW(INDIRECT("1:"&amp;LEN(A336)))),1))," ",REPT(" ",LEN(A336))),LEN(A336)))), ROW(INDIRECT("1:"&amp;LEN((--TRIM(RIGHT(SUBSTITUTE(LEFT(A336,_xlfn.AGGREGATE(16,6,FIND({0,1,2,3,4,5,6,7,8,9},A336,ROW(INDIRECT("1:"&amp;LEN(A336)))),1))," ",REPT(" ",LEN(A336))),LEN(A336))))))), 1)) * ROW(INDIRECT("1:"&amp;LEN((--TRIM(RIGHT(SUBSTITUTE(LEFT(A336,_xlfn.AGGREGATE(16,6,FIND({0,1,2,3,4,5,6,7,8,9},A336,ROW(INDIRECT("1:"&amp;LEN(A336)))),1))," ",REPT(" ",LEN(A336))),LEN(A336))))))), 0), ROW(INDIRECT("1:"&amp;LEN((--TRIM(RIGHT(SUBSTITUTE(LEFT(A336,_xlfn.AGGREGATE(16,6,FIND({0,1,2,3,4,5,6,7,8,9},A336,ROW(INDIRECT("1:"&amp;LEN(A336)))),1))," ",REPT(" ",LEN(A336))),LEN(A336))))))))+1, 1) * 10^ROW(INDIRECT("1:"&amp;LEN((--TRIM(RIGHT(SUBSTITUTE(LEFT(A336,_xlfn.AGGREGATE(16,6,FIND({0,1,2,3,4,5,6,7,8,9},A336,ROW(INDIRECT("1:"&amp;LEN(A336)))),1))," ",REPT(" ",LEN(A336))),LEN(A336)))))))/10))*1+1</f>
        <v>207 &amp; 407</v>
      </c>
      <c r="B337" s="197"/>
      <c r="C337" s="64" t="s">
        <v>195</v>
      </c>
      <c r="D337" s="64">
        <f>(29)*10.764</f>
        <v>312.15600000000001</v>
      </c>
      <c r="E337" s="64">
        <v>0</v>
      </c>
      <c r="F337" s="52">
        <v>480</v>
      </c>
      <c r="G337" s="197"/>
      <c r="H337" s="197"/>
      <c r="I337" s="46">
        <f t="shared" si="23"/>
        <v>1.5376926921154808</v>
      </c>
    </row>
    <row r="338" spans="1:12" s="36" customFormat="1" x14ac:dyDescent="0.3">
      <c r="A338" s="196" t="s">
        <v>214</v>
      </c>
      <c r="B338" s="196"/>
      <c r="C338" s="196"/>
      <c r="D338" s="196"/>
      <c r="E338" s="196"/>
      <c r="F338" s="196"/>
      <c r="G338" s="196"/>
      <c r="H338" s="196"/>
      <c r="I338" s="46" t="e">
        <f t="shared" si="23"/>
        <v>#DIV/0!</v>
      </c>
      <c r="J338" s="35"/>
    </row>
    <row r="339" spans="1:12" s="36" customFormat="1" ht="15.75" customHeight="1" x14ac:dyDescent="0.3">
      <c r="A339" s="196" t="s">
        <v>191</v>
      </c>
      <c r="B339" s="196"/>
      <c r="C339" s="196"/>
      <c r="D339" s="196"/>
      <c r="E339" s="196"/>
      <c r="F339" s="196"/>
      <c r="G339" s="196"/>
      <c r="H339" s="196"/>
      <c r="I339" s="46" t="e">
        <f t="shared" si="23"/>
        <v>#DIV/0!</v>
      </c>
      <c r="J339" s="35"/>
    </row>
    <row r="340" spans="1:12" s="36" customFormat="1" ht="15.75" customHeight="1" x14ac:dyDescent="0.3">
      <c r="A340" s="196" t="s">
        <v>198</v>
      </c>
      <c r="B340" s="196"/>
      <c r="C340" s="196"/>
      <c r="D340" s="196"/>
      <c r="E340" s="196"/>
      <c r="F340" s="196"/>
      <c r="G340" s="196"/>
      <c r="H340" s="196"/>
      <c r="I340" s="46" t="e">
        <f t="shared" si="23"/>
        <v>#DIV/0!</v>
      </c>
      <c r="J340" s="35"/>
    </row>
    <row r="341" spans="1:12" s="36" customFormat="1" x14ac:dyDescent="0.3">
      <c r="A341" s="196" t="s">
        <v>199</v>
      </c>
      <c r="B341" s="196"/>
      <c r="C341" s="196"/>
      <c r="D341" s="196"/>
      <c r="E341" s="196"/>
      <c r="F341" s="196"/>
      <c r="G341" s="196"/>
      <c r="H341" s="196"/>
      <c r="I341" s="46" t="e">
        <f t="shared" si="23"/>
        <v>#DIV/0!</v>
      </c>
    </row>
    <row r="342" spans="1:12" s="36" customFormat="1" ht="15.75" customHeight="1" x14ac:dyDescent="0.3">
      <c r="A342" s="51" t="s">
        <v>215</v>
      </c>
      <c r="B342" s="64" t="str">
        <f ca="1">(SUMPRODUCT(MID(0&amp;(LEFT(A341,SUM(LEN(A341)-LEN(SUBSTITUTE(A341,{"0","1","2"},""))))), LARGE(INDEX(ISNUMBER(--MID((LEFT(A341,SUM(LEN(A341)-LEN(SUBSTITUTE(A341,{"0","1","2"},""))))), ROW(INDIRECT("1:"&amp;LEN((LEFT(A341,SUM(LEN(A341)-LEN(SUBSTITUTE(A341,{"0","1","2"},"")))))))), 1)) * ROW(INDIRECT("1:"&amp;LEN((LEFT(A341,SUM(LEN(A341)-LEN(SUBSTITUTE(A341,{"0","1","2"},"")))))))), 0), ROW(INDIRECT("1:"&amp;LEN((LEFT(A341,SUM(LEN(A341)-LEN(SUBSTITUTE(A341,{"0","1","2"},"")))))))))+1, 1) * 10^ROW(INDIRECT("1:"&amp;LEN((LEFT(A341,SUM(LEN(A341)-LEN(SUBSTITUTE(A341,{"0","1","2"},""))))))))/10))*100+1&amp;""&amp;" &amp; "&amp;""&amp;(SUMPRODUCT(MID(0&amp;(--TRIM(RIGHT(SUBSTITUTE(LEFT(A341,_xlfn.AGGREGATE(16,6,FIND({0,1,2,3,4,5,6,7,8,9},A341,ROW(INDIRECT("1:"&amp;LEN(A341)))),1))," ",REPT(" ",LEN(A341))),LEN(A341)))), LARGE(INDEX(ISNUMBER(--MID((--TRIM(RIGHT(SUBSTITUTE(LEFT(A341,_xlfn.AGGREGATE(16,6,FIND({0,1,2,3,4,5,6,7,8,9},A341,ROW(INDIRECT("1:"&amp;LEN(A341)))),1))," ",REPT(" ",LEN(A341))),LEN(A341)))), ROW(INDIRECT("1:"&amp;LEN((--TRIM(RIGHT(SUBSTITUTE(LEFT(A341,_xlfn.AGGREGATE(16,6,FIND({0,1,2,3,4,5,6,7,8,9},A341,ROW(INDIRECT("1:"&amp;LEN(A341)))),1))," ",REPT(" ",LEN(A341))),LEN(A341))))))), 1)) * ROW(INDIRECT("1:"&amp;LEN((--TRIM(RIGHT(SUBSTITUTE(LEFT(A341,_xlfn.AGGREGATE(16,6,FIND({0,1,2,3,4,5,6,7,8,9},A341,ROW(INDIRECT("1:"&amp;LEN(A341)))),1))," ",REPT(" ",LEN(A341))),LEN(A341))))))), 0), ROW(INDIRECT("1:"&amp;LEN((--TRIM(RIGHT(SUBSTITUTE(LEFT(A341,_xlfn.AGGREGATE(16,6,FIND({0,1,2,3,4,5,6,7,8,9},A341,ROW(INDIRECT("1:"&amp;LEN(A341)))),1))," ",REPT(" ",LEN(A341))),LEN(A341))))))))+1, 1) * 10^ROW(INDIRECT("1:"&amp;LEN((--TRIM(RIGHT(SUBSTITUTE(LEFT(A341,_xlfn.AGGREGATE(16,6,FIND({0,1,2,3,4,5,6,7,8,9},A341,ROW(INDIRECT("1:"&amp;LEN(A341)))),1))," ",REPT(" ",LEN(A341))),LEN(A341)))))))/10))*100+1</f>
        <v>101 &amp; 301</v>
      </c>
      <c r="C342" s="64" t="s">
        <v>195</v>
      </c>
      <c r="D342" s="64">
        <f>(32.67+5.87)*10.764</f>
        <v>414.84455999999994</v>
      </c>
      <c r="E342" s="64">
        <f>(2.73)*10.764</f>
        <v>29.385719999999999</v>
      </c>
      <c r="F342" s="64">
        <f>1.54*D342+E342</f>
        <v>668.24634239999989</v>
      </c>
      <c r="G342" s="197" t="str">
        <f>A341</f>
        <v>1st &amp; 3rd Floor</v>
      </c>
      <c r="H342" s="197"/>
      <c r="I342" s="46">
        <f t="shared" si="23"/>
        <v>1.6108354955889983</v>
      </c>
      <c r="J342" s="46"/>
      <c r="L342" s="45"/>
    </row>
    <row r="343" spans="1:12" s="36" customFormat="1" ht="15.75" customHeight="1" x14ac:dyDescent="0.3">
      <c r="A343" s="51" t="s">
        <v>215</v>
      </c>
      <c r="B343" s="64" t="str">
        <f ca="1">(SUMPRODUCT(MID(0&amp;(LEFT(B342,SUM(LEN(B342)-LEN(SUBSTITUTE(B342,{"0","1","2"},""))))), LARGE(INDEX(ISNUMBER(--MID((LEFT(B342,SUM(LEN(B342)-LEN(SUBSTITUTE(B342,{"0","1","2"},""))))), ROW(INDIRECT("1:"&amp;LEN((LEFT(B342,SUM(LEN(B342)-LEN(SUBSTITUTE(B342,{"0","1","2"},"")))))))), 1)) * ROW(INDIRECT("1:"&amp;LEN((LEFT(B342,SUM(LEN(B342)-LEN(SUBSTITUTE(B342,{"0","1","2"},"")))))))), 0), ROW(INDIRECT("1:"&amp;LEN((LEFT(B342,SUM(LEN(B342)-LEN(SUBSTITUTE(B342,{"0","1","2"},"")))))))))+1, 1) * 10^ROW(INDIRECT("1:"&amp;LEN((LEFT(B342,SUM(LEN(B342)-LEN(SUBSTITUTE(B342,{"0","1","2"},""))))))))/10))*1+1&amp;""&amp;" &amp; "&amp;""&amp;(SUMPRODUCT(MID(0&amp;(--TRIM(RIGHT(SUBSTITUTE(LEFT(B342,_xlfn.AGGREGATE(16,6,FIND({0,1,2,3,4,5,6,7,8,9},B342,ROW(INDIRECT("1:"&amp;LEN(B342)))),1))," ",REPT(" ",LEN(B342))),LEN(B342)))), LARGE(INDEX(ISNUMBER(--MID((--TRIM(RIGHT(SUBSTITUTE(LEFT(B342,_xlfn.AGGREGATE(16,6,FIND({0,1,2,3,4,5,6,7,8,9},B342,ROW(INDIRECT("1:"&amp;LEN(B342)))),1))," ",REPT(" ",LEN(B342))),LEN(B342)))), ROW(INDIRECT("1:"&amp;LEN((--TRIM(RIGHT(SUBSTITUTE(LEFT(B342,_xlfn.AGGREGATE(16,6,FIND({0,1,2,3,4,5,6,7,8,9},B342,ROW(INDIRECT("1:"&amp;LEN(B342)))),1))," ",REPT(" ",LEN(B342))),LEN(B342))))))), 1)) * ROW(INDIRECT("1:"&amp;LEN((--TRIM(RIGHT(SUBSTITUTE(LEFT(B342,_xlfn.AGGREGATE(16,6,FIND({0,1,2,3,4,5,6,7,8,9},B342,ROW(INDIRECT("1:"&amp;LEN(B342)))),1))," ",REPT(" ",LEN(B342))),LEN(B342))))))), 0), ROW(INDIRECT("1:"&amp;LEN((--TRIM(RIGHT(SUBSTITUTE(LEFT(B342,_xlfn.AGGREGATE(16,6,FIND({0,1,2,3,4,5,6,7,8,9},B342,ROW(INDIRECT("1:"&amp;LEN(B342)))),1))," ",REPT(" ",LEN(B342))),LEN(B342))))))))+1, 1) * 10^ROW(INDIRECT("1:"&amp;LEN((--TRIM(RIGHT(SUBSTITUTE(LEFT(B342,_xlfn.AGGREGATE(16,6,FIND({0,1,2,3,4,5,6,7,8,9},B342,ROW(INDIRECT("1:"&amp;LEN(B342)))),1))," ",REPT(" ",LEN(B342))),LEN(B342)))))))/10))*1+1</f>
        <v>102 &amp; 302</v>
      </c>
      <c r="C343" s="64" t="s">
        <v>195</v>
      </c>
      <c r="D343" s="64">
        <f>(37.53+2.5)*10.764</f>
        <v>430.88292000000001</v>
      </c>
      <c r="E343" s="64">
        <f>(1.9)*10.764</f>
        <v>20.451599999999999</v>
      </c>
      <c r="F343" s="64">
        <f t="shared" ref="F343:F345" si="24">1.54*D343+E343</f>
        <v>684.01129679999997</v>
      </c>
      <c r="G343" s="197"/>
      <c r="H343" s="197"/>
      <c r="I343" s="46">
        <f t="shared" si="23"/>
        <v>1.5874644016987258</v>
      </c>
    </row>
    <row r="344" spans="1:12" s="36" customFormat="1" ht="15.75" customHeight="1" x14ac:dyDescent="0.3">
      <c r="A344" s="51" t="s">
        <v>215</v>
      </c>
      <c r="B344" s="64" t="str">
        <f ca="1">(SUMPRODUCT(MID(0&amp;(LEFT(B343,SUM(LEN(B343)-LEN(SUBSTITUTE(B343,{"0","1","2"},""))))), LARGE(INDEX(ISNUMBER(--MID((LEFT(B343,SUM(LEN(B343)-LEN(SUBSTITUTE(B343,{"0","1","2"},""))))), ROW(INDIRECT("1:"&amp;LEN((LEFT(B343,SUM(LEN(B343)-LEN(SUBSTITUTE(B343,{"0","1","2"},"")))))))), 1)) * ROW(INDIRECT("1:"&amp;LEN((LEFT(B343,SUM(LEN(B343)-LEN(SUBSTITUTE(B343,{"0","1","2"},"")))))))), 0), ROW(INDIRECT("1:"&amp;LEN((LEFT(B343,SUM(LEN(B343)-LEN(SUBSTITUTE(B343,{"0","1","2"},"")))))))))+1, 1) * 10^ROW(INDIRECT("1:"&amp;LEN((LEFT(B343,SUM(LEN(B343)-LEN(SUBSTITUTE(B343,{"0","1","2"},""))))))))/10))*1+1&amp;""&amp;" &amp; "&amp;""&amp;(SUMPRODUCT(MID(0&amp;(--TRIM(RIGHT(SUBSTITUTE(LEFT(B343,_xlfn.AGGREGATE(16,6,FIND({0,1,2,3,4,5,6,7,8,9},B343,ROW(INDIRECT("1:"&amp;LEN(B343)))),1))," ",REPT(" ",LEN(B343))),LEN(B343)))), LARGE(INDEX(ISNUMBER(--MID((--TRIM(RIGHT(SUBSTITUTE(LEFT(B343,_xlfn.AGGREGATE(16,6,FIND({0,1,2,3,4,5,6,7,8,9},B343,ROW(INDIRECT("1:"&amp;LEN(B343)))),1))," ",REPT(" ",LEN(B343))),LEN(B343)))), ROW(INDIRECT("1:"&amp;LEN((--TRIM(RIGHT(SUBSTITUTE(LEFT(B343,_xlfn.AGGREGATE(16,6,FIND({0,1,2,3,4,5,6,7,8,9},B343,ROW(INDIRECT("1:"&amp;LEN(B343)))),1))," ",REPT(" ",LEN(B343))),LEN(B343))))))), 1)) * ROW(INDIRECT("1:"&amp;LEN((--TRIM(RIGHT(SUBSTITUTE(LEFT(B343,_xlfn.AGGREGATE(16,6,FIND({0,1,2,3,4,5,6,7,8,9},B343,ROW(INDIRECT("1:"&amp;LEN(B343)))),1))," ",REPT(" ",LEN(B343))),LEN(B343))))))), 0), ROW(INDIRECT("1:"&amp;LEN((--TRIM(RIGHT(SUBSTITUTE(LEFT(B343,_xlfn.AGGREGATE(16,6,FIND({0,1,2,3,4,5,6,7,8,9},B343,ROW(INDIRECT("1:"&amp;LEN(B343)))),1))," ",REPT(" ",LEN(B343))),LEN(B343))))))))+1, 1) * 10^ROW(INDIRECT("1:"&amp;LEN((--TRIM(RIGHT(SUBSTITUTE(LEFT(B343,_xlfn.AGGREGATE(16,6,FIND({0,1,2,3,4,5,6,7,8,9},B343,ROW(INDIRECT("1:"&amp;LEN(B343)))),1))," ",REPT(" ",LEN(B343))),LEN(B343)))))))/10))*1+1</f>
        <v>103 &amp; 303</v>
      </c>
      <c r="C344" s="64" t="s">
        <v>195</v>
      </c>
      <c r="D344" s="64">
        <f>(34.66+5.9)*10.764</f>
        <v>436.58783999999991</v>
      </c>
      <c r="E344" s="64">
        <f>(2.9)*10.764</f>
        <v>31.215599999999998</v>
      </c>
      <c r="F344" s="64">
        <f t="shared" si="24"/>
        <v>703.56087359999992</v>
      </c>
      <c r="G344" s="197"/>
      <c r="H344" s="197"/>
      <c r="I344" s="46">
        <f t="shared" si="23"/>
        <v>1.6114990138067062</v>
      </c>
    </row>
    <row r="345" spans="1:12" s="36" customFormat="1" ht="15.75" customHeight="1" x14ac:dyDescent="0.3">
      <c r="A345" s="51" t="s">
        <v>215</v>
      </c>
      <c r="B345" s="64" t="str">
        <f ca="1">(SUMPRODUCT(MID(0&amp;(LEFT(B344,SUM(LEN(B344)-LEN(SUBSTITUTE(B344,{"0","1","2"},""))))), LARGE(INDEX(ISNUMBER(--MID((LEFT(B344,SUM(LEN(B344)-LEN(SUBSTITUTE(B344,{"0","1","2"},""))))), ROW(INDIRECT("1:"&amp;LEN((LEFT(B344,SUM(LEN(B344)-LEN(SUBSTITUTE(B344,{"0","1","2"},"")))))))), 1)) * ROW(INDIRECT("1:"&amp;LEN((LEFT(B344,SUM(LEN(B344)-LEN(SUBSTITUTE(B344,{"0","1","2"},"")))))))), 0), ROW(INDIRECT("1:"&amp;LEN((LEFT(B344,SUM(LEN(B344)-LEN(SUBSTITUTE(B344,{"0","1","2"},"")))))))))+1, 1) * 10^ROW(INDIRECT("1:"&amp;LEN((LEFT(B344,SUM(LEN(B344)-LEN(SUBSTITUTE(B344,{"0","1","2"},""))))))))/10))*1+1&amp;""&amp;" &amp; "&amp;""&amp;(SUMPRODUCT(MID(0&amp;(--TRIM(RIGHT(SUBSTITUTE(LEFT(B344,_xlfn.AGGREGATE(16,6,FIND({0,1,2,3,4,5,6,7,8,9},B344,ROW(INDIRECT("1:"&amp;LEN(B344)))),1))," ",REPT(" ",LEN(B344))),LEN(B344)))), LARGE(INDEX(ISNUMBER(--MID((--TRIM(RIGHT(SUBSTITUTE(LEFT(B344,_xlfn.AGGREGATE(16,6,FIND({0,1,2,3,4,5,6,7,8,9},B344,ROW(INDIRECT("1:"&amp;LEN(B344)))),1))," ",REPT(" ",LEN(B344))),LEN(B344)))), ROW(INDIRECT("1:"&amp;LEN((--TRIM(RIGHT(SUBSTITUTE(LEFT(B344,_xlfn.AGGREGATE(16,6,FIND({0,1,2,3,4,5,6,7,8,9},B344,ROW(INDIRECT("1:"&amp;LEN(B344)))),1))," ",REPT(" ",LEN(B344))),LEN(B344))))))), 1)) * ROW(INDIRECT("1:"&amp;LEN((--TRIM(RIGHT(SUBSTITUTE(LEFT(B344,_xlfn.AGGREGATE(16,6,FIND({0,1,2,3,4,5,6,7,8,9},B344,ROW(INDIRECT("1:"&amp;LEN(B344)))),1))," ",REPT(" ",LEN(B344))),LEN(B344))))))), 0), ROW(INDIRECT("1:"&amp;LEN((--TRIM(RIGHT(SUBSTITUTE(LEFT(B344,_xlfn.AGGREGATE(16,6,FIND({0,1,2,3,4,5,6,7,8,9},B344,ROW(INDIRECT("1:"&amp;LEN(B344)))),1))," ",REPT(" ",LEN(B344))),LEN(B344))))))))+1, 1) * 10^ROW(INDIRECT("1:"&amp;LEN((--TRIM(RIGHT(SUBSTITUTE(LEFT(B344,_xlfn.AGGREGATE(16,6,FIND({0,1,2,3,4,5,6,7,8,9},B344,ROW(INDIRECT("1:"&amp;LEN(B344)))),1))," ",REPT(" ",LEN(B344))),LEN(B344)))))))/10))*1+1</f>
        <v>104 &amp; 304</v>
      </c>
      <c r="C345" s="64" t="s">
        <v>195</v>
      </c>
      <c r="D345" s="64">
        <f>(32.63+6.38)*10.764</f>
        <v>419.90364000000005</v>
      </c>
      <c r="E345" s="64">
        <f>(3.56)*10.764</f>
        <v>38.319839999999999</v>
      </c>
      <c r="F345" s="64">
        <f t="shared" si="24"/>
        <v>684.97144560000015</v>
      </c>
      <c r="G345" s="197"/>
      <c r="H345" s="197"/>
      <c r="I345" s="46">
        <f t="shared" si="23"/>
        <v>1.6312586516277878</v>
      </c>
    </row>
    <row r="346" spans="1:12" s="36" customFormat="1" x14ac:dyDescent="0.3">
      <c r="A346" s="196" t="s">
        <v>205</v>
      </c>
      <c r="B346" s="196"/>
      <c r="C346" s="196"/>
      <c r="D346" s="196"/>
      <c r="E346" s="196"/>
      <c r="F346" s="196"/>
      <c r="G346" s="196"/>
      <c r="H346" s="196"/>
      <c r="I346" s="46" t="e">
        <f t="shared" si="23"/>
        <v>#DIV/0!</v>
      </c>
    </row>
    <row r="347" spans="1:12" s="36" customFormat="1" ht="15.75" customHeight="1" x14ac:dyDescent="0.3">
      <c r="A347" s="51" t="s">
        <v>215</v>
      </c>
      <c r="B347" s="64" t="str">
        <f ca="1">(SUMPRODUCT(MID(0&amp;(LEFT(A346,SUM(LEN(A346)-LEN(SUBSTITUTE(A346,{"0","1","2"},""))))), LARGE(INDEX(ISNUMBER(--MID((LEFT(A346,SUM(LEN(A346)-LEN(SUBSTITUTE(A346,{"0","1","2"},""))))), ROW(INDIRECT("1:"&amp;LEN((LEFT(A346,SUM(LEN(A346)-LEN(SUBSTITUTE(A346,{"0","1","2"},"")))))))), 1)) * ROW(INDIRECT("1:"&amp;LEN((LEFT(A346,SUM(LEN(A346)-LEN(SUBSTITUTE(A346,{"0","1","2"},"")))))))), 0), ROW(INDIRECT("1:"&amp;LEN((LEFT(A346,SUM(LEN(A346)-LEN(SUBSTITUTE(A346,{"0","1","2"},"")))))))))+1, 1) * 10^ROW(INDIRECT("1:"&amp;LEN((LEFT(A346,SUM(LEN(A346)-LEN(SUBSTITUTE(A346,{"0","1","2"},""))))))))/10))*100+1&amp;""&amp;" &amp; "&amp;""&amp;(SUMPRODUCT(MID(0&amp;(--TRIM(RIGHT(SUBSTITUTE(LEFT(A346,_xlfn.AGGREGATE(16,6,FIND({0,1,2,3,4,5,6,7,8,9},A346,ROW(INDIRECT("1:"&amp;LEN(A346)))),1))," ",REPT(" ",LEN(A346))),LEN(A346)))), LARGE(INDEX(ISNUMBER(--MID((--TRIM(RIGHT(SUBSTITUTE(LEFT(A346,_xlfn.AGGREGATE(16,6,FIND({0,1,2,3,4,5,6,7,8,9},A346,ROW(INDIRECT("1:"&amp;LEN(A346)))),1))," ",REPT(" ",LEN(A346))),LEN(A346)))), ROW(INDIRECT("1:"&amp;LEN((--TRIM(RIGHT(SUBSTITUTE(LEFT(A346,_xlfn.AGGREGATE(16,6,FIND({0,1,2,3,4,5,6,7,8,9},A346,ROW(INDIRECT("1:"&amp;LEN(A346)))),1))," ",REPT(" ",LEN(A346))),LEN(A346))))))), 1)) * ROW(INDIRECT("1:"&amp;LEN((--TRIM(RIGHT(SUBSTITUTE(LEFT(A346,_xlfn.AGGREGATE(16,6,FIND({0,1,2,3,4,5,6,7,8,9},A346,ROW(INDIRECT("1:"&amp;LEN(A346)))),1))," ",REPT(" ",LEN(A346))),LEN(A346))))))), 0), ROW(INDIRECT("1:"&amp;LEN((--TRIM(RIGHT(SUBSTITUTE(LEFT(A346,_xlfn.AGGREGATE(16,6,FIND({0,1,2,3,4,5,6,7,8,9},A346,ROW(INDIRECT("1:"&amp;LEN(A346)))),1))," ",REPT(" ",LEN(A346))),LEN(A346))))))))+1, 1) * 10^ROW(INDIRECT("1:"&amp;LEN((--TRIM(RIGHT(SUBSTITUTE(LEFT(A346,_xlfn.AGGREGATE(16,6,FIND({0,1,2,3,4,5,6,7,8,9},A346,ROW(INDIRECT("1:"&amp;LEN(A346)))),1))," ",REPT(" ",LEN(A346))),LEN(A346)))))))/10))*100+1</f>
        <v>201 &amp; 401</v>
      </c>
      <c r="C347" s="64" t="s">
        <v>195</v>
      </c>
      <c r="D347" s="64">
        <f>(32.53+5.87)*10.764</f>
        <v>413.33759999999995</v>
      </c>
      <c r="E347" s="64">
        <v>0</v>
      </c>
      <c r="F347" s="64">
        <f t="shared" ref="F347:F350" si="25">1.54*D347+E347</f>
        <v>636.53990399999998</v>
      </c>
      <c r="G347" s="197" t="str">
        <f>A346</f>
        <v>2nd &amp; 4th Floor</v>
      </c>
      <c r="H347" s="197"/>
      <c r="I347" s="46">
        <f t="shared" si="23"/>
        <v>1.54</v>
      </c>
    </row>
    <row r="348" spans="1:12" s="36" customFormat="1" ht="15.75" customHeight="1" x14ac:dyDescent="0.3">
      <c r="A348" s="51" t="s">
        <v>215</v>
      </c>
      <c r="B348" s="64" t="str">
        <f ca="1">(SUMPRODUCT(MID(0&amp;(LEFT(B347,SUM(LEN(B347)-LEN(SUBSTITUTE(B347,{"0","1","2"},""))))), LARGE(INDEX(ISNUMBER(--MID((LEFT(B347,SUM(LEN(B347)-LEN(SUBSTITUTE(B347,{"0","1","2"},""))))), ROW(INDIRECT("1:"&amp;LEN((LEFT(B347,SUM(LEN(B347)-LEN(SUBSTITUTE(B347,{"0","1","2"},"")))))))), 1)) * ROW(INDIRECT("1:"&amp;LEN((LEFT(B347,SUM(LEN(B347)-LEN(SUBSTITUTE(B347,{"0","1","2"},"")))))))), 0), ROW(INDIRECT("1:"&amp;LEN((LEFT(B347,SUM(LEN(B347)-LEN(SUBSTITUTE(B347,{"0","1","2"},"")))))))))+1, 1) * 10^ROW(INDIRECT("1:"&amp;LEN((LEFT(B347,SUM(LEN(B347)-LEN(SUBSTITUTE(B347,{"0","1","2"},""))))))))/10))*1+1&amp;""&amp;" &amp; "&amp;""&amp;(SUMPRODUCT(MID(0&amp;(--TRIM(RIGHT(SUBSTITUTE(LEFT(B347,_xlfn.AGGREGATE(16,6,FIND({0,1,2,3,4,5,6,7,8,9},B347,ROW(INDIRECT("1:"&amp;LEN(B347)))),1))," ",REPT(" ",LEN(B347))),LEN(B347)))), LARGE(INDEX(ISNUMBER(--MID((--TRIM(RIGHT(SUBSTITUTE(LEFT(B347,_xlfn.AGGREGATE(16,6,FIND({0,1,2,3,4,5,6,7,8,9},B347,ROW(INDIRECT("1:"&amp;LEN(B347)))),1))," ",REPT(" ",LEN(B347))),LEN(B347)))), ROW(INDIRECT("1:"&amp;LEN((--TRIM(RIGHT(SUBSTITUTE(LEFT(B347,_xlfn.AGGREGATE(16,6,FIND({0,1,2,3,4,5,6,7,8,9},B347,ROW(INDIRECT("1:"&amp;LEN(B347)))),1))," ",REPT(" ",LEN(B347))),LEN(B347))))))), 1)) * ROW(INDIRECT("1:"&amp;LEN((--TRIM(RIGHT(SUBSTITUTE(LEFT(B347,_xlfn.AGGREGATE(16,6,FIND({0,1,2,3,4,5,6,7,8,9},B347,ROW(INDIRECT("1:"&amp;LEN(B347)))),1))," ",REPT(" ",LEN(B347))),LEN(B347))))))), 0), ROW(INDIRECT("1:"&amp;LEN((--TRIM(RIGHT(SUBSTITUTE(LEFT(B347,_xlfn.AGGREGATE(16,6,FIND({0,1,2,3,4,5,6,7,8,9},B347,ROW(INDIRECT("1:"&amp;LEN(B347)))),1))," ",REPT(" ",LEN(B347))),LEN(B347))))))))+1, 1) * 10^ROW(INDIRECT("1:"&amp;LEN((--TRIM(RIGHT(SUBSTITUTE(LEFT(B347,_xlfn.AGGREGATE(16,6,FIND({0,1,2,3,4,5,6,7,8,9},B347,ROW(INDIRECT("1:"&amp;LEN(B347)))),1))," ",REPT(" ",LEN(B347))),LEN(B347)))))))/10))*1+1</f>
        <v>202 &amp; 402</v>
      </c>
      <c r="C348" s="64" t="s">
        <v>195</v>
      </c>
      <c r="D348" s="64">
        <f>(37.53+2.5)*10.764</f>
        <v>430.88292000000001</v>
      </c>
      <c r="E348" s="64">
        <v>0</v>
      </c>
      <c r="F348" s="64">
        <f t="shared" si="25"/>
        <v>663.55969679999998</v>
      </c>
      <c r="G348" s="197"/>
      <c r="H348" s="197"/>
      <c r="I348" s="46">
        <f t="shared" si="23"/>
        <v>1.5399999999999998</v>
      </c>
    </row>
    <row r="349" spans="1:12" s="36" customFormat="1" ht="15.75" customHeight="1" x14ac:dyDescent="0.3">
      <c r="A349" s="51" t="s">
        <v>215</v>
      </c>
      <c r="B349" s="64" t="str">
        <f ca="1">(SUMPRODUCT(MID(0&amp;(LEFT(B348,SUM(LEN(B348)-LEN(SUBSTITUTE(B348,{"0","1","2"},""))))), LARGE(INDEX(ISNUMBER(--MID((LEFT(B348,SUM(LEN(B348)-LEN(SUBSTITUTE(B348,{"0","1","2"},""))))), ROW(INDIRECT("1:"&amp;LEN((LEFT(B348,SUM(LEN(B348)-LEN(SUBSTITUTE(B348,{"0","1","2"},"")))))))), 1)) * ROW(INDIRECT("1:"&amp;LEN((LEFT(B348,SUM(LEN(B348)-LEN(SUBSTITUTE(B348,{"0","1","2"},"")))))))), 0), ROW(INDIRECT("1:"&amp;LEN((LEFT(B348,SUM(LEN(B348)-LEN(SUBSTITUTE(B348,{"0","1","2"},"")))))))))+1, 1) * 10^ROW(INDIRECT("1:"&amp;LEN((LEFT(B348,SUM(LEN(B348)-LEN(SUBSTITUTE(B348,{"0","1","2"},""))))))))/10))*1+1&amp;""&amp;" &amp; "&amp;""&amp;(SUMPRODUCT(MID(0&amp;(--TRIM(RIGHT(SUBSTITUTE(LEFT(B348,_xlfn.AGGREGATE(16,6,FIND({0,1,2,3,4,5,6,7,8,9},B348,ROW(INDIRECT("1:"&amp;LEN(B348)))),1))," ",REPT(" ",LEN(B348))),LEN(B348)))), LARGE(INDEX(ISNUMBER(--MID((--TRIM(RIGHT(SUBSTITUTE(LEFT(B348,_xlfn.AGGREGATE(16,6,FIND({0,1,2,3,4,5,6,7,8,9},B348,ROW(INDIRECT("1:"&amp;LEN(B348)))),1))," ",REPT(" ",LEN(B348))),LEN(B348)))), ROW(INDIRECT("1:"&amp;LEN((--TRIM(RIGHT(SUBSTITUTE(LEFT(B348,_xlfn.AGGREGATE(16,6,FIND({0,1,2,3,4,5,6,7,8,9},B348,ROW(INDIRECT("1:"&amp;LEN(B348)))),1))," ",REPT(" ",LEN(B348))),LEN(B348))))))), 1)) * ROW(INDIRECT("1:"&amp;LEN((--TRIM(RIGHT(SUBSTITUTE(LEFT(B348,_xlfn.AGGREGATE(16,6,FIND({0,1,2,3,4,5,6,7,8,9},B348,ROW(INDIRECT("1:"&amp;LEN(B348)))),1))," ",REPT(" ",LEN(B348))),LEN(B348))))))), 0), ROW(INDIRECT("1:"&amp;LEN((--TRIM(RIGHT(SUBSTITUTE(LEFT(B348,_xlfn.AGGREGATE(16,6,FIND({0,1,2,3,4,5,6,7,8,9},B348,ROW(INDIRECT("1:"&amp;LEN(B348)))),1))," ",REPT(" ",LEN(B348))),LEN(B348))))))))+1, 1) * 10^ROW(INDIRECT("1:"&amp;LEN((--TRIM(RIGHT(SUBSTITUTE(LEFT(B348,_xlfn.AGGREGATE(16,6,FIND({0,1,2,3,4,5,6,7,8,9},B348,ROW(INDIRECT("1:"&amp;LEN(B348)))),1))," ",REPT(" ",LEN(B348))),LEN(B348)))))))/10))*1+1</f>
        <v>203 &amp; 403</v>
      </c>
      <c r="C349" s="64" t="s">
        <v>195</v>
      </c>
      <c r="D349" s="64">
        <f>(34.52+5.9)*10.764</f>
        <v>435.08087999999998</v>
      </c>
      <c r="E349" s="64">
        <v>0</v>
      </c>
      <c r="F349" s="64">
        <f t="shared" si="25"/>
        <v>670.02455520000001</v>
      </c>
      <c r="G349" s="197"/>
      <c r="H349" s="197"/>
      <c r="I349" s="46">
        <f t="shared" si="23"/>
        <v>1.54</v>
      </c>
    </row>
    <row r="350" spans="1:12" s="36" customFormat="1" ht="15.75" customHeight="1" x14ac:dyDescent="0.3">
      <c r="A350" s="51" t="s">
        <v>215</v>
      </c>
      <c r="B350" s="64" t="str">
        <f ca="1">(SUMPRODUCT(MID(0&amp;(LEFT(B349,SUM(LEN(B349)-LEN(SUBSTITUTE(B349,{"0","1","2"},""))))), LARGE(INDEX(ISNUMBER(--MID((LEFT(B349,SUM(LEN(B349)-LEN(SUBSTITUTE(B349,{"0","1","2"},""))))), ROW(INDIRECT("1:"&amp;LEN((LEFT(B349,SUM(LEN(B349)-LEN(SUBSTITUTE(B349,{"0","1","2"},"")))))))), 1)) * ROW(INDIRECT("1:"&amp;LEN((LEFT(B349,SUM(LEN(B349)-LEN(SUBSTITUTE(B349,{"0","1","2"},"")))))))), 0), ROW(INDIRECT("1:"&amp;LEN((LEFT(B349,SUM(LEN(B349)-LEN(SUBSTITUTE(B349,{"0","1","2"},"")))))))))+1, 1) * 10^ROW(INDIRECT("1:"&amp;LEN((LEFT(B349,SUM(LEN(B349)-LEN(SUBSTITUTE(B349,{"0","1","2"},""))))))))/10))*1+1&amp;""&amp;" &amp; "&amp;""&amp;(SUMPRODUCT(MID(0&amp;(--TRIM(RIGHT(SUBSTITUTE(LEFT(B349,_xlfn.AGGREGATE(16,6,FIND({0,1,2,3,4,5,6,7,8,9},B349,ROW(INDIRECT("1:"&amp;LEN(B349)))),1))," ",REPT(" ",LEN(B349))),LEN(B349)))), LARGE(INDEX(ISNUMBER(--MID((--TRIM(RIGHT(SUBSTITUTE(LEFT(B349,_xlfn.AGGREGATE(16,6,FIND({0,1,2,3,4,5,6,7,8,9},B349,ROW(INDIRECT("1:"&amp;LEN(B349)))),1))," ",REPT(" ",LEN(B349))),LEN(B349)))), ROW(INDIRECT("1:"&amp;LEN((--TRIM(RIGHT(SUBSTITUTE(LEFT(B349,_xlfn.AGGREGATE(16,6,FIND({0,1,2,3,4,5,6,7,8,9},B349,ROW(INDIRECT("1:"&amp;LEN(B349)))),1))," ",REPT(" ",LEN(B349))),LEN(B349))))))), 1)) * ROW(INDIRECT("1:"&amp;LEN((--TRIM(RIGHT(SUBSTITUTE(LEFT(B349,_xlfn.AGGREGATE(16,6,FIND({0,1,2,3,4,5,6,7,8,9},B349,ROW(INDIRECT("1:"&amp;LEN(B349)))),1))," ",REPT(" ",LEN(B349))),LEN(B349))))))), 0), ROW(INDIRECT("1:"&amp;LEN((--TRIM(RIGHT(SUBSTITUTE(LEFT(B349,_xlfn.AGGREGATE(16,6,FIND({0,1,2,3,4,5,6,7,8,9},B349,ROW(INDIRECT("1:"&amp;LEN(B349)))),1))," ",REPT(" ",LEN(B349))),LEN(B349))))))))+1, 1) * 10^ROW(INDIRECT("1:"&amp;LEN((--TRIM(RIGHT(SUBSTITUTE(LEFT(B349,_xlfn.AGGREGATE(16,6,FIND({0,1,2,3,4,5,6,7,8,9},B349,ROW(INDIRECT("1:"&amp;LEN(B349)))),1))," ",REPT(" ",LEN(B349))),LEN(B349)))))))/10))*1+1</f>
        <v>204 &amp; 404</v>
      </c>
      <c r="C350" s="64" t="s">
        <v>195</v>
      </c>
      <c r="D350" s="64">
        <f>(32.49+6.37)*10.764</f>
        <v>418.28903999999994</v>
      </c>
      <c r="E350" s="64">
        <v>0</v>
      </c>
      <c r="F350" s="64">
        <f t="shared" si="25"/>
        <v>644.16512159999991</v>
      </c>
      <c r="G350" s="197"/>
      <c r="H350" s="197"/>
      <c r="I350" s="46">
        <f t="shared" si="23"/>
        <v>1.54</v>
      </c>
    </row>
    <row r="351" spans="1:12" s="36" customFormat="1" ht="15.75" customHeight="1" x14ac:dyDescent="0.3">
      <c r="A351" s="147" t="s">
        <v>194</v>
      </c>
      <c r="B351" s="148"/>
      <c r="C351" s="148"/>
      <c r="D351" s="148"/>
      <c r="E351" s="148"/>
      <c r="F351" s="148"/>
      <c r="G351" s="148"/>
      <c r="H351" s="149"/>
      <c r="I351" s="46" t="e">
        <f t="shared" si="23"/>
        <v>#DIV/0!</v>
      </c>
      <c r="J351" s="35"/>
    </row>
    <row r="352" spans="1:12" s="36" customFormat="1" ht="15.75" customHeight="1" x14ac:dyDescent="0.3">
      <c r="A352" s="147" t="s">
        <v>123</v>
      </c>
      <c r="B352" s="148"/>
      <c r="C352" s="148"/>
      <c r="D352" s="148"/>
      <c r="E352" s="148"/>
      <c r="F352" s="148"/>
      <c r="G352" s="148"/>
      <c r="H352" s="149"/>
      <c r="I352" s="46" t="e">
        <f t="shared" si="23"/>
        <v>#DIV/0!</v>
      </c>
      <c r="J352" s="35"/>
    </row>
    <row r="353" spans="1:14" s="36" customFormat="1" ht="15.75" customHeight="1" x14ac:dyDescent="0.3">
      <c r="A353" s="51" t="s">
        <v>215</v>
      </c>
      <c r="B353" s="64">
        <v>1</v>
      </c>
      <c r="C353" s="64" t="s">
        <v>195</v>
      </c>
      <c r="D353" s="64">
        <f>(36.61)*10.764</f>
        <v>394.07003999999995</v>
      </c>
      <c r="E353" s="64">
        <v>0</v>
      </c>
      <c r="F353" s="64">
        <f t="shared" ref="F353:F355" si="26">1.54*D353+E353</f>
        <v>606.86786159999997</v>
      </c>
      <c r="G353" s="100" t="str">
        <f>A352</f>
        <v>Ground Floor</v>
      </c>
      <c r="H353" s="101"/>
      <c r="I353" s="46">
        <f t="shared" si="23"/>
        <v>1.54</v>
      </c>
      <c r="L353" s="195"/>
      <c r="M353" s="195"/>
      <c r="N353" s="35"/>
    </row>
    <row r="354" spans="1:14" s="36" customFormat="1" x14ac:dyDescent="0.3">
      <c r="A354" s="51" t="s">
        <v>215</v>
      </c>
      <c r="B354" s="64">
        <v>2</v>
      </c>
      <c r="C354" s="64" t="s">
        <v>196</v>
      </c>
      <c r="D354" s="64">
        <f>(42.94)*10.764</f>
        <v>462.20615999999995</v>
      </c>
      <c r="E354" s="64">
        <v>0</v>
      </c>
      <c r="F354" s="64">
        <f t="shared" si="26"/>
        <v>711.79748639999991</v>
      </c>
      <c r="G354" s="102"/>
      <c r="H354" s="103"/>
      <c r="I354" s="46">
        <f t="shared" si="23"/>
        <v>1.54</v>
      </c>
      <c r="L354" s="195"/>
      <c r="M354" s="195"/>
      <c r="N354" s="35"/>
    </row>
    <row r="355" spans="1:14" s="36" customFormat="1" x14ac:dyDescent="0.3">
      <c r="A355" s="51" t="s">
        <v>215</v>
      </c>
      <c r="B355" s="64">
        <v>3</v>
      </c>
      <c r="C355" s="64" t="s">
        <v>195</v>
      </c>
      <c r="D355" s="64">
        <f>(31.69)*10.764</f>
        <v>341.11115999999998</v>
      </c>
      <c r="E355" s="64">
        <v>0</v>
      </c>
      <c r="F355" s="64">
        <f t="shared" si="26"/>
        <v>525.3111864</v>
      </c>
      <c r="G355" s="104"/>
      <c r="H355" s="105"/>
      <c r="I355" s="46">
        <f t="shared" si="23"/>
        <v>1.54</v>
      </c>
      <c r="L355" s="195"/>
      <c r="M355" s="195"/>
      <c r="N355" s="35"/>
    </row>
    <row r="356" spans="1:14" s="36" customFormat="1" x14ac:dyDescent="0.3">
      <c r="A356" s="147" t="s">
        <v>199</v>
      </c>
      <c r="B356" s="148"/>
      <c r="C356" s="148"/>
      <c r="D356" s="148"/>
      <c r="E356" s="148"/>
      <c r="F356" s="148"/>
      <c r="G356" s="148"/>
      <c r="H356" s="149"/>
      <c r="I356" s="46" t="e">
        <f t="shared" si="23"/>
        <v>#DIV/0!</v>
      </c>
    </row>
    <row r="357" spans="1:14" s="36" customFormat="1" ht="15.75" customHeight="1" x14ac:dyDescent="0.3">
      <c r="A357" s="51" t="s">
        <v>215</v>
      </c>
      <c r="B357" s="64" t="str">
        <f ca="1">(SUMPRODUCT(MID(0&amp;(LEFT(A356,SUM(LEN(A356)-LEN(SUBSTITUTE(A356,{"0","1","2"},""))))), LARGE(INDEX(ISNUMBER(--MID((LEFT(A356,SUM(LEN(A356)-LEN(SUBSTITUTE(A356,{"0","1","2"},""))))), ROW(INDIRECT("1:"&amp;LEN((LEFT(A356,SUM(LEN(A356)-LEN(SUBSTITUTE(A356,{"0","1","2"},"")))))))), 1)) * ROW(INDIRECT("1:"&amp;LEN((LEFT(A356,SUM(LEN(A356)-LEN(SUBSTITUTE(A356,{"0","1","2"},"")))))))), 0), ROW(INDIRECT("1:"&amp;LEN((LEFT(A356,SUM(LEN(A356)-LEN(SUBSTITUTE(A356,{"0","1","2"},"")))))))))+1, 1) * 10^ROW(INDIRECT("1:"&amp;LEN((LEFT(A356,SUM(LEN(A356)-LEN(SUBSTITUTE(A356,{"0","1","2"},""))))))))/10))*100+1&amp;""&amp;" &amp; "&amp;""&amp;(SUMPRODUCT(MID(0&amp;(--TRIM(RIGHT(SUBSTITUTE(LEFT(A356,_xlfn.AGGREGATE(16,6,FIND({0,1,2,3,4,5,6,7,8,9},A356,ROW(INDIRECT("1:"&amp;LEN(A356)))),1))," ",REPT(" ",LEN(A356))),LEN(A356)))), LARGE(INDEX(ISNUMBER(--MID((--TRIM(RIGHT(SUBSTITUTE(LEFT(A356,_xlfn.AGGREGATE(16,6,FIND({0,1,2,3,4,5,6,7,8,9},A356,ROW(INDIRECT("1:"&amp;LEN(A356)))),1))," ",REPT(" ",LEN(A356))),LEN(A356)))), ROW(INDIRECT("1:"&amp;LEN((--TRIM(RIGHT(SUBSTITUTE(LEFT(A356,_xlfn.AGGREGATE(16,6,FIND({0,1,2,3,4,5,6,7,8,9},A356,ROW(INDIRECT("1:"&amp;LEN(A356)))),1))," ",REPT(" ",LEN(A356))),LEN(A356))))))), 1)) * ROW(INDIRECT("1:"&amp;LEN((--TRIM(RIGHT(SUBSTITUTE(LEFT(A356,_xlfn.AGGREGATE(16,6,FIND({0,1,2,3,4,5,6,7,8,9},A356,ROW(INDIRECT("1:"&amp;LEN(A356)))),1))," ",REPT(" ",LEN(A356))),LEN(A356))))))), 0), ROW(INDIRECT("1:"&amp;LEN((--TRIM(RIGHT(SUBSTITUTE(LEFT(A356,_xlfn.AGGREGATE(16,6,FIND({0,1,2,3,4,5,6,7,8,9},A356,ROW(INDIRECT("1:"&amp;LEN(A356)))),1))," ",REPT(" ",LEN(A356))),LEN(A356))))))))+1, 1) * 10^ROW(INDIRECT("1:"&amp;LEN((--TRIM(RIGHT(SUBSTITUTE(LEFT(A356,_xlfn.AGGREGATE(16,6,FIND({0,1,2,3,4,5,6,7,8,9},A356,ROW(INDIRECT("1:"&amp;LEN(A356)))),1))," ",REPT(" ",LEN(A356))),LEN(A356)))))))/10))*100+1</f>
        <v>101 &amp; 301</v>
      </c>
      <c r="C357" s="64" t="s">
        <v>195</v>
      </c>
      <c r="D357" s="64">
        <f>(33.38+6.6)*10.764</f>
        <v>430.34472</v>
      </c>
      <c r="E357" s="64">
        <f>(4.64)*10.764</f>
        <v>49.944959999999995</v>
      </c>
      <c r="F357" s="64">
        <f t="shared" ref="F357:F360" si="27">1.54*D357+E357</f>
        <v>712.67582880000009</v>
      </c>
      <c r="G357" s="100" t="str">
        <f>A356</f>
        <v>1st &amp; 3rd Floor</v>
      </c>
      <c r="H357" s="101"/>
      <c r="I357" s="46">
        <f t="shared" si="23"/>
        <v>1.6560580290145075</v>
      </c>
      <c r="J357" s="46"/>
      <c r="L357" s="45"/>
    </row>
    <row r="358" spans="1:14" s="36" customFormat="1" ht="15.75" customHeight="1" x14ac:dyDescent="0.3">
      <c r="A358" s="51" t="s">
        <v>215</v>
      </c>
      <c r="B358" s="64" t="str">
        <f ca="1">(SUMPRODUCT(MID(0&amp;(LEFT(B357,SUM(LEN(B357)-LEN(SUBSTITUTE(B357,{"0","1","2"},""))))), LARGE(INDEX(ISNUMBER(--MID((LEFT(B357,SUM(LEN(B357)-LEN(SUBSTITUTE(B357,{"0","1","2"},""))))), ROW(INDIRECT("1:"&amp;LEN((LEFT(B357,SUM(LEN(B357)-LEN(SUBSTITUTE(B357,{"0","1","2"},"")))))))), 1)) * ROW(INDIRECT("1:"&amp;LEN((LEFT(B357,SUM(LEN(B357)-LEN(SUBSTITUTE(B357,{"0","1","2"},"")))))))), 0), ROW(INDIRECT("1:"&amp;LEN((LEFT(B357,SUM(LEN(B357)-LEN(SUBSTITUTE(B357,{"0","1","2"},"")))))))))+1, 1) * 10^ROW(INDIRECT("1:"&amp;LEN((LEFT(B357,SUM(LEN(B357)-LEN(SUBSTITUTE(B357,{"0","1","2"},""))))))))/10))*1+1&amp;""&amp;" &amp; "&amp;""&amp;(SUMPRODUCT(MID(0&amp;(--TRIM(RIGHT(SUBSTITUTE(LEFT(B357,_xlfn.AGGREGATE(16,6,FIND({0,1,2,3,4,5,6,7,8,9},B357,ROW(INDIRECT("1:"&amp;LEN(B357)))),1))," ",REPT(" ",LEN(B357))),LEN(B357)))), LARGE(INDEX(ISNUMBER(--MID((--TRIM(RIGHT(SUBSTITUTE(LEFT(B357,_xlfn.AGGREGATE(16,6,FIND({0,1,2,3,4,5,6,7,8,9},B357,ROW(INDIRECT("1:"&amp;LEN(B357)))),1))," ",REPT(" ",LEN(B357))),LEN(B357)))), ROW(INDIRECT("1:"&amp;LEN((--TRIM(RIGHT(SUBSTITUTE(LEFT(B357,_xlfn.AGGREGATE(16,6,FIND({0,1,2,3,4,5,6,7,8,9},B357,ROW(INDIRECT("1:"&amp;LEN(B357)))),1))," ",REPT(" ",LEN(B357))),LEN(B357))))))), 1)) * ROW(INDIRECT("1:"&amp;LEN((--TRIM(RIGHT(SUBSTITUTE(LEFT(B357,_xlfn.AGGREGATE(16,6,FIND({0,1,2,3,4,5,6,7,8,9},B357,ROW(INDIRECT("1:"&amp;LEN(B357)))),1))," ",REPT(" ",LEN(B357))),LEN(B357))))))), 0), ROW(INDIRECT("1:"&amp;LEN((--TRIM(RIGHT(SUBSTITUTE(LEFT(B357,_xlfn.AGGREGATE(16,6,FIND({0,1,2,3,4,5,6,7,8,9},B357,ROW(INDIRECT("1:"&amp;LEN(B357)))),1))," ",REPT(" ",LEN(B357))),LEN(B357))))))))+1, 1) * 10^ROW(INDIRECT("1:"&amp;LEN((--TRIM(RIGHT(SUBSTITUTE(LEFT(B357,_xlfn.AGGREGATE(16,6,FIND({0,1,2,3,4,5,6,7,8,9},B357,ROW(INDIRECT("1:"&amp;LEN(B357)))),1))," ",REPT(" ",LEN(B357))),LEN(B357)))))))/10))*1+1</f>
        <v>102 &amp; 302</v>
      </c>
      <c r="C358" s="64" t="s">
        <v>196</v>
      </c>
      <c r="D358" s="64">
        <f>(43.35+3)*10.764</f>
        <v>498.91139999999996</v>
      </c>
      <c r="E358" s="64">
        <f>(5.17)*10.764</f>
        <v>55.649879999999996</v>
      </c>
      <c r="F358" s="64">
        <f t="shared" si="27"/>
        <v>823.97343599999999</v>
      </c>
      <c r="G358" s="102"/>
      <c r="H358" s="103"/>
      <c r="I358" s="46">
        <f t="shared" si="23"/>
        <v>1.651542610571737</v>
      </c>
    </row>
    <row r="359" spans="1:14" s="36" customFormat="1" ht="15.75" customHeight="1" x14ac:dyDescent="0.3">
      <c r="A359" s="51" t="s">
        <v>215</v>
      </c>
      <c r="B359" s="64" t="str">
        <f ca="1">(SUMPRODUCT(MID(0&amp;(LEFT(B358,SUM(LEN(B358)-LEN(SUBSTITUTE(B358,{"0","1","2"},""))))), LARGE(INDEX(ISNUMBER(--MID((LEFT(B358,SUM(LEN(B358)-LEN(SUBSTITUTE(B358,{"0","1","2"},""))))), ROW(INDIRECT("1:"&amp;LEN((LEFT(B358,SUM(LEN(B358)-LEN(SUBSTITUTE(B358,{"0","1","2"},"")))))))), 1)) * ROW(INDIRECT("1:"&amp;LEN((LEFT(B358,SUM(LEN(B358)-LEN(SUBSTITUTE(B358,{"0","1","2"},"")))))))), 0), ROW(INDIRECT("1:"&amp;LEN((LEFT(B358,SUM(LEN(B358)-LEN(SUBSTITUTE(B358,{"0","1","2"},"")))))))))+1, 1) * 10^ROW(INDIRECT("1:"&amp;LEN((LEFT(B358,SUM(LEN(B358)-LEN(SUBSTITUTE(B358,{"0","1","2"},""))))))))/10))*1+1&amp;""&amp;" &amp; "&amp;""&amp;(SUMPRODUCT(MID(0&amp;(--TRIM(RIGHT(SUBSTITUTE(LEFT(B358,_xlfn.AGGREGATE(16,6,FIND({0,1,2,3,4,5,6,7,8,9},B358,ROW(INDIRECT("1:"&amp;LEN(B358)))),1))," ",REPT(" ",LEN(B358))),LEN(B358)))), LARGE(INDEX(ISNUMBER(--MID((--TRIM(RIGHT(SUBSTITUTE(LEFT(B358,_xlfn.AGGREGATE(16,6,FIND({0,1,2,3,4,5,6,7,8,9},B358,ROW(INDIRECT("1:"&amp;LEN(B358)))),1))," ",REPT(" ",LEN(B358))),LEN(B358)))), ROW(INDIRECT("1:"&amp;LEN((--TRIM(RIGHT(SUBSTITUTE(LEFT(B358,_xlfn.AGGREGATE(16,6,FIND({0,1,2,3,4,5,6,7,8,9},B358,ROW(INDIRECT("1:"&amp;LEN(B358)))),1))," ",REPT(" ",LEN(B358))),LEN(B358))))))), 1)) * ROW(INDIRECT("1:"&amp;LEN((--TRIM(RIGHT(SUBSTITUTE(LEFT(B358,_xlfn.AGGREGATE(16,6,FIND({0,1,2,3,4,5,6,7,8,9},B358,ROW(INDIRECT("1:"&amp;LEN(B358)))),1))," ",REPT(" ",LEN(B358))),LEN(B358))))))), 0), ROW(INDIRECT("1:"&amp;LEN((--TRIM(RIGHT(SUBSTITUTE(LEFT(B358,_xlfn.AGGREGATE(16,6,FIND({0,1,2,3,4,5,6,7,8,9},B358,ROW(INDIRECT("1:"&amp;LEN(B358)))),1))," ",REPT(" ",LEN(B358))),LEN(B358))))))))+1, 1) * 10^ROW(INDIRECT("1:"&amp;LEN((--TRIM(RIGHT(SUBSTITUTE(LEFT(B358,_xlfn.AGGREGATE(16,6,FIND({0,1,2,3,4,5,6,7,8,9},B358,ROW(INDIRECT("1:"&amp;LEN(B358)))),1))," ",REPT(" ",LEN(B358))),LEN(B358)))))))/10))*1+1</f>
        <v>103 &amp; 303</v>
      </c>
      <c r="C359" s="64" t="s">
        <v>195</v>
      </c>
      <c r="D359" s="64">
        <f>(33.2+2.5)*10.764</f>
        <v>384.27480000000003</v>
      </c>
      <c r="E359" s="64">
        <f>(2.92)*10.764</f>
        <v>31.430879999999998</v>
      </c>
      <c r="F359" s="64">
        <f t="shared" si="27"/>
        <v>623.2140720000001</v>
      </c>
      <c r="G359" s="102"/>
      <c r="H359" s="103"/>
      <c r="I359" s="46">
        <f t="shared" si="23"/>
        <v>1.6217927170868349</v>
      </c>
    </row>
    <row r="360" spans="1:14" s="36" customFormat="1" ht="15.75" customHeight="1" x14ac:dyDescent="0.3">
      <c r="A360" s="51" t="s">
        <v>215</v>
      </c>
      <c r="B360" s="64" t="str">
        <f ca="1">(SUMPRODUCT(MID(0&amp;(LEFT(B359,SUM(LEN(B359)-LEN(SUBSTITUTE(B359,{"0","1","2"},""))))), LARGE(INDEX(ISNUMBER(--MID((LEFT(B359,SUM(LEN(B359)-LEN(SUBSTITUTE(B359,{"0","1","2"},""))))), ROW(INDIRECT("1:"&amp;LEN((LEFT(B359,SUM(LEN(B359)-LEN(SUBSTITUTE(B359,{"0","1","2"},"")))))))), 1)) * ROW(INDIRECT("1:"&amp;LEN((LEFT(B359,SUM(LEN(B359)-LEN(SUBSTITUTE(B359,{"0","1","2"},"")))))))), 0), ROW(INDIRECT("1:"&amp;LEN((LEFT(B359,SUM(LEN(B359)-LEN(SUBSTITUTE(B359,{"0","1","2"},"")))))))))+1, 1) * 10^ROW(INDIRECT("1:"&amp;LEN((LEFT(B359,SUM(LEN(B359)-LEN(SUBSTITUTE(B359,{"0","1","2"},""))))))))/10))*1+1&amp;""&amp;" &amp; "&amp;""&amp;(SUMPRODUCT(MID(0&amp;(--TRIM(RIGHT(SUBSTITUTE(LEFT(B359,_xlfn.AGGREGATE(16,6,FIND({0,1,2,3,4,5,6,7,8,9},B359,ROW(INDIRECT("1:"&amp;LEN(B359)))),1))," ",REPT(" ",LEN(B359))),LEN(B359)))), LARGE(INDEX(ISNUMBER(--MID((--TRIM(RIGHT(SUBSTITUTE(LEFT(B359,_xlfn.AGGREGATE(16,6,FIND({0,1,2,3,4,5,6,7,8,9},B359,ROW(INDIRECT("1:"&amp;LEN(B359)))),1))," ",REPT(" ",LEN(B359))),LEN(B359)))), ROW(INDIRECT("1:"&amp;LEN((--TRIM(RIGHT(SUBSTITUTE(LEFT(B359,_xlfn.AGGREGATE(16,6,FIND({0,1,2,3,4,5,6,7,8,9},B359,ROW(INDIRECT("1:"&amp;LEN(B359)))),1))," ",REPT(" ",LEN(B359))),LEN(B359))))))), 1)) * ROW(INDIRECT("1:"&amp;LEN((--TRIM(RIGHT(SUBSTITUTE(LEFT(B359,_xlfn.AGGREGATE(16,6,FIND({0,1,2,3,4,5,6,7,8,9},B359,ROW(INDIRECT("1:"&amp;LEN(B359)))),1))," ",REPT(" ",LEN(B359))),LEN(B359))))))), 0), ROW(INDIRECT("1:"&amp;LEN((--TRIM(RIGHT(SUBSTITUTE(LEFT(B359,_xlfn.AGGREGATE(16,6,FIND({0,1,2,3,4,5,6,7,8,9},B359,ROW(INDIRECT("1:"&amp;LEN(B359)))),1))," ",REPT(" ",LEN(B359))),LEN(B359))))))))+1, 1) * 10^ROW(INDIRECT("1:"&amp;LEN((--TRIM(RIGHT(SUBSTITUTE(LEFT(B359,_xlfn.AGGREGATE(16,6,FIND({0,1,2,3,4,5,6,7,8,9},B359,ROW(INDIRECT("1:"&amp;LEN(B359)))),1))," ",REPT(" ",LEN(B359))),LEN(B359)))))))/10))*1+1</f>
        <v>104 &amp; 304</v>
      </c>
      <c r="C360" s="64" t="s">
        <v>195</v>
      </c>
      <c r="D360" s="64">
        <f>(33.01+8.22)*10.764</f>
        <v>443.79971999999992</v>
      </c>
      <c r="E360" s="64">
        <f>(2.73)*10.764</f>
        <v>29.385719999999999</v>
      </c>
      <c r="F360" s="64">
        <f t="shared" si="27"/>
        <v>712.8372887999999</v>
      </c>
      <c r="G360" s="102"/>
      <c r="H360" s="103"/>
      <c r="I360" s="46">
        <f t="shared" si="23"/>
        <v>1.6062139219015281</v>
      </c>
    </row>
    <row r="361" spans="1:14" s="36" customFormat="1" x14ac:dyDescent="0.3">
      <c r="A361" s="147" t="s">
        <v>205</v>
      </c>
      <c r="B361" s="148"/>
      <c r="C361" s="148"/>
      <c r="D361" s="148"/>
      <c r="E361" s="148"/>
      <c r="F361" s="148"/>
      <c r="G361" s="148"/>
      <c r="H361" s="149"/>
      <c r="I361" s="46" t="e">
        <f t="shared" si="23"/>
        <v>#DIV/0!</v>
      </c>
    </row>
    <row r="362" spans="1:14" s="36" customFormat="1" ht="15.75" customHeight="1" x14ac:dyDescent="0.3">
      <c r="A362" s="51" t="s">
        <v>215</v>
      </c>
      <c r="B362" s="64" t="str">
        <f ca="1">(SUMPRODUCT(MID(0&amp;(LEFT(A361,SUM(LEN(A361)-LEN(SUBSTITUTE(A361,{"0","1","2"},""))))), LARGE(INDEX(ISNUMBER(--MID((LEFT(A361,SUM(LEN(A361)-LEN(SUBSTITUTE(A361,{"0","1","2"},""))))), ROW(INDIRECT("1:"&amp;LEN((LEFT(A361,SUM(LEN(A361)-LEN(SUBSTITUTE(A361,{"0","1","2"},"")))))))), 1)) * ROW(INDIRECT("1:"&amp;LEN((LEFT(A361,SUM(LEN(A361)-LEN(SUBSTITUTE(A361,{"0","1","2"},"")))))))), 0), ROW(INDIRECT("1:"&amp;LEN((LEFT(A361,SUM(LEN(A361)-LEN(SUBSTITUTE(A361,{"0","1","2"},"")))))))))+1, 1) * 10^ROW(INDIRECT("1:"&amp;LEN((LEFT(A361,SUM(LEN(A361)-LEN(SUBSTITUTE(A361,{"0","1","2"},""))))))))/10))*100+1&amp;""&amp;" &amp; "&amp;""&amp;(SUMPRODUCT(MID(0&amp;(--TRIM(RIGHT(SUBSTITUTE(LEFT(A361,_xlfn.AGGREGATE(16,6,FIND({0,1,2,3,4,5,6,7,8,9},A361,ROW(INDIRECT("1:"&amp;LEN(A361)))),1))," ",REPT(" ",LEN(A361))),LEN(A361)))), LARGE(INDEX(ISNUMBER(--MID((--TRIM(RIGHT(SUBSTITUTE(LEFT(A361,_xlfn.AGGREGATE(16,6,FIND({0,1,2,3,4,5,6,7,8,9},A361,ROW(INDIRECT("1:"&amp;LEN(A361)))),1))," ",REPT(" ",LEN(A361))),LEN(A361)))), ROW(INDIRECT("1:"&amp;LEN((--TRIM(RIGHT(SUBSTITUTE(LEFT(A361,_xlfn.AGGREGATE(16,6,FIND({0,1,2,3,4,5,6,7,8,9},A361,ROW(INDIRECT("1:"&amp;LEN(A361)))),1))," ",REPT(" ",LEN(A361))),LEN(A361))))))), 1)) * ROW(INDIRECT("1:"&amp;LEN((--TRIM(RIGHT(SUBSTITUTE(LEFT(A361,_xlfn.AGGREGATE(16,6,FIND({0,1,2,3,4,5,6,7,8,9},A361,ROW(INDIRECT("1:"&amp;LEN(A361)))),1))," ",REPT(" ",LEN(A361))),LEN(A361))))))), 0), ROW(INDIRECT("1:"&amp;LEN((--TRIM(RIGHT(SUBSTITUTE(LEFT(A361,_xlfn.AGGREGATE(16,6,FIND({0,1,2,3,4,5,6,7,8,9},A361,ROW(INDIRECT("1:"&amp;LEN(A361)))),1))," ",REPT(" ",LEN(A361))),LEN(A361))))))))+1, 1) * 10^ROW(INDIRECT("1:"&amp;LEN((--TRIM(RIGHT(SUBSTITUTE(LEFT(A361,_xlfn.AGGREGATE(16,6,FIND({0,1,2,3,4,5,6,7,8,9},A361,ROW(INDIRECT("1:"&amp;LEN(A361)))),1))," ",REPT(" ",LEN(A361))),LEN(A361)))))))/10))*100+1</f>
        <v>201 &amp; 401</v>
      </c>
      <c r="C362" s="64" t="s">
        <v>195</v>
      </c>
      <c r="D362" s="64">
        <f>(33.24+6.6)*10.764</f>
        <v>428.83776</v>
      </c>
      <c r="E362" s="64">
        <v>0</v>
      </c>
      <c r="F362" s="64">
        <f t="shared" ref="F362:F365" si="28">1.54*D362+E362</f>
        <v>660.41015040000002</v>
      </c>
      <c r="G362" s="100" t="str">
        <f>A361</f>
        <v>2nd &amp; 4th Floor</v>
      </c>
      <c r="H362" s="101"/>
      <c r="I362" s="46">
        <f t="shared" si="23"/>
        <v>1.54</v>
      </c>
    </row>
    <row r="363" spans="1:14" s="36" customFormat="1" ht="15.75" customHeight="1" x14ac:dyDescent="0.3">
      <c r="A363" s="51" t="s">
        <v>215</v>
      </c>
      <c r="B363" s="64" t="str">
        <f ca="1">(SUMPRODUCT(MID(0&amp;(LEFT(B362,SUM(LEN(B362)-LEN(SUBSTITUTE(B362,{"0","1","2"},""))))), LARGE(INDEX(ISNUMBER(--MID((LEFT(B362,SUM(LEN(B362)-LEN(SUBSTITUTE(B362,{"0","1","2"},""))))), ROW(INDIRECT("1:"&amp;LEN((LEFT(B362,SUM(LEN(B362)-LEN(SUBSTITUTE(B362,{"0","1","2"},"")))))))), 1)) * ROW(INDIRECT("1:"&amp;LEN((LEFT(B362,SUM(LEN(B362)-LEN(SUBSTITUTE(B362,{"0","1","2"},"")))))))), 0), ROW(INDIRECT("1:"&amp;LEN((LEFT(B362,SUM(LEN(B362)-LEN(SUBSTITUTE(B362,{"0","1","2"},"")))))))))+1, 1) * 10^ROW(INDIRECT("1:"&amp;LEN((LEFT(B362,SUM(LEN(B362)-LEN(SUBSTITUTE(B362,{"0","1","2"},""))))))))/10))*1+1&amp;""&amp;" &amp; "&amp;""&amp;(SUMPRODUCT(MID(0&amp;(--TRIM(RIGHT(SUBSTITUTE(LEFT(B362,_xlfn.AGGREGATE(16,6,FIND({0,1,2,3,4,5,6,7,8,9},B362,ROW(INDIRECT("1:"&amp;LEN(B362)))),1))," ",REPT(" ",LEN(B362))),LEN(B362)))), LARGE(INDEX(ISNUMBER(--MID((--TRIM(RIGHT(SUBSTITUTE(LEFT(B362,_xlfn.AGGREGATE(16,6,FIND({0,1,2,3,4,5,6,7,8,9},B362,ROW(INDIRECT("1:"&amp;LEN(B362)))),1))," ",REPT(" ",LEN(B362))),LEN(B362)))), ROW(INDIRECT("1:"&amp;LEN((--TRIM(RIGHT(SUBSTITUTE(LEFT(B362,_xlfn.AGGREGATE(16,6,FIND({0,1,2,3,4,5,6,7,8,9},B362,ROW(INDIRECT("1:"&amp;LEN(B362)))),1))," ",REPT(" ",LEN(B362))),LEN(B362))))))), 1)) * ROW(INDIRECT("1:"&amp;LEN((--TRIM(RIGHT(SUBSTITUTE(LEFT(B362,_xlfn.AGGREGATE(16,6,FIND({0,1,2,3,4,5,6,7,8,9},B362,ROW(INDIRECT("1:"&amp;LEN(B362)))),1))," ",REPT(" ",LEN(B362))),LEN(B362))))))), 0), ROW(INDIRECT("1:"&amp;LEN((--TRIM(RIGHT(SUBSTITUTE(LEFT(B362,_xlfn.AGGREGATE(16,6,FIND({0,1,2,3,4,5,6,7,8,9},B362,ROW(INDIRECT("1:"&amp;LEN(B362)))),1))," ",REPT(" ",LEN(B362))),LEN(B362))))))))+1, 1) * 10^ROW(INDIRECT("1:"&amp;LEN((--TRIM(RIGHT(SUBSTITUTE(LEFT(B362,_xlfn.AGGREGATE(16,6,FIND({0,1,2,3,4,5,6,7,8,9},B362,ROW(INDIRECT("1:"&amp;LEN(B362)))),1))," ",REPT(" ",LEN(B362))),LEN(B362)))))))/10))*1+1</f>
        <v>202 &amp; 402</v>
      </c>
      <c r="C363" s="64" t="s">
        <v>196</v>
      </c>
      <c r="D363" s="64">
        <f>(43.35+3)*10.764</f>
        <v>498.91139999999996</v>
      </c>
      <c r="E363" s="64">
        <v>0</v>
      </c>
      <c r="F363" s="64">
        <f t="shared" si="28"/>
        <v>768.32355599999994</v>
      </c>
      <c r="G363" s="102"/>
      <c r="H363" s="103"/>
      <c r="I363" s="46">
        <f t="shared" si="23"/>
        <v>1.54</v>
      </c>
    </row>
    <row r="364" spans="1:14" s="36" customFormat="1" ht="15.75" customHeight="1" x14ac:dyDescent="0.3">
      <c r="A364" s="51" t="s">
        <v>215</v>
      </c>
      <c r="B364" s="64" t="str">
        <f ca="1">(SUMPRODUCT(MID(0&amp;(LEFT(B363,SUM(LEN(B363)-LEN(SUBSTITUTE(B363,{"0","1","2"},""))))), LARGE(INDEX(ISNUMBER(--MID((LEFT(B363,SUM(LEN(B363)-LEN(SUBSTITUTE(B363,{"0","1","2"},""))))), ROW(INDIRECT("1:"&amp;LEN((LEFT(B363,SUM(LEN(B363)-LEN(SUBSTITUTE(B363,{"0","1","2"},"")))))))), 1)) * ROW(INDIRECT("1:"&amp;LEN((LEFT(B363,SUM(LEN(B363)-LEN(SUBSTITUTE(B363,{"0","1","2"},"")))))))), 0), ROW(INDIRECT("1:"&amp;LEN((LEFT(B363,SUM(LEN(B363)-LEN(SUBSTITUTE(B363,{"0","1","2"},"")))))))))+1, 1) * 10^ROW(INDIRECT("1:"&amp;LEN((LEFT(B363,SUM(LEN(B363)-LEN(SUBSTITUTE(B363,{"0","1","2"},""))))))))/10))*1+1&amp;""&amp;" &amp; "&amp;""&amp;(SUMPRODUCT(MID(0&amp;(--TRIM(RIGHT(SUBSTITUTE(LEFT(B363,_xlfn.AGGREGATE(16,6,FIND({0,1,2,3,4,5,6,7,8,9},B363,ROW(INDIRECT("1:"&amp;LEN(B363)))),1))," ",REPT(" ",LEN(B363))),LEN(B363)))), LARGE(INDEX(ISNUMBER(--MID((--TRIM(RIGHT(SUBSTITUTE(LEFT(B363,_xlfn.AGGREGATE(16,6,FIND({0,1,2,3,4,5,6,7,8,9},B363,ROW(INDIRECT("1:"&amp;LEN(B363)))),1))," ",REPT(" ",LEN(B363))),LEN(B363)))), ROW(INDIRECT("1:"&amp;LEN((--TRIM(RIGHT(SUBSTITUTE(LEFT(B363,_xlfn.AGGREGATE(16,6,FIND({0,1,2,3,4,5,6,7,8,9},B363,ROW(INDIRECT("1:"&amp;LEN(B363)))),1))," ",REPT(" ",LEN(B363))),LEN(B363))))))), 1)) * ROW(INDIRECT("1:"&amp;LEN((--TRIM(RIGHT(SUBSTITUTE(LEFT(B363,_xlfn.AGGREGATE(16,6,FIND({0,1,2,3,4,5,6,7,8,9},B363,ROW(INDIRECT("1:"&amp;LEN(B363)))),1))," ",REPT(" ",LEN(B363))),LEN(B363))))))), 0), ROW(INDIRECT("1:"&amp;LEN((--TRIM(RIGHT(SUBSTITUTE(LEFT(B363,_xlfn.AGGREGATE(16,6,FIND({0,1,2,3,4,5,6,7,8,9},B363,ROW(INDIRECT("1:"&amp;LEN(B363)))),1))," ",REPT(" ",LEN(B363))),LEN(B363))))))))+1, 1) * 10^ROW(INDIRECT("1:"&amp;LEN((--TRIM(RIGHT(SUBSTITUTE(LEFT(B363,_xlfn.AGGREGATE(16,6,FIND({0,1,2,3,4,5,6,7,8,9},B363,ROW(INDIRECT("1:"&amp;LEN(B363)))),1))," ",REPT(" ",LEN(B363))),LEN(B363)))))))/10))*1+1</f>
        <v>203 &amp; 403</v>
      </c>
      <c r="C364" s="64" t="s">
        <v>195</v>
      </c>
      <c r="D364" s="64">
        <f>(33.2+2.5)*10.764</f>
        <v>384.27480000000003</v>
      </c>
      <c r="E364" s="64">
        <v>0</v>
      </c>
      <c r="F364" s="64">
        <f>1.54*D364+E364</f>
        <v>591.7831920000001</v>
      </c>
      <c r="G364" s="102"/>
      <c r="H364" s="103"/>
      <c r="I364" s="46">
        <f t="shared" si="23"/>
        <v>1.5400000000000003</v>
      </c>
    </row>
    <row r="365" spans="1:14" s="36" customFormat="1" ht="15.75" customHeight="1" x14ac:dyDescent="0.3">
      <c r="A365" s="51" t="s">
        <v>215</v>
      </c>
      <c r="B365" s="64" t="str">
        <f ca="1">(SUMPRODUCT(MID(0&amp;(LEFT(B364,SUM(LEN(B364)-LEN(SUBSTITUTE(B364,{"0","1","2"},""))))), LARGE(INDEX(ISNUMBER(--MID((LEFT(B364,SUM(LEN(B364)-LEN(SUBSTITUTE(B364,{"0","1","2"},""))))), ROW(INDIRECT("1:"&amp;LEN((LEFT(B364,SUM(LEN(B364)-LEN(SUBSTITUTE(B364,{"0","1","2"},"")))))))), 1)) * ROW(INDIRECT("1:"&amp;LEN((LEFT(B364,SUM(LEN(B364)-LEN(SUBSTITUTE(B364,{"0","1","2"},"")))))))), 0), ROW(INDIRECT("1:"&amp;LEN((LEFT(B364,SUM(LEN(B364)-LEN(SUBSTITUTE(B364,{"0","1","2"},"")))))))))+1, 1) * 10^ROW(INDIRECT("1:"&amp;LEN((LEFT(B364,SUM(LEN(B364)-LEN(SUBSTITUTE(B364,{"0","1","2"},""))))))))/10))*1+1&amp;""&amp;" &amp; "&amp;""&amp;(SUMPRODUCT(MID(0&amp;(--TRIM(RIGHT(SUBSTITUTE(LEFT(B364,_xlfn.AGGREGATE(16,6,FIND({0,1,2,3,4,5,6,7,8,9},B364,ROW(INDIRECT("1:"&amp;LEN(B364)))),1))," ",REPT(" ",LEN(B364))),LEN(B364)))), LARGE(INDEX(ISNUMBER(--MID((--TRIM(RIGHT(SUBSTITUTE(LEFT(B364,_xlfn.AGGREGATE(16,6,FIND({0,1,2,3,4,5,6,7,8,9},B364,ROW(INDIRECT("1:"&amp;LEN(B364)))),1))," ",REPT(" ",LEN(B364))),LEN(B364)))), ROW(INDIRECT("1:"&amp;LEN((--TRIM(RIGHT(SUBSTITUTE(LEFT(B364,_xlfn.AGGREGATE(16,6,FIND({0,1,2,3,4,5,6,7,8,9},B364,ROW(INDIRECT("1:"&amp;LEN(B364)))),1))," ",REPT(" ",LEN(B364))),LEN(B364))))))), 1)) * ROW(INDIRECT("1:"&amp;LEN((--TRIM(RIGHT(SUBSTITUTE(LEFT(B364,_xlfn.AGGREGATE(16,6,FIND({0,1,2,3,4,5,6,7,8,9},B364,ROW(INDIRECT("1:"&amp;LEN(B364)))),1))," ",REPT(" ",LEN(B364))),LEN(B364))))))), 0), ROW(INDIRECT("1:"&amp;LEN((--TRIM(RIGHT(SUBSTITUTE(LEFT(B364,_xlfn.AGGREGATE(16,6,FIND({0,1,2,3,4,5,6,7,8,9},B364,ROW(INDIRECT("1:"&amp;LEN(B364)))),1))," ",REPT(" ",LEN(B364))),LEN(B364))))))))+1, 1) * 10^ROW(INDIRECT("1:"&amp;LEN((--TRIM(RIGHT(SUBSTITUTE(LEFT(B364,_xlfn.AGGREGATE(16,6,FIND({0,1,2,3,4,5,6,7,8,9},B364,ROW(INDIRECT("1:"&amp;LEN(B364)))),1))," ",REPT(" ",LEN(B364))),LEN(B364)))))))/10))*1+1</f>
        <v>204 &amp; 404</v>
      </c>
      <c r="C365" s="64" t="s">
        <v>195</v>
      </c>
      <c r="D365" s="64">
        <f>(32.88+8.22)*10.764</f>
        <v>442.40039999999999</v>
      </c>
      <c r="E365" s="64">
        <v>0</v>
      </c>
      <c r="F365" s="64">
        <f t="shared" si="28"/>
        <v>681.29661599999997</v>
      </c>
      <c r="G365" s="102"/>
      <c r="H365" s="103"/>
      <c r="I365" s="46">
        <f t="shared" si="23"/>
        <v>1.54</v>
      </c>
    </row>
    <row r="366" spans="1:14" s="34" customFormat="1" x14ac:dyDescent="0.3">
      <c r="A366" s="142" t="s">
        <v>70</v>
      </c>
      <c r="B366" s="142"/>
      <c r="C366" s="142"/>
      <c r="D366" s="142"/>
      <c r="E366" s="142"/>
      <c r="F366" s="142"/>
      <c r="G366" s="142"/>
      <c r="H366" s="142"/>
    </row>
    <row r="367" spans="1:14" s="34" customFormat="1" ht="65.400000000000006" customHeight="1" x14ac:dyDescent="0.3">
      <c r="A367" s="54" t="s">
        <v>159</v>
      </c>
      <c r="B367" s="112" t="s">
        <v>237</v>
      </c>
      <c r="C367" s="113"/>
      <c r="D367" s="113"/>
      <c r="E367" s="113"/>
      <c r="F367" s="113"/>
      <c r="G367" s="113"/>
      <c r="H367" s="114"/>
      <c r="J367" s="199" t="s">
        <v>236</v>
      </c>
    </row>
    <row r="368" spans="1:14" s="34" customFormat="1" x14ac:dyDescent="0.3">
      <c r="A368" s="54" t="s">
        <v>159</v>
      </c>
      <c r="B368" s="112" t="str">
        <f>(IF(F194="Saleable area Loading :","We have considered Saleable area of Flats as per our Calculation.","We considered Saleable area of Flat as per Builder area Sheet."))</f>
        <v>We considered Saleable area of Flat as per Builder area Sheet.</v>
      </c>
      <c r="C368" s="113"/>
      <c r="D368" s="113"/>
      <c r="E368" s="113"/>
      <c r="F368" s="113"/>
      <c r="G368" s="113"/>
      <c r="H368" s="114"/>
    </row>
    <row r="369" spans="1:8" s="34" customFormat="1" x14ac:dyDescent="0.3">
      <c r="A369" s="54" t="s">
        <v>159</v>
      </c>
      <c r="B369" s="112" t="str">
        <f>(IF(F184="Saleable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369" s="113"/>
      <c r="D369" s="113"/>
      <c r="E369" s="113"/>
      <c r="F369" s="113"/>
      <c r="G369" s="113"/>
      <c r="H369" s="114"/>
    </row>
    <row r="370" spans="1:8" s="34" customFormat="1" x14ac:dyDescent="0.3">
      <c r="A370" s="54" t="s">
        <v>159</v>
      </c>
      <c r="B370" s="115" t="s">
        <v>129</v>
      </c>
      <c r="C370" s="116"/>
      <c r="D370" s="116"/>
      <c r="E370" s="116"/>
      <c r="F370" s="116"/>
      <c r="G370" s="116"/>
      <c r="H370" s="117"/>
    </row>
    <row r="371" spans="1:8" s="34" customFormat="1" x14ac:dyDescent="0.3">
      <c r="A371" s="54" t="s">
        <v>159</v>
      </c>
      <c r="B371" s="115" t="s">
        <v>210</v>
      </c>
      <c r="C371" s="116"/>
      <c r="D371" s="116"/>
      <c r="E371" s="116"/>
      <c r="F371" s="116"/>
      <c r="G371" s="116"/>
      <c r="H371" s="117"/>
    </row>
    <row r="372" spans="1:8" s="34" customFormat="1" x14ac:dyDescent="0.3">
      <c r="A372" s="54" t="s">
        <v>159</v>
      </c>
      <c r="B372" s="115" t="s">
        <v>158</v>
      </c>
      <c r="C372" s="116"/>
      <c r="D372" s="116"/>
      <c r="E372" s="116"/>
      <c r="F372" s="116"/>
      <c r="G372" s="116"/>
      <c r="H372" s="117"/>
    </row>
    <row r="373" spans="1:8" s="34" customFormat="1" x14ac:dyDescent="0.3">
      <c r="A373" s="54" t="s">
        <v>159</v>
      </c>
      <c r="B373" s="115" t="s">
        <v>130</v>
      </c>
      <c r="C373" s="116"/>
      <c r="D373" s="116"/>
      <c r="E373" s="116"/>
      <c r="F373" s="116"/>
      <c r="G373" s="116"/>
      <c r="H373" s="117"/>
    </row>
    <row r="374" spans="1:8" s="34" customFormat="1" ht="34.5" customHeight="1" x14ac:dyDescent="0.3">
      <c r="A374" s="54" t="s">
        <v>159</v>
      </c>
      <c r="B374" s="115" t="s">
        <v>160</v>
      </c>
      <c r="C374" s="116"/>
      <c r="D374" s="116"/>
      <c r="E374" s="116"/>
      <c r="F374" s="116"/>
      <c r="G374" s="116"/>
      <c r="H374" s="117"/>
    </row>
    <row r="375" spans="1:8" s="34" customFormat="1" x14ac:dyDescent="0.3">
      <c r="A375" s="54" t="s">
        <v>159</v>
      </c>
      <c r="B375" s="115" t="s">
        <v>131</v>
      </c>
      <c r="C375" s="116"/>
      <c r="D375" s="116"/>
      <c r="E375" s="116"/>
      <c r="F375" s="116"/>
      <c r="G375" s="116"/>
      <c r="H375" s="117"/>
    </row>
    <row r="376" spans="1:8" s="34" customFormat="1" x14ac:dyDescent="0.3">
      <c r="A376" s="54" t="s">
        <v>159</v>
      </c>
      <c r="B376" s="112" t="s">
        <v>233</v>
      </c>
      <c r="C376" s="113"/>
      <c r="D376" s="113"/>
      <c r="E376" s="113"/>
      <c r="F376" s="113"/>
      <c r="G376" s="113"/>
      <c r="H376" s="114"/>
    </row>
    <row r="377" spans="1:8" s="34" customFormat="1" x14ac:dyDescent="0.3">
      <c r="A377" s="54" t="s">
        <v>159</v>
      </c>
      <c r="B377" s="115" t="s">
        <v>218</v>
      </c>
      <c r="C377" s="116"/>
      <c r="D377" s="116"/>
      <c r="E377" s="116"/>
      <c r="F377" s="116"/>
      <c r="G377" s="116"/>
      <c r="H377" s="117"/>
    </row>
    <row r="378" spans="1:8" s="34" customFormat="1" ht="30.9" customHeight="1" x14ac:dyDescent="0.3">
      <c r="A378" s="54" t="s">
        <v>159</v>
      </c>
      <c r="B378" s="115" t="s">
        <v>230</v>
      </c>
      <c r="C378" s="116"/>
      <c r="D378" s="116"/>
      <c r="E378" s="116"/>
      <c r="F378" s="116"/>
      <c r="G378" s="116"/>
      <c r="H378" s="117"/>
    </row>
    <row r="379" spans="1:8" x14ac:dyDescent="0.3">
      <c r="A379" s="129" t="s">
        <v>63</v>
      </c>
      <c r="B379" s="129"/>
      <c r="C379" s="129"/>
      <c r="D379" s="129"/>
      <c r="E379" s="129"/>
      <c r="F379" s="129"/>
      <c r="G379" s="129"/>
      <c r="H379" s="129"/>
    </row>
    <row r="380" spans="1:8" x14ac:dyDescent="0.3">
      <c r="A380" s="92" t="s">
        <v>64</v>
      </c>
      <c r="B380" s="92"/>
      <c r="C380" s="92"/>
      <c r="D380" s="92"/>
      <c r="E380" s="92"/>
      <c r="F380" s="92"/>
      <c r="G380" s="92"/>
      <c r="H380" s="92"/>
    </row>
    <row r="381" spans="1:8" ht="15.75" customHeight="1" x14ac:dyDescent="0.3">
      <c r="A381" s="93" t="s">
        <v>65</v>
      </c>
      <c r="B381" s="93"/>
      <c r="C381" s="93"/>
      <c r="D381" s="93"/>
      <c r="E381" s="93"/>
      <c r="F381" s="93"/>
      <c r="G381" s="93"/>
      <c r="H381" s="93"/>
    </row>
    <row r="382" spans="1:8" x14ac:dyDescent="0.3">
      <c r="A382" s="92" t="s">
        <v>66</v>
      </c>
      <c r="B382" s="92"/>
      <c r="C382" s="92"/>
      <c r="D382" s="92"/>
      <c r="E382" s="92"/>
      <c r="F382" s="92"/>
      <c r="G382" s="92"/>
      <c r="H382" s="92"/>
    </row>
    <row r="383" spans="1:8" x14ac:dyDescent="0.3">
      <c r="A383" s="92" t="s">
        <v>67</v>
      </c>
      <c r="B383" s="92"/>
      <c r="C383" s="92"/>
      <c r="D383" s="92"/>
      <c r="E383" s="92"/>
      <c r="F383" s="92"/>
      <c r="G383" s="92"/>
      <c r="H383" s="92"/>
    </row>
    <row r="384" spans="1:8" x14ac:dyDescent="0.3">
      <c r="A384" s="92" t="s">
        <v>132</v>
      </c>
      <c r="B384" s="92"/>
      <c r="C384" s="92"/>
      <c r="D384" s="92"/>
      <c r="E384" s="92"/>
      <c r="F384" s="92"/>
      <c r="G384" s="92"/>
      <c r="H384" s="92"/>
    </row>
    <row r="385" spans="1:8" ht="35.25" customHeight="1" x14ac:dyDescent="0.3">
      <c r="A385" s="154" t="s">
        <v>133</v>
      </c>
      <c r="B385" s="154"/>
      <c r="C385" s="154"/>
      <c r="D385" s="154"/>
      <c r="E385" s="154"/>
      <c r="F385" s="154"/>
      <c r="G385" s="154"/>
      <c r="H385" s="154"/>
    </row>
    <row r="386" spans="1:8" x14ac:dyDescent="0.3">
      <c r="A386" s="151" t="s">
        <v>80</v>
      </c>
      <c r="B386" s="151"/>
      <c r="C386" s="151" t="s">
        <v>234</v>
      </c>
      <c r="D386" s="151"/>
      <c r="E386" s="151" t="s">
        <v>110</v>
      </c>
      <c r="F386" s="151"/>
      <c r="G386" s="151" t="s">
        <v>238</v>
      </c>
      <c r="H386" s="151"/>
    </row>
    <row r="387" spans="1:8" x14ac:dyDescent="0.3">
      <c r="A387" s="150" t="s">
        <v>82</v>
      </c>
      <c r="B387" s="150"/>
      <c r="C387" s="150"/>
      <c r="D387" s="150"/>
      <c r="E387" s="150"/>
      <c r="F387" s="150"/>
      <c r="G387" s="150"/>
      <c r="H387" s="150"/>
    </row>
    <row r="388" spans="1:8" x14ac:dyDescent="0.3">
      <c r="A388" s="150"/>
      <c r="B388" s="150"/>
      <c r="C388" s="150"/>
      <c r="D388" s="150"/>
      <c r="E388" s="150"/>
      <c r="F388" s="150"/>
      <c r="G388" s="150"/>
      <c r="H388" s="150"/>
    </row>
    <row r="389" spans="1:8" x14ac:dyDescent="0.3">
      <c r="A389" s="150"/>
      <c r="B389" s="150"/>
      <c r="C389" s="150"/>
      <c r="D389" s="150"/>
      <c r="E389" s="150"/>
      <c r="F389" s="150"/>
      <c r="G389" s="150"/>
      <c r="H389" s="150"/>
    </row>
    <row r="390" spans="1:8" x14ac:dyDescent="0.3">
      <c r="A390" s="150"/>
      <c r="B390" s="150"/>
      <c r="C390" s="150"/>
      <c r="D390" s="150"/>
      <c r="E390" s="150"/>
      <c r="F390" s="150"/>
      <c r="G390" s="150"/>
      <c r="H390" s="150"/>
    </row>
    <row r="391" spans="1:8" x14ac:dyDescent="0.3">
      <c r="A391" s="65" t="s">
        <v>68</v>
      </c>
      <c r="B391" s="38"/>
      <c r="C391" s="38"/>
      <c r="D391" s="37" t="str">
        <f>E8</f>
        <v>Space Greens</v>
      </c>
      <c r="F391" s="38"/>
      <c r="G391" s="38"/>
      <c r="H391" s="38"/>
    </row>
    <row r="392" spans="1:8" x14ac:dyDescent="0.3">
      <c r="A392" s="38"/>
      <c r="B392" s="38"/>
      <c r="C392" s="38"/>
      <c r="D392" s="38"/>
      <c r="E392" s="38"/>
      <c r="F392" s="38"/>
      <c r="G392" s="38"/>
      <c r="H392" s="38"/>
    </row>
    <row r="393" spans="1:8" x14ac:dyDescent="0.3">
      <c r="A393" s="38"/>
      <c r="B393" s="38"/>
      <c r="C393" s="38"/>
      <c r="D393" s="38"/>
      <c r="E393" s="38"/>
      <c r="F393" s="38"/>
      <c r="G393" s="38"/>
      <c r="H393" s="38"/>
    </row>
    <row r="394" spans="1:8" ht="15" customHeight="1" x14ac:dyDescent="0.3"/>
    <row r="434" spans="1:8" x14ac:dyDescent="0.3">
      <c r="A434" s="65" t="s">
        <v>68</v>
      </c>
      <c r="B434" s="38"/>
      <c r="C434" s="38"/>
      <c r="D434" s="37" t="str">
        <f>E8</f>
        <v>Space Greens</v>
      </c>
      <c r="F434" s="38"/>
      <c r="G434" s="38"/>
      <c r="H434" s="38"/>
    </row>
    <row r="435" spans="1:8" x14ac:dyDescent="0.3">
      <c r="A435" s="38"/>
      <c r="B435" s="38"/>
      <c r="C435" s="38"/>
      <c r="D435" s="38"/>
      <c r="E435" s="38"/>
      <c r="F435" s="38"/>
      <c r="G435" s="38"/>
      <c r="H435" s="38"/>
    </row>
    <row r="436" spans="1:8" x14ac:dyDescent="0.3">
      <c r="A436" s="38"/>
      <c r="B436" s="38"/>
      <c r="C436" s="38"/>
      <c r="D436" s="38"/>
      <c r="E436" s="38"/>
      <c r="F436" s="38"/>
      <c r="G436" s="38"/>
      <c r="H436" s="38"/>
    </row>
    <row r="437" spans="1:8" ht="15" customHeight="1" x14ac:dyDescent="0.3"/>
    <row r="477" spans="1:1" x14ac:dyDescent="0.3">
      <c r="A477" s="40" t="s">
        <v>69</v>
      </c>
    </row>
  </sheetData>
  <mergeCells count="558">
    <mergeCell ref="A333:B333"/>
    <mergeCell ref="A334:B334"/>
    <mergeCell ref="A335:B335"/>
    <mergeCell ref="A328:B328"/>
    <mergeCell ref="A329:B329"/>
    <mergeCell ref="A327:B327"/>
    <mergeCell ref="B374:H374"/>
    <mergeCell ref="B372:H372"/>
    <mergeCell ref="G179:H179"/>
    <mergeCell ref="C180:D180"/>
    <mergeCell ref="E180:F180"/>
    <mergeCell ref="G180:H180"/>
    <mergeCell ref="A322:H322"/>
    <mergeCell ref="A323:B323"/>
    <mergeCell ref="A324:B324"/>
    <mergeCell ref="A325:B325"/>
    <mergeCell ref="A326:B326"/>
    <mergeCell ref="A313:H313"/>
    <mergeCell ref="A314:B314"/>
    <mergeCell ref="A315:B315"/>
    <mergeCell ref="A316:B316"/>
    <mergeCell ref="A317:B317"/>
    <mergeCell ref="A318:B318"/>
    <mergeCell ref="A268:B268"/>
    <mergeCell ref="A178:B178"/>
    <mergeCell ref="C178:D178"/>
    <mergeCell ref="E178:F178"/>
    <mergeCell ref="G178:H178"/>
    <mergeCell ref="B378:H378"/>
    <mergeCell ref="G357:H360"/>
    <mergeCell ref="A361:H361"/>
    <mergeCell ref="G362:H365"/>
    <mergeCell ref="A352:H352"/>
    <mergeCell ref="G353:H355"/>
    <mergeCell ref="A336:B336"/>
    <mergeCell ref="A337:B337"/>
    <mergeCell ref="G323:H329"/>
    <mergeCell ref="G331:H337"/>
    <mergeCell ref="A338:H338"/>
    <mergeCell ref="A339:H339"/>
    <mergeCell ref="A340:H340"/>
    <mergeCell ref="A330:H330"/>
    <mergeCell ref="A331:B331"/>
    <mergeCell ref="A332:B332"/>
    <mergeCell ref="A319:B319"/>
    <mergeCell ref="G314:H319"/>
    <mergeCell ref="A320:H320"/>
    <mergeCell ref="A321:H321"/>
    <mergeCell ref="L353:M353"/>
    <mergeCell ref="L354:M354"/>
    <mergeCell ref="L355:M355"/>
    <mergeCell ref="A356:H356"/>
    <mergeCell ref="A346:H346"/>
    <mergeCell ref="G347:H350"/>
    <mergeCell ref="A351:H351"/>
    <mergeCell ref="A341:H341"/>
    <mergeCell ref="G342:H345"/>
    <mergeCell ref="A312:B312"/>
    <mergeCell ref="G307:H312"/>
    <mergeCell ref="A303:B303"/>
    <mergeCell ref="A304:B304"/>
    <mergeCell ref="A308:B308"/>
    <mergeCell ref="A309:B309"/>
    <mergeCell ref="A310:B310"/>
    <mergeCell ref="A311:B311"/>
    <mergeCell ref="A295:H295"/>
    <mergeCell ref="G296:H300"/>
    <mergeCell ref="A297:B297"/>
    <mergeCell ref="A298:B298"/>
    <mergeCell ref="A299:B299"/>
    <mergeCell ref="A300:B300"/>
    <mergeCell ref="A301:H301"/>
    <mergeCell ref="A302:H302"/>
    <mergeCell ref="A291:B291"/>
    <mergeCell ref="A292:B292"/>
    <mergeCell ref="A293:B293"/>
    <mergeCell ref="A294:B294"/>
    <mergeCell ref="A306:H306"/>
    <mergeCell ref="A307:B307"/>
    <mergeCell ref="A296:B296"/>
    <mergeCell ref="A279:B279"/>
    <mergeCell ref="A280:B280"/>
    <mergeCell ref="A281:B281"/>
    <mergeCell ref="A282:B282"/>
    <mergeCell ref="A284:H284"/>
    <mergeCell ref="A285:H285"/>
    <mergeCell ref="A283:B283"/>
    <mergeCell ref="G278:H283"/>
    <mergeCell ref="A305:B305"/>
    <mergeCell ref="G303:H305"/>
    <mergeCell ref="A289:H289"/>
    <mergeCell ref="A290:B290"/>
    <mergeCell ref="G290:H294"/>
    <mergeCell ref="A265:H265"/>
    <mergeCell ref="A266:B266"/>
    <mergeCell ref="A286:B286"/>
    <mergeCell ref="G286:H288"/>
    <mergeCell ref="A287:B287"/>
    <mergeCell ref="A288:B288"/>
    <mergeCell ref="A267:B267"/>
    <mergeCell ref="A270:H270"/>
    <mergeCell ref="A271:B271"/>
    <mergeCell ref="A272:B272"/>
    <mergeCell ref="A273:B273"/>
    <mergeCell ref="A274:B274"/>
    <mergeCell ref="A275:B275"/>
    <mergeCell ref="A277:H277"/>
    <mergeCell ref="A278:B278"/>
    <mergeCell ref="A269:B269"/>
    <mergeCell ref="G266:H269"/>
    <mergeCell ref="A276:B276"/>
    <mergeCell ref="G271:H276"/>
    <mergeCell ref="A257:H257"/>
    <mergeCell ref="A258:B258"/>
    <mergeCell ref="G258:H262"/>
    <mergeCell ref="A259:B259"/>
    <mergeCell ref="A260:B260"/>
    <mergeCell ref="A261:B261"/>
    <mergeCell ref="A262:B262"/>
    <mergeCell ref="A263:H263"/>
    <mergeCell ref="A264:H264"/>
    <mergeCell ref="A249:B249"/>
    <mergeCell ref="G249:H250"/>
    <mergeCell ref="A250:B250"/>
    <mergeCell ref="A251:H251"/>
    <mergeCell ref="A252:B252"/>
    <mergeCell ref="G252:H256"/>
    <mergeCell ref="A253:B253"/>
    <mergeCell ref="A254:B254"/>
    <mergeCell ref="A255:B255"/>
    <mergeCell ref="A256:B256"/>
    <mergeCell ref="A247:H247"/>
    <mergeCell ref="A248:H248"/>
    <mergeCell ref="A241:H241"/>
    <mergeCell ref="A242:B242"/>
    <mergeCell ref="A243:B243"/>
    <mergeCell ref="A244:B244"/>
    <mergeCell ref="A245:B245"/>
    <mergeCell ref="A230:H230"/>
    <mergeCell ref="A231:H231"/>
    <mergeCell ref="A232:B232"/>
    <mergeCell ref="A233:B233"/>
    <mergeCell ref="A235:H235"/>
    <mergeCell ref="A236:B236"/>
    <mergeCell ref="G236:H240"/>
    <mergeCell ref="A237:B237"/>
    <mergeCell ref="A238:B238"/>
    <mergeCell ref="A239:B239"/>
    <mergeCell ref="A240:B240"/>
    <mergeCell ref="A224:H224"/>
    <mergeCell ref="A225:B225"/>
    <mergeCell ref="A226:B226"/>
    <mergeCell ref="A227:B227"/>
    <mergeCell ref="A228:B228"/>
    <mergeCell ref="A246:B246"/>
    <mergeCell ref="G225:H229"/>
    <mergeCell ref="G242:H246"/>
    <mergeCell ref="A234:B234"/>
    <mergeCell ref="G232:H234"/>
    <mergeCell ref="A229:B229"/>
    <mergeCell ref="A213:H213"/>
    <mergeCell ref="A215:H215"/>
    <mergeCell ref="A218:H218"/>
    <mergeCell ref="A219:B219"/>
    <mergeCell ref="G219:H223"/>
    <mergeCell ref="A220:B220"/>
    <mergeCell ref="A221:B221"/>
    <mergeCell ref="A222:B222"/>
    <mergeCell ref="A223:B223"/>
    <mergeCell ref="A214:H214"/>
    <mergeCell ref="A216:B216"/>
    <mergeCell ref="A217:B217"/>
    <mergeCell ref="G216:H217"/>
    <mergeCell ref="A210:B210"/>
    <mergeCell ref="A211:B211"/>
    <mergeCell ref="A212:B212"/>
    <mergeCell ref="G202:H206"/>
    <mergeCell ref="G208:H212"/>
    <mergeCell ref="A204:B204"/>
    <mergeCell ref="A205:B205"/>
    <mergeCell ref="A206:B206"/>
    <mergeCell ref="A207:H207"/>
    <mergeCell ref="A208:B208"/>
    <mergeCell ref="A88:B88"/>
    <mergeCell ref="A89:B89"/>
    <mergeCell ref="F154:H154"/>
    <mergeCell ref="A154:E154"/>
    <mergeCell ref="A155:E155"/>
    <mergeCell ref="A187:B187"/>
    <mergeCell ref="A188:B188"/>
    <mergeCell ref="A189:B189"/>
    <mergeCell ref="A156:E156"/>
    <mergeCell ref="F155:H155"/>
    <mergeCell ref="G141:H141"/>
    <mergeCell ref="F161:H161"/>
    <mergeCell ref="A162:E162"/>
    <mergeCell ref="C172:D172"/>
    <mergeCell ref="E172:F172"/>
    <mergeCell ref="G172:H172"/>
    <mergeCell ref="A172:A174"/>
    <mergeCell ref="C173:D173"/>
    <mergeCell ref="C174:D174"/>
    <mergeCell ref="E173:F173"/>
    <mergeCell ref="E174:F174"/>
    <mergeCell ref="G173:H173"/>
    <mergeCell ref="G174:H174"/>
    <mergeCell ref="A175:A177"/>
    <mergeCell ref="A84:B84"/>
    <mergeCell ref="C84:H84"/>
    <mergeCell ref="A85:B85"/>
    <mergeCell ref="E85:F85"/>
    <mergeCell ref="G85:H85"/>
    <mergeCell ref="A157:E157"/>
    <mergeCell ref="F157:H157"/>
    <mergeCell ref="A158:E158"/>
    <mergeCell ref="A160:E160"/>
    <mergeCell ref="A159:E159"/>
    <mergeCell ref="A145:B145"/>
    <mergeCell ref="A146:B146"/>
    <mergeCell ref="A147:B147"/>
    <mergeCell ref="A149:B149"/>
    <mergeCell ref="A150:B150"/>
    <mergeCell ref="A152:E152"/>
    <mergeCell ref="E141:F141"/>
    <mergeCell ref="G142:H151"/>
    <mergeCell ref="A143:B143"/>
    <mergeCell ref="A144:B144"/>
    <mergeCell ref="G86:H95"/>
    <mergeCell ref="A87:B87"/>
    <mergeCell ref="F158:H158"/>
    <mergeCell ref="A153:E153"/>
    <mergeCell ref="A138:B138"/>
    <mergeCell ref="C138:H138"/>
    <mergeCell ref="A186:H186"/>
    <mergeCell ref="G184:H184"/>
    <mergeCell ref="A86:B86"/>
    <mergeCell ref="E86:F95"/>
    <mergeCell ref="A93:B93"/>
    <mergeCell ref="A94:B94"/>
    <mergeCell ref="A95:B95"/>
    <mergeCell ref="A142:B142"/>
    <mergeCell ref="E142:F151"/>
    <mergeCell ref="F152:H152"/>
    <mergeCell ref="F156:H156"/>
    <mergeCell ref="A140:B140"/>
    <mergeCell ref="C140:H140"/>
    <mergeCell ref="A141:B141"/>
    <mergeCell ref="G181:H181"/>
    <mergeCell ref="A171:B171"/>
    <mergeCell ref="C171:D171"/>
    <mergeCell ref="E171:F171"/>
    <mergeCell ref="G171:H171"/>
    <mergeCell ref="C169:D169"/>
    <mergeCell ref="A185:H185"/>
    <mergeCell ref="E170:F170"/>
    <mergeCell ref="A62:C62"/>
    <mergeCell ref="D61:H61"/>
    <mergeCell ref="E72:F81"/>
    <mergeCell ref="G72:H81"/>
    <mergeCell ref="A80:B80"/>
    <mergeCell ref="A81:B81"/>
    <mergeCell ref="D62:H62"/>
    <mergeCell ref="A42:D42"/>
    <mergeCell ref="E42:H42"/>
    <mergeCell ref="E43:H43"/>
    <mergeCell ref="E44:H44"/>
    <mergeCell ref="E45:H45"/>
    <mergeCell ref="A43:D43"/>
    <mergeCell ref="A79:B79"/>
    <mergeCell ref="A47:B47"/>
    <mergeCell ref="C47:H47"/>
    <mergeCell ref="A78:B78"/>
    <mergeCell ref="A71:B71"/>
    <mergeCell ref="A74:B74"/>
    <mergeCell ref="A70:B70"/>
    <mergeCell ref="A68:B68"/>
    <mergeCell ref="C68:H68"/>
    <mergeCell ref="A76:B76"/>
    <mergeCell ref="A63:C63"/>
    <mergeCell ref="A36:H36"/>
    <mergeCell ref="A35:B35"/>
    <mergeCell ref="C35:E35"/>
    <mergeCell ref="A40:D40"/>
    <mergeCell ref="E40:H40"/>
    <mergeCell ref="F32:H32"/>
    <mergeCell ref="F33:H33"/>
    <mergeCell ref="A39:H39"/>
    <mergeCell ref="A61:C61"/>
    <mergeCell ref="F35:H35"/>
    <mergeCell ref="A37:B37"/>
    <mergeCell ref="A38:B38"/>
    <mergeCell ref="C38:H38"/>
    <mergeCell ref="A44:D44"/>
    <mergeCell ref="A45:D45"/>
    <mergeCell ref="A46:H46"/>
    <mergeCell ref="D56:H56"/>
    <mergeCell ref="A56:C56"/>
    <mergeCell ref="G49:H49"/>
    <mergeCell ref="A50:B51"/>
    <mergeCell ref="G50:H50"/>
    <mergeCell ref="A57:C60"/>
    <mergeCell ref="D57:H57"/>
    <mergeCell ref="D58:H58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D63:H63"/>
    <mergeCell ref="C70:H70"/>
    <mergeCell ref="A73:B73"/>
    <mergeCell ref="A75:B75"/>
    <mergeCell ref="E71:F71"/>
    <mergeCell ref="A64:C64"/>
    <mergeCell ref="D64:H64"/>
    <mergeCell ref="A67:C67"/>
    <mergeCell ref="D67:H67"/>
    <mergeCell ref="A65:C65"/>
    <mergeCell ref="D65:H65"/>
    <mergeCell ref="A66:C66"/>
    <mergeCell ref="D66:H66"/>
    <mergeCell ref="A72:B72"/>
    <mergeCell ref="G71:H71"/>
    <mergeCell ref="A387:H390"/>
    <mergeCell ref="A386:B386"/>
    <mergeCell ref="E386:F386"/>
    <mergeCell ref="C386:D386"/>
    <mergeCell ref="G386:H386"/>
    <mergeCell ref="A165:H165"/>
    <mergeCell ref="A163:E163"/>
    <mergeCell ref="F163:H163"/>
    <mergeCell ref="A164:E164"/>
    <mergeCell ref="F164:H164"/>
    <mergeCell ref="A170:B170"/>
    <mergeCell ref="A167:B167"/>
    <mergeCell ref="A382:H382"/>
    <mergeCell ref="A168:H168"/>
    <mergeCell ref="A385:H385"/>
    <mergeCell ref="A383:H383"/>
    <mergeCell ref="C170:D170"/>
    <mergeCell ref="A379:H379"/>
    <mergeCell ref="A380:H380"/>
    <mergeCell ref="E169:F169"/>
    <mergeCell ref="B375:H375"/>
    <mergeCell ref="B376:H376"/>
    <mergeCell ref="B373:H373"/>
    <mergeCell ref="B369:H369"/>
    <mergeCell ref="B368:H368"/>
    <mergeCell ref="B370:H370"/>
    <mergeCell ref="B371:H371"/>
    <mergeCell ref="A366:H366"/>
    <mergeCell ref="A193:H193"/>
    <mergeCell ref="G169:H169"/>
    <mergeCell ref="A181:B181"/>
    <mergeCell ref="E181:F181"/>
    <mergeCell ref="G177:H177"/>
    <mergeCell ref="A179:A180"/>
    <mergeCell ref="C179:D179"/>
    <mergeCell ref="A191:B191"/>
    <mergeCell ref="A192:B192"/>
    <mergeCell ref="A196:H196"/>
    <mergeCell ref="A197:B197"/>
    <mergeCell ref="A195:H195"/>
    <mergeCell ref="A199:H199"/>
    <mergeCell ref="A201:H201"/>
    <mergeCell ref="A202:B202"/>
    <mergeCell ref="A203:B203"/>
    <mergeCell ref="G197:H198"/>
    <mergeCell ref="A198:B198"/>
    <mergeCell ref="A200:H200"/>
    <mergeCell ref="A209:B209"/>
    <mergeCell ref="A190:B190"/>
    <mergeCell ref="E166:F166"/>
    <mergeCell ref="A182:H182"/>
    <mergeCell ref="A166:B166"/>
    <mergeCell ref="F159:H159"/>
    <mergeCell ref="C166:D166"/>
    <mergeCell ref="F162:H162"/>
    <mergeCell ref="F160:H160"/>
    <mergeCell ref="A183:H183"/>
    <mergeCell ref="G166:H166"/>
    <mergeCell ref="A161:E161"/>
    <mergeCell ref="C167:D167"/>
    <mergeCell ref="E167:F167"/>
    <mergeCell ref="C181:D181"/>
    <mergeCell ref="C175:D175"/>
    <mergeCell ref="E175:F175"/>
    <mergeCell ref="G175:H175"/>
    <mergeCell ref="C176:D176"/>
    <mergeCell ref="E176:F176"/>
    <mergeCell ref="G176:H176"/>
    <mergeCell ref="C177:D177"/>
    <mergeCell ref="E177:F177"/>
    <mergeCell ref="G170:H170"/>
    <mergeCell ref="E179:F179"/>
    <mergeCell ref="A52:B52"/>
    <mergeCell ref="C52:E52"/>
    <mergeCell ref="A49:B49"/>
    <mergeCell ref="A53:H53"/>
    <mergeCell ref="A54:C54"/>
    <mergeCell ref="A55:C55"/>
    <mergeCell ref="D55:H55"/>
    <mergeCell ref="G52:H52"/>
    <mergeCell ref="D54:H54"/>
    <mergeCell ref="C50:E50"/>
    <mergeCell ref="D60:H60"/>
    <mergeCell ref="C51:H51"/>
    <mergeCell ref="B367:H367"/>
    <mergeCell ref="B377:H377"/>
    <mergeCell ref="A16:B16"/>
    <mergeCell ref="C16:H16"/>
    <mergeCell ref="E41:H41"/>
    <mergeCell ref="A41:D41"/>
    <mergeCell ref="A77:B77"/>
    <mergeCell ref="A48:B48"/>
    <mergeCell ref="C48:E48"/>
    <mergeCell ref="C37:H37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D59:H59"/>
    <mergeCell ref="G48:H48"/>
    <mergeCell ref="C49:E49"/>
    <mergeCell ref="A384:H384"/>
    <mergeCell ref="A381:H381"/>
    <mergeCell ref="A169:B169"/>
    <mergeCell ref="G194:H194"/>
    <mergeCell ref="A90:B90"/>
    <mergeCell ref="A91:B91"/>
    <mergeCell ref="A92:B92"/>
    <mergeCell ref="A82:B82"/>
    <mergeCell ref="C82:H82"/>
    <mergeCell ref="A148:B148"/>
    <mergeCell ref="F153:H153"/>
    <mergeCell ref="G167:H167"/>
    <mergeCell ref="A151:B151"/>
    <mergeCell ref="G187:H192"/>
    <mergeCell ref="A110:B110"/>
    <mergeCell ref="C110:H110"/>
    <mergeCell ref="A112:B112"/>
    <mergeCell ref="C112:H112"/>
    <mergeCell ref="A113:B113"/>
    <mergeCell ref="E113:F113"/>
    <mergeCell ref="G113:H113"/>
    <mergeCell ref="A114:B114"/>
    <mergeCell ref="E114:F123"/>
    <mergeCell ref="G114:H123"/>
    <mergeCell ref="A96:B96"/>
    <mergeCell ref="C96:H96"/>
    <mergeCell ref="A98:B98"/>
    <mergeCell ref="C98:H98"/>
    <mergeCell ref="A99:B99"/>
    <mergeCell ref="E99:F99"/>
    <mergeCell ref="G99:H99"/>
    <mergeCell ref="A100:B100"/>
    <mergeCell ref="E100:F109"/>
    <mergeCell ref="G100:H109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24:B124"/>
    <mergeCell ref="C124:H124"/>
    <mergeCell ref="A126:B126"/>
    <mergeCell ref="C126:H126"/>
    <mergeCell ref="A127:B127"/>
    <mergeCell ref="E127:F127"/>
    <mergeCell ref="G127:H127"/>
    <mergeCell ref="A128:B128"/>
    <mergeCell ref="E128:F137"/>
    <mergeCell ref="G128:H137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</mergeCells>
  <hyperlinks>
    <hyperlink ref="C38" r:id="rId1" xr:uid="{00000000-0004-0000-0000-000000000000}"/>
  </hyperlinks>
  <printOptions horizontalCentered="1"/>
  <pageMargins left="0.39370078740157483" right="0.39370078740157483" top="0.78740157480314965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7" max="16383" man="1"/>
    <brk id="390" max="16383" man="1"/>
    <brk id="433" max="16383" man="1"/>
    <brk id="47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8" t="s">
        <v>111</v>
      </c>
      <c r="C3" s="198"/>
      <c r="D3" s="198"/>
      <c r="E3" s="198"/>
      <c r="F3" s="198"/>
      <c r="G3" s="198"/>
      <c r="H3" s="198"/>
    </row>
    <row r="4" spans="1:9" x14ac:dyDescent="0.3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2025-08-13T09:11:51Z</cp:lastPrinted>
  <dcterms:created xsi:type="dcterms:W3CDTF">2019-07-16T09:29:46Z</dcterms:created>
  <dcterms:modified xsi:type="dcterms:W3CDTF">2025-08-13T09:15:21Z</dcterms:modified>
</cp:coreProperties>
</file>