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6-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6" i="1" l="1"/>
  <c r="J221" i="1" l="1"/>
  <c r="J207" i="1"/>
  <c r="J208" i="1"/>
  <c r="J209" i="1"/>
  <c r="J214" i="1"/>
  <c r="J215" i="1"/>
  <c r="J216" i="1"/>
  <c r="J199" i="1"/>
  <c r="J200" i="1"/>
  <c r="J201" i="1"/>
  <c r="K171" i="1"/>
  <c r="L171" i="1" s="1"/>
  <c r="E171" i="1"/>
  <c r="K170" i="1"/>
  <c r="J170" i="1"/>
  <c r="L170" i="1" s="1"/>
  <c r="I170" i="1"/>
  <c r="J64" i="1"/>
  <c r="J66" i="1"/>
  <c r="E47" i="1"/>
  <c r="E234" i="1" l="1"/>
  <c r="I234" i="1"/>
  <c r="I232" i="1"/>
  <c r="I231" i="1"/>
  <c r="D234" i="1"/>
  <c r="E231" i="1"/>
  <c r="D231" i="1"/>
  <c r="E227" i="1"/>
  <c r="I227" i="1"/>
  <c r="I226" i="1"/>
  <c r="I224" i="1"/>
  <c r="D227" i="1"/>
  <c r="E226" i="1"/>
  <c r="D226" i="1"/>
  <c r="D233" i="1"/>
  <c r="I219" i="1"/>
  <c r="E218" i="1"/>
  <c r="I218" i="1"/>
  <c r="D218" i="1"/>
  <c r="E217" i="1"/>
  <c r="D217" i="1"/>
  <c r="I211" i="1"/>
  <c r="I210" i="1"/>
  <c r="I217" i="1"/>
  <c r="E213" i="1"/>
  <c r="D213" i="1"/>
  <c r="E210" i="1"/>
  <c r="D210" i="1"/>
  <c r="E205" i="1"/>
  <c r="D205" i="1"/>
  <c r="E204" i="1"/>
  <c r="D204" i="1"/>
  <c r="E203" i="1"/>
  <c r="D203" i="1"/>
  <c r="E202" i="1"/>
  <c r="D202" i="1"/>
  <c r="E198" i="1"/>
  <c r="E193" i="1"/>
  <c r="D198" i="1"/>
  <c r="E197" i="1"/>
  <c r="D197" i="1"/>
  <c r="E196" i="1"/>
  <c r="D196" i="1"/>
  <c r="E195" i="1"/>
  <c r="D195" i="1"/>
  <c r="E194" i="1"/>
  <c r="D194" i="1"/>
  <c r="D193" i="1"/>
  <c r="I198" i="1"/>
  <c r="I197" i="1"/>
  <c r="E188" i="1"/>
  <c r="E187" i="1"/>
  <c r="I187" i="1"/>
  <c r="I186" i="1"/>
  <c r="E189" i="1"/>
  <c r="E186" i="1"/>
  <c r="D189" i="1"/>
  <c r="D188" i="1"/>
  <c r="D187" i="1"/>
  <c r="D186" i="1"/>
  <c r="E181" i="1"/>
  <c r="E179" i="1"/>
  <c r="E178" i="1"/>
  <c r="E174" i="1"/>
  <c r="E172" i="1"/>
  <c r="I173" i="1"/>
  <c r="D174" i="1"/>
  <c r="E173" i="1"/>
  <c r="D173" i="1"/>
  <c r="D172" i="1"/>
  <c r="D171" i="1"/>
  <c r="I171" i="1"/>
  <c r="D77" i="1"/>
  <c r="C125" i="1" l="1"/>
  <c r="E233" i="1"/>
  <c r="E232" i="1"/>
  <c r="D232" i="1"/>
  <c r="E225" i="1"/>
  <c r="D225" i="1"/>
  <c r="E224" i="1"/>
  <c r="D224" i="1"/>
  <c r="E220" i="1"/>
  <c r="D220" i="1"/>
  <c r="E219" i="1"/>
  <c r="D219" i="1"/>
  <c r="E212" i="1"/>
  <c r="D212" i="1"/>
  <c r="E211" i="1"/>
  <c r="D211" i="1"/>
  <c r="C158" i="1"/>
  <c r="C157" i="1"/>
  <c r="C156" i="1"/>
  <c r="D181" i="1"/>
  <c r="E180" i="1"/>
  <c r="D180" i="1"/>
  <c r="D179" i="1"/>
  <c r="D178" i="1"/>
  <c r="C154" i="1"/>
  <c r="I166" i="1"/>
  <c r="F226" i="1"/>
  <c r="H226" i="1" s="1"/>
  <c r="K142" i="1" s="1"/>
  <c r="F218" i="1"/>
  <c r="H218" i="1" s="1"/>
  <c r="J218" i="1" s="1"/>
  <c r="C159" i="1" l="1"/>
  <c r="C155" i="1"/>
  <c r="F220" i="1"/>
  <c r="H220" i="1" s="1"/>
  <c r="J220" i="1" s="1"/>
  <c r="C161" i="1"/>
  <c r="F219" i="1"/>
  <c r="H219" i="1" s="1"/>
  <c r="J219" i="1" s="1"/>
  <c r="F232" i="1"/>
  <c r="H232" i="1" s="1"/>
  <c r="F217" i="1"/>
  <c r="F224" i="1"/>
  <c r="F225" i="1"/>
  <c r="H225" i="1" s="1"/>
  <c r="I142" i="1" s="1"/>
  <c r="F227" i="1"/>
  <c r="H227" i="1" s="1"/>
  <c r="F231" i="1"/>
  <c r="F233" i="1"/>
  <c r="H233" i="1" s="1"/>
  <c r="F234" i="1"/>
  <c r="H234" i="1" s="1"/>
  <c r="C160" i="1"/>
  <c r="C162" i="1"/>
  <c r="I203" i="1"/>
  <c r="I202" i="1"/>
  <c r="C163" i="1" l="1"/>
  <c r="J146" i="1"/>
  <c r="J145" i="1"/>
  <c r="H231" i="1"/>
  <c r="G162" i="1" s="1"/>
  <c r="E162" i="1"/>
  <c r="H217" i="1"/>
  <c r="E160" i="1"/>
  <c r="H224" i="1"/>
  <c r="G161" i="1" s="1"/>
  <c r="E161" i="1"/>
  <c r="F198" i="1"/>
  <c r="H198" i="1" s="1"/>
  <c r="J198" i="1" s="1"/>
  <c r="F197" i="1"/>
  <c r="H197" i="1" s="1"/>
  <c r="J197" i="1" s="1"/>
  <c r="F205" i="1"/>
  <c r="H205" i="1" s="1"/>
  <c r="J205" i="1" s="1"/>
  <c r="F204" i="1"/>
  <c r="H204" i="1" s="1"/>
  <c r="J204" i="1" s="1"/>
  <c r="F203" i="1"/>
  <c r="H203" i="1" s="1"/>
  <c r="J203" i="1" s="1"/>
  <c r="F202" i="1"/>
  <c r="F196" i="1"/>
  <c r="H196" i="1" s="1"/>
  <c r="J196" i="1" s="1"/>
  <c r="F195" i="1"/>
  <c r="H195" i="1" s="1"/>
  <c r="J195" i="1" s="1"/>
  <c r="F194" i="1"/>
  <c r="H194" i="1" s="1"/>
  <c r="J194" i="1" s="1"/>
  <c r="F193" i="1"/>
  <c r="I181" i="1"/>
  <c r="I178" i="1"/>
  <c r="J174" i="1"/>
  <c r="J173" i="1"/>
  <c r="I174" i="1"/>
  <c r="J172" i="1"/>
  <c r="J171" i="1"/>
  <c r="G160" i="1" l="1"/>
  <c r="J217" i="1"/>
  <c r="J144" i="1"/>
  <c r="J142" i="1"/>
  <c r="H193" i="1"/>
  <c r="E157" i="1"/>
  <c r="H202" i="1"/>
  <c r="E158" i="1"/>
  <c r="B38" i="6"/>
  <c r="B39" i="6" s="1"/>
  <c r="B40" i="6" s="1"/>
  <c r="B41" i="6" s="1"/>
  <c r="B42" i="6" s="1"/>
  <c r="B43" i="6" s="1"/>
  <c r="B44" i="6" s="1"/>
  <c r="B45" i="6" s="1"/>
  <c r="B46" i="6" s="1"/>
  <c r="B47" i="6" s="1"/>
  <c r="B48" i="6" s="1"/>
  <c r="B49" i="6" s="1"/>
  <c r="G157" i="1" l="1"/>
  <c r="J193" i="1"/>
  <c r="G158" i="1"/>
  <c r="J202"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66" i="1"/>
  <c r="B243" i="1"/>
  <c r="F213" i="1"/>
  <c r="H213" i="1" s="1"/>
  <c r="J213" i="1" s="1"/>
  <c r="F212" i="1"/>
  <c r="H212" i="1" s="1"/>
  <c r="F211" i="1"/>
  <c r="H211" i="1" s="1"/>
  <c r="J211" i="1" s="1"/>
  <c r="F210" i="1"/>
  <c r="F189" i="1"/>
  <c r="H189" i="1" s="1"/>
  <c r="F188" i="1"/>
  <c r="H188" i="1" s="1"/>
  <c r="F187" i="1"/>
  <c r="H187" i="1" s="1"/>
  <c r="F186" i="1"/>
  <c r="F181" i="1"/>
  <c r="H181" i="1" s="1"/>
  <c r="F180" i="1"/>
  <c r="H180" i="1" s="1"/>
  <c r="F179" i="1"/>
  <c r="H179" i="1" s="1"/>
  <c r="F178" i="1"/>
  <c r="A179" i="1"/>
  <c r="A180" i="1" s="1"/>
  <c r="A181" i="1" s="1"/>
  <c r="F174" i="1"/>
  <c r="H174" i="1" s="1"/>
  <c r="F173" i="1"/>
  <c r="H173" i="1" s="1"/>
  <c r="F172" i="1"/>
  <c r="H172" i="1" s="1"/>
  <c r="A172" i="1"/>
  <c r="A173" i="1" s="1"/>
  <c r="A174" i="1" s="1"/>
  <c r="F171" i="1"/>
  <c r="F151" i="1"/>
  <c r="C111" i="1"/>
  <c r="C97" i="1"/>
  <c r="C83" i="1"/>
  <c r="B84" i="1" s="1"/>
  <c r="D69" i="1"/>
  <c r="G61" i="1"/>
  <c r="C61" i="1"/>
  <c r="K59" i="1"/>
  <c r="C59" i="1"/>
  <c r="G55" i="1"/>
  <c r="C55" i="1"/>
  <c r="C56" i="1" s="1"/>
  <c r="E48" i="1"/>
  <c r="E49" i="1" s="1"/>
  <c r="S37" i="1"/>
  <c r="E35" i="1"/>
  <c r="E32" i="1"/>
  <c r="E30" i="1"/>
  <c r="C20" i="1"/>
  <c r="I19" i="1"/>
  <c r="Z17" i="1"/>
  <c r="E8" i="1"/>
  <c r="E3" i="1"/>
  <c r="B253" i="1" s="1"/>
  <c r="H112" i="1"/>
  <c r="H98" i="1"/>
  <c r="H84" i="1"/>
  <c r="E42" i="7" l="1"/>
  <c r="J143" i="1"/>
  <c r="J212" i="1"/>
  <c r="H171" i="1"/>
  <c r="G154" i="1" s="1"/>
  <c r="E154" i="1"/>
  <c r="H178" i="1"/>
  <c r="G155" i="1" s="1"/>
  <c r="E155" i="1"/>
  <c r="H186" i="1"/>
  <c r="G156" i="1" s="1"/>
  <c r="E156" i="1"/>
  <c r="H210" i="1"/>
  <c r="E159" i="1"/>
  <c r="J91" i="1"/>
  <c r="J92" i="1"/>
  <c r="B112" i="1"/>
  <c r="J120" i="1" s="1"/>
  <c r="I42" i="7"/>
  <c r="H42" i="7" s="1"/>
  <c r="L42" i="7"/>
  <c r="K42" i="7" s="1"/>
  <c r="J97" i="1"/>
  <c r="J99" i="1" s="1"/>
  <c r="D106" i="1"/>
  <c r="D105" i="1"/>
  <c r="D110" i="1"/>
  <c r="D104" i="1"/>
  <c r="J100" i="1"/>
  <c r="D109" i="1"/>
  <c r="J102" i="1"/>
  <c r="D103" i="1"/>
  <c r="D108" i="1"/>
  <c r="J101" i="1"/>
  <c r="D107" i="1"/>
  <c r="D92" i="1"/>
  <c r="J86" i="1"/>
  <c r="D91" i="1"/>
  <c r="D96" i="1"/>
  <c r="D90" i="1"/>
  <c r="D95" i="1"/>
  <c r="D89" i="1"/>
  <c r="J88" i="1"/>
  <c r="C87" i="1" s="1"/>
  <c r="D94" i="1"/>
  <c r="D93" i="1"/>
  <c r="J87" i="1"/>
  <c r="J83" i="1"/>
  <c r="J85" i="1" s="1"/>
  <c r="D121" i="1"/>
  <c r="J115" i="1"/>
  <c r="J111" i="1"/>
  <c r="J113" i="1" s="1"/>
  <c r="J114" i="1"/>
  <c r="D119" i="1"/>
  <c r="D124" i="1"/>
  <c r="D118" i="1"/>
  <c r="D123" i="1"/>
  <c r="D117" i="1"/>
  <c r="D120" i="1"/>
  <c r="J116" i="1"/>
  <c r="C115" i="1" s="1"/>
  <c r="D122" i="1"/>
  <c r="D42" i="7"/>
  <c r="L59" i="1"/>
  <c r="B98" i="1"/>
  <c r="J93" i="1"/>
  <c r="J94" i="1"/>
  <c r="I56" i="1"/>
  <c r="J89" i="1"/>
  <c r="J90" i="1" s="1"/>
  <c r="J95" i="1" s="1"/>
  <c r="J96" i="1" s="1"/>
  <c r="C88" i="1" s="1"/>
  <c r="E163" i="1" l="1"/>
  <c r="G159" i="1"/>
  <c r="J210" i="1"/>
  <c r="G163" i="1"/>
  <c r="J122" i="1"/>
  <c r="J121" i="1"/>
  <c r="D44" i="7"/>
  <c r="E44" i="7"/>
  <c r="J119" i="1"/>
  <c r="J117" i="1"/>
  <c r="E87" i="1"/>
  <c r="D88" i="1"/>
  <c r="G87" i="1"/>
  <c r="D81" i="1" s="1"/>
  <c r="D87" i="1"/>
  <c r="D101" i="1"/>
  <c r="J106" i="1"/>
  <c r="J103" i="1"/>
  <c r="J104" i="1" s="1"/>
  <c r="J109" i="1" s="1"/>
  <c r="J110" i="1" s="1"/>
  <c r="J108" i="1"/>
  <c r="C102" i="1" s="1"/>
  <c r="J105" i="1"/>
  <c r="J107" i="1"/>
  <c r="J118" i="1" l="1"/>
  <c r="B126" i="1"/>
  <c r="I84" i="1"/>
  <c r="I85" i="1" s="1"/>
  <c r="J84" i="1"/>
  <c r="E101" i="1"/>
  <c r="D102" i="1"/>
  <c r="I98" i="1" s="1"/>
  <c r="J98" i="1"/>
  <c r="G101" i="1"/>
  <c r="D82" i="1"/>
  <c r="F82" i="1"/>
  <c r="H126" i="1"/>
  <c r="J123" i="1" l="1"/>
  <c r="J130" i="1"/>
  <c r="C129" i="1" s="1"/>
  <c r="J128" i="1"/>
  <c r="J125" i="1"/>
  <c r="J127" i="1" s="1"/>
  <c r="D138" i="1"/>
  <c r="D137" i="1"/>
  <c r="D136" i="1"/>
  <c r="D135" i="1"/>
  <c r="D134" i="1"/>
  <c r="D133" i="1"/>
  <c r="D132" i="1"/>
  <c r="D131" i="1"/>
  <c r="J129" i="1"/>
  <c r="J136" i="1"/>
  <c r="J135" i="1"/>
  <c r="J134" i="1"/>
  <c r="J133" i="1"/>
  <c r="J131" i="1"/>
  <c r="J132" i="1" s="1"/>
  <c r="I83" i="1"/>
  <c r="C85" i="1" s="1"/>
  <c r="I99" i="1"/>
  <c r="I97" i="1" s="1"/>
  <c r="C99" i="1" s="1"/>
  <c r="J124" i="1" l="1"/>
  <c r="J137" i="1"/>
  <c r="J138" i="1" s="1"/>
  <c r="C130" i="1" s="1"/>
  <c r="E129" i="1" s="1"/>
  <c r="D129" i="1"/>
  <c r="D115" i="1" l="1"/>
  <c r="C116" i="1"/>
  <c r="D116" i="1" s="1"/>
  <c r="G115" i="1"/>
  <c r="E115" i="1"/>
  <c r="J126" i="1"/>
  <c r="D130" i="1"/>
  <c r="I126" i="1" s="1"/>
  <c r="I127" i="1" s="1"/>
  <c r="G129" i="1"/>
  <c r="J112" i="1" l="1"/>
  <c r="I112" i="1"/>
  <c r="I113" i="1" s="1"/>
  <c r="I125" i="1"/>
  <c r="C127" i="1" s="1"/>
  <c r="I111" i="1" l="1"/>
  <c r="C113"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Building No. 
Tower No.
Wing 
Bunglow No., etc</t>
        </r>
      </text>
    </comment>
    <comment ref="E15" authorId="0" shapeId="0">
      <text>
        <r>
          <rPr>
            <b/>
            <sz val="9"/>
            <color indexed="81"/>
            <rFont val="Tahoma"/>
            <family val="2"/>
          </rPr>
          <t>Sachin:</t>
        </r>
        <r>
          <rPr>
            <sz val="9"/>
            <color indexed="81"/>
            <rFont val="Tahoma"/>
            <family val="2"/>
          </rPr>
          <t xml:space="preserve">
Building No. 
Tower No.
Wing 
Bunglow No., etc</t>
        </r>
      </text>
    </comment>
    <comment ref="E16" authorId="0" shapeId="0">
      <text>
        <r>
          <rPr>
            <b/>
            <sz val="9"/>
            <color indexed="81"/>
            <rFont val="Tahoma"/>
            <family val="2"/>
          </rPr>
          <t>Sachin:</t>
        </r>
        <r>
          <rPr>
            <sz val="9"/>
            <color indexed="81"/>
            <rFont val="Tahoma"/>
            <family val="2"/>
          </rPr>
          <t xml:space="preserve">
Building No. 
Tower No.
Wing 
Bunglow No., etc</t>
        </r>
      </text>
    </comment>
    <comment ref="E17" authorId="0" shapeId="0">
      <text>
        <r>
          <rPr>
            <b/>
            <sz val="9"/>
            <color indexed="81"/>
            <rFont val="Tahoma"/>
            <family val="2"/>
          </rPr>
          <t>Sachin:</t>
        </r>
        <r>
          <rPr>
            <sz val="9"/>
            <color indexed="81"/>
            <rFont val="Tahoma"/>
            <family val="2"/>
          </rPr>
          <t xml:space="preserve">
If exisiting Building is provided write it or else
NA</t>
        </r>
      </text>
    </comment>
    <comment ref="C60" authorId="1" shapeId="0">
      <text>
        <r>
          <rPr>
            <b/>
            <sz val="9"/>
            <color indexed="81"/>
            <rFont val="Tahoma"/>
            <family val="2"/>
          </rPr>
          <t>SACHIN:</t>
        </r>
        <r>
          <rPr>
            <sz val="9"/>
            <color indexed="81"/>
            <rFont val="Tahoma"/>
            <family val="2"/>
          </rPr>
          <t xml:space="preserve">
Floor with height</t>
        </r>
      </text>
    </comment>
    <comment ref="C62" authorId="1" shapeId="0">
      <text>
        <r>
          <rPr>
            <b/>
            <sz val="9"/>
            <color indexed="81"/>
            <rFont val="Tahoma"/>
            <family val="2"/>
          </rPr>
          <t>SACHIN:</t>
        </r>
        <r>
          <rPr>
            <sz val="9"/>
            <color indexed="81"/>
            <rFont val="Tahoma"/>
            <family val="2"/>
          </rPr>
          <t xml:space="preserve">
Survey Nos.</t>
        </r>
      </text>
    </comment>
    <comment ref="C64" authorId="1" shapeId="0">
      <text>
        <r>
          <rPr>
            <b/>
            <sz val="9"/>
            <color indexed="81"/>
            <rFont val="Tahoma"/>
            <family val="2"/>
          </rPr>
          <t>SACHIN:</t>
        </r>
        <r>
          <rPr>
            <sz val="9"/>
            <color indexed="81"/>
            <rFont val="Tahoma"/>
            <family val="2"/>
          </rPr>
          <t xml:space="preserve">
Height from AMSL</t>
        </r>
      </text>
    </comment>
    <comment ref="C66" authorId="1" shapeId="0">
      <text>
        <r>
          <rPr>
            <b/>
            <sz val="9"/>
            <color indexed="81"/>
            <rFont val="Tahoma"/>
            <family val="2"/>
          </rPr>
          <t>SACHIN:</t>
        </r>
        <r>
          <rPr>
            <sz val="9"/>
            <color indexed="81"/>
            <rFont val="Tahoma"/>
            <family val="2"/>
          </rPr>
          <t xml:space="preserve">
Height from AMSL</t>
        </r>
      </text>
    </comment>
    <comment ref="D69"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4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<sst xmlns="http://schemas.openxmlformats.org/spreadsheetml/2006/main" count="815" uniqueCount="444">
  <si>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</si>
  <si>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</si>
  <si>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</si>
  <si>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</si>
  <si>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</si>
  <si>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</si>
  <si>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</si>
  <si>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</si>
  <si>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</si>
  <si>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</si>
  <si>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</si>
  <si>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</si>
  <si>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</si>
  <si>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</si>
  <si>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</si>
  <si>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</si>
  <si>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</si>
  <si>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</si>
  <si>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</si>
  <si>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</si>
  <si>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</si>
  <si>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</si>
  <si>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</si>
  <si>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</si>
  <si>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</si>
  <si>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</si>
  <si>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</si>
  <si>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</si>
  <si>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</si>
  <si>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</si>
  <si>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</si>
  <si>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</si>
  <si>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</si>
  <si>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</si>
  <si>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</si>
  <si>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</si>
  <si>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</si>
  <si>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</si>
  <si>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</si>
  <si>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</si>
  <si>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</si>
  <si>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</si>
  <si>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</si>
  <si>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</si>
  <si>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</si>
  <si>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</si>
  <si>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</si>
  <si>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</si>
  <si>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</si>
  <si>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</si>
  <si>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</si>
  <si>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</si>
  <si>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</si>
  <si>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</si>
  <si>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</si>
  <si>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</si>
  <si>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</si>
  <si>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</si>
  <si>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</si>
  <si>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</si>
  <si>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</si>
  <si>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</si>
  <si>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</si>
  <si>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</si>
  <si>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</si>
  <si>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</si>
  <si>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</si>
  <si>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</si>
  <si>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</si>
  <si>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</si>
  <si>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</si>
  <si>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</si>
  <si>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</si>
  <si>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</si>
  <si>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</si>
  <si>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</si>
  <si>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</si>
  <si>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</si>
  <si>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</si>
  <si>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</si>
  <si>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</si>
  <si>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</si>
  <si>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</si>
  <si>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</si>
  <si>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</si>
  <si>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</si>
  <si>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</si>
  <si>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</si>
  <si>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</si>
  <si>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</si>
  <si>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</si>
  <si>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</si>
  <si>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</si>
  <si>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</si>
  <si>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</si>
  <si>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</si>
  <si>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</si>
  <si>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</si>
  <si>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</si>
  <si>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</si>
  <si>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</si>
  <si>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</si>
  <si>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</si>
  <si>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</si>
  <si>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</si>
  <si>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</si>
  <si>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</si>
  <si>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</si>
  <si>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</si>
  <si>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</si>
  <si>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</si>
  <si>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</si>
  <si>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</si>
  <si>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</si>
  <si>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</si>
  <si>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</si>
  <si>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</si>
  <si>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</si>
  <si>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</si>
  <si>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</si>
  <si>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</si>
  <si>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</si>
  <si>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</si>
  <si>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</si>
  <si>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</si>
  <si>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</si>
  <si>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</si>
  <si>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</si>
  <si>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</si>
  <si>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</si>
  <si>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</si>
  <si>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</si>
  <si>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</si>
  <si>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</si>
  <si>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</si>
  <si>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</si>
  <si>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</si>
  <si>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</si>
  <si>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</si>
  <si>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</si>
  <si>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</si>
  <si>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</si>
  <si>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</si>
  <si>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</si>
  <si>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</si>
  <si>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</si>
  <si>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</si>
  <si>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</si>
  <si>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</si>
  <si>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</si>
  <si>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</si>
  <si>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</si>
  <si>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</si>
  <si>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</si>
  <si>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</si>
  <si>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</si>
  <si>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</si>
  <si>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</si>
  <si>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</si>
  <si>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</si>
  <si>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</si>
  <si>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</si>
  <si>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</si>
  <si>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</si>
  <si>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</si>
  <si>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</si>
  <si>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</si>
  <si>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</si>
  <si>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</si>
  <si>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</si>
  <si>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</si>
  <si>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</si>
  <si>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</si>
  <si>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</si>
  <si>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</si>
  <si>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</si>
  <si>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</si>
  <si>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</si>
  <si>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</si>
  <si>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</si>
  <si>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</si>
  <si>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</si>
  <si>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</si>
  <si>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</si>
  <si>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</si>
  <si>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</si>
  <si>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</si>
  <si>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</si>
  <si>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</si>
  <si>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</si>
  <si>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</si>
  <si>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</si>
  <si>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</si>
  <si>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</si>
  <si>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</si>
  <si>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</si>
  <si>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</si>
  <si>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</si>
  <si>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</si>
  <si>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</si>
  <si>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</si>
  <si>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</si>
  <si>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</si>
  <si>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</si>
  <si>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</si>
  <si>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</si>
  <si>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</si>
  <si>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</si>
  <si>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</si>
  <si>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</si>
  <si>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</si>
  <si>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</si>
  <si>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</si>
  <si>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</si>
  <si>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</si>
  <si>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</si>
  <si>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</si>
  <si>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</si>
  <si>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</si>
  <si>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</si>
  <si>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</si>
  <si>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</si>
  <si>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</si>
  <si>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</si>
  <si>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</si>
  <si>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</si>
  <si>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</si>
  <si>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</si>
  <si>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</si>
  <si>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</si>
  <si>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</si>
  <si>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</si>
  <si>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</si>
  <si>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</si>
  <si>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</si>
  <si>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</si>
  <si>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</si>
  <si>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</si>
  <si>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</si>
  <si>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</si>
  <si>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</si>
  <si>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</si>
  <si>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</si>
  <si>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</si>
  <si>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</si>
  <si>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</si>
  <si>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</si>
  <si>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</si>
  <si>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</si>
  <si>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</si>
  <si>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</si>
  <si>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</si>
  <si>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</si>
  <si>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</si>
  <si>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</si>
  <si>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</si>
  <si>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</si>
  <si>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</si>
  <si>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</si>
  <si>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</si>
  <si>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</si>
  <si>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</si>
  <si>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</si>
  <si>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</si>
  <si>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</si>
  <si>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</si>
  <si>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</si>
  <si>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</si>
  <si>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</si>
  <si>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</si>
  <si>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</si>
  <si>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</si>
  <si>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</si>
  <si>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</si>
  <si>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</si>
  <si>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</si>
  <si>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</si>
  <si>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</si>
  <si>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</si>
  <si>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</si>
  <si>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</si>
  <si>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</si>
  <si>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</si>
  <si>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</si>
  <si>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</si>
  <si>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</si>
  <si>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</si>
  <si>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</si>
  <si>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</si>
  <si>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</si>
  <si>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</si>
  <si>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</si>
  <si>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</si>
  <si>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</si>
  <si>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</si>
  <si>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</si>
  <si>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</si>
  <si>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</si>
  <si>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</si>
  <si>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</si>
  <si>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</si>
  <si>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</si>
  <si>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</si>
  <si>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</si>
  <si>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</si>
  <si>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</si>
  <si>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</si>
  <si>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</si>
  <si>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</si>
  <si>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</si>
  <si>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</si>
  <si>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</si>
  <si>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</si>
  <si>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</si>
  <si>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</si>
  <si>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</si>
  <si>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</si>
  <si>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</si>
  <si>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</si>
  <si>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</si>
  <si>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</si>
  <si>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</si>
  <si>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</si>
  <si>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</si>
  <si>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</si>
  <si>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</si>
  <si>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</si>
  <si>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</si>
  <si>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</si>
  <si>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</si>
  <si>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</si>
  <si>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</si>
  <si>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</si>
  <si>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</si>
  <si>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</si>
  <si>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</si>
  <si>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</si>
  <si>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</si>
  <si>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</si>
  <si>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</si>
  <si>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</si>
  <si>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</si>
  <si>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</si>
  <si>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</si>
  <si>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</si>
  <si>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</si>
  <si>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</si>
  <si>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</si>
  <si>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</si>
  <si>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</si>
  <si>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</si>
  <si>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</si>
  <si>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</si>
  <si>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</si>
  <si>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</si>
  <si>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</si>
  <si>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</si>
  <si>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</si>
  <si>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</si>
  <si>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2BHK</t>
  </si>
  <si>
    <t>3BHK</t>
  </si>
  <si>
    <t>1BHK</t>
  </si>
  <si>
    <t>1.5BHK</t>
  </si>
  <si>
    <t>1RK</t>
  </si>
  <si>
    <t xml:space="preserve">Details of Residential in Building   </t>
  </si>
  <si>
    <r>
      <t xml:space="preserve">Flat No.
</t>
    </r>
    <r>
      <rPr>
        <b/>
        <sz val="11"/>
        <rFont val="Times New Roman"/>
        <family val="1"/>
      </rPr>
      <t>(Approved Plan)</t>
    </r>
  </si>
  <si>
    <t>As per RERA - 30/06/2028</t>
  </si>
  <si>
    <t>P52000079184</t>
  </si>
  <si>
    <t>Vistara World</t>
  </si>
  <si>
    <t>M/s. Vistara Buildcon</t>
  </si>
  <si>
    <t>Ms. Madhuri 7400381553</t>
  </si>
  <si>
    <t>18.950149,73.156279</t>
  </si>
  <si>
    <t>https://maps.app.goo.gl/jpTxaqvw4WL5rfDC9</t>
  </si>
  <si>
    <t>Open Plot</t>
  </si>
  <si>
    <t>MSRDC/SPA/Panvel/Ashte/BP-427/CC/2025/90</t>
  </si>
  <si>
    <t>The Applicant/Owner shall restrict the built up area of 12960.60 Sq. m. on land under reference as mentioned in the plans attached to this Commencement Certificate.</t>
  </si>
  <si>
    <t>In Brochure</t>
  </si>
  <si>
    <t>We considered Gross carpet area = Carpet + Enclosed Balcony + Open Balcony Area.</t>
  </si>
  <si>
    <t>Site Elevation = 21.95 Mtr
AMSL Elevation = 146.95 Mtr</t>
  </si>
  <si>
    <t>Gut No</t>
  </si>
  <si>
    <t>61/1 &amp; 68/2</t>
  </si>
  <si>
    <t>Ashte</t>
  </si>
  <si>
    <t>Arivali</t>
  </si>
  <si>
    <t>Mr. Ravindra Vishwakarma</t>
  </si>
  <si>
    <t>Arivali Road</t>
  </si>
  <si>
    <t>Vrundavan Residency</t>
  </si>
  <si>
    <t>Gut No.115</t>
  </si>
  <si>
    <t>Gut No.68</t>
  </si>
  <si>
    <t>Gut No.67/1 &amp; 68</t>
  </si>
  <si>
    <t>Gut No. 58 &amp; 61</t>
  </si>
  <si>
    <t>09 Buildings</t>
  </si>
  <si>
    <t>NAVI/WEST/B/010123/734810</t>
  </si>
  <si>
    <t>Site Elevation = 21.65 Mtr
AMSL Elevation = 121.65 Mtr</t>
  </si>
  <si>
    <t>NAVI/WEST/B/062123/764587</t>
  </si>
  <si>
    <t>Building No. 1 &amp; 2 = G + 1st to 7th Floor
Building No. 3 (Wing A, B, C) = G + 1st to 7th Floor
Building No. 4 (Wing A, B, C, D) = G + 1st to 7th Floor</t>
  </si>
  <si>
    <t>Building No. 1 = G + 1st to 7th Floor</t>
  </si>
  <si>
    <t>Building No. 2 = G + 1st to 7th Floor</t>
  </si>
  <si>
    <t>Building No. 3 (Wing A, B, C) = G + 1st to 7th Floor</t>
  </si>
  <si>
    <t>Building No. 4 (Wing A, B, C, D) = G + 1st to 7th Floor</t>
  </si>
  <si>
    <t xml:space="preserve">Jogging Track, Kids Play Area, CCTV, Senior Citizen Area, Solar Panel, Temple,Vitrified tiles flooring, Granite Kitchen Platform, Decorative Entrance, etc.
</t>
  </si>
  <si>
    <r>
      <t xml:space="preserve">Proposed Amenities :                                                                                                                                                                                                                         </t>
    </r>
    <r>
      <rPr>
        <b/>
        <sz val="12"/>
        <rFont val="Times New Roman"/>
        <family val="1"/>
      </rPr>
      <t xml:space="preserve">                                               </t>
    </r>
  </si>
  <si>
    <t>Ground Floor For Parking, Entrance Lobby &amp; Telecom Room</t>
  </si>
  <si>
    <t>1st to 7th Floor For Residential</t>
  </si>
  <si>
    <t>Building No. 1</t>
  </si>
  <si>
    <t>Fungible area</t>
  </si>
  <si>
    <t>Building No. 2</t>
  </si>
  <si>
    <t>Wing A</t>
  </si>
  <si>
    <t>Wing B</t>
  </si>
  <si>
    <t>Wing C</t>
  </si>
  <si>
    <t>Wing D</t>
  </si>
  <si>
    <t>Ground Floor For Parking, Entrance Lobby, Telecom Room, Society Office &amp; Drivers Room</t>
  </si>
  <si>
    <t>RERA Carpet area</t>
  </si>
  <si>
    <t>Building No.3</t>
  </si>
  <si>
    <t>Building No.4</t>
  </si>
  <si>
    <t>Approved Plans, CC, Sale Plans, Airport NOC, Cost Sheet</t>
  </si>
  <si>
    <t>7.7 KM from Panvel Railway Station</t>
  </si>
  <si>
    <t>1bhk</t>
  </si>
  <si>
    <t>2bhk</t>
  </si>
  <si>
    <t>1rk</t>
  </si>
  <si>
    <t>as per visiter</t>
  </si>
  <si>
    <t>online</t>
  </si>
  <si>
    <t xml:space="preserve">(For Gut No.68/2) </t>
  </si>
  <si>
    <t xml:space="preserve">Airport Noc No
Valid Up for:
(For Gut No.61)
</t>
  </si>
  <si>
    <t xml:space="preserve">Airport Noc No.
Valid Up for: 
(For Gut No.68/2) 
</t>
  </si>
  <si>
    <t>Flats - 266</t>
  </si>
  <si>
    <t>Other Charges</t>
  </si>
  <si>
    <t>As Per Approved Plan</t>
  </si>
  <si>
    <t>As Per Builder
(Sale Plan)</t>
  </si>
  <si>
    <t>Building No.3 (A, B &amp; C)</t>
  </si>
  <si>
    <t>Building No. 4 (A, B, C &amp; D)</t>
  </si>
  <si>
    <t>Not yet launched</t>
  </si>
  <si>
    <t>Building No.2 (A, B &amp; C)</t>
  </si>
  <si>
    <t>Building No. 3 (A, B, C &amp; D)</t>
  </si>
  <si>
    <t>As Per Builder (Sale Plan)</t>
  </si>
  <si>
    <t>Building Nomenclature</t>
  </si>
  <si>
    <t>Building No. 2 (As per approved Plan)
Commercial Building (As per Builder)</t>
  </si>
  <si>
    <t>Building No. 3 (As per approved Plan)
Building No. 2 (As per Builder)</t>
  </si>
  <si>
    <t>Building No. 4 (As per approved Plan)
Building No. 3 (As per Builder)</t>
  </si>
  <si>
    <t>Construction work is in process at the time of Visit. (labour found)</t>
  </si>
  <si>
    <t>Work Not yet started.</t>
  </si>
  <si>
    <t>Building Nomenclature (Name, Area, etc. ) is consider as per Approved plan.</t>
  </si>
  <si>
    <t>Building No. 1, 3 &amp; 4 = Construction work is in process at the time of Visit.(labour found)
Building No. 2 = Work Not yet started.</t>
  </si>
  <si>
    <t>Pooja Kawale</t>
  </si>
  <si>
    <t>Mrs. Jashree 8652436945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</si>
</sst>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30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28" fillId="0" borderId="0" xfId="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0" xfId="1" applyNumberFormat="1" applyFont="1" applyAlignment="1">
      <alignment horizontal="left" vertical="top"/>
    </xf>
    <xf numFmtId="1" fontId="6" fillId="0" borderId="0" xfId="1" applyNumberFormat="1" applyFont="1" applyAlignment="1">
      <alignment horizontal="left" vertical="center"/>
    </xf>
    <xf numFmtId="1" fontId="6" fillId="0" borderId="1" xfId="1" applyNumberFormat="1" applyFont="1" applyBorder="1" applyAlignment="1">
      <alignment horizontal="center" vertical="center"/>
    </xf>
    <xf numFmtId="0" fontId="14" fillId="0" borderId="0" xfId="1" applyFont="1" applyAlignment="1">
      <alignment horizontal="center" vertical="center"/>
    </xf>
    <xf numFmtId="0" fontId="14" fillId="0" borderId="0" xfId="0" applyFont="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23" fillId="0" borderId="31" xfId="0" applyFont="1" applyBorder="1"/>
    <xf numFmtId="0" fontId="23" fillId="0" borderId="0" xfId="0" applyFont="1"/>
    <xf numFmtId="0" fontId="23" fillId="0" borderId="1" xfId="0" applyFont="1" applyBorder="1"/>
    <xf numFmtId="0" fontId="23" fillId="0" borderId="5" xfId="0" applyFont="1" applyBorder="1"/>
    <xf numFmtId="0" fontId="13" fillId="0" borderId="0" xfId="0" applyFont="1" applyProtection="1">
      <protection hidden="1"/>
    </xf>
    <xf numFmtId="0" fontId="11" fillId="0" borderId="10" xfId="1" applyFont="1" applyBorder="1"/>
    <xf numFmtId="0" fontId="13" fillId="0" borderId="10" xfId="0" applyFont="1" applyBorder="1" applyProtection="1">
      <protection hidden="1"/>
    </xf>
    <xf numFmtId="1" fontId="23" fillId="0" borderId="10" xfId="0" applyNumberFormat="1" applyFont="1" applyBorder="1"/>
    <xf numFmtId="1" fontId="23" fillId="0" borderId="10" xfId="0" applyNumberFormat="1" applyFont="1" applyBorder="1" applyAlignment="1">
      <alignment horizontal="right"/>
    </xf>
    <xf numFmtId="0" fontId="13" fillId="0" borderId="11" xfId="0" applyFont="1" applyBorder="1" applyProtection="1">
      <protection hidden="1"/>
    </xf>
    <xf numFmtId="1" fontId="23" fillId="0" borderId="12" xfId="0" applyNumberFormat="1" applyFont="1" applyBorder="1"/>
    <xf numFmtId="2" fontId="6" fillId="0" borderId="0" xfId="1" applyNumberFormat="1" applyFont="1" applyAlignment="1">
      <alignment horizontal="center" vertical="center"/>
    </xf>
    <xf numFmtId="0" fontId="13" fillId="0" borderId="0" xfId="1" applyFont="1"/>
    <xf numFmtId="0" fontId="6" fillId="0" borderId="0" xfId="1" applyFont="1" applyAlignment="1">
      <alignment horizontal="left"/>
    </xf>
    <xf numFmtId="0" fontId="11" fillId="0" borderId="0" xfId="1" applyFont="1" applyAlignment="1">
      <alignment horizontal="left"/>
    </xf>
    <xf numFmtId="0" fontId="15" fillId="0" borderId="0" xfId="1" applyFont="1" applyAlignment="1">
      <alignment horizontal="left"/>
    </xf>
    <xf numFmtId="9" fontId="12" fillId="0" borderId="16"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0"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4" fillId="0" borderId="0" xfId="1"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0" fontId="9" fillId="0" borderId="1"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3"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14" fontId="5" fillId="0" borderId="17" xfId="1" applyNumberFormat="1" applyFont="1" applyBorder="1" applyAlignment="1" applyProtection="1">
      <alignment horizontal="left" vertical="top" wrapText="1"/>
      <protection locked="0"/>
    </xf>
    <xf numFmtId="14" fontId="5" fillId="0" borderId="18" xfId="1" applyNumberFormat="1" applyFont="1" applyBorder="1" applyAlignment="1" applyProtection="1">
      <alignment horizontal="left" vertical="top" wrapText="1"/>
      <protection locked="0"/>
    </xf>
    <xf numFmtId="14" fontId="5" fillId="0" borderId="19" xfId="1" applyNumberFormat="1" applyFont="1" applyBorder="1" applyAlignment="1" applyProtection="1">
      <alignment horizontal="left" vertical="top" wrapText="1"/>
      <protection locked="0"/>
    </xf>
    <xf numFmtId="14" fontId="5" fillId="0" borderId="20"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Border="1" applyAlignment="1" applyProtection="1">
      <alignment horizontal="left" vertical="top"/>
      <protection locked="0"/>
    </xf>
    <xf numFmtId="0" fontId="11" fillId="0" borderId="26"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2" fillId="0" borderId="8"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2"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wrapText="1"/>
      <protection locked="0"/>
    </xf>
    <xf numFmtId="0" fontId="11" fillId="0" borderId="9"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11" fillId="0" borderId="0" xfId="1" applyFont="1" applyBorder="1" applyAlignment="1" applyProtection="1">
      <alignment horizontal="center" vertical="top"/>
      <protection locked="0"/>
    </xf>
    <xf numFmtId="0" fontId="11" fillId="0" borderId="0"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 xfId="1" applyFont="1" applyBorder="1" applyAlignment="1" applyProtection="1">
      <alignment horizontal="center" vertical="top"/>
      <protection locked="0"/>
    </xf>
    <xf numFmtId="0" fontId="23" fillId="2" borderId="15" xfId="0" applyFont="1" applyFill="1" applyBorder="1"/>
    <xf numFmtId="0" fontId="23" fillId="0" borderId="9" xfId="0" applyFont="1" applyBorder="1"/>
    <xf numFmtId="9" fontId="11"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169027</xdr:colOff>
      <xdr:row>157</xdr:row>
      <xdr:rowOff>161925</xdr:rowOff>
    </xdr:from>
    <xdr:to>
      <xdr:col>13</xdr:col>
      <xdr:colOff>428073</xdr:colOff>
      <xdr:row>166</xdr:row>
      <xdr:rowOff>171187</xdr:rowOff>
    </xdr:to>
    <xdr:pic>
      <xdr:nvPicPr>
        <xdr:cNvPr id="2" name="Picture 1"/>
        <xdr:cNvPicPr>
          <a:picLocks noChangeAspect="1"/>
        </xdr:cNvPicPr>
      </xdr:nvPicPr>
      <xdr:blipFill>
        <a:blip xmlns:r="http://schemas.openxmlformats.org/officeDocument/2006/relationships" r:embed="rId1"/>
        <a:stretch>
          <a:fillRect/>
        </a:stretch>
      </xdr:blipFill>
      <xdr:spPr>
        <a:xfrm>
          <a:off x="6484102" y="32480250"/>
          <a:ext cx="4650071" cy="2209537"/>
        </a:xfrm>
        <a:prstGeom prst="rect">
          <a:avLst/>
        </a:prstGeom>
      </xdr:spPr>
    </xdr:pic>
    <xdr:clientData/>
  </xdr:twoCellAnchor>
  <xdr:twoCellAnchor editAs="oneCell">
    <xdr:from>
      <xdr:col>8</xdr:col>
      <xdr:colOff>828675</xdr:colOff>
      <xdr:row>175</xdr:row>
      <xdr:rowOff>0</xdr:rowOff>
    </xdr:from>
    <xdr:to>
      <xdr:col>12</xdr:col>
      <xdr:colOff>780479</xdr:colOff>
      <xdr:row>181</xdr:row>
      <xdr:rowOff>128109</xdr:rowOff>
    </xdr:to>
    <xdr:pic>
      <xdr:nvPicPr>
        <xdr:cNvPr id="3" name="Picture 2"/>
        <xdr:cNvPicPr>
          <a:picLocks noChangeAspect="1"/>
        </xdr:cNvPicPr>
      </xdr:nvPicPr>
      <xdr:blipFill>
        <a:blip xmlns:r="http://schemas.openxmlformats.org/officeDocument/2006/relationships" r:embed="rId2"/>
        <a:stretch>
          <a:fillRect/>
        </a:stretch>
      </xdr:blipFill>
      <xdr:spPr>
        <a:xfrm>
          <a:off x="7143750" y="38014276"/>
          <a:ext cx="3552254" cy="1328260"/>
        </a:xfrm>
        <a:prstGeom prst="rect">
          <a:avLst/>
        </a:prstGeom>
      </xdr:spPr>
    </xdr:pic>
    <xdr:clientData/>
  </xdr:twoCellAnchor>
  <xdr:twoCellAnchor editAs="oneCell">
    <xdr:from>
      <xdr:col>10</xdr:col>
      <xdr:colOff>270887</xdr:colOff>
      <xdr:row>176</xdr:row>
      <xdr:rowOff>9525</xdr:rowOff>
    </xdr:from>
    <xdr:to>
      <xdr:col>15</xdr:col>
      <xdr:colOff>494834</xdr:colOff>
      <xdr:row>198</xdr:row>
      <xdr:rowOff>155616</xdr:rowOff>
    </xdr:to>
    <xdr:pic>
      <xdr:nvPicPr>
        <xdr:cNvPr id="4" name="Picture 3"/>
        <xdr:cNvPicPr>
          <a:picLocks noChangeAspect="1"/>
        </xdr:cNvPicPr>
      </xdr:nvPicPr>
      <xdr:blipFill>
        <a:blip xmlns:r="http://schemas.openxmlformats.org/officeDocument/2006/relationships" r:embed="rId3"/>
        <a:stretch>
          <a:fillRect/>
        </a:stretch>
      </xdr:blipFill>
      <xdr:spPr>
        <a:xfrm>
          <a:off x="8510012" y="36528375"/>
          <a:ext cx="4338747" cy="4771513"/>
        </a:xfrm>
        <a:prstGeom prst="rect">
          <a:avLst/>
        </a:prstGeom>
      </xdr:spPr>
    </xdr:pic>
    <xdr:clientData/>
  </xdr:twoCellAnchor>
  <xdr:twoCellAnchor editAs="oneCell">
    <xdr:from>
      <xdr:col>10</xdr:col>
      <xdr:colOff>419100</xdr:colOff>
      <xdr:row>204</xdr:row>
      <xdr:rowOff>180975</xdr:rowOff>
    </xdr:from>
    <xdr:to>
      <xdr:col>15</xdr:col>
      <xdr:colOff>228109</xdr:colOff>
      <xdr:row>227</xdr:row>
      <xdr:rowOff>22194</xdr:rowOff>
    </xdr:to>
    <xdr:pic>
      <xdr:nvPicPr>
        <xdr:cNvPr id="5" name="Picture 4"/>
        <xdr:cNvPicPr>
          <a:picLocks noChangeAspect="1"/>
        </xdr:cNvPicPr>
      </xdr:nvPicPr>
      <xdr:blipFill>
        <a:blip xmlns:r="http://schemas.openxmlformats.org/officeDocument/2006/relationships" r:embed="rId4"/>
        <a:stretch>
          <a:fillRect/>
        </a:stretch>
      </xdr:blipFill>
      <xdr:spPr>
        <a:xfrm>
          <a:off x="8658225" y="42300525"/>
          <a:ext cx="3923809" cy="4666667"/>
        </a:xfrm>
        <a:prstGeom prst="rect">
          <a:avLst/>
        </a:prstGeom>
      </xdr:spPr>
    </xdr:pic>
    <xdr:clientData/>
  </xdr:twoCellAnchor>
  <xdr:twoCellAnchor editAs="oneCell">
    <xdr:from>
      <xdr:col>8</xdr:col>
      <xdr:colOff>990600</xdr:colOff>
      <xdr:row>151</xdr:row>
      <xdr:rowOff>38100</xdr:rowOff>
    </xdr:from>
    <xdr:to>
      <xdr:col>12</xdr:col>
      <xdr:colOff>361579</xdr:colOff>
      <xdr:row>158</xdr:row>
      <xdr:rowOff>9354</xdr:rowOff>
    </xdr:to>
    <xdr:pic>
      <xdr:nvPicPr>
        <xdr:cNvPr id="6" name="Picture 5"/>
        <xdr:cNvPicPr>
          <a:picLocks noChangeAspect="1"/>
        </xdr:cNvPicPr>
      </xdr:nvPicPr>
      <xdr:blipFill>
        <a:blip xmlns:r="http://schemas.openxmlformats.org/officeDocument/2006/relationships" r:embed="rId5"/>
        <a:stretch>
          <a:fillRect/>
        </a:stretch>
      </xdr:blipFill>
      <xdr:spPr>
        <a:xfrm>
          <a:off x="7305675" y="30413325"/>
          <a:ext cx="2971429" cy="1371429"/>
        </a:xfrm>
        <a:prstGeom prst="rect">
          <a:avLst/>
        </a:prstGeom>
      </xdr:spPr>
    </xdr:pic>
    <xdr:clientData/>
  </xdr:twoCellAnchor>
  <xdr:twoCellAnchor editAs="oneCell">
    <xdr:from>
      <xdr:col>8</xdr:col>
      <xdr:colOff>676275</xdr:colOff>
      <xdr:row>46</xdr:row>
      <xdr:rowOff>57150</xdr:rowOff>
    </xdr:from>
    <xdr:to>
      <xdr:col>12</xdr:col>
      <xdr:colOff>428206</xdr:colOff>
      <xdr:row>53</xdr:row>
      <xdr:rowOff>399804</xdr:rowOff>
    </xdr:to>
    <xdr:pic>
      <xdr:nvPicPr>
        <xdr:cNvPr id="7" name="Picture 6"/>
        <xdr:cNvPicPr>
          <a:picLocks noChangeAspect="1"/>
        </xdr:cNvPicPr>
      </xdr:nvPicPr>
      <xdr:blipFill>
        <a:blip xmlns:r="http://schemas.openxmlformats.org/officeDocument/2006/relationships" r:embed="rId6"/>
        <a:stretch>
          <a:fillRect/>
        </a:stretch>
      </xdr:blipFill>
      <xdr:spPr>
        <a:xfrm>
          <a:off x="6991350" y="9915525"/>
          <a:ext cx="3352381" cy="1971429"/>
        </a:xfrm>
        <a:prstGeom prst="rect">
          <a:avLst/>
        </a:prstGeom>
      </xdr:spPr>
    </xdr:pic>
    <xdr:clientData/>
  </xdr:twoCellAnchor>
  <xdr:twoCellAnchor>
    <xdr:from>
      <xdr:col>3</xdr:col>
      <xdr:colOff>159271</xdr:colOff>
      <xdr:row>309</xdr:row>
      <xdr:rowOff>89647</xdr:rowOff>
    </xdr:from>
    <xdr:to>
      <xdr:col>7</xdr:col>
      <xdr:colOff>638736</xdr:colOff>
      <xdr:row>341</xdr:row>
      <xdr:rowOff>0</xdr:rowOff>
    </xdr:to>
    <xdr:grpSp>
      <xdr:nvGrpSpPr>
        <xdr:cNvPr id="11" name="Group 10"/>
        <xdr:cNvGrpSpPr/>
      </xdr:nvGrpSpPr>
      <xdr:grpSpPr>
        <a:xfrm>
          <a:off x="2686571" y="63481697"/>
          <a:ext cx="3806865" cy="6209553"/>
          <a:chOff x="0" y="0"/>
          <a:chExt cx="5125603" cy="9144000"/>
        </a:xfrm>
      </xdr:grpSpPr>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5125603" cy="9144000"/>
          </a:xfrm>
          <a:prstGeom prst="rect">
            <a:avLst/>
          </a:prstGeom>
          <a:ln>
            <a:solidFill>
              <a:schemeClr val="tx1"/>
            </a:solidFill>
          </a:ln>
        </xdr:spPr>
      </xdr:pic>
      <xdr:sp macro="" textlink="">
        <xdr:nvSpPr>
          <xdr:cNvPr id="13" name="Rectangle 12"/>
          <xdr:cNvSpPr/>
        </xdr:nvSpPr>
        <xdr:spPr>
          <a:xfrm>
            <a:off x="552450" y="5715000"/>
            <a:ext cx="2124075" cy="2143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4" name="Rectangle 13"/>
          <xdr:cNvSpPr/>
        </xdr:nvSpPr>
        <xdr:spPr>
          <a:xfrm rot="21319408">
            <a:off x="3473746" y="4598749"/>
            <a:ext cx="1164854" cy="39052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Rectangle 14"/>
          <xdr:cNvSpPr/>
        </xdr:nvSpPr>
        <xdr:spPr>
          <a:xfrm rot="21278324">
            <a:off x="3216693" y="3282511"/>
            <a:ext cx="1080596" cy="125043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Rectangle 15"/>
          <xdr:cNvSpPr/>
        </xdr:nvSpPr>
        <xdr:spPr>
          <a:xfrm rot="21278324">
            <a:off x="2845461" y="232490"/>
            <a:ext cx="1303084" cy="11540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4"/>
          <xdr:cNvSpPr txBox="1"/>
        </xdr:nvSpPr>
        <xdr:spPr>
          <a:xfrm>
            <a:off x="1282956" y="793418"/>
            <a:ext cx="1797357" cy="5369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a:t>
            </a:r>
            <a:endParaRPr lang="en-IN" b="1">
              <a:solidFill>
                <a:srgbClr val="FF0000"/>
              </a:solidFill>
            </a:endParaRPr>
          </a:p>
        </xdr:txBody>
      </xdr:sp>
      <xdr:sp macro="" textlink="">
        <xdr:nvSpPr>
          <xdr:cNvPr id="18" name="TextBox 15"/>
          <xdr:cNvSpPr txBox="1"/>
        </xdr:nvSpPr>
        <xdr:spPr>
          <a:xfrm>
            <a:off x="1660131" y="3706979"/>
            <a:ext cx="1671910" cy="5369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2</a:t>
            </a:r>
            <a:endParaRPr lang="en-IN" b="1">
              <a:solidFill>
                <a:srgbClr val="FF0000"/>
              </a:solidFill>
            </a:endParaRPr>
          </a:p>
        </xdr:txBody>
      </xdr:sp>
      <xdr:sp macro="" textlink="">
        <xdr:nvSpPr>
          <xdr:cNvPr id="19" name="TextBox 16"/>
          <xdr:cNvSpPr txBox="1"/>
        </xdr:nvSpPr>
        <xdr:spPr>
          <a:xfrm>
            <a:off x="3479171" y="8544984"/>
            <a:ext cx="1625209" cy="50747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3</a:t>
            </a:r>
            <a:endParaRPr lang="en-IN" b="1">
              <a:solidFill>
                <a:srgbClr val="FF0000"/>
              </a:solidFill>
            </a:endParaRPr>
          </a:p>
        </xdr:txBody>
      </xdr:sp>
      <xdr:sp macro="" textlink="">
        <xdr:nvSpPr>
          <xdr:cNvPr id="20" name="TextBox 17"/>
          <xdr:cNvSpPr txBox="1"/>
        </xdr:nvSpPr>
        <xdr:spPr>
          <a:xfrm>
            <a:off x="837545" y="8013933"/>
            <a:ext cx="1883975" cy="50747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4</a:t>
            </a:r>
            <a:endParaRPr lang="en-IN" b="1">
              <a:solidFill>
                <a:srgbClr val="FF0000"/>
              </a:solidFill>
            </a:endParaRPr>
          </a:p>
        </xdr:txBody>
      </xdr:sp>
    </xdr:grpSp>
    <xdr:clientData/>
  </xdr:twoCellAnchor>
  <xdr:twoCellAnchor editAs="oneCell">
    <xdr:from>
      <xdr:col>0</xdr:col>
      <xdr:colOff>112059</xdr:colOff>
      <xdr:row>309</xdr:row>
      <xdr:rowOff>89913</xdr:rowOff>
    </xdr:from>
    <xdr:to>
      <xdr:col>3</xdr:col>
      <xdr:colOff>51464</xdr:colOff>
      <xdr:row>321</xdr:row>
      <xdr:rowOff>67234</xdr:rowOff>
    </xdr:to>
    <xdr:pic>
      <xdr:nvPicPr>
        <xdr:cNvPr id="21" name="Picture 20"/>
        <xdr:cNvPicPr>
          <a:picLocks noChangeAspect="1"/>
        </xdr:cNvPicPr>
      </xdr:nvPicPr>
      <xdr:blipFill rotWithShape="1">
        <a:blip xmlns:r="http://schemas.openxmlformats.org/officeDocument/2006/relationships" r:embed="rId8"/>
        <a:srcRect b="1361"/>
        <a:stretch/>
      </xdr:blipFill>
      <xdr:spPr>
        <a:xfrm>
          <a:off x="112059" y="64579766"/>
          <a:ext cx="2348670" cy="2397793"/>
        </a:xfrm>
        <a:prstGeom prst="rect">
          <a:avLst/>
        </a:prstGeom>
        <a:ln>
          <a:solidFill>
            <a:sysClr val="windowText" lastClr="000000"/>
          </a:solidFill>
        </a:ln>
      </xdr:spPr>
    </xdr:pic>
    <xdr:clientData/>
  </xdr:twoCellAnchor>
  <xdr:twoCellAnchor editAs="oneCell">
    <xdr:from>
      <xdr:col>0</xdr:col>
      <xdr:colOff>552450</xdr:colOff>
      <xdr:row>353</xdr:row>
      <xdr:rowOff>61030</xdr:rowOff>
    </xdr:from>
    <xdr:to>
      <xdr:col>7</xdr:col>
      <xdr:colOff>400050</xdr:colOff>
      <xdr:row>372</xdr:row>
      <xdr:rowOff>47626</xdr:rowOff>
    </xdr:to>
    <xdr:pic>
      <xdr:nvPicPr>
        <xdr:cNvPr id="42" name="Picture 41"/>
        <xdr:cNvPicPr>
          <a:picLocks noChangeAspect="1"/>
        </xdr:cNvPicPr>
      </xdr:nvPicPr>
      <xdr:blipFill>
        <a:blip xmlns:r="http://schemas.openxmlformats.org/officeDocument/2006/relationships" r:embed="rId9"/>
        <a:stretch>
          <a:fillRect/>
        </a:stretch>
      </xdr:blipFill>
      <xdr:spPr>
        <a:xfrm>
          <a:off x="552450" y="72879655"/>
          <a:ext cx="5429250" cy="3787069"/>
        </a:xfrm>
        <a:prstGeom prst="rect">
          <a:avLst/>
        </a:prstGeom>
        <a:ln>
          <a:solidFill>
            <a:schemeClr val="tx1"/>
          </a:solidFill>
        </a:ln>
      </xdr:spPr>
    </xdr:pic>
    <xdr:clientData/>
  </xdr:twoCellAnchor>
  <xdr:twoCellAnchor editAs="oneCell">
    <xdr:from>
      <xdr:col>9</xdr:col>
      <xdr:colOff>238125</xdr:colOff>
      <xdr:row>66</xdr:row>
      <xdr:rowOff>95250</xdr:rowOff>
    </xdr:from>
    <xdr:to>
      <xdr:col>11</xdr:col>
      <xdr:colOff>218888</xdr:colOff>
      <xdr:row>73</xdr:row>
      <xdr:rowOff>190260</xdr:rowOff>
    </xdr:to>
    <xdr:pic>
      <xdr:nvPicPr>
        <xdr:cNvPr id="23" name="Picture 22"/>
        <xdr:cNvPicPr>
          <a:picLocks noChangeAspect="1"/>
        </xdr:cNvPicPr>
      </xdr:nvPicPr>
      <xdr:blipFill>
        <a:blip xmlns:r="http://schemas.openxmlformats.org/officeDocument/2006/relationships" r:embed="rId10"/>
        <a:stretch>
          <a:fillRect/>
        </a:stretch>
      </xdr:blipFill>
      <xdr:spPr>
        <a:xfrm>
          <a:off x="7715250" y="14754225"/>
          <a:ext cx="1495238" cy="1923810"/>
        </a:xfrm>
        <a:prstGeom prst="rect">
          <a:avLst/>
        </a:prstGeom>
      </xdr:spPr>
    </xdr:pic>
    <xdr:clientData/>
  </xdr:twoCellAnchor>
  <xdr:twoCellAnchor>
    <xdr:from>
      <xdr:col>11</xdr:col>
      <xdr:colOff>231961</xdr:colOff>
      <xdr:row>266</xdr:row>
      <xdr:rowOff>171450</xdr:rowOff>
    </xdr:from>
    <xdr:to>
      <xdr:col>12</xdr:col>
      <xdr:colOff>247650</xdr:colOff>
      <xdr:row>268</xdr:row>
      <xdr:rowOff>76200</xdr:rowOff>
    </xdr:to>
    <xdr:sp macro="" textlink="">
      <xdr:nvSpPr>
        <xdr:cNvPr id="44" name="TextBox 16"/>
        <xdr:cNvSpPr txBox="1"/>
      </xdr:nvSpPr>
      <xdr:spPr>
        <a:xfrm>
          <a:off x="9661711" y="55105300"/>
          <a:ext cx="980889"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No.1</a:t>
          </a:r>
          <a:endParaRPr lang="en-IN" sz="11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9</xdr:col>
      <xdr:colOff>298636</xdr:colOff>
      <xdr:row>272</xdr:row>
      <xdr:rowOff>123825</xdr:rowOff>
    </xdr:from>
    <xdr:to>
      <xdr:col>11</xdr:col>
      <xdr:colOff>766024</xdr:colOff>
      <xdr:row>274</xdr:row>
      <xdr:rowOff>35271</xdr:rowOff>
    </xdr:to>
    <xdr:sp macro="" textlink="">
      <xdr:nvSpPr>
        <xdr:cNvPr id="45" name="TextBox 16"/>
        <xdr:cNvSpPr txBox="1"/>
      </xdr:nvSpPr>
      <xdr:spPr>
        <a:xfrm>
          <a:off x="7775761" y="54321075"/>
          <a:ext cx="1981863"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4</a:t>
          </a:r>
          <a:endParaRPr lang="en-IN" sz="1400" b="1">
            <a:solidFill>
              <a:srgbClr val="FF0000"/>
            </a:solidFill>
          </a:endParaRPr>
        </a:p>
      </xdr:txBody>
    </xdr:sp>
    <xdr:clientData/>
  </xdr:twoCellAnchor>
  <xdr:twoCellAnchor>
    <xdr:from>
      <xdr:col>0</xdr:col>
      <xdr:colOff>409574</xdr:colOff>
      <xdr:row>372</xdr:row>
      <xdr:rowOff>142875</xdr:rowOff>
    </xdr:from>
    <xdr:to>
      <xdr:col>7</xdr:col>
      <xdr:colOff>513851</xdr:colOff>
      <xdr:row>393</xdr:row>
      <xdr:rowOff>76200</xdr:rowOff>
    </xdr:to>
    <xdr:grpSp>
      <xdr:nvGrpSpPr>
        <xdr:cNvPr id="24" name="Group 23"/>
        <xdr:cNvGrpSpPr/>
      </xdr:nvGrpSpPr>
      <xdr:grpSpPr>
        <a:xfrm>
          <a:off x="409574" y="74164825"/>
          <a:ext cx="5958977" cy="4067175"/>
          <a:chOff x="409574" y="74514075"/>
          <a:chExt cx="5685927" cy="4133850"/>
        </a:xfrm>
      </xdr:grpSpPr>
      <xdr:pic>
        <xdr:nvPicPr>
          <xdr:cNvPr id="10" name="Picture 9"/>
          <xdr:cNvPicPr>
            <a:picLocks noChangeAspect="1"/>
          </xdr:cNvPicPr>
        </xdr:nvPicPr>
        <xdr:blipFill>
          <a:blip xmlns:r="http://schemas.openxmlformats.org/officeDocument/2006/relationships" r:embed="rId11"/>
          <a:stretch>
            <a:fillRect/>
          </a:stretch>
        </xdr:blipFill>
        <xdr:spPr>
          <a:xfrm>
            <a:off x="409574" y="74521401"/>
            <a:ext cx="5685927" cy="4107473"/>
          </a:xfrm>
          <a:prstGeom prst="rect">
            <a:avLst/>
          </a:prstGeom>
          <a:ln>
            <a:solidFill>
              <a:schemeClr val="tx1"/>
            </a:solidFill>
          </a:ln>
        </xdr:spPr>
      </xdr:pic>
      <xdr:sp macro="" textlink="">
        <xdr:nvSpPr>
          <xdr:cNvPr id="22" name="Freeform 21"/>
          <xdr:cNvSpPr/>
        </xdr:nvSpPr>
        <xdr:spPr>
          <a:xfrm>
            <a:off x="3127001" y="75148888"/>
            <a:ext cx="1269627" cy="2177863"/>
          </a:xfrm>
          <a:custGeom>
            <a:avLst/>
            <a:gdLst>
              <a:gd name="connsiteX0" fmla="*/ 89647 w 1277471"/>
              <a:gd name="connsiteY0" fmla="*/ 1243853 h 2196353"/>
              <a:gd name="connsiteX1" fmla="*/ 627530 w 1277471"/>
              <a:gd name="connsiteY1" fmla="*/ 1221442 h 2196353"/>
              <a:gd name="connsiteX2" fmla="*/ 560294 w 1277471"/>
              <a:gd name="connsiteY2" fmla="*/ 78442 h 2196353"/>
              <a:gd name="connsiteX3" fmla="*/ 1165412 w 1277471"/>
              <a:gd name="connsiteY3" fmla="*/ 0 h 2196353"/>
              <a:gd name="connsiteX4" fmla="*/ 1277471 w 1277471"/>
              <a:gd name="connsiteY4" fmla="*/ 2106706 h 2196353"/>
              <a:gd name="connsiteX5" fmla="*/ 739588 w 1277471"/>
              <a:gd name="connsiteY5" fmla="*/ 2196353 h 2196353"/>
              <a:gd name="connsiteX6" fmla="*/ 694765 w 1277471"/>
              <a:gd name="connsiteY6" fmla="*/ 1882589 h 2196353"/>
              <a:gd name="connsiteX7" fmla="*/ 78441 w 1277471"/>
              <a:gd name="connsiteY7" fmla="*/ 1983442 h 2196353"/>
              <a:gd name="connsiteX8" fmla="*/ 0 w 1277471"/>
              <a:gd name="connsiteY8" fmla="*/ 1232647 h 2196353"/>
              <a:gd name="connsiteX9" fmla="*/ 89647 w 1277471"/>
              <a:gd name="connsiteY9" fmla="*/ 1243853 h 21963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277471" h="2196353">
                <a:moveTo>
                  <a:pt x="89647" y="1243853"/>
                </a:moveTo>
                <a:lnTo>
                  <a:pt x="627530" y="1221442"/>
                </a:lnTo>
                <a:lnTo>
                  <a:pt x="560294" y="78442"/>
                </a:lnTo>
                <a:lnTo>
                  <a:pt x="1165412" y="0"/>
                </a:lnTo>
                <a:lnTo>
                  <a:pt x="1277471" y="2106706"/>
                </a:lnTo>
                <a:lnTo>
                  <a:pt x="739588" y="2196353"/>
                </a:lnTo>
                <a:lnTo>
                  <a:pt x="694765" y="1882589"/>
                </a:lnTo>
                <a:lnTo>
                  <a:pt x="78441" y="1983442"/>
                </a:lnTo>
                <a:lnTo>
                  <a:pt x="0" y="1232647"/>
                </a:lnTo>
                <a:lnTo>
                  <a:pt x="89647" y="1243853"/>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Freeform 7"/>
          <xdr:cNvSpPr/>
        </xdr:nvSpPr>
        <xdr:spPr>
          <a:xfrm>
            <a:off x="1638300" y="74514075"/>
            <a:ext cx="666750" cy="4133850"/>
          </a:xfrm>
          <a:custGeom>
            <a:avLst/>
            <a:gdLst>
              <a:gd name="connsiteX0" fmla="*/ 0 w 666750"/>
              <a:gd name="connsiteY0" fmla="*/ 0 h 4133850"/>
              <a:gd name="connsiteX1" fmla="*/ 123825 w 666750"/>
              <a:gd name="connsiteY1" fmla="*/ 2114550 h 4133850"/>
              <a:gd name="connsiteX2" fmla="*/ 371475 w 666750"/>
              <a:gd name="connsiteY2" fmla="*/ 3105150 h 4133850"/>
              <a:gd name="connsiteX3" fmla="*/ 657225 w 666750"/>
              <a:gd name="connsiteY3" fmla="*/ 4124325 h 4133850"/>
              <a:gd name="connsiteX4" fmla="*/ 666750 w 666750"/>
              <a:gd name="connsiteY4" fmla="*/ 4133850 h 41338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66750" h="4133850">
                <a:moveTo>
                  <a:pt x="0" y="0"/>
                </a:moveTo>
                <a:lnTo>
                  <a:pt x="123825" y="2114550"/>
                </a:lnTo>
                <a:lnTo>
                  <a:pt x="371475" y="3105150"/>
                </a:lnTo>
                <a:lnTo>
                  <a:pt x="657225" y="4124325"/>
                </a:lnTo>
                <a:lnTo>
                  <a:pt x="666750" y="4133850"/>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6" name="Freeform 45"/>
          <xdr:cNvSpPr/>
        </xdr:nvSpPr>
        <xdr:spPr>
          <a:xfrm>
            <a:off x="1038224" y="74521401"/>
            <a:ext cx="638176" cy="4126524"/>
          </a:xfrm>
          <a:custGeom>
            <a:avLst/>
            <a:gdLst>
              <a:gd name="connsiteX0" fmla="*/ 0 w 666750"/>
              <a:gd name="connsiteY0" fmla="*/ 0 h 4133850"/>
              <a:gd name="connsiteX1" fmla="*/ 123825 w 666750"/>
              <a:gd name="connsiteY1" fmla="*/ 2114550 h 4133850"/>
              <a:gd name="connsiteX2" fmla="*/ 371475 w 666750"/>
              <a:gd name="connsiteY2" fmla="*/ 3105150 h 4133850"/>
              <a:gd name="connsiteX3" fmla="*/ 657225 w 666750"/>
              <a:gd name="connsiteY3" fmla="*/ 4124325 h 4133850"/>
              <a:gd name="connsiteX4" fmla="*/ 666750 w 666750"/>
              <a:gd name="connsiteY4" fmla="*/ 4133850 h 41338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66750" h="4133850">
                <a:moveTo>
                  <a:pt x="0" y="0"/>
                </a:moveTo>
                <a:lnTo>
                  <a:pt x="123825" y="2114550"/>
                </a:lnTo>
                <a:lnTo>
                  <a:pt x="371475" y="3105150"/>
                </a:lnTo>
                <a:lnTo>
                  <a:pt x="657225" y="4124325"/>
                </a:lnTo>
                <a:lnTo>
                  <a:pt x="666750" y="4133850"/>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9" name="TextBox 8"/>
          <xdr:cNvSpPr txBox="1"/>
        </xdr:nvSpPr>
        <xdr:spPr>
          <a:xfrm rot="15868348">
            <a:off x="514350" y="75780899"/>
            <a:ext cx="18097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Mumbai Pune Experssway</a:t>
            </a:r>
          </a:p>
        </xdr:txBody>
      </xdr:sp>
    </xdr:grpSp>
    <xdr:clientData/>
  </xdr:twoCellAnchor>
  <xdr:twoCellAnchor>
    <xdr:from>
      <xdr:col>0</xdr:col>
      <xdr:colOff>76200</xdr:colOff>
      <xdr:row>266</xdr:row>
      <xdr:rowOff>44450</xdr:rowOff>
    </xdr:from>
    <xdr:to>
      <xdr:col>7</xdr:col>
      <xdr:colOff>689447</xdr:colOff>
      <xdr:row>307</xdr:row>
      <xdr:rowOff>95250</xdr:rowOff>
    </xdr:to>
    <xdr:grpSp>
      <xdr:nvGrpSpPr>
        <xdr:cNvPr id="25" name="Group 24"/>
        <xdr:cNvGrpSpPr/>
      </xdr:nvGrpSpPr>
      <xdr:grpSpPr>
        <a:xfrm>
          <a:off x="76200" y="54978300"/>
          <a:ext cx="6467947" cy="8115300"/>
          <a:chOff x="76200" y="54978300"/>
          <a:chExt cx="6467947" cy="8115300"/>
        </a:xfrm>
      </xdr:grpSpPr>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93125" y="62055852"/>
            <a:ext cx="1078876" cy="1037748"/>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03714" y="62055852"/>
            <a:ext cx="1078876" cy="1037748"/>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916183" y="54984650"/>
            <a:ext cx="1618313" cy="201295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5364" y="54984650"/>
            <a:ext cx="1618313" cy="201295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527446" y="60525675"/>
            <a:ext cx="2013054" cy="1443975"/>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76200" y="58805750"/>
            <a:ext cx="2081800" cy="162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76200" y="57085825"/>
            <a:ext cx="2081800" cy="162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63723" y="57085825"/>
            <a:ext cx="2158000" cy="162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527446" y="57085825"/>
            <a:ext cx="2013054" cy="162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263723" y="58805750"/>
            <a:ext cx="2158000" cy="162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527446" y="58805750"/>
            <a:ext cx="2013054" cy="162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76200" y="60526051"/>
            <a:ext cx="2081800" cy="1443975"/>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263723" y="60526051"/>
            <a:ext cx="2158000" cy="1443975"/>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653849" y="54984650"/>
            <a:ext cx="2877333" cy="2012950"/>
          </a:xfrm>
          <a:prstGeom prst="rect">
            <a:avLst/>
          </a:prstGeom>
          <a:ln>
            <a:solidFill>
              <a:schemeClr val="tx1"/>
            </a:solidFill>
          </a:ln>
        </xdr:spPr>
      </xdr:pic>
      <xdr:sp macro="" textlink="">
        <xdr:nvSpPr>
          <xdr:cNvPr id="68" name="TextBox 16"/>
          <xdr:cNvSpPr txBox="1"/>
        </xdr:nvSpPr>
        <xdr:spPr>
          <a:xfrm>
            <a:off x="200764" y="55016400"/>
            <a:ext cx="980889"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No.1</a:t>
            </a:r>
            <a:endParaRPr lang="en-IN" sz="11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69" name="TextBox 16"/>
          <xdr:cNvSpPr txBox="1"/>
        </xdr:nvSpPr>
        <xdr:spPr>
          <a:xfrm>
            <a:off x="2544833" y="54978300"/>
            <a:ext cx="980889"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No.1</a:t>
            </a:r>
            <a:endParaRPr lang="en-IN" sz="11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0" name="TextBox 16"/>
          <xdr:cNvSpPr txBox="1"/>
        </xdr:nvSpPr>
        <xdr:spPr>
          <a:xfrm>
            <a:off x="4790499" y="55118000"/>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ysClr val="windowText" lastClr="000000"/>
                </a:solidFill>
                <a:effectLst>
                  <a:outerShdw blurRad="38100" dist="25400" dir="5400000" algn="ctr" rotWithShape="0">
                    <a:srgbClr val="6E747A">
                      <a:alpha val="43000"/>
                    </a:srgbClr>
                  </a:outerShdw>
                </a:effectLst>
              </a:rPr>
              <a:t>Building No.3A</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1" name="TextBox 16"/>
          <xdr:cNvSpPr txBox="1"/>
        </xdr:nvSpPr>
        <xdr:spPr>
          <a:xfrm>
            <a:off x="901700" y="57200125"/>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ysClr val="windowText" lastClr="000000"/>
                </a:solidFill>
                <a:effectLst>
                  <a:outerShdw blurRad="38100" dist="25400" dir="5400000" algn="ctr" rotWithShape="0">
                    <a:srgbClr val="6E747A">
                      <a:alpha val="43000"/>
                    </a:srgbClr>
                  </a:outerShdw>
                </a:effectLst>
              </a:rPr>
              <a:t>Building No.3B</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2" name="TextBox 16"/>
          <xdr:cNvSpPr txBox="1"/>
        </xdr:nvSpPr>
        <xdr:spPr>
          <a:xfrm>
            <a:off x="2924123" y="57339825"/>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ysClr val="windowText" lastClr="000000"/>
                </a:solidFill>
                <a:effectLst>
                  <a:outerShdw blurRad="38100" dist="25400" dir="5400000" algn="ctr" rotWithShape="0">
                    <a:srgbClr val="6E747A">
                      <a:alpha val="43000"/>
                    </a:srgbClr>
                  </a:outerShdw>
                </a:effectLst>
              </a:rPr>
              <a:t>Building No.3C</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3" name="TextBox 16"/>
          <xdr:cNvSpPr txBox="1"/>
        </xdr:nvSpPr>
        <xdr:spPr>
          <a:xfrm>
            <a:off x="5473596" y="57225525"/>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ysClr val="windowText" lastClr="000000"/>
                </a:solidFill>
                <a:effectLst>
                  <a:outerShdw blurRad="38100" dist="25400" dir="5400000" algn="ctr" rotWithShape="0">
                    <a:srgbClr val="6E747A">
                      <a:alpha val="43000"/>
                    </a:srgbClr>
                  </a:outerShdw>
                </a:effectLst>
              </a:rPr>
              <a:t>Building No.4</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4" name="TextBox 16"/>
          <xdr:cNvSpPr txBox="1"/>
        </xdr:nvSpPr>
        <xdr:spPr>
          <a:xfrm>
            <a:off x="520700" y="59834450"/>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No.4A</a:t>
            </a:r>
            <a:endParaRPr lang="en-IN" sz="11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5" name="TextBox 16"/>
          <xdr:cNvSpPr txBox="1"/>
        </xdr:nvSpPr>
        <xdr:spPr>
          <a:xfrm>
            <a:off x="2847923" y="59872550"/>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No.4B</a:t>
            </a:r>
            <a:endParaRPr lang="en-IN" sz="11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6" name="TextBox 16"/>
          <xdr:cNvSpPr txBox="1"/>
        </xdr:nvSpPr>
        <xdr:spPr>
          <a:xfrm>
            <a:off x="4857646" y="59675700"/>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No.4C</a:t>
            </a:r>
            <a:endParaRPr lang="en-IN" sz="11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77" name="TextBox 16"/>
          <xdr:cNvSpPr txBox="1"/>
        </xdr:nvSpPr>
        <xdr:spPr>
          <a:xfrm>
            <a:off x="488950" y="61465851"/>
            <a:ext cx="1070551" cy="298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0" cap="none" spc="0">
                <a:ln w="0"/>
                <a:solidFill>
                  <a:srgbClr val="FFFF00"/>
                </a:solidFill>
                <a:effectLst>
                  <a:outerShdw blurRad="38100" dist="25400" dir="5400000" algn="ctr" rotWithShape="0">
                    <a:srgbClr val="6E747A">
                      <a:alpha val="43000"/>
                    </a:srgbClr>
                  </a:outerShdw>
                </a:effectLst>
              </a:rPr>
              <a:t>Building No.4D</a:t>
            </a:r>
            <a:endParaRPr lang="en-IN" sz="11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459441</xdr:colOff>
      <xdr:row>15</xdr:row>
      <xdr:rowOff>78441</xdr:rowOff>
    </xdr:from>
    <xdr:to>
      <xdr:col>5</xdr:col>
      <xdr:colOff>124304</xdr:colOff>
      <xdr:row>31</xdr:row>
      <xdr:rowOff>30441</xdr:rowOff>
    </xdr:to>
    <xdr:pic>
      <xdr:nvPicPr>
        <xdr:cNvPr id="3" name="Picture 2"/>
        <xdr:cNvPicPr>
          <a:picLocks noChangeAspect="1"/>
        </xdr:cNvPicPr>
      </xdr:nvPicPr>
      <xdr:blipFill>
        <a:blip xmlns:r="http://schemas.openxmlformats.org/officeDocument/2006/relationships" r:embed="rId2"/>
        <a:stretch>
          <a:fillRect/>
        </a:stretch>
      </xdr:blipFill>
      <xdr:spPr>
        <a:xfrm>
          <a:off x="1042147" y="2947147"/>
          <a:ext cx="5133333" cy="3000000"/>
        </a:xfrm>
        <a:prstGeom prst="rect">
          <a:avLst/>
        </a:prstGeom>
      </xdr:spPr>
    </xdr:pic>
    <xdr:clientData/>
  </xdr:twoCellAnchor>
  <xdr:twoCellAnchor editAs="oneCell">
    <xdr:from>
      <xdr:col>1</xdr:col>
      <xdr:colOff>504265</xdr:colOff>
      <xdr:row>33</xdr:row>
      <xdr:rowOff>18595</xdr:rowOff>
    </xdr:from>
    <xdr:to>
      <xdr:col>11</xdr:col>
      <xdr:colOff>109421</xdr:colOff>
      <xdr:row>55</xdr:row>
      <xdr:rowOff>80050</xdr:rowOff>
    </xdr:to>
    <xdr:pic>
      <xdr:nvPicPr>
        <xdr:cNvPr id="4" name="Picture 3"/>
        <xdr:cNvPicPr>
          <a:picLocks noChangeAspect="1"/>
        </xdr:cNvPicPr>
      </xdr:nvPicPr>
      <xdr:blipFill>
        <a:blip xmlns:r="http://schemas.openxmlformats.org/officeDocument/2006/relationships" r:embed="rId3"/>
        <a:stretch>
          <a:fillRect/>
        </a:stretch>
      </xdr:blipFill>
      <xdr:spPr>
        <a:xfrm>
          <a:off x="1086971" y="6316301"/>
          <a:ext cx="10183509" cy="425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pTxaqvw4WL5rfDC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5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16" ht="46.5" customHeight="1" x14ac:dyDescent="0.35">
      <c r="A1" s="213" t="s">
        <v>156</v>
      </c>
      <c r="B1" s="213"/>
      <c r="C1" s="213"/>
      <c r="D1" s="213"/>
      <c r="E1" s="213"/>
      <c r="F1" s="213"/>
      <c r="G1" s="213"/>
      <c r="H1" s="213"/>
    </row>
    <row r="2" spans="1:16" ht="16.5" customHeight="1" x14ac:dyDescent="0.35">
      <c r="A2" s="214" t="s">
        <v>0</v>
      </c>
      <c r="B2" s="214"/>
      <c r="C2" s="214"/>
      <c r="D2" s="214"/>
      <c r="E2" s="214"/>
      <c r="F2" s="214"/>
      <c r="G2" s="214"/>
      <c r="H2" s="214"/>
    </row>
    <row r="3" spans="1:16" x14ac:dyDescent="0.35">
      <c r="A3" s="163" t="s">
        <v>1</v>
      </c>
      <c r="B3" s="163"/>
      <c r="C3" s="163"/>
      <c r="D3" s="163"/>
      <c r="E3" s="163" t="str">
        <f ca="1">TEXT(TODAY(),"DD/MM/YYYY")</f>
        <v>16/08/2025</v>
      </c>
      <c r="F3" s="163"/>
      <c r="G3" s="163"/>
      <c r="H3" s="163"/>
      <c r="K3" s="51" t="s">
        <v>223</v>
      </c>
      <c r="L3" s="48" t="s">
        <v>221</v>
      </c>
      <c r="M3" s="48" t="s">
        <v>226</v>
      </c>
      <c r="N3" s="48" t="s">
        <v>224</v>
      </c>
      <c r="O3" s="48" t="s">
        <v>343</v>
      </c>
      <c r="P3" s="48" t="s">
        <v>227</v>
      </c>
    </row>
    <row r="4" spans="1:16" ht="15" customHeight="1" x14ac:dyDescent="0.35">
      <c r="A4" s="163" t="s">
        <v>220</v>
      </c>
      <c r="B4" s="163"/>
      <c r="C4" s="163"/>
      <c r="D4" s="163"/>
      <c r="E4" s="163" t="s">
        <v>221</v>
      </c>
      <c r="F4" s="163"/>
      <c r="G4" s="163"/>
      <c r="H4" s="163"/>
      <c r="K4" s="47" t="s">
        <v>222</v>
      </c>
      <c r="L4" s="48" t="s">
        <v>161</v>
      </c>
      <c r="M4" s="48" t="s">
        <v>231</v>
      </c>
      <c r="N4" s="48" t="s">
        <v>233</v>
      </c>
      <c r="O4" s="48" t="s">
        <v>328</v>
      </c>
      <c r="P4" s="48"/>
    </row>
    <row r="5" spans="1:16" ht="15" customHeight="1" x14ac:dyDescent="0.35">
      <c r="A5" s="163" t="s">
        <v>2</v>
      </c>
      <c r="B5" s="163"/>
      <c r="C5" s="163"/>
      <c r="D5" s="163"/>
      <c r="E5" s="163" t="s">
        <v>229</v>
      </c>
      <c r="F5" s="163"/>
      <c r="G5" s="163"/>
      <c r="H5" s="163"/>
      <c r="K5" s="47"/>
      <c r="L5" s="48" t="s">
        <v>228</v>
      </c>
      <c r="M5" s="48" t="s">
        <v>232</v>
      </c>
      <c r="N5" s="48" t="s">
        <v>234</v>
      </c>
      <c r="O5" s="48" t="s">
        <v>329</v>
      </c>
      <c r="P5" s="48"/>
    </row>
    <row r="6" spans="1:16" x14ac:dyDescent="0.35">
      <c r="A6" s="163" t="s">
        <v>3</v>
      </c>
      <c r="B6" s="163"/>
      <c r="C6" s="163"/>
      <c r="D6" s="163"/>
      <c r="E6" s="215">
        <v>45877</v>
      </c>
      <c r="F6" s="163"/>
      <c r="G6" s="163"/>
      <c r="H6" s="163"/>
      <c r="K6" s="47"/>
      <c r="L6" s="48" t="s">
        <v>229</v>
      </c>
      <c r="M6" s="48" t="s">
        <v>341</v>
      </c>
      <c r="N6" s="48"/>
      <c r="O6" s="48" t="s">
        <v>330</v>
      </c>
      <c r="P6" s="48"/>
    </row>
    <row r="7" spans="1:16" ht="16.5" customHeight="1" x14ac:dyDescent="0.35">
      <c r="A7" s="163" t="s">
        <v>4</v>
      </c>
      <c r="B7" s="163"/>
      <c r="C7" s="163"/>
      <c r="D7" s="163"/>
      <c r="E7" s="163" t="s">
        <v>369</v>
      </c>
      <c r="F7" s="163"/>
      <c r="G7" s="163"/>
      <c r="H7" s="163"/>
      <c r="K7" s="47"/>
      <c r="L7" s="48" t="s">
        <v>230</v>
      </c>
      <c r="M7" s="48"/>
      <c r="N7" s="48"/>
      <c r="O7" s="48" t="s">
        <v>330</v>
      </c>
      <c r="P7" s="48"/>
    </row>
    <row r="8" spans="1:16" ht="15" customHeight="1" x14ac:dyDescent="0.35">
      <c r="A8" s="163" t="s">
        <v>5</v>
      </c>
      <c r="B8" s="163"/>
      <c r="C8" s="163"/>
      <c r="D8" s="163"/>
      <c r="E8" s="163" t="str">
        <f>E7</f>
        <v>M/s. Vistara Buildcon</v>
      </c>
      <c r="F8" s="163"/>
      <c r="G8" s="163"/>
      <c r="H8" s="163"/>
      <c r="K8" s="47"/>
      <c r="L8" s="48"/>
      <c r="M8" s="48"/>
      <c r="N8" s="48"/>
      <c r="O8" s="48" t="s">
        <v>331</v>
      </c>
      <c r="P8" s="48"/>
    </row>
    <row r="9" spans="1:16" x14ac:dyDescent="0.35">
      <c r="A9" s="163" t="s">
        <v>6</v>
      </c>
      <c r="B9" s="163"/>
      <c r="C9" s="163"/>
      <c r="D9" s="163"/>
      <c r="E9" s="173" t="s">
        <v>368</v>
      </c>
      <c r="F9" s="173"/>
      <c r="G9" s="173"/>
      <c r="H9" s="173"/>
      <c r="K9" s="47"/>
      <c r="L9" s="48"/>
      <c r="M9" s="48"/>
      <c r="N9" s="48"/>
      <c r="O9" s="48" t="s">
        <v>332</v>
      </c>
      <c r="P9" s="48"/>
    </row>
    <row r="10" spans="1:16" x14ac:dyDescent="0.35">
      <c r="A10" s="163" t="s">
        <v>158</v>
      </c>
      <c r="B10" s="163"/>
      <c r="C10" s="163"/>
      <c r="D10" s="163"/>
      <c r="E10" s="163" t="s">
        <v>370</v>
      </c>
      <c r="F10" s="163"/>
      <c r="G10" s="163"/>
      <c r="H10" s="163"/>
      <c r="K10" s="47"/>
      <c r="L10" s="48"/>
      <c r="M10" s="48"/>
      <c r="N10" s="48"/>
      <c r="O10" s="48" t="s">
        <v>333</v>
      </c>
      <c r="P10" s="48"/>
    </row>
    <row r="11" spans="1:16" x14ac:dyDescent="0.35">
      <c r="A11" s="163" t="s">
        <v>159</v>
      </c>
      <c r="B11" s="163"/>
      <c r="C11" s="163"/>
      <c r="D11" s="163"/>
      <c r="E11" s="163" t="s">
        <v>443</v>
      </c>
      <c r="F11" s="163"/>
      <c r="G11" s="163"/>
      <c r="H11" s="163"/>
      <c r="O11" s="48" t="s">
        <v>334</v>
      </c>
    </row>
    <row r="12" spans="1:16" ht="32.25" customHeight="1" x14ac:dyDescent="0.35">
      <c r="A12" s="274" t="s">
        <v>7</v>
      </c>
      <c r="B12" s="275"/>
      <c r="C12" s="275"/>
      <c r="D12" s="276"/>
      <c r="E12" s="283" t="s">
        <v>426</v>
      </c>
      <c r="F12" s="284"/>
      <c r="G12" s="283" t="s">
        <v>427</v>
      </c>
      <c r="H12" s="285"/>
    </row>
    <row r="13" spans="1:16" ht="15.75" customHeight="1" x14ac:dyDescent="0.35">
      <c r="A13" s="277"/>
      <c r="B13" s="278"/>
      <c r="C13" s="278"/>
      <c r="D13" s="279"/>
      <c r="E13" s="286" t="s">
        <v>403</v>
      </c>
      <c r="F13" s="287"/>
      <c r="G13" s="218" t="s">
        <v>403</v>
      </c>
      <c r="H13" s="220"/>
    </row>
    <row r="14" spans="1:16" ht="15.75" customHeight="1" x14ac:dyDescent="0.35">
      <c r="A14" s="277"/>
      <c r="B14" s="278"/>
      <c r="C14" s="278"/>
      <c r="D14" s="279"/>
      <c r="E14" s="286" t="s">
        <v>405</v>
      </c>
      <c r="F14" s="287"/>
      <c r="G14" s="218" t="s">
        <v>430</v>
      </c>
      <c r="H14" s="220"/>
    </row>
    <row r="15" spans="1:16" ht="30.75" customHeight="1" x14ac:dyDescent="0.35">
      <c r="A15" s="277"/>
      <c r="B15" s="278"/>
      <c r="C15" s="278"/>
      <c r="D15" s="279"/>
      <c r="E15" s="286" t="s">
        <v>428</v>
      </c>
      <c r="F15" s="287"/>
      <c r="G15" s="286" t="s">
        <v>431</v>
      </c>
      <c r="H15" s="287"/>
    </row>
    <row r="16" spans="1:16" ht="31.5" customHeight="1" x14ac:dyDescent="0.35">
      <c r="A16" s="280"/>
      <c r="B16" s="281"/>
      <c r="C16" s="281"/>
      <c r="D16" s="282"/>
      <c r="E16" s="286" t="s">
        <v>429</v>
      </c>
      <c r="F16" s="287"/>
      <c r="G16" s="286" t="s">
        <v>432</v>
      </c>
      <c r="H16" s="287"/>
    </row>
    <row r="17" spans="1:26" x14ac:dyDescent="0.35">
      <c r="A17" s="163" t="s">
        <v>162</v>
      </c>
      <c r="B17" s="163"/>
      <c r="C17" s="163"/>
      <c r="D17" s="163"/>
      <c r="E17" s="163" t="s">
        <v>28</v>
      </c>
      <c r="F17" s="163"/>
      <c r="G17" s="163"/>
      <c r="H17" s="163"/>
      <c r="S17" s="48" t="s">
        <v>168</v>
      </c>
      <c r="T17" s="48" t="s">
        <v>177</v>
      </c>
      <c r="U17" s="48" t="s">
        <v>163</v>
      </c>
      <c r="V17" s="48" t="s">
        <v>182</v>
      </c>
      <c r="W17" s="48" t="s">
        <v>200</v>
      </c>
      <c r="X17"/>
      <c r="Y17" t="s">
        <v>182</v>
      </c>
      <c r="Z17" t="e">
        <f ca="1">OFFSET($S$17,1,MATCH($G24,$S$17:$W$17,0)-1,15,1)</f>
        <v>#VALUE!</v>
      </c>
    </row>
    <row r="18" spans="1:26" ht="32.25" customHeight="1" x14ac:dyDescent="0.35">
      <c r="A18" s="216" t="s">
        <v>266</v>
      </c>
      <c r="B18" s="216"/>
      <c r="C18" s="216"/>
      <c r="D18" s="216"/>
      <c r="E18" s="156" t="s">
        <v>414</v>
      </c>
      <c r="F18" s="156"/>
      <c r="G18" s="156"/>
      <c r="H18" s="156"/>
      <c r="S18" s="48" t="s">
        <v>168</v>
      </c>
      <c r="T18" s="48" t="s">
        <v>175</v>
      </c>
      <c r="U18" s="48" t="s">
        <v>197</v>
      </c>
      <c r="V18" s="48" t="s">
        <v>183</v>
      </c>
      <c r="W18" s="48" t="s">
        <v>201</v>
      </c>
      <c r="X18"/>
      <c r="Y18"/>
      <c r="Z18"/>
    </row>
    <row r="19" spans="1:26" x14ac:dyDescent="0.35">
      <c r="A19" s="163" t="s">
        <v>8</v>
      </c>
      <c r="B19" s="163"/>
      <c r="C19" s="163"/>
      <c r="D19" s="163"/>
      <c r="E19" s="156" t="s">
        <v>367</v>
      </c>
      <c r="F19" s="163"/>
      <c r="G19" s="163"/>
      <c r="H19" s="163"/>
      <c r="I19" s="176" t="e">
        <f ca="1">OFFSET($D$5,1,MATCH($J17,$D$5:$H$5,0)-1,15,1)</f>
        <v>#N/A</v>
      </c>
      <c r="J19" s="177"/>
      <c r="K19" s="177"/>
      <c r="L19" s="177"/>
      <c r="M19" s="177"/>
      <c r="N19" s="177"/>
      <c r="O19" s="177"/>
      <c r="P19" s="177"/>
      <c r="S19" s="48" t="s">
        <v>169</v>
      </c>
      <c r="T19" s="48" t="s">
        <v>176</v>
      </c>
      <c r="U19" s="48" t="s">
        <v>198</v>
      </c>
      <c r="V19" s="48" t="s">
        <v>184</v>
      </c>
      <c r="W19" s="48" t="s">
        <v>214</v>
      </c>
      <c r="X19"/>
      <c r="Y19"/>
      <c r="Z19"/>
    </row>
    <row r="20" spans="1:26" ht="33.75" customHeight="1" x14ac:dyDescent="0.35">
      <c r="A20" s="156" t="s">
        <v>9</v>
      </c>
      <c r="B20" s="156"/>
      <c r="C20" s="156" t="str">
        <f>CONCATENATE((IF(OR(E9="",E9="NA"),"",E9)),", ",(IF(OR(A21="",A21="NA"),"",A21)),".",(IF(OR(C21="",C21="NA"),"",C21)),", near ",(IF(OR(C26="",C26="NA"),"",C26)),", ",(IF(OR(C23="",C23="NA"),"",C23)),", ",(IF(OR(C22="",C22="NA"),"",C22)),", ",(IF(OR(G23="",G23="NA"),"",G23)),", ",(IF(OR(C24="",C24="NA"),"",C24)),", ",(IF(OR(C25="",C25="NA"),"",C25)),", ",(IF(OR(G24="",G24="NA"),"",G24))," - ",(IF(OR(G25="",G25="NA"),"",G25)),".")</f>
        <v>Vistara World, Gut No.61/1 &amp; 68/2, near Vrundavan Residency, Arivali Road, Arivali, Ashte, Panvel, Panvel, Raigad - 410221.</v>
      </c>
      <c r="D20" s="156"/>
      <c r="E20" s="156"/>
      <c r="F20" s="156"/>
      <c r="G20" s="156"/>
      <c r="H20" s="156"/>
      <c r="S20" s="48" t="s">
        <v>170</v>
      </c>
      <c r="T20" s="48" t="s">
        <v>178</v>
      </c>
      <c r="U20" s="48" t="s">
        <v>199</v>
      </c>
      <c r="V20" s="48" t="s">
        <v>185</v>
      </c>
      <c r="W20" s="48" t="s">
        <v>202</v>
      </c>
      <c r="X20"/>
      <c r="Y20"/>
      <c r="Z20"/>
    </row>
    <row r="21" spans="1:26" x14ac:dyDescent="0.35">
      <c r="A21" s="156" t="s">
        <v>379</v>
      </c>
      <c r="B21" s="156"/>
      <c r="C21" s="156" t="s">
        <v>380</v>
      </c>
      <c r="D21" s="156"/>
      <c r="E21" s="156"/>
      <c r="F21" s="156"/>
      <c r="G21" s="156"/>
      <c r="H21" s="156"/>
      <c r="S21" s="48" t="s">
        <v>171</v>
      </c>
      <c r="T21" s="48" t="s">
        <v>179</v>
      </c>
      <c r="U21" s="48" t="s">
        <v>163</v>
      </c>
      <c r="V21" s="48" t="s">
        <v>186</v>
      </c>
      <c r="W21" s="48" t="s">
        <v>203</v>
      </c>
      <c r="X21"/>
      <c r="Y21"/>
      <c r="Z21"/>
    </row>
    <row r="22" spans="1:26" ht="15.75" customHeight="1" x14ac:dyDescent="0.35">
      <c r="A22" s="156" t="s">
        <v>154</v>
      </c>
      <c r="B22" s="156"/>
      <c r="C22" s="156" t="s">
        <v>382</v>
      </c>
      <c r="D22" s="156"/>
      <c r="E22" s="156"/>
      <c r="F22" s="156"/>
      <c r="G22" s="156"/>
      <c r="H22" s="156"/>
      <c r="S22" s="48" t="s">
        <v>172</v>
      </c>
      <c r="T22" s="48" t="s">
        <v>177</v>
      </c>
      <c r="U22" s="48"/>
      <c r="V22" s="48" t="s">
        <v>187</v>
      </c>
      <c r="W22" s="48" t="s">
        <v>204</v>
      </c>
      <c r="X22"/>
      <c r="Y22"/>
      <c r="Z22"/>
    </row>
    <row r="23" spans="1:26" ht="15.75" customHeight="1" x14ac:dyDescent="0.35">
      <c r="A23" s="156" t="s">
        <v>10</v>
      </c>
      <c r="B23" s="156"/>
      <c r="C23" s="163" t="s">
        <v>384</v>
      </c>
      <c r="D23" s="163"/>
      <c r="E23" s="156" t="s">
        <v>69</v>
      </c>
      <c r="F23" s="156"/>
      <c r="G23" s="156" t="s">
        <v>381</v>
      </c>
      <c r="H23" s="156"/>
      <c r="S23" s="48" t="s">
        <v>173</v>
      </c>
      <c r="T23" s="48" t="s">
        <v>180</v>
      </c>
      <c r="U23" s="48"/>
      <c r="V23" s="48" t="s">
        <v>188</v>
      </c>
      <c r="W23" s="48" t="s">
        <v>205</v>
      </c>
      <c r="X23"/>
      <c r="Y23"/>
      <c r="Z23"/>
    </row>
    <row r="24" spans="1:26" x14ac:dyDescent="0.35">
      <c r="A24" s="163" t="s">
        <v>12</v>
      </c>
      <c r="B24" s="163"/>
      <c r="C24" s="156" t="s">
        <v>184</v>
      </c>
      <c r="D24" s="156"/>
      <c r="E24" s="156" t="s">
        <v>11</v>
      </c>
      <c r="F24" s="156"/>
      <c r="G24" s="217" t="s">
        <v>182</v>
      </c>
      <c r="H24" s="217"/>
      <c r="S24" s="48" t="s">
        <v>174</v>
      </c>
      <c r="T24" s="48" t="s">
        <v>181</v>
      </c>
      <c r="U24" s="48"/>
      <c r="V24" s="48" t="s">
        <v>189</v>
      </c>
      <c r="W24" s="48" t="s">
        <v>206</v>
      </c>
      <c r="X24"/>
      <c r="Y24"/>
      <c r="Z24"/>
    </row>
    <row r="25" spans="1:26" x14ac:dyDescent="0.35">
      <c r="A25" s="163" t="s">
        <v>70</v>
      </c>
      <c r="B25" s="163"/>
      <c r="C25" s="156" t="s">
        <v>184</v>
      </c>
      <c r="D25" s="156"/>
      <c r="E25" s="156" t="s">
        <v>13</v>
      </c>
      <c r="F25" s="156"/>
      <c r="G25" s="156">
        <v>410221</v>
      </c>
      <c r="H25" s="156"/>
      <c r="S25" s="48"/>
      <c r="T25" s="48"/>
      <c r="U25" s="48"/>
      <c r="V25" s="48" t="s">
        <v>190</v>
      </c>
      <c r="W25" s="48" t="s">
        <v>207</v>
      </c>
      <c r="X25"/>
      <c r="Y25"/>
      <c r="Z25"/>
    </row>
    <row r="26" spans="1:26" ht="32.25" customHeight="1" x14ac:dyDescent="0.35">
      <c r="A26" s="163" t="s">
        <v>114</v>
      </c>
      <c r="B26" s="163"/>
      <c r="C26" s="156" t="s">
        <v>385</v>
      </c>
      <c r="D26" s="156"/>
      <c r="E26" s="156" t="s">
        <v>14</v>
      </c>
      <c r="F26" s="156"/>
      <c r="G26" s="156" t="s">
        <v>415</v>
      </c>
      <c r="H26" s="156"/>
      <c r="S26" s="48"/>
      <c r="T26" s="48"/>
      <c r="U26" s="48"/>
      <c r="V26" s="48" t="s">
        <v>191</v>
      </c>
      <c r="W26" s="48" t="s">
        <v>208</v>
      </c>
      <c r="X26"/>
      <c r="Y26"/>
      <c r="Z26"/>
    </row>
    <row r="27" spans="1:26" ht="15" customHeight="1" x14ac:dyDescent="0.35">
      <c r="A27" s="171" t="s">
        <v>71</v>
      </c>
      <c r="B27" s="171"/>
      <c r="C27" s="171"/>
      <c r="D27" s="171"/>
      <c r="E27" s="163" t="s">
        <v>15</v>
      </c>
      <c r="F27" s="163"/>
      <c r="G27" s="163"/>
      <c r="H27" s="163"/>
      <c r="S27" s="48"/>
      <c r="T27" s="48"/>
      <c r="U27" s="48"/>
      <c r="V27" s="48" t="s">
        <v>192</v>
      </c>
      <c r="W27" s="48" t="s">
        <v>209</v>
      </c>
      <c r="X27"/>
      <c r="Y27"/>
      <c r="Z27"/>
    </row>
    <row r="28" spans="1:26" ht="18.75" customHeight="1" x14ac:dyDescent="0.35">
      <c r="A28" s="171"/>
      <c r="B28" s="171"/>
      <c r="C28" s="171"/>
      <c r="D28" s="171"/>
      <c r="E28" s="163"/>
      <c r="F28" s="163"/>
      <c r="G28" s="163"/>
      <c r="H28" s="163"/>
      <c r="S28" s="48"/>
      <c r="T28" s="48"/>
      <c r="U28" s="48"/>
      <c r="V28" s="48" t="s">
        <v>193</v>
      </c>
      <c r="W28" s="48" t="s">
        <v>210</v>
      </c>
      <c r="X28"/>
      <c r="Y28"/>
      <c r="Z28"/>
    </row>
    <row r="29" spans="1:26" ht="15" customHeight="1" x14ac:dyDescent="0.35">
      <c r="A29" s="171" t="s">
        <v>16</v>
      </c>
      <c r="B29" s="171"/>
      <c r="C29" s="171"/>
      <c r="D29" s="171"/>
      <c r="E29" s="156" t="s">
        <v>17</v>
      </c>
      <c r="F29" s="156"/>
      <c r="G29" s="156"/>
      <c r="H29" s="156"/>
      <c r="S29" s="48"/>
      <c r="T29" s="48"/>
      <c r="U29" s="48"/>
      <c r="V29" s="48" t="s">
        <v>194</v>
      </c>
      <c r="W29" s="48" t="s">
        <v>211</v>
      </c>
      <c r="X29"/>
      <c r="Y29"/>
      <c r="Z29"/>
    </row>
    <row r="30" spans="1:26" ht="15" customHeight="1" x14ac:dyDescent="0.35">
      <c r="A30" s="179" t="s">
        <v>18</v>
      </c>
      <c r="B30" s="179"/>
      <c r="C30" s="179"/>
      <c r="D30" s="179"/>
      <c r="E30" s="156" t="str">
        <f>IF(AND(G24="Mumbai"),"Upper Class","Middle Class")</f>
        <v>Middle Class</v>
      </c>
      <c r="F30" s="156"/>
      <c r="G30" s="156"/>
      <c r="H30" s="156"/>
      <c r="S30" s="48"/>
      <c r="T30" s="48"/>
      <c r="U30" s="48"/>
      <c r="V30" s="48" t="s">
        <v>195</v>
      </c>
      <c r="W30" s="48" t="s">
        <v>212</v>
      </c>
      <c r="X30"/>
      <c r="Y30"/>
      <c r="Z30"/>
    </row>
    <row r="31" spans="1:26" x14ac:dyDescent="0.35">
      <c r="A31" s="179" t="s">
        <v>19</v>
      </c>
      <c r="B31" s="179"/>
      <c r="C31" s="179"/>
      <c r="D31" s="179"/>
      <c r="E31" s="156" t="s">
        <v>20</v>
      </c>
      <c r="F31" s="156"/>
      <c r="G31" s="156"/>
      <c r="H31" s="156"/>
      <c r="S31" s="48"/>
      <c r="T31" s="48"/>
      <c r="U31" s="48"/>
      <c r="V31" s="48" t="s">
        <v>196</v>
      </c>
      <c r="W31" s="48" t="s">
        <v>213</v>
      </c>
      <c r="X31"/>
      <c r="Y31"/>
      <c r="Z31"/>
    </row>
    <row r="32" spans="1:26" ht="15.75" customHeight="1" x14ac:dyDescent="0.35">
      <c r="A32" s="179" t="s">
        <v>21</v>
      </c>
      <c r="B32" s="179"/>
      <c r="C32" s="179"/>
      <c r="D32" s="179"/>
      <c r="E32" s="156" t="str">
        <f>IF(AND(G24="Mumbai"),"Developed","Developing")</f>
        <v>Developing</v>
      </c>
      <c r="F32" s="156"/>
      <c r="G32" s="156"/>
      <c r="H32" s="156"/>
    </row>
    <row r="33" spans="1:19" x14ac:dyDescent="0.35">
      <c r="A33" s="179" t="s">
        <v>22</v>
      </c>
      <c r="B33" s="179"/>
      <c r="C33" s="179"/>
      <c r="D33" s="179"/>
      <c r="E33" s="156" t="s">
        <v>23</v>
      </c>
      <c r="F33" s="156"/>
      <c r="G33" s="156"/>
      <c r="H33" s="156"/>
    </row>
    <row r="34" spans="1:19" ht="15.75" customHeight="1" x14ac:dyDescent="0.35">
      <c r="A34" s="179" t="s">
        <v>76</v>
      </c>
      <c r="B34" s="179"/>
      <c r="C34" s="179"/>
      <c r="D34" s="179"/>
      <c r="E34" s="156" t="s">
        <v>77</v>
      </c>
      <c r="F34" s="156"/>
      <c r="G34" s="156"/>
      <c r="H34" s="156"/>
    </row>
    <row r="35" spans="1:19" ht="15" customHeight="1" x14ac:dyDescent="0.35">
      <c r="A35" s="179" t="s">
        <v>30</v>
      </c>
      <c r="B35" s="179"/>
      <c r="C35" s="179"/>
      <c r="D35" s="179"/>
      <c r="E35" s="156" t="str">
        <f>IF(AND(ISNUMBER(SEARCH("Flat",D70)),ISNUMBER(SEARCH("Shop",D70)),ISNUMBER(SEARCH("Office",D70))),"Residential + Commercial",IF(AND(ISNUMBER(SEARCH("Flat",D70)),ISNUMBER(SEARCH("Shop",D70))),"Residential + Commercial",IF(AND(ISNUMBER(SEARCH("Flat",D70)),ISNUMBER(SEARCH("Office",D70))),"Residential + Commercial",IF(AND(ISNUMBER(SEARCH("Shop",D70)),ISNUMBER(SEARCH("Office",D70))),"Commercial",IF(ISNUMBER(SEARCH("Shop",D70)),"Commercial",IF(ISNUMBER(SEARCH("Office",D70)),"Commercial",IF(ISNUMBER(SEARCH("Flat",D70)),"Residential")))))))</f>
        <v>Residential</v>
      </c>
      <c r="F35" s="156"/>
      <c r="G35" s="156"/>
      <c r="H35" s="156"/>
    </row>
    <row r="36" spans="1:19" ht="15.75" customHeight="1" x14ac:dyDescent="0.35">
      <c r="A36" s="179" t="s">
        <v>88</v>
      </c>
      <c r="B36" s="179"/>
      <c r="C36" s="179"/>
      <c r="D36" s="179"/>
      <c r="E36" s="156" t="s">
        <v>31</v>
      </c>
      <c r="F36" s="156"/>
      <c r="G36" s="156"/>
      <c r="H36" s="156"/>
    </row>
    <row r="37" spans="1:19" s="19" customFormat="1" x14ac:dyDescent="0.35">
      <c r="A37" s="222" t="s">
        <v>89</v>
      </c>
      <c r="B37" s="222"/>
      <c r="C37" s="178" t="s">
        <v>164</v>
      </c>
      <c r="D37" s="178"/>
      <c r="E37" s="178"/>
      <c r="F37" s="178" t="s">
        <v>29</v>
      </c>
      <c r="G37" s="178"/>
      <c r="H37" s="178"/>
      <c r="S37" s="19" t="e">
        <f ca="1">OFFSET($S$17,1,MATCH($G24,$S$17:$W$17,0)-1,15,1)</f>
        <v>#VALUE!</v>
      </c>
    </row>
    <row r="38" spans="1:19" s="19" customFormat="1" x14ac:dyDescent="0.35">
      <c r="A38" s="221" t="s">
        <v>24</v>
      </c>
      <c r="B38" s="221" t="s">
        <v>28</v>
      </c>
      <c r="C38" s="296" t="s">
        <v>387</v>
      </c>
      <c r="D38" s="296"/>
      <c r="E38" s="296"/>
      <c r="F38" s="296" t="s">
        <v>373</v>
      </c>
      <c r="G38" s="296"/>
      <c r="H38" s="296"/>
    </row>
    <row r="39" spans="1:19" x14ac:dyDescent="0.35">
      <c r="A39" s="221" t="s">
        <v>25</v>
      </c>
      <c r="B39" s="221" t="s">
        <v>28</v>
      </c>
      <c r="C39" s="218" t="s">
        <v>388</v>
      </c>
      <c r="D39" s="219"/>
      <c r="E39" s="220"/>
      <c r="F39" s="218" t="s">
        <v>373</v>
      </c>
      <c r="G39" s="219"/>
      <c r="H39" s="220"/>
    </row>
    <row r="40" spans="1:19" s="19" customFormat="1" x14ac:dyDescent="0.35">
      <c r="A40" s="221" t="s">
        <v>27</v>
      </c>
      <c r="B40" s="221" t="s">
        <v>28</v>
      </c>
      <c r="C40" s="218" t="s">
        <v>386</v>
      </c>
      <c r="D40" s="219"/>
      <c r="E40" s="220"/>
      <c r="F40" s="218" t="s">
        <v>373</v>
      </c>
      <c r="G40" s="219"/>
      <c r="H40" s="220"/>
    </row>
    <row r="41" spans="1:19" x14ac:dyDescent="0.35">
      <c r="A41" s="221" t="s">
        <v>26</v>
      </c>
      <c r="B41" s="221" t="s">
        <v>28</v>
      </c>
      <c r="C41" s="218" t="s">
        <v>389</v>
      </c>
      <c r="D41" s="219"/>
      <c r="E41" s="220"/>
      <c r="F41" s="218" t="s">
        <v>373</v>
      </c>
      <c r="G41" s="219"/>
      <c r="H41" s="220"/>
    </row>
    <row r="42" spans="1:19" x14ac:dyDescent="0.35">
      <c r="A42" s="179" t="s">
        <v>267</v>
      </c>
      <c r="B42" s="179"/>
      <c r="C42" s="179"/>
      <c r="D42" s="179"/>
      <c r="E42" s="179"/>
      <c r="F42" s="179"/>
      <c r="G42" s="179"/>
      <c r="H42" s="179"/>
    </row>
    <row r="43" spans="1:19" ht="15.75" customHeight="1" x14ac:dyDescent="0.35">
      <c r="A43" s="179" t="s">
        <v>157</v>
      </c>
      <c r="B43" s="179"/>
      <c r="C43" s="209" t="s">
        <v>371</v>
      </c>
      <c r="D43" s="209"/>
      <c r="E43" s="209"/>
      <c r="F43" s="209"/>
      <c r="G43" s="209"/>
      <c r="H43" s="209"/>
    </row>
    <row r="44" spans="1:19" x14ac:dyDescent="0.35">
      <c r="A44" s="179" t="s">
        <v>153</v>
      </c>
      <c r="B44" s="179"/>
      <c r="C44" s="248" t="s">
        <v>372</v>
      </c>
      <c r="D44" s="156"/>
      <c r="E44" s="156"/>
      <c r="F44" s="156"/>
      <c r="G44" s="156"/>
      <c r="H44" s="156"/>
    </row>
    <row r="45" spans="1:19" x14ac:dyDescent="0.35">
      <c r="A45" s="209" t="s">
        <v>32</v>
      </c>
      <c r="B45" s="209"/>
      <c r="C45" s="209"/>
      <c r="D45" s="209"/>
      <c r="E45" s="209"/>
      <c r="F45" s="209"/>
      <c r="G45" s="209"/>
      <c r="H45" s="209"/>
    </row>
    <row r="46" spans="1:19" x14ac:dyDescent="0.35">
      <c r="A46" s="179" t="s">
        <v>33</v>
      </c>
      <c r="B46" s="179"/>
      <c r="C46" s="179"/>
      <c r="D46" s="179"/>
      <c r="E46" s="236">
        <v>5786.8440000000001</v>
      </c>
      <c r="F46" s="236"/>
      <c r="G46" s="236"/>
      <c r="H46" s="236"/>
    </row>
    <row r="47" spans="1:19" x14ac:dyDescent="0.35">
      <c r="A47" s="179" t="s">
        <v>34</v>
      </c>
      <c r="B47" s="179"/>
      <c r="C47" s="179"/>
      <c r="D47" s="179"/>
      <c r="E47" s="186">
        <f>6365.528/E46</f>
        <v>1.0999999308776944</v>
      </c>
      <c r="F47" s="186"/>
      <c r="G47" s="186"/>
      <c r="H47" s="186"/>
    </row>
    <row r="48" spans="1:19" x14ac:dyDescent="0.35">
      <c r="A48" s="179" t="s">
        <v>35</v>
      </c>
      <c r="B48" s="179"/>
      <c r="C48" s="179"/>
      <c r="D48" s="179"/>
      <c r="E48" s="186">
        <f>E50/E46-E47</f>
        <v>1.1396664572260802</v>
      </c>
      <c r="F48" s="186"/>
      <c r="G48" s="186"/>
      <c r="H48" s="186"/>
    </row>
    <row r="49" spans="1:24" x14ac:dyDescent="0.35">
      <c r="A49" s="179" t="s">
        <v>36</v>
      </c>
      <c r="B49" s="179"/>
      <c r="C49" s="179"/>
      <c r="D49" s="179"/>
      <c r="E49" s="186">
        <f>E47+E48</f>
        <v>2.2396663881037746</v>
      </c>
      <c r="F49" s="186"/>
      <c r="G49" s="186"/>
      <c r="H49" s="186"/>
    </row>
    <row r="50" spans="1:24" x14ac:dyDescent="0.35">
      <c r="A50" s="179" t="s">
        <v>87</v>
      </c>
      <c r="B50" s="179"/>
      <c r="C50" s="179"/>
      <c r="D50" s="179"/>
      <c r="E50" s="224">
        <v>12960.6</v>
      </c>
      <c r="F50" s="224"/>
      <c r="G50" s="224"/>
      <c r="H50" s="224"/>
    </row>
    <row r="51" spans="1:24" x14ac:dyDescent="0.35">
      <c r="A51" s="163" t="s">
        <v>37</v>
      </c>
      <c r="B51" s="163"/>
      <c r="C51" s="163"/>
      <c r="D51" s="163"/>
      <c r="E51" s="163" t="s">
        <v>390</v>
      </c>
      <c r="F51" s="163"/>
      <c r="G51" s="163"/>
      <c r="H51" s="163"/>
    </row>
    <row r="52" spans="1:24" x14ac:dyDescent="0.35">
      <c r="A52" s="209" t="s">
        <v>38</v>
      </c>
      <c r="B52" s="209"/>
      <c r="C52" s="209"/>
      <c r="D52" s="209"/>
      <c r="E52" s="209"/>
      <c r="F52" s="209"/>
      <c r="G52" s="209"/>
      <c r="H52" s="209"/>
    </row>
    <row r="53" spans="1:24" ht="33.75" customHeight="1" x14ac:dyDescent="0.35">
      <c r="A53" s="153" t="s">
        <v>143</v>
      </c>
      <c r="B53" s="155"/>
      <c r="C53" s="225" t="s">
        <v>245</v>
      </c>
      <c r="D53" s="226"/>
      <c r="E53" s="226"/>
      <c r="F53" s="226"/>
      <c r="G53" s="226"/>
      <c r="H53" s="227"/>
      <c r="R53" t="s">
        <v>240</v>
      </c>
      <c r="S53" s="52" t="s">
        <v>163</v>
      </c>
      <c r="T53" s="52" t="s">
        <v>168</v>
      </c>
      <c r="U53" s="52" t="s">
        <v>182</v>
      </c>
      <c r="V53" s="52" t="s">
        <v>177</v>
      </c>
    </row>
    <row r="54" spans="1:24" ht="32.25" customHeight="1" x14ac:dyDescent="0.35">
      <c r="A54" s="153" t="s">
        <v>39</v>
      </c>
      <c r="B54" s="155"/>
      <c r="C54" s="153" t="s">
        <v>374</v>
      </c>
      <c r="D54" s="154"/>
      <c r="E54" s="155"/>
      <c r="F54" s="17" t="s">
        <v>40</v>
      </c>
      <c r="G54" s="234">
        <v>45671</v>
      </c>
      <c r="H54" s="235"/>
      <c r="R54"/>
      <c r="S54" s="52" t="s">
        <v>241</v>
      </c>
      <c r="T54" s="52" t="s">
        <v>246</v>
      </c>
      <c r="U54" s="52" t="s">
        <v>257</v>
      </c>
      <c r="V54" s="52" t="s">
        <v>262</v>
      </c>
    </row>
    <row r="55" spans="1:24" ht="31.5" customHeight="1" x14ac:dyDescent="0.35">
      <c r="A55" s="153" t="s">
        <v>41</v>
      </c>
      <c r="B55" s="155"/>
      <c r="C55" s="153" t="str">
        <f>C54</f>
        <v>MSRDC/SPA/Panvel/Ashte/BP-427/CC/2025/90</v>
      </c>
      <c r="D55" s="154"/>
      <c r="E55" s="155"/>
      <c r="F55" s="17" t="s">
        <v>40</v>
      </c>
      <c r="G55" s="234">
        <f>G54</f>
        <v>45671</v>
      </c>
      <c r="H55" s="235"/>
      <c r="R55"/>
      <c r="S55" s="52" t="s">
        <v>242</v>
      </c>
      <c r="T55" s="52" t="s">
        <v>344</v>
      </c>
      <c r="U55" s="52" t="s">
        <v>255</v>
      </c>
      <c r="V55" s="52" t="s">
        <v>263</v>
      </c>
    </row>
    <row r="56" spans="1:24" s="20" customFormat="1" ht="16.5" customHeight="1" x14ac:dyDescent="0.35">
      <c r="A56" s="242" t="s">
        <v>147</v>
      </c>
      <c r="B56" s="243"/>
      <c r="C56" s="242" t="str">
        <f>C55</f>
        <v>MSRDC/SPA/Panvel/Ashte/BP-427/CC/2025/90</v>
      </c>
      <c r="D56" s="252"/>
      <c r="E56" s="243"/>
      <c r="F56" s="228" t="s">
        <v>40</v>
      </c>
      <c r="G56" s="230">
        <v>45671</v>
      </c>
      <c r="H56" s="231"/>
      <c r="I56" s="19" t="str">
        <f ca="1">IF(G56&gt;EDATE(E3,-48),"NO REMARK","CC REMARK FOR CC")</f>
        <v>NO REMARK</v>
      </c>
      <c r="J56" s="77"/>
      <c r="R56"/>
      <c r="S56" s="52" t="s">
        <v>243</v>
      </c>
      <c r="T56" s="52" t="s">
        <v>248</v>
      </c>
      <c r="U56" s="52" t="s">
        <v>245</v>
      </c>
      <c r="V56" s="52" t="s">
        <v>264</v>
      </c>
    </row>
    <row r="57" spans="1:24" s="20" customFormat="1" ht="17.25" customHeight="1" x14ac:dyDescent="0.35">
      <c r="A57" s="244"/>
      <c r="B57" s="245"/>
      <c r="C57" s="246"/>
      <c r="D57" s="253"/>
      <c r="E57" s="247"/>
      <c r="F57" s="229"/>
      <c r="G57" s="232"/>
      <c r="H57" s="233"/>
      <c r="R57"/>
      <c r="S57" s="52" t="s">
        <v>244</v>
      </c>
      <c r="T57" s="52" t="s">
        <v>251</v>
      </c>
      <c r="U57" s="52" t="s">
        <v>258</v>
      </c>
      <c r="V57" s="71" t="s">
        <v>337</v>
      </c>
    </row>
    <row r="58" spans="1:24" s="20" customFormat="1" ht="50.25" customHeight="1" x14ac:dyDescent="0.35">
      <c r="A58" s="246"/>
      <c r="B58" s="247"/>
      <c r="C58" s="153" t="s">
        <v>375</v>
      </c>
      <c r="D58" s="154"/>
      <c r="E58" s="154"/>
      <c r="F58" s="154"/>
      <c r="G58" s="154"/>
      <c r="H58" s="155"/>
      <c r="R58"/>
      <c r="S58" s="52"/>
      <c r="T58" s="52"/>
      <c r="U58" s="52"/>
      <c r="V58" s="71"/>
    </row>
    <row r="59" spans="1:24" s="20" customFormat="1" hidden="1" x14ac:dyDescent="0.35">
      <c r="A59" s="157" t="s">
        <v>268</v>
      </c>
      <c r="B59" s="158"/>
      <c r="C59" s="153">
        <f>C57</f>
        <v>0</v>
      </c>
      <c r="D59" s="154"/>
      <c r="E59" s="155"/>
      <c r="F59" s="17" t="s">
        <v>40</v>
      </c>
      <c r="G59" s="234"/>
      <c r="H59" s="235"/>
      <c r="K59" s="78">
        <f>EDATE(G56,-48)</f>
        <v>44210</v>
      </c>
      <c r="L59" s="20" t="str">
        <f ca="1">IF(G56&gt;EDATE(E3,-48),"NO REMARK","CC REMARK FOR CC")</f>
        <v>NO REMARK</v>
      </c>
      <c r="R59"/>
      <c r="S59" s="52" t="s">
        <v>243</v>
      </c>
      <c r="T59" s="52" t="s">
        <v>248</v>
      </c>
      <c r="U59" s="52" t="s">
        <v>245</v>
      </c>
      <c r="V59" s="52" t="s">
        <v>264</v>
      </c>
    </row>
    <row r="60" spans="1:24" s="20" customFormat="1" ht="32.25" hidden="1" customHeight="1" x14ac:dyDescent="0.35">
      <c r="A60" s="159"/>
      <c r="B60" s="160"/>
      <c r="C60" s="239"/>
      <c r="D60" s="240"/>
      <c r="E60" s="240"/>
      <c r="F60" s="240"/>
      <c r="G60" s="240"/>
      <c r="H60" s="241"/>
      <c r="R60"/>
      <c r="S60" s="52" t="s">
        <v>245</v>
      </c>
      <c r="T60" s="52" t="s">
        <v>249</v>
      </c>
      <c r="U60" s="52" t="s">
        <v>259</v>
      </c>
      <c r="V60" s="72"/>
      <c r="W60" s="18"/>
      <c r="X60" s="18"/>
    </row>
    <row r="61" spans="1:24" s="20" customFormat="1" ht="34.5" hidden="1" customHeight="1" x14ac:dyDescent="0.35">
      <c r="A61" s="157" t="s">
        <v>269</v>
      </c>
      <c r="B61" s="158"/>
      <c r="C61" s="153">
        <f>C60</f>
        <v>0</v>
      </c>
      <c r="D61" s="154"/>
      <c r="E61" s="155"/>
      <c r="F61" s="17" t="s">
        <v>40</v>
      </c>
      <c r="G61" s="234">
        <f>G60</f>
        <v>0</v>
      </c>
      <c r="H61" s="235"/>
      <c r="R61"/>
      <c r="S61" s="72"/>
      <c r="T61" s="52" t="s">
        <v>250</v>
      </c>
      <c r="U61" s="52" t="s">
        <v>260</v>
      </c>
      <c r="V61" s="72"/>
      <c r="W61" s="18"/>
      <c r="X61" s="18"/>
    </row>
    <row r="62" spans="1:24" s="20" customFormat="1" ht="41.25" hidden="1" customHeight="1" x14ac:dyDescent="0.35">
      <c r="A62" s="159"/>
      <c r="B62" s="160"/>
      <c r="C62" s="153"/>
      <c r="D62" s="154"/>
      <c r="E62" s="154"/>
      <c r="F62" s="154"/>
      <c r="G62" s="154"/>
      <c r="H62" s="155"/>
      <c r="R62"/>
      <c r="S62" s="72"/>
      <c r="T62" s="52" t="s">
        <v>252</v>
      </c>
      <c r="U62" s="52" t="s">
        <v>261</v>
      </c>
      <c r="V62" s="72"/>
      <c r="W62" s="18"/>
      <c r="X62" s="18"/>
    </row>
    <row r="63" spans="1:24" s="20" customFormat="1" ht="15.75" customHeight="1" x14ac:dyDescent="0.35">
      <c r="A63" s="164" t="s">
        <v>423</v>
      </c>
      <c r="B63" s="165"/>
      <c r="C63" s="168" t="s">
        <v>391</v>
      </c>
      <c r="D63" s="169"/>
      <c r="E63" s="170"/>
      <c r="F63" s="102" t="s">
        <v>40</v>
      </c>
      <c r="G63" s="161">
        <v>44939</v>
      </c>
      <c r="H63" s="162"/>
      <c r="R63"/>
      <c r="S63" s="72"/>
      <c r="T63" s="52" t="s">
        <v>253</v>
      </c>
      <c r="U63" s="72" t="s">
        <v>283</v>
      </c>
      <c r="V63" s="72"/>
      <c r="W63" s="18"/>
      <c r="X63" s="18"/>
    </row>
    <row r="64" spans="1:24" s="20" customFormat="1" ht="33.75" customHeight="1" x14ac:dyDescent="0.35">
      <c r="A64" s="166"/>
      <c r="B64" s="167"/>
      <c r="C64" s="156" t="s">
        <v>392</v>
      </c>
      <c r="D64" s="156"/>
      <c r="E64" s="156"/>
      <c r="F64" s="102" t="s">
        <v>340</v>
      </c>
      <c r="G64" s="161">
        <v>47860</v>
      </c>
      <c r="H64" s="162"/>
      <c r="I64" s="20" t="s">
        <v>421</v>
      </c>
      <c r="J64" s="20">
        <f>121.65-21.65</f>
        <v>100</v>
      </c>
      <c r="R64"/>
      <c r="S64" s="72"/>
      <c r="T64" s="52" t="s">
        <v>254</v>
      </c>
      <c r="U64" s="72"/>
      <c r="V64" s="72"/>
      <c r="W64" s="18"/>
      <c r="X64" s="18"/>
    </row>
    <row r="65" spans="1:24" s="20" customFormat="1" ht="15.75" customHeight="1" x14ac:dyDescent="0.35">
      <c r="A65" s="164" t="s">
        <v>422</v>
      </c>
      <c r="B65" s="165"/>
      <c r="C65" s="168" t="s">
        <v>393</v>
      </c>
      <c r="D65" s="169"/>
      <c r="E65" s="170"/>
      <c r="F65" s="102" t="s">
        <v>40</v>
      </c>
      <c r="G65" s="161">
        <v>45114</v>
      </c>
      <c r="H65" s="162"/>
      <c r="R65"/>
      <c r="S65" s="72"/>
      <c r="T65" s="52" t="s">
        <v>253</v>
      </c>
      <c r="U65" s="72" t="s">
        <v>283</v>
      </c>
      <c r="V65" s="72"/>
      <c r="W65" s="18"/>
      <c r="X65" s="18"/>
    </row>
    <row r="66" spans="1:24" s="20" customFormat="1" ht="33.75" customHeight="1" x14ac:dyDescent="0.35">
      <c r="A66" s="166"/>
      <c r="B66" s="167"/>
      <c r="C66" s="156" t="s">
        <v>378</v>
      </c>
      <c r="D66" s="156"/>
      <c r="E66" s="156"/>
      <c r="F66" s="102" t="s">
        <v>340</v>
      </c>
      <c r="G66" s="161">
        <v>48035</v>
      </c>
      <c r="H66" s="162"/>
      <c r="J66" s="20">
        <f>146.95-21.95</f>
        <v>124.99999999999999</v>
      </c>
      <c r="R66"/>
      <c r="S66" s="72"/>
      <c r="T66" s="52" t="s">
        <v>254</v>
      </c>
      <c r="U66" s="72"/>
      <c r="V66" s="72"/>
      <c r="W66" s="18"/>
      <c r="X66" s="18"/>
    </row>
    <row r="67" spans="1:24" x14ac:dyDescent="0.35">
      <c r="A67" s="180" t="s">
        <v>42</v>
      </c>
      <c r="B67" s="181"/>
      <c r="C67" s="180" t="s">
        <v>100</v>
      </c>
      <c r="D67" s="182"/>
      <c r="E67" s="181"/>
      <c r="F67" s="40" t="s">
        <v>40</v>
      </c>
      <c r="G67" s="184" t="s">
        <v>28</v>
      </c>
      <c r="H67" s="185"/>
      <c r="R67"/>
      <c r="S67" s="72"/>
      <c r="T67" s="52" t="s">
        <v>256</v>
      </c>
      <c r="U67" s="72"/>
      <c r="V67" s="72"/>
    </row>
    <row r="68" spans="1:24" x14ac:dyDescent="0.35">
      <c r="A68" s="212" t="s">
        <v>44</v>
      </c>
      <c r="B68" s="212"/>
      <c r="C68" s="212"/>
      <c r="D68" s="212"/>
      <c r="E68" s="212"/>
      <c r="F68" s="212"/>
      <c r="G68" s="212"/>
      <c r="H68" s="212"/>
      <c r="S68" s="72"/>
      <c r="T68" s="52" t="s">
        <v>265</v>
      </c>
      <c r="U68" s="72"/>
      <c r="V68" s="72"/>
    </row>
    <row r="69" spans="1:24" x14ac:dyDescent="0.35">
      <c r="A69" s="171" t="s">
        <v>86</v>
      </c>
      <c r="B69" s="171"/>
      <c r="C69" s="171"/>
      <c r="D69" s="179">
        <f>E50</f>
        <v>12960.6</v>
      </c>
      <c r="E69" s="179"/>
      <c r="F69" s="179"/>
      <c r="G69" s="179"/>
      <c r="H69" s="179"/>
      <c r="R69"/>
    </row>
    <row r="70" spans="1:24" x14ac:dyDescent="0.35">
      <c r="A70" s="238" t="s">
        <v>45</v>
      </c>
      <c r="B70" s="216"/>
      <c r="C70" s="216"/>
      <c r="D70" s="163" t="s">
        <v>424</v>
      </c>
      <c r="E70" s="163"/>
      <c r="F70" s="163"/>
      <c r="G70" s="163"/>
      <c r="H70" s="163"/>
      <c r="I70" s="21"/>
      <c r="R70"/>
    </row>
    <row r="71" spans="1:24" ht="49.5" customHeight="1" x14ac:dyDescent="0.35">
      <c r="A71" s="156" t="s">
        <v>46</v>
      </c>
      <c r="B71" s="156"/>
      <c r="C71" s="156"/>
      <c r="D71" s="156" t="s">
        <v>394</v>
      </c>
      <c r="E71" s="163"/>
      <c r="F71" s="163"/>
      <c r="G71" s="163"/>
      <c r="H71" s="163"/>
      <c r="R71"/>
    </row>
    <row r="72" spans="1:24" ht="15.75" customHeight="1" x14ac:dyDescent="0.35">
      <c r="A72" s="156" t="s">
        <v>84</v>
      </c>
      <c r="B72" s="156"/>
      <c r="C72" s="156"/>
      <c r="D72" s="163" t="s">
        <v>395</v>
      </c>
      <c r="E72" s="163"/>
      <c r="F72" s="163"/>
      <c r="G72" s="163"/>
      <c r="H72" s="163"/>
      <c r="I72" s="136" t="s">
        <v>376</v>
      </c>
      <c r="R72"/>
    </row>
    <row r="73" spans="1:24" ht="15.75" customHeight="1" x14ac:dyDescent="0.35">
      <c r="A73" s="156"/>
      <c r="B73" s="156"/>
      <c r="C73" s="156"/>
      <c r="D73" s="163" t="s">
        <v>396</v>
      </c>
      <c r="E73" s="163"/>
      <c r="F73" s="163"/>
      <c r="G73" s="163"/>
      <c r="H73" s="163"/>
      <c r="I73" s="136"/>
      <c r="R73"/>
    </row>
    <row r="74" spans="1:24" ht="15.75" customHeight="1" x14ac:dyDescent="0.35">
      <c r="A74" s="156"/>
      <c r="B74" s="156"/>
      <c r="C74" s="156"/>
      <c r="D74" s="163" t="s">
        <v>397</v>
      </c>
      <c r="E74" s="163"/>
      <c r="F74" s="163"/>
      <c r="G74" s="163"/>
      <c r="H74" s="163"/>
      <c r="I74" s="136"/>
      <c r="S74"/>
    </row>
    <row r="75" spans="1:24" ht="15.75" customHeight="1" x14ac:dyDescent="0.35">
      <c r="A75" s="156"/>
      <c r="B75" s="156"/>
      <c r="C75" s="156"/>
      <c r="D75" s="163" t="s">
        <v>398</v>
      </c>
      <c r="E75" s="163"/>
      <c r="F75" s="163"/>
      <c r="G75" s="163"/>
      <c r="H75" s="163"/>
      <c r="I75" s="136"/>
      <c r="S75"/>
    </row>
    <row r="76" spans="1:24" ht="15.75" customHeight="1" x14ac:dyDescent="0.35">
      <c r="A76" s="179" t="s">
        <v>43</v>
      </c>
      <c r="B76" s="179"/>
      <c r="C76" s="179"/>
      <c r="D76" s="237" t="s">
        <v>366</v>
      </c>
      <c r="E76" s="237"/>
      <c r="F76" s="237"/>
      <c r="G76" s="237"/>
      <c r="H76" s="237"/>
      <c r="J76" s="22"/>
      <c r="K76" s="21"/>
      <c r="N76" s="21"/>
      <c r="S76"/>
    </row>
    <row r="77" spans="1:24" ht="15.75" customHeight="1" x14ac:dyDescent="0.35">
      <c r="A77" s="179" t="s">
        <v>82</v>
      </c>
      <c r="B77" s="179"/>
      <c r="C77" s="179"/>
      <c r="D77" s="223" t="str">
        <f>(IF(G67="NA","60 Years After Completion",IF(G67&lt;&gt;"NA",""&amp;60-ROUNDDOWN((E3-G67)/360,0)&amp;" Years"," ")))</f>
        <v>60 Years After Completion</v>
      </c>
      <c r="E77" s="223"/>
      <c r="F77" s="223"/>
      <c r="G77" s="223"/>
      <c r="H77" s="223"/>
      <c r="N77" s="21"/>
      <c r="S77"/>
    </row>
    <row r="78" spans="1:24" ht="15.75" customHeight="1" x14ac:dyDescent="0.35">
      <c r="A78" s="179" t="s">
        <v>83</v>
      </c>
      <c r="B78" s="179"/>
      <c r="C78" s="179"/>
      <c r="D78" s="171" t="s">
        <v>23</v>
      </c>
      <c r="E78" s="171"/>
      <c r="F78" s="171"/>
      <c r="G78" s="171"/>
      <c r="H78" s="171"/>
      <c r="J78" s="23"/>
      <c r="K78" s="23"/>
      <c r="S78"/>
    </row>
    <row r="79" spans="1:24" ht="50.25" customHeight="1" x14ac:dyDescent="0.35">
      <c r="A79" s="163" t="s">
        <v>400</v>
      </c>
      <c r="B79" s="163"/>
      <c r="C79" s="163"/>
      <c r="D79" s="156" t="s">
        <v>399</v>
      </c>
      <c r="E79" s="171"/>
      <c r="F79" s="171"/>
      <c r="G79" s="171"/>
      <c r="H79" s="171"/>
      <c r="I79" s="100"/>
      <c r="S79"/>
    </row>
    <row r="80" spans="1:24" x14ac:dyDescent="0.35">
      <c r="A80" s="171" t="s">
        <v>140</v>
      </c>
      <c r="B80" s="171"/>
      <c r="C80" s="171"/>
      <c r="D80" s="171" t="s">
        <v>28</v>
      </c>
      <c r="E80" s="171"/>
      <c r="F80" s="171"/>
      <c r="G80" s="171"/>
      <c r="H80" s="171"/>
      <c r="I80" s="24"/>
      <c r="J80" s="24"/>
      <c r="K80" s="24"/>
      <c r="L80" s="24"/>
      <c r="M80" s="24"/>
      <c r="N80" s="24"/>
    </row>
    <row r="81" spans="1:19" ht="15.75" customHeight="1" x14ac:dyDescent="0.35">
      <c r="A81" s="260" t="s">
        <v>81</v>
      </c>
      <c r="B81" s="260"/>
      <c r="C81" s="260"/>
      <c r="D81" s="187" t="str">
        <f ca="1">(IF(G87&gt;95%,"Nothing",IF(G87&gt;0%,"Cement, Aggregate, Steel, etc",IF(G87=0%,"Work not yet Started"))))</f>
        <v>Cement, Aggregate, Steel, etc</v>
      </c>
      <c r="E81" s="187"/>
      <c r="F81" s="187"/>
      <c r="G81" s="187"/>
      <c r="H81" s="187"/>
      <c r="J81" s="23"/>
      <c r="S81"/>
    </row>
    <row r="82" spans="1:19" ht="33.75" customHeight="1" thickBot="1" x14ac:dyDescent="0.4">
      <c r="A82" s="259" t="s">
        <v>113</v>
      </c>
      <c r="B82" s="259"/>
      <c r="C82" s="259"/>
      <c r="D82" s="187" t="str">
        <f ca="1">(IF(D81="Nothing","Yes",IF(D81="Cement, Aggregate, Steel, etc","Under Construction",IF(D81="Work not yet Started","Work not yet Started"))))</f>
        <v>Under Construction</v>
      </c>
      <c r="E82" s="187"/>
      <c r="F82" s="187" t="str">
        <f ca="1">(IF(D81="Nothing","Yes",IF(D81="Cement, Aggregate, Steel, etc","Under Construction",IF(D81="Work not yet Started","Work not yet Started"))))</f>
        <v>Under Construction</v>
      </c>
      <c r="G82" s="187"/>
      <c r="H82" s="187"/>
      <c r="S82"/>
    </row>
    <row r="83" spans="1:19" s="20" customFormat="1" ht="15.75" customHeight="1" x14ac:dyDescent="0.35">
      <c r="A83" s="174" t="s">
        <v>132</v>
      </c>
      <c r="B83" s="175"/>
      <c r="C83" s="254" t="str">
        <f>D72</f>
        <v>Building No. 1 = G + 1st to 7th Floor</v>
      </c>
      <c r="D83" s="255"/>
      <c r="E83" s="255"/>
      <c r="F83" s="255"/>
      <c r="G83" s="255"/>
      <c r="H83" s="256"/>
      <c r="I83" s="42" t="str">
        <f ca="1">IF(D96=100%,"All work Completed. Possession granted to the Building.",IF(D95=100%,"All work Completed, Waiting for OC",I84&amp;""&amp;I85&amp;""&amp;J84&amp;""&amp;J83&amp;" "&amp;J85))</f>
        <v>Excavation, Plinth, RCC Slab, Brickwork Completed, Internal Plaster upto 6 Floor, External Plaster upto 1 Floor Completed</v>
      </c>
      <c r="J83" s="108" t="str">
        <f ca="1">(IF(C89=(D84+F84+H84),"",IF(C89&gt;0,", RCC upto "&amp;C89&amp;" Slab","")))&amp;(IF(C90=H84,"",IF(C90&gt;0,", Brickwork upto "&amp;C90&amp;" Floor","")))&amp;(IF(C91=H84,"",IF(C91&gt;0,", Internal Plaster upto "&amp;C91&amp;" Floor","")))&amp;(IF(C92=H84,"",IF(C92&gt;0,", External Plaster upto "&amp;C92&amp;" Floor","")))&amp;(IF(C93=H84,"",IF(C93&gt;0,", Flooring upto "&amp;C93&amp;" Floor","")))&amp;(IF(C94=H84,"",IF(C94&gt;0,", Painting upto "&amp;C94&amp;" Floor","")))&amp;(IF(C95=H84,"",IF(C95&gt;0,", Finishing upto "&amp;C95&amp;" Floor","")))&amp;(IF(C96=H84,"",IF(C96&gt;0,", Possession upto "&amp;C96&amp;" Floor","")))</f>
        <v>, Internal Plaster upto 6 Floor, External Plaster upto 1 Floor</v>
      </c>
      <c r="S83" s="109"/>
    </row>
    <row r="84" spans="1:19" s="20" customFormat="1" x14ac:dyDescent="0.35">
      <c r="A84" s="15" t="s">
        <v>134</v>
      </c>
      <c r="B84" s="46">
        <f>IF(AND(ISNUMBER(SEARCH("1B",C83))),1,IF(AND(ISNUMBER(SEARCH("2B",C83))),2,IF(AND(ISNUMBER(SEARCH("3B",C83))),3,IF(AND(ISNUMBER(SEARCH("4B",C83))),4,IF(ISNUMBER(SEARCH("5B",C83)),5,0)))))</f>
        <v>0</v>
      </c>
      <c r="C84" s="46" t="s">
        <v>68</v>
      </c>
      <c r="D84" s="46">
        <v>1</v>
      </c>
      <c r="E84" s="46" t="s">
        <v>67</v>
      </c>
      <c r="F84" s="46">
        <v>0</v>
      </c>
      <c r="G84" s="46" t="s">
        <v>75</v>
      </c>
      <c r="H84" s="16">
        <f ca="1">--TRIM(RIGHT(SUBSTITUTE(LEFT(C83,_xlfn.AGGREGATE(16,6,FIND({0,1,2,3,4,5,6,7,8,9},C83,ROW(INDIRECT("1:"&amp;LEN(C83)))),1))," ",REPT(" ",LEN(C83))),LEN(C83)))</f>
        <v>7</v>
      </c>
      <c r="I84" s="110" t="str">
        <f ca="1">IF(D87=100%,"Excavation","")&amp;IF(D88=100%,", Plinth","")&amp;IF(D89=100%,", RCC Slab","")&amp;IF(D90=100%,", Brickwork","")&amp;IF(D91=100%,", Internal Plaster","")&amp;IF(D92=100%,", External Plaster","")&amp;IF(D93=100%,", Flooring","")&amp;IF(D94=100%,", Painting","")&amp;IF(D95=100%,", Building common Amenities","")</f>
        <v>Excavation, Plinth, RCC Slab, Brickwork</v>
      </c>
      <c r="J84" s="111" t="str">
        <f ca="1">(IF(C87=0,"Work not yet Started.",IF(D87=25%,"Piling work in process",IF(D87=50%,"Excavation work in process",IF(D87=100%,"","0")))))&amp;(IF(C88=0%,"",IF(C88=J89,", Footing work is process",IF(C88=J90,", Footing work Completed",IF(C88=J91,", 1st Basement Completed",IF(C88=J92,", 1st &amp; 2nd Basement Completed",IF(C88=J93,", 1st to 3rd Basement Completed",IF(C88=J94,", 1st to 4th Basement Completed",IF(C88=J95,", Plinth work is process",IF(C88=J96,"","0"))))))))))</f>
        <v/>
      </c>
      <c r="S84" s="109"/>
    </row>
    <row r="85" spans="1:19" s="20" customFormat="1" ht="31.5" customHeight="1" x14ac:dyDescent="0.35">
      <c r="A85" s="172" t="s">
        <v>85</v>
      </c>
      <c r="B85" s="173"/>
      <c r="C85" s="257" t="str">
        <f ca="1">I83</f>
        <v>Excavation, Plinth, RCC Slab, Brickwork Completed, Internal Plaster upto 6 Floor, External Plaster upto 1 Floor Completed</v>
      </c>
      <c r="D85" s="257"/>
      <c r="E85" s="257"/>
      <c r="F85" s="257"/>
      <c r="G85" s="257"/>
      <c r="H85" s="258"/>
      <c r="I85" s="110" t="str">
        <f ca="1">IF(I84&lt;&gt;""," Completed","")</f>
        <v xml:space="preserve"> Completed</v>
      </c>
      <c r="J85" s="111" t="str">
        <f ca="1">IF(J83&lt;&gt;"","Completed","")</f>
        <v>Completed</v>
      </c>
      <c r="S85" s="109"/>
    </row>
    <row r="86" spans="1:19" s="20" customFormat="1" ht="15.75" customHeight="1" x14ac:dyDescent="0.35">
      <c r="A86" s="147" t="s">
        <v>47</v>
      </c>
      <c r="B86" s="148"/>
      <c r="C86" s="103" t="s">
        <v>131</v>
      </c>
      <c r="D86" s="103" t="s">
        <v>78</v>
      </c>
      <c r="E86" s="148" t="s">
        <v>80</v>
      </c>
      <c r="F86" s="148"/>
      <c r="G86" s="148" t="s">
        <v>79</v>
      </c>
      <c r="H86" s="152"/>
      <c r="I86" s="112" t="s">
        <v>133</v>
      </c>
      <c r="J86" s="113">
        <f ca="1">H84*25%</f>
        <v>1.75</v>
      </c>
      <c r="S86" s="109"/>
    </row>
    <row r="87" spans="1:19" s="20" customFormat="1" x14ac:dyDescent="0.35">
      <c r="A87" s="147" t="s">
        <v>120</v>
      </c>
      <c r="B87" s="148"/>
      <c r="C87" s="103">
        <f ca="1">J88</f>
        <v>7</v>
      </c>
      <c r="D87" s="104">
        <f ca="1">((100/H84)*C87)/100</f>
        <v>1</v>
      </c>
      <c r="E87" s="261">
        <f ca="1">(((C88/H84*10)+(40/(D84+F84+H84)*C89)+(7.5/(H84)*C90)+(7.5/(H84)*C91)+(10/H84*C92)+(10/H84*C93)+(5/H84*C94)+(5/H84*C95)+(5/H84*C96))/100)</f>
        <v>0.65357142857142858</v>
      </c>
      <c r="F87" s="262"/>
      <c r="G87" s="261">
        <f ca="1">((((C87/H84)*20)+((C88/H84)*25)+(30/(H84+F84+D84)*C89)+(5/H84*C90)+(5/H84*C91)+(5/H84*C92)+(5/H84*C93)+(0/H84*C94)+(0/H84*C95)+(5/H84*C96))/100)</f>
        <v>0.85</v>
      </c>
      <c r="H87" s="271"/>
      <c r="I87" s="112" t="s">
        <v>95</v>
      </c>
      <c r="J87" s="114">
        <f ca="1">H84*50%</f>
        <v>3.5</v>
      </c>
    </row>
    <row r="88" spans="1:19" s="20" customFormat="1" x14ac:dyDescent="0.35">
      <c r="A88" s="147" t="s">
        <v>48</v>
      </c>
      <c r="B88" s="148"/>
      <c r="C88" s="103">
        <f ca="1">J96</f>
        <v>7</v>
      </c>
      <c r="D88" s="104">
        <f ca="1">((100/H84)*C88)/100</f>
        <v>1</v>
      </c>
      <c r="E88" s="263"/>
      <c r="F88" s="264"/>
      <c r="G88" s="263"/>
      <c r="H88" s="272"/>
      <c r="I88" s="112" t="s">
        <v>96</v>
      </c>
      <c r="J88" s="114">
        <f ca="1">H84</f>
        <v>7</v>
      </c>
      <c r="S88" s="109"/>
    </row>
    <row r="89" spans="1:19" s="20" customFormat="1" ht="15.75" customHeight="1" x14ac:dyDescent="0.35">
      <c r="A89" s="147" t="s">
        <v>121</v>
      </c>
      <c r="B89" s="148"/>
      <c r="C89" s="103">
        <v>8</v>
      </c>
      <c r="D89" s="104">
        <f ca="1">((100/(D84+F84+H84))*C89)/100</f>
        <v>1</v>
      </c>
      <c r="E89" s="263"/>
      <c r="F89" s="264"/>
      <c r="G89" s="263"/>
      <c r="H89" s="272"/>
      <c r="I89" s="112" t="s">
        <v>97</v>
      </c>
      <c r="J89" s="115">
        <f ca="1">(IF(B84&gt;1,(H84/(B84+2)),H84/4))</f>
        <v>1.75</v>
      </c>
      <c r="S89" s="109"/>
    </row>
    <row r="90" spans="1:19" s="20" customFormat="1" ht="15.75" customHeight="1" x14ac:dyDescent="0.35">
      <c r="A90" s="147" t="s">
        <v>128</v>
      </c>
      <c r="B90" s="148" t="s">
        <v>122</v>
      </c>
      <c r="C90" s="103">
        <v>7</v>
      </c>
      <c r="D90" s="104">
        <f ca="1">((100/H84)*C90)/100</f>
        <v>1</v>
      </c>
      <c r="E90" s="263"/>
      <c r="F90" s="264"/>
      <c r="G90" s="263"/>
      <c r="H90" s="272"/>
      <c r="I90" s="112" t="s">
        <v>98</v>
      </c>
      <c r="J90" s="115">
        <f ca="1">(IF(B84&gt;1,(H84/(B84+2)+J89),H84/4+J89))</f>
        <v>3.5</v>
      </c>
    </row>
    <row r="91" spans="1:19" s="20" customFormat="1" ht="15.75" customHeight="1" x14ac:dyDescent="0.35">
      <c r="A91" s="147" t="s">
        <v>129</v>
      </c>
      <c r="B91" s="148" t="s">
        <v>122</v>
      </c>
      <c r="C91" s="103">
        <v>6</v>
      </c>
      <c r="D91" s="104">
        <f ca="1">((100/H84)*C91)/100</f>
        <v>0.85714285714285721</v>
      </c>
      <c r="E91" s="263"/>
      <c r="F91" s="264"/>
      <c r="G91" s="263"/>
      <c r="H91" s="272"/>
      <c r="I91" s="112" t="s">
        <v>138</v>
      </c>
      <c r="J91" s="115">
        <f>(IF(B84&gt;1,(H84/(B84+2)+J90),0))</f>
        <v>0</v>
      </c>
    </row>
    <row r="92" spans="1:19" s="20" customFormat="1" ht="15" customHeight="1" x14ac:dyDescent="0.35">
      <c r="A92" s="147" t="s">
        <v>127</v>
      </c>
      <c r="B92" s="148" t="s">
        <v>124</v>
      </c>
      <c r="C92" s="103">
        <v>1</v>
      </c>
      <c r="D92" s="104">
        <f ca="1">((100/(H84))*C92)/100</f>
        <v>0.14285714285714288</v>
      </c>
      <c r="E92" s="263"/>
      <c r="F92" s="264"/>
      <c r="G92" s="263"/>
      <c r="H92" s="272"/>
      <c r="I92" s="112" t="s">
        <v>135</v>
      </c>
      <c r="J92" s="115">
        <f>(IF(B84&gt;2,(H84/(B84+2)+J91),0))</f>
        <v>0</v>
      </c>
    </row>
    <row r="93" spans="1:19" s="20" customFormat="1" ht="15.75" customHeight="1" x14ac:dyDescent="0.35">
      <c r="A93" s="147" t="s">
        <v>123</v>
      </c>
      <c r="B93" s="148" t="s">
        <v>123</v>
      </c>
      <c r="C93" s="103">
        <v>0</v>
      </c>
      <c r="D93" s="104">
        <f ca="1">((100/H84)*C93)/100</f>
        <v>0</v>
      </c>
      <c r="E93" s="263"/>
      <c r="F93" s="264"/>
      <c r="G93" s="263"/>
      <c r="H93" s="272"/>
      <c r="I93" s="112" t="s">
        <v>136</v>
      </c>
      <c r="J93" s="116">
        <f>(IF(B84&gt;3,(H84/(B84+2)+J92),0))</f>
        <v>0</v>
      </c>
    </row>
    <row r="94" spans="1:19" s="20" customFormat="1" ht="15.75" customHeight="1" x14ac:dyDescent="0.35">
      <c r="A94" s="147" t="s">
        <v>130</v>
      </c>
      <c r="B94" s="148"/>
      <c r="C94" s="103">
        <v>0</v>
      </c>
      <c r="D94" s="104">
        <f ca="1">((100/H84)*C94)/100</f>
        <v>0</v>
      </c>
      <c r="E94" s="263"/>
      <c r="F94" s="264"/>
      <c r="G94" s="263"/>
      <c r="H94" s="272"/>
      <c r="I94" s="112" t="s">
        <v>137</v>
      </c>
      <c r="J94" s="115">
        <f>(IF(B84&gt;4,(H84/(B84+2)+J93),0))</f>
        <v>0</v>
      </c>
    </row>
    <row r="95" spans="1:19" s="20" customFormat="1" ht="15.75" customHeight="1" x14ac:dyDescent="0.35">
      <c r="A95" s="147" t="s">
        <v>125</v>
      </c>
      <c r="B95" s="148" t="s">
        <v>125</v>
      </c>
      <c r="C95" s="103">
        <v>0</v>
      </c>
      <c r="D95" s="104">
        <f ca="1">((100/(H84))*C95)/100</f>
        <v>0</v>
      </c>
      <c r="E95" s="263"/>
      <c r="F95" s="264"/>
      <c r="G95" s="263"/>
      <c r="H95" s="272"/>
      <c r="I95" s="112" t="s">
        <v>139</v>
      </c>
      <c r="J95" s="115">
        <f ca="1">(IF(B84=1,(H84/(B84+3)+J90),IF(B84=0,(H84/4+J90),IF(B84&gt;1,0))))</f>
        <v>5.25</v>
      </c>
    </row>
    <row r="96" spans="1:19" s="20" customFormat="1" ht="16" thickBot="1" x14ac:dyDescent="0.4">
      <c r="A96" s="150" t="s">
        <v>126</v>
      </c>
      <c r="B96" s="151"/>
      <c r="C96" s="106">
        <v>0</v>
      </c>
      <c r="D96" s="107">
        <f ca="1">((100/(H84))*C96)/100</f>
        <v>0</v>
      </c>
      <c r="E96" s="265"/>
      <c r="F96" s="266"/>
      <c r="G96" s="265"/>
      <c r="H96" s="273"/>
      <c r="I96" s="117" t="s">
        <v>99</v>
      </c>
      <c r="J96" s="118">
        <f ca="1">(IF(B84&gt;1.5,(H84/(B84+2)+J90+MAX(0,J91-J90)+MAX(0,J92-J91)+MAX(0,J93-J92)+MAX(0,J94-J93)+MAX(0,J95-J94)),IF(B84=1,(H84/(B84+3)+J95),IF(B84=0,H84/4+J95))))</f>
        <v>7</v>
      </c>
    </row>
    <row r="97" spans="1:19" ht="15.75" customHeight="1" x14ac:dyDescent="0.35">
      <c r="A97" s="174" t="s">
        <v>132</v>
      </c>
      <c r="B97" s="175"/>
      <c r="C97" s="254" t="str">
        <f>D73</f>
        <v>Building No. 2 = G + 1st to 7th Floor</v>
      </c>
      <c r="D97" s="255"/>
      <c r="E97" s="255"/>
      <c r="F97" s="255"/>
      <c r="G97" s="255"/>
      <c r="H97" s="256"/>
      <c r="I97" s="42" t="str">
        <f ca="1">IF(D110=100%,"All work Completed. Possession granted to the Building.",IF(D109=100%,"All work Completed, Waiting for OC",I98&amp;""&amp;I99&amp;""&amp;J98&amp;""&amp;J97&amp;" "&amp;J99))</f>
        <v xml:space="preserve">Work not yet Started. </v>
      </c>
      <c r="J97" s="43" t="str">
        <f ca="1">(IF(C103=(D98+F98+H98),"",IF(C103&gt;0,", RCC upto "&amp;C103&amp;" Slab","")))&amp;(IF(C104=H98,"",IF(C104&gt;0,", Brickwork upto "&amp;C104&amp;" Floor","")))&amp;(IF(C105=H98,"",IF(C105&gt;0,", Internal Plaster upto "&amp;C105&amp;" Floor","")))&amp;(IF(C106=H98,"",IF(C106&gt;0,", External Plaster upto "&amp;C106&amp;" Floor","")))&amp;(IF(C107=H98,"",IF(C107&gt;0,", Flooring upto "&amp;C107&amp;" Floor","")))&amp;(IF(C108=H98,"",IF(C108&gt;0,", Painting upto "&amp;C108&amp;" Floor","")))&amp;(IF(C109=H98,"",IF(C109&gt;0,", Finishing upto "&amp;C109&amp;" Floor","")))&amp;(IF(C110=H98,"",IF(C110&gt;0,", Possession upto "&amp;C110&amp;" Floor","")))</f>
        <v/>
      </c>
      <c r="S97"/>
    </row>
    <row r="98" spans="1:19" x14ac:dyDescent="0.35">
      <c r="A98" s="15" t="s">
        <v>134</v>
      </c>
      <c r="B98" s="46">
        <f>IF(AND(ISNUMBER(SEARCH("1B",C97))),1,IF(AND(ISNUMBER(SEARCH("2B",C97))),2,IF(AND(ISNUMBER(SEARCH("3B",C97))),3,IF(AND(ISNUMBER(SEARCH("4B",C97))),4,IF(ISNUMBER(SEARCH("5B",C97)),5,0)))))</f>
        <v>0</v>
      </c>
      <c r="C98" s="46" t="s">
        <v>68</v>
      </c>
      <c r="D98" s="46">
        <v>1</v>
      </c>
      <c r="E98" s="46" t="s">
        <v>67</v>
      </c>
      <c r="F98" s="46">
        <v>0</v>
      </c>
      <c r="G98" s="46" t="s">
        <v>75</v>
      </c>
      <c r="H98" s="16">
        <f ca="1">--TRIM(RIGHT(SUBSTITUTE(LEFT(C97,_xlfn.AGGREGATE(16,6,FIND({0,1,2,3,4,5,6,7,8,9},C97,ROW(INDIRECT("1:"&amp;LEN(C97)))),1))," ",REPT(" ",LEN(C97))),LEN(C97)))</f>
        <v>7</v>
      </c>
      <c r="I98" s="44" t="str">
        <f ca="1">IF(D101=100%,"Excavation","")&amp;IF(D102=100%,", Plinth","")&amp;IF(D103=100%,", RCC Slab","")&amp;IF(D104=100%,", Brickwork","")&amp;IF(D105=100%,", Internal Plaster","")&amp;IF(D106=100%,", External Plaster","")&amp;IF(D107=100%,", Flooring","")&amp;IF(D108=100%,", Painting","")&amp;IF(D109=100%,", Building common Amenities","")</f>
        <v/>
      </c>
      <c r="J98" s="45" t="str">
        <f>(IF(C101=0,"Work not yet Started.",IF(D101=25%,"Piling work in process",IF(D101=50%,"Excavation work in process",IF(D101=100%,"","0")))))&amp;(IF(C102=0%,"",IF(C102=J103,", Footing work is process",IF(C102=J104,", Footing work Completed",IF(C102=J105,", 1st Basement Completed",IF(C102=J106,", 1st &amp; 2nd Basement Completed",IF(C102=J107,", 1st to 3rd Basement Completed",IF(C102=J108,", 1st to 4th Basement Completed",IF(C102=J109,", Plinth work is process",IF(C102=J110,"","0"))))))))))</f>
        <v>Work not yet Started.</v>
      </c>
      <c r="S98"/>
    </row>
    <row r="99" spans="1:19" x14ac:dyDescent="0.35">
      <c r="A99" s="172" t="s">
        <v>85</v>
      </c>
      <c r="B99" s="173"/>
      <c r="C99" s="257" t="str">
        <f ca="1">I97</f>
        <v xml:space="preserve">Work not yet Started. </v>
      </c>
      <c r="D99" s="257"/>
      <c r="E99" s="257"/>
      <c r="F99" s="257"/>
      <c r="G99" s="257"/>
      <c r="H99" s="258"/>
      <c r="I99" s="44" t="str">
        <f ca="1">IF(I98&lt;&gt;""," Completed","")</f>
        <v/>
      </c>
      <c r="J99" s="45" t="str">
        <f ca="1">IF(J97&lt;&gt;"","Completed","")</f>
        <v/>
      </c>
      <c r="S99"/>
    </row>
    <row r="100" spans="1:19" ht="15.75" customHeight="1" x14ac:dyDescent="0.35">
      <c r="A100" s="147" t="s">
        <v>47</v>
      </c>
      <c r="B100" s="148"/>
      <c r="C100" s="103" t="s">
        <v>131</v>
      </c>
      <c r="D100" s="103" t="s">
        <v>78</v>
      </c>
      <c r="E100" s="148" t="s">
        <v>80</v>
      </c>
      <c r="F100" s="148"/>
      <c r="G100" s="148" t="s">
        <v>79</v>
      </c>
      <c r="H100" s="152"/>
      <c r="I100" s="13" t="s">
        <v>133</v>
      </c>
      <c r="J100" s="25">
        <f ca="1">H98*25%</f>
        <v>1.75</v>
      </c>
      <c r="S100"/>
    </row>
    <row r="101" spans="1:19" x14ac:dyDescent="0.35">
      <c r="A101" s="148" t="s">
        <v>120</v>
      </c>
      <c r="B101" s="148"/>
      <c r="C101" s="131">
        <v>0</v>
      </c>
      <c r="D101" s="104">
        <f ca="1">((100/H98)*C101)/100</f>
        <v>0</v>
      </c>
      <c r="E101" s="299">
        <f ca="1">(((C102/H98*10)+(40/(D98+F98+H98)*C103)+(7.5/(H98)*C104)+(7.5/(H98)*C105)+(10/H98*C106)+(10/H98*C107)+(5/H98*C108)+(5/H98*C109)+(5/H98*C110))/100)</f>
        <v>0</v>
      </c>
      <c r="F101" s="299"/>
      <c r="G101" s="299">
        <f ca="1">((((C101/H98)*20)+((C102/H98)*25)+(30/(H98+F98+D98)*C103)+(5/H98*C104)+(5/H98*C105)+(5/H98*C106)+(5/H98*C107)+(0/H98*C108)+(0/H98*C109)+(5/H98*C110))/100)</f>
        <v>0</v>
      </c>
      <c r="H101" s="299"/>
      <c r="I101" s="13" t="s">
        <v>95</v>
      </c>
      <c r="J101" s="26">
        <f ca="1">H98*50%</f>
        <v>3.5</v>
      </c>
    </row>
    <row r="102" spans="1:19" x14ac:dyDescent="0.35">
      <c r="A102" s="148" t="s">
        <v>48</v>
      </c>
      <c r="B102" s="148"/>
      <c r="C102" s="105">
        <f>J108</f>
        <v>0</v>
      </c>
      <c r="D102" s="104">
        <f ca="1">((100/H98)*C102)/100</f>
        <v>0</v>
      </c>
      <c r="E102" s="299"/>
      <c r="F102" s="299"/>
      <c r="G102" s="299"/>
      <c r="H102" s="299"/>
      <c r="I102" s="13" t="s">
        <v>96</v>
      </c>
      <c r="J102" s="26">
        <f ca="1">H98</f>
        <v>7</v>
      </c>
      <c r="S102"/>
    </row>
    <row r="103" spans="1:19" ht="15.75" customHeight="1" x14ac:dyDescent="0.35">
      <c r="A103" s="148" t="s">
        <v>121</v>
      </c>
      <c r="B103" s="148"/>
      <c r="C103" s="131">
        <v>0</v>
      </c>
      <c r="D103" s="104">
        <f ca="1">((100/(D98+F98+H98))*C103)/100</f>
        <v>0</v>
      </c>
      <c r="E103" s="299"/>
      <c r="F103" s="299"/>
      <c r="G103" s="299"/>
      <c r="H103" s="299"/>
      <c r="I103" s="13" t="s">
        <v>97</v>
      </c>
      <c r="J103" s="27">
        <f ca="1">(IF(B98&gt;1,(H98/(B98+2)),H98/4))</f>
        <v>1.75</v>
      </c>
      <c r="S103"/>
    </row>
    <row r="104" spans="1:19" ht="15.75" customHeight="1" x14ac:dyDescent="0.35">
      <c r="A104" s="148" t="s">
        <v>128</v>
      </c>
      <c r="B104" s="148" t="s">
        <v>122</v>
      </c>
      <c r="C104" s="131">
        <v>0</v>
      </c>
      <c r="D104" s="104">
        <f ca="1">((100/H98)*C104)/100</f>
        <v>0</v>
      </c>
      <c r="E104" s="299"/>
      <c r="F104" s="299"/>
      <c r="G104" s="299"/>
      <c r="H104" s="299"/>
      <c r="I104" s="13" t="s">
        <v>98</v>
      </c>
      <c r="J104" s="27">
        <f ca="1">(IF(B98&gt;1,(H98/(B98+2)+J103),H98/4+J103))</f>
        <v>3.5</v>
      </c>
    </row>
    <row r="105" spans="1:19" ht="15.75" customHeight="1" x14ac:dyDescent="0.35">
      <c r="A105" s="148" t="s">
        <v>129</v>
      </c>
      <c r="B105" s="148" t="s">
        <v>122</v>
      </c>
      <c r="C105" s="131">
        <v>0</v>
      </c>
      <c r="D105" s="104">
        <f ca="1">((100/H98)*C105)/100</f>
        <v>0</v>
      </c>
      <c r="E105" s="299"/>
      <c r="F105" s="299"/>
      <c r="G105" s="299"/>
      <c r="H105" s="299"/>
      <c r="I105" s="13" t="s">
        <v>138</v>
      </c>
      <c r="J105" s="27">
        <f>(IF(B98&gt;1,(H98/(B98+2)+J104),0))</f>
        <v>0</v>
      </c>
    </row>
    <row r="106" spans="1:19" ht="15" customHeight="1" x14ac:dyDescent="0.35">
      <c r="A106" s="148" t="s">
        <v>127</v>
      </c>
      <c r="B106" s="148" t="s">
        <v>124</v>
      </c>
      <c r="C106" s="131">
        <v>0</v>
      </c>
      <c r="D106" s="104">
        <f ca="1">((100/(H98))*C106)/100</f>
        <v>0</v>
      </c>
      <c r="E106" s="299"/>
      <c r="F106" s="299"/>
      <c r="G106" s="299"/>
      <c r="H106" s="299"/>
      <c r="I106" s="13" t="s">
        <v>135</v>
      </c>
      <c r="J106" s="27">
        <f>(IF(B98&gt;2,(H98/(B98+2)+J105),0))</f>
        <v>0</v>
      </c>
    </row>
    <row r="107" spans="1:19" ht="15.75" customHeight="1" x14ac:dyDescent="0.35">
      <c r="A107" s="148" t="s">
        <v>123</v>
      </c>
      <c r="B107" s="148" t="s">
        <v>123</v>
      </c>
      <c r="C107" s="131">
        <v>0</v>
      </c>
      <c r="D107" s="104">
        <f ca="1">((100/H98)*C107)/100</f>
        <v>0</v>
      </c>
      <c r="E107" s="299"/>
      <c r="F107" s="299"/>
      <c r="G107" s="299"/>
      <c r="H107" s="299"/>
      <c r="I107" s="13" t="s">
        <v>136</v>
      </c>
      <c r="J107" s="28">
        <f>(IF(B98&gt;3,(H98/(B98+2)+J106),0))</f>
        <v>0</v>
      </c>
    </row>
    <row r="108" spans="1:19" ht="15.75" customHeight="1" x14ac:dyDescent="0.35">
      <c r="A108" s="148" t="s">
        <v>130</v>
      </c>
      <c r="B108" s="148"/>
      <c r="C108" s="131">
        <v>0</v>
      </c>
      <c r="D108" s="104">
        <f ca="1">((100/H98)*C108)/100</f>
        <v>0</v>
      </c>
      <c r="E108" s="299"/>
      <c r="F108" s="299"/>
      <c r="G108" s="299"/>
      <c r="H108" s="299"/>
      <c r="I108" s="13" t="s">
        <v>137</v>
      </c>
      <c r="J108" s="27">
        <f>(IF(B98&gt;4,(H98/(B98+2)+J107),0))</f>
        <v>0</v>
      </c>
    </row>
    <row r="109" spans="1:19" ht="15.75" customHeight="1" x14ac:dyDescent="0.35">
      <c r="A109" s="148" t="s">
        <v>125</v>
      </c>
      <c r="B109" s="148" t="s">
        <v>125</v>
      </c>
      <c r="C109" s="131">
        <v>0</v>
      </c>
      <c r="D109" s="104">
        <f ca="1">((100/(H98))*C109)/100</f>
        <v>0</v>
      </c>
      <c r="E109" s="299"/>
      <c r="F109" s="299"/>
      <c r="G109" s="299"/>
      <c r="H109" s="299"/>
      <c r="I109" s="13" t="s">
        <v>139</v>
      </c>
      <c r="J109" s="27">
        <f ca="1">(IF(B98=1,(H98/(B98+3)+J104),IF(B98=0,(H98/4+J104),IF(B98&gt;1,0))))</f>
        <v>5.25</v>
      </c>
    </row>
    <row r="110" spans="1:19" ht="16" thickBot="1" x14ac:dyDescent="0.4">
      <c r="A110" s="148" t="s">
        <v>126</v>
      </c>
      <c r="B110" s="148"/>
      <c r="C110" s="131">
        <v>0</v>
      </c>
      <c r="D110" s="104">
        <f ca="1">((100/(H98))*C110)/100</f>
        <v>0</v>
      </c>
      <c r="E110" s="299"/>
      <c r="F110" s="299"/>
      <c r="G110" s="299"/>
      <c r="H110" s="299"/>
      <c r="I110" s="14" t="s">
        <v>99</v>
      </c>
      <c r="J110" s="29">
        <f ca="1">(IF(B98&gt;1.5,(H98/(B98+2)+J104+MAX(0,J105-J104)+MAX(0,J106-J105)+MAX(0,J107-J106)+MAX(0,J108-J107)+MAX(0,J109-J108)),IF(B98=1,(H98/(B98+3)+J109),IF(B98=0,H98/4+J109))))</f>
        <v>7</v>
      </c>
    </row>
    <row r="111" spans="1:19" s="20" customFormat="1" ht="15.75" customHeight="1" x14ac:dyDescent="0.35">
      <c r="A111" s="257" t="s">
        <v>132</v>
      </c>
      <c r="B111" s="257"/>
      <c r="C111" s="257" t="str">
        <f>D74</f>
        <v>Building No. 3 (Wing A, B, C) = G + 1st to 7th Floor</v>
      </c>
      <c r="D111" s="257"/>
      <c r="E111" s="257"/>
      <c r="F111" s="257"/>
      <c r="G111" s="257"/>
      <c r="H111" s="257"/>
      <c r="I111" s="297" t="str">
        <f ca="1">IF(D124=100%,"All work Completed. Possession granted to the Building.",IF(D123=100%,"All work Completed, Waiting for OC",I112&amp;""&amp;I113&amp;""&amp;J112&amp;""&amp;J111&amp;" "&amp;J113))</f>
        <v xml:space="preserve">Excavation, Plinth Completed </v>
      </c>
      <c r="J111" s="108" t="str">
        <f ca="1">(IF(C117=(D112+F112+H112),"",IF(C117&gt;0,", RCC upto "&amp;C117&amp;" Slab","")))&amp;(IF(C118=H112,"",IF(C118&gt;0,", Brickwork upto "&amp;C118&amp;" Floor","")))&amp;(IF(C119=H112,"",IF(C119&gt;0,", Internal Plaster upto "&amp;C119&amp;" Floor","")))&amp;(IF(C120=H112,"",IF(C120&gt;0,", External Plaster upto "&amp;C120&amp;" Floor","")))&amp;(IF(C121=H112,"",IF(C121&gt;0,", Flooring upto "&amp;C121&amp;" Floor","")))&amp;(IF(C122=H112,"",IF(C122&gt;0,", Painting upto "&amp;C122&amp;" Floor","")))&amp;(IF(C123=H112,"",IF(C123&gt;0,", Finishing upto "&amp;C123&amp;" Floor","")))&amp;(IF(C124=H112,"",IF(C124&gt;0,", Possession upto "&amp;C124&amp;" Floor","")))</f>
        <v/>
      </c>
      <c r="S111" s="109"/>
    </row>
    <row r="112" spans="1:19" s="20" customFormat="1" x14ac:dyDescent="0.35">
      <c r="A112" s="46" t="s">
        <v>134</v>
      </c>
      <c r="B112" s="46">
        <f>IF(AND(ISNUMBER(SEARCH("1B",C111))),1,IF(AND(ISNUMBER(SEARCH("2B",C111))),2,IF(AND(ISNUMBER(SEARCH("3B",C111))),3,IF(AND(ISNUMBER(SEARCH("4B",C111))),4,IF(ISNUMBER(SEARCH("5B",C111)),5,0)))))</f>
        <v>0</v>
      </c>
      <c r="C112" s="46" t="s">
        <v>68</v>
      </c>
      <c r="D112" s="46">
        <v>1</v>
      </c>
      <c r="E112" s="46" t="s">
        <v>67</v>
      </c>
      <c r="F112" s="46">
        <v>0</v>
      </c>
      <c r="G112" s="46" t="s">
        <v>75</v>
      </c>
      <c r="H112" s="46">
        <f ca="1">--TRIM(RIGHT(SUBSTITUTE(LEFT(C111,_xlfn.AGGREGATE(16,6,FIND({0,1,2,3,4,5,6,7,8,9},C111,ROW(INDIRECT("1:"&amp;LEN(C111)))),1))," ",REPT(" ",LEN(C111))),LEN(C111)))</f>
        <v>7</v>
      </c>
      <c r="I112" s="298" t="str">
        <f ca="1">IF(D115=100%,"Excavation","")&amp;IF(D116=100%,", Plinth","")&amp;IF(D117=100%,", RCC Slab","")&amp;IF(D118=100%,", Brickwork","")&amp;IF(D119=100%,", Internal Plaster","")&amp;IF(D120=100%,", External Plaster","")&amp;IF(D121=100%,", Flooring","")&amp;IF(D122=100%,", Painting","")&amp;IF(D123=100%,", Building common Amenities","")</f>
        <v>Excavation, Plinth</v>
      </c>
      <c r="J112" s="111" t="str">
        <f ca="1">(IF(C115=0,"Work not yet Started.",IF(D115=25%,"Piling work in process",IF(D115=50%,"Excavation work in process",IF(D115=100%,"","0")))))&amp;(IF(C116=0%,"",IF(C116=J117,", Footing work is process",IF(C116=J118,", Footing work Completed",IF(C116=J119,", 1st Basement Completed",IF(C116=J120,", 1st &amp; 2nd Basement Completed",IF(C116=J121,", 1st to 3rd Basement Completed",IF(C116=J122,", 1st to 4th Basement Completed",IF(C116=J123,", Plinth work is process",IF(C116=J124,"","0"))))))))))</f>
        <v/>
      </c>
      <c r="S112" s="109"/>
    </row>
    <row r="113" spans="1:19" s="20" customFormat="1" x14ac:dyDescent="0.35">
      <c r="A113" s="173" t="s">
        <v>85</v>
      </c>
      <c r="B113" s="173"/>
      <c r="C113" s="257" t="str">
        <f ca="1">I111</f>
        <v xml:space="preserve">Excavation, Plinth Completed </v>
      </c>
      <c r="D113" s="257"/>
      <c r="E113" s="257"/>
      <c r="F113" s="257"/>
      <c r="G113" s="257"/>
      <c r="H113" s="257"/>
      <c r="I113" s="298" t="str">
        <f ca="1">IF(I112&lt;&gt;""," Completed","")</f>
        <v xml:space="preserve"> Completed</v>
      </c>
      <c r="J113" s="111" t="str">
        <f ca="1">IF(J111&lt;&gt;"","Completed","")</f>
        <v/>
      </c>
      <c r="S113" s="109"/>
    </row>
    <row r="114" spans="1:19" s="20" customFormat="1" ht="15.75" customHeight="1" x14ac:dyDescent="0.35">
      <c r="A114" s="147" t="s">
        <v>47</v>
      </c>
      <c r="B114" s="148"/>
      <c r="C114" s="103" t="s">
        <v>131</v>
      </c>
      <c r="D114" s="103" t="s">
        <v>78</v>
      </c>
      <c r="E114" s="148" t="s">
        <v>80</v>
      </c>
      <c r="F114" s="148"/>
      <c r="G114" s="148" t="s">
        <v>79</v>
      </c>
      <c r="H114" s="152"/>
      <c r="I114" s="112" t="s">
        <v>133</v>
      </c>
      <c r="J114" s="113">
        <f ca="1">H112*25%</f>
        <v>1.75</v>
      </c>
      <c r="S114" s="109"/>
    </row>
    <row r="115" spans="1:19" s="20" customFormat="1" x14ac:dyDescent="0.35">
      <c r="A115" s="147" t="s">
        <v>120</v>
      </c>
      <c r="B115" s="148"/>
      <c r="C115" s="105">
        <f ca="1">J116</f>
        <v>7</v>
      </c>
      <c r="D115" s="104">
        <f ca="1">((100/H112)*C115)/100</f>
        <v>1</v>
      </c>
      <c r="E115" s="261">
        <f ca="1">(((C116/H112*10)+(40/(D112+F112+H112)*C117)+(7.5/(H112)*C118)+(7.5/(H112)*C119)+(10/H112*C120)+(10/H112*C121)+(5/H112*C122)+(5/H112*C123)+(5/H112*C124))/100)</f>
        <v>0.1</v>
      </c>
      <c r="F115" s="262"/>
      <c r="G115" s="261">
        <f ca="1">((((C115/H112)*20)+((C116/H112)*25)+(30/(H112+F112+D112)*C117)+(5/H112*C118)+(5/H112*C119)+(5/H112*C120)+(5/H112*C121)+(0/H112*C122)+(0/H112*C123)+(5/H112*C124))/100)</f>
        <v>0.45</v>
      </c>
      <c r="H115" s="271"/>
      <c r="I115" s="112" t="s">
        <v>95</v>
      </c>
      <c r="J115" s="114">
        <f ca="1">H112*50%</f>
        <v>3.5</v>
      </c>
    </row>
    <row r="116" spans="1:19" s="20" customFormat="1" x14ac:dyDescent="0.35">
      <c r="A116" s="147" t="s">
        <v>48</v>
      </c>
      <c r="B116" s="148"/>
      <c r="C116" s="105">
        <f ca="1">J124</f>
        <v>7</v>
      </c>
      <c r="D116" s="104">
        <f ca="1">((100/H112)*C116)/100</f>
        <v>1</v>
      </c>
      <c r="E116" s="263"/>
      <c r="F116" s="264"/>
      <c r="G116" s="263"/>
      <c r="H116" s="272"/>
      <c r="I116" s="112" t="s">
        <v>96</v>
      </c>
      <c r="J116" s="114">
        <f ca="1">H112</f>
        <v>7</v>
      </c>
      <c r="S116" s="109"/>
    </row>
    <row r="117" spans="1:19" s="20" customFormat="1" ht="15.75" customHeight="1" x14ac:dyDescent="0.35">
      <c r="A117" s="147" t="s">
        <v>121</v>
      </c>
      <c r="B117" s="148"/>
      <c r="C117" s="103">
        <v>0</v>
      </c>
      <c r="D117" s="104">
        <f ca="1">((100/(D112+F112+H112))*C117)/100</f>
        <v>0</v>
      </c>
      <c r="E117" s="263"/>
      <c r="F117" s="264"/>
      <c r="G117" s="263"/>
      <c r="H117" s="272"/>
      <c r="I117" s="112" t="s">
        <v>97</v>
      </c>
      <c r="J117" s="115">
        <f ca="1">(IF(B112&gt;1,(H112/(B112+2)),H112/4))</f>
        <v>1.75</v>
      </c>
      <c r="S117" s="109"/>
    </row>
    <row r="118" spans="1:19" s="20" customFormat="1" ht="15.75" customHeight="1" x14ac:dyDescent="0.35">
      <c r="A118" s="147" t="s">
        <v>128</v>
      </c>
      <c r="B118" s="148" t="s">
        <v>122</v>
      </c>
      <c r="C118" s="103">
        <v>0</v>
      </c>
      <c r="D118" s="104">
        <f ca="1">((100/H112)*C118)/100</f>
        <v>0</v>
      </c>
      <c r="E118" s="263"/>
      <c r="F118" s="264"/>
      <c r="G118" s="263"/>
      <c r="H118" s="272"/>
      <c r="I118" s="112" t="s">
        <v>98</v>
      </c>
      <c r="J118" s="115">
        <f ca="1">(IF(B112&gt;1,(H112/(B112+2)+J117),H112/4+J117))</f>
        <v>3.5</v>
      </c>
    </row>
    <row r="119" spans="1:19" s="20" customFormat="1" ht="15.75" customHeight="1" x14ac:dyDescent="0.35">
      <c r="A119" s="147" t="s">
        <v>129</v>
      </c>
      <c r="B119" s="148" t="s">
        <v>122</v>
      </c>
      <c r="C119" s="103">
        <v>0</v>
      </c>
      <c r="D119" s="104">
        <f ca="1">((100/H112)*C119)/100</f>
        <v>0</v>
      </c>
      <c r="E119" s="263"/>
      <c r="F119" s="264"/>
      <c r="G119" s="263"/>
      <c r="H119" s="272"/>
      <c r="I119" s="112" t="s">
        <v>138</v>
      </c>
      <c r="J119" s="115">
        <f>(IF(B112&gt;1,(H112/(B112+2)+J118),0))</f>
        <v>0</v>
      </c>
    </row>
    <row r="120" spans="1:19" s="20" customFormat="1" ht="15" customHeight="1" x14ac:dyDescent="0.35">
      <c r="A120" s="147" t="s">
        <v>127</v>
      </c>
      <c r="B120" s="148" t="s">
        <v>124</v>
      </c>
      <c r="C120" s="103">
        <v>0</v>
      </c>
      <c r="D120" s="104">
        <f ca="1">((100/(H112))*C120)/100</f>
        <v>0</v>
      </c>
      <c r="E120" s="263"/>
      <c r="F120" s="264"/>
      <c r="G120" s="263"/>
      <c r="H120" s="272"/>
      <c r="I120" s="112" t="s">
        <v>135</v>
      </c>
      <c r="J120" s="115">
        <f>(IF(B112&gt;2,(H112/(B112+2)+J119),0))</f>
        <v>0</v>
      </c>
    </row>
    <row r="121" spans="1:19" s="20" customFormat="1" ht="15.75" customHeight="1" x14ac:dyDescent="0.35">
      <c r="A121" s="147" t="s">
        <v>123</v>
      </c>
      <c r="B121" s="148" t="s">
        <v>123</v>
      </c>
      <c r="C121" s="103">
        <v>0</v>
      </c>
      <c r="D121" s="104">
        <f ca="1">((100/H112)*C121)/100</f>
        <v>0</v>
      </c>
      <c r="E121" s="263"/>
      <c r="F121" s="264"/>
      <c r="G121" s="263"/>
      <c r="H121" s="272"/>
      <c r="I121" s="112" t="s">
        <v>136</v>
      </c>
      <c r="J121" s="116">
        <f>(IF(B112&gt;3,(H112/(B112+2)+J120),0))</f>
        <v>0</v>
      </c>
    </row>
    <row r="122" spans="1:19" s="20" customFormat="1" ht="15.75" customHeight="1" x14ac:dyDescent="0.35">
      <c r="A122" s="147" t="s">
        <v>130</v>
      </c>
      <c r="B122" s="148"/>
      <c r="C122" s="103">
        <v>0</v>
      </c>
      <c r="D122" s="104">
        <f ca="1">((100/H112)*C122)/100</f>
        <v>0</v>
      </c>
      <c r="E122" s="263"/>
      <c r="F122" s="264"/>
      <c r="G122" s="263"/>
      <c r="H122" s="272"/>
      <c r="I122" s="112" t="s">
        <v>137</v>
      </c>
      <c r="J122" s="115">
        <f>(IF(B112&gt;4,(H112/(B112+2)+J121),0))</f>
        <v>0</v>
      </c>
    </row>
    <row r="123" spans="1:19" s="20" customFormat="1" ht="15.75" customHeight="1" x14ac:dyDescent="0.35">
      <c r="A123" s="147" t="s">
        <v>125</v>
      </c>
      <c r="B123" s="148" t="s">
        <v>125</v>
      </c>
      <c r="C123" s="103">
        <v>0</v>
      </c>
      <c r="D123" s="104">
        <f ca="1">((100/(H112))*C123)/100</f>
        <v>0</v>
      </c>
      <c r="E123" s="263"/>
      <c r="F123" s="264"/>
      <c r="G123" s="263"/>
      <c r="H123" s="272"/>
      <c r="I123" s="112" t="s">
        <v>139</v>
      </c>
      <c r="J123" s="115">
        <f ca="1">(IF(B112=1,(H112/(B112+3)+J118),IF(B112=0,(H112/4+J118),IF(B112&gt;1,0))))</f>
        <v>5.25</v>
      </c>
    </row>
    <row r="124" spans="1:19" s="20" customFormat="1" ht="16" thickBot="1" x14ac:dyDescent="0.4">
      <c r="A124" s="150" t="s">
        <v>126</v>
      </c>
      <c r="B124" s="151"/>
      <c r="C124" s="106">
        <v>0</v>
      </c>
      <c r="D124" s="107">
        <f ca="1">((100/(H112))*C124)/100</f>
        <v>0</v>
      </c>
      <c r="E124" s="265"/>
      <c r="F124" s="266"/>
      <c r="G124" s="265"/>
      <c r="H124" s="273"/>
      <c r="I124" s="117" t="s">
        <v>99</v>
      </c>
      <c r="J124" s="118">
        <f ca="1">(IF(B112&gt;1.5,(H112/(B112+2)+J118+MAX(0,J119-J118)+MAX(0,J120-J119)+MAX(0,J121-J120)+MAX(0,J122-J121)+MAX(0,J123-J122)),IF(B112=1,(H112/(B112+3)+J123),IF(B112=0,H112/4+J123))))</f>
        <v>7</v>
      </c>
    </row>
    <row r="125" spans="1:19" s="20" customFormat="1" ht="15.75" customHeight="1" x14ac:dyDescent="0.35">
      <c r="A125" s="174" t="s">
        <v>132</v>
      </c>
      <c r="B125" s="175"/>
      <c r="C125" s="254" t="str">
        <f>D75</f>
        <v>Building No. 4 (Wing A, B, C, D) = G + 1st to 7th Floor</v>
      </c>
      <c r="D125" s="255"/>
      <c r="E125" s="255"/>
      <c r="F125" s="255"/>
      <c r="G125" s="255"/>
      <c r="H125" s="256"/>
      <c r="I125" s="42" t="str">
        <f ca="1">IF(D138=100%,"All work Completed. Possession granted to the Building.",IF(D137=100%,"All work Completed, Waiting for OC",I126&amp;""&amp;I127&amp;""&amp;J126&amp;""&amp;J125&amp;" "&amp;J127))</f>
        <v>Excavation, Plinth Completed, RCC upto 1 Slab Completed</v>
      </c>
      <c r="J125" s="108" t="str">
        <f ca="1">(IF(C131=(D126+F126+H126),"",IF(C131&gt;0,", RCC upto "&amp;C131&amp;" Slab","")))&amp;(IF(C132=H126,"",IF(C132&gt;0,", Brickwork upto "&amp;C132&amp;" Floor","")))&amp;(IF(C133=H126,"",IF(C133&gt;0,", Internal Plaster upto "&amp;C133&amp;" Floor","")))&amp;(IF(C134=H126,"",IF(C134&gt;0,", External Plaster upto "&amp;C134&amp;" Floor","")))&amp;(IF(C135=H126,"",IF(C135&gt;0,", Flooring upto "&amp;C135&amp;" Floor","")))&amp;(IF(C136=H126,"",IF(C136&gt;0,", Painting upto "&amp;C136&amp;" Floor","")))&amp;(IF(C137=H126,"",IF(C137&gt;0,", Finishing upto "&amp;C137&amp;" Floor","")))&amp;(IF(C138=H126,"",IF(C138&gt;0,", Possession upto "&amp;C138&amp;" Floor","")))</f>
        <v>, RCC upto 1 Slab</v>
      </c>
      <c r="S125" s="109"/>
    </row>
    <row r="126" spans="1:19" s="20" customFormat="1" x14ac:dyDescent="0.35">
      <c r="A126" s="15" t="s">
        <v>134</v>
      </c>
      <c r="B126" s="46">
        <f>IF(AND(ISNUMBER(SEARCH("1B",C125))),1,IF(AND(ISNUMBER(SEARCH("2B",C125))),2,IF(AND(ISNUMBER(SEARCH("3B",C125))),3,IF(AND(ISNUMBER(SEARCH("4B",C125))),4,IF(ISNUMBER(SEARCH("5B",C125)),5,0)))))</f>
        <v>0</v>
      </c>
      <c r="C126" s="46" t="s">
        <v>68</v>
      </c>
      <c r="D126" s="46">
        <v>1</v>
      </c>
      <c r="E126" s="46" t="s">
        <v>67</v>
      </c>
      <c r="F126" s="46">
        <v>0</v>
      </c>
      <c r="G126" s="46" t="s">
        <v>75</v>
      </c>
      <c r="H126" s="16">
        <f ca="1">--TRIM(RIGHT(SUBSTITUTE(LEFT(C125,_xlfn.AGGREGATE(16,6,FIND({0,1,2,3,4,5,6,7,8,9},C125,ROW(INDIRECT("1:"&amp;LEN(C125)))),1))," ",REPT(" ",LEN(C125))),LEN(C125)))</f>
        <v>7</v>
      </c>
      <c r="I126" s="110" t="str">
        <f ca="1">IF(D129=100%,"Excavation","")&amp;IF(D130=100%,", Plinth","")&amp;IF(D131=100%,", RCC Slab","")&amp;IF(D132=100%,", Brickwork","")&amp;IF(D133=100%,", Internal Plaster","")&amp;IF(D134=100%,", External Plaster","")&amp;IF(D135=100%,", Flooring","")&amp;IF(D136=100%,", Painting","")&amp;IF(D137=100%,", Building common Amenities","")</f>
        <v>Excavation, Plinth</v>
      </c>
      <c r="J126" s="111" t="str">
        <f ca="1">(IF(C129=0,"Work not yet Started.",IF(D129=25%,"Piling work in process",IF(D129=50%,"Excavation work in process",IF(D129=100%,"","0")))))&amp;(IF(C130=0%,"",IF(C130=J131,", Footing work is process",IF(C130=J132,", Footing work Completed",IF(C130=J133,", 1st Basement Completed",IF(C130=J134,", 1st &amp; 2nd Basement Completed",IF(C130=J135,", 1st to 3rd Basement Completed",IF(C130=J136,", 1st to 4th Basement Completed",IF(C130=J137,", Plinth work is process",IF(C130=J138,"","0"))))))))))</f>
        <v/>
      </c>
      <c r="S126" s="109"/>
    </row>
    <row r="127" spans="1:19" s="20" customFormat="1" x14ac:dyDescent="0.35">
      <c r="A127" s="172" t="s">
        <v>85</v>
      </c>
      <c r="B127" s="173"/>
      <c r="C127" s="257" t="str">
        <f ca="1">I125</f>
        <v>Excavation, Plinth Completed, RCC upto 1 Slab Completed</v>
      </c>
      <c r="D127" s="257"/>
      <c r="E127" s="257"/>
      <c r="F127" s="257"/>
      <c r="G127" s="257"/>
      <c r="H127" s="258"/>
      <c r="I127" s="110" t="str">
        <f ca="1">IF(I126&lt;&gt;""," Completed","")</f>
        <v xml:space="preserve"> Completed</v>
      </c>
      <c r="J127" s="111" t="str">
        <f ca="1">IF(J125&lt;&gt;"","Completed","")</f>
        <v>Completed</v>
      </c>
      <c r="S127" s="109"/>
    </row>
    <row r="128" spans="1:19" s="20" customFormat="1" ht="15.75" customHeight="1" x14ac:dyDescent="0.35">
      <c r="A128" s="147" t="s">
        <v>47</v>
      </c>
      <c r="B128" s="148"/>
      <c r="C128" s="103" t="s">
        <v>131</v>
      </c>
      <c r="D128" s="103" t="s">
        <v>78</v>
      </c>
      <c r="E128" s="148" t="s">
        <v>80</v>
      </c>
      <c r="F128" s="148"/>
      <c r="G128" s="148" t="s">
        <v>79</v>
      </c>
      <c r="H128" s="152"/>
      <c r="I128" s="112" t="s">
        <v>133</v>
      </c>
      <c r="J128" s="113">
        <f ca="1">H126*25%</f>
        <v>1.75</v>
      </c>
      <c r="S128" s="109"/>
    </row>
    <row r="129" spans="1:22" s="20" customFormat="1" x14ac:dyDescent="0.35">
      <c r="A129" s="147" t="s">
        <v>120</v>
      </c>
      <c r="B129" s="148"/>
      <c r="C129" s="105">
        <f ca="1">J130</f>
        <v>7</v>
      </c>
      <c r="D129" s="104">
        <f ca="1">((100/H126)*C129)/100</f>
        <v>1</v>
      </c>
      <c r="E129" s="261">
        <f ca="1">(((C130/H126*10)+(40/(D126+F126+H126)*C131)+(7.5/(H126)*C132)+(7.5/(H126)*C133)+(10/H126*C134)+(10/H126*C135)+(5/H126*C136)+(5/H126*C137)+(5/H126*C138))/100)</f>
        <v>0.15</v>
      </c>
      <c r="F129" s="262"/>
      <c r="G129" s="261">
        <f ca="1">((((C129/H126)*20)+((C130/H126)*25)+(30/(H126+F126+D126)*C131)+(5/H126*C132)+(5/H126*C133)+(5/H126*C134)+(5/H126*C135)+(0/H126*C136)+(0/H126*C137)+(5/H126*C138))/100)</f>
        <v>0.48749999999999999</v>
      </c>
      <c r="H129" s="271"/>
      <c r="I129" s="112" t="s">
        <v>95</v>
      </c>
      <c r="J129" s="114">
        <f ca="1">H126*50%</f>
        <v>3.5</v>
      </c>
    </row>
    <row r="130" spans="1:22" s="20" customFormat="1" x14ac:dyDescent="0.35">
      <c r="A130" s="147" t="s">
        <v>48</v>
      </c>
      <c r="B130" s="148"/>
      <c r="C130" s="105">
        <f ca="1">J138</f>
        <v>7</v>
      </c>
      <c r="D130" s="104">
        <f ca="1">((100/H126)*C130)/100</f>
        <v>1</v>
      </c>
      <c r="E130" s="263"/>
      <c r="F130" s="264"/>
      <c r="G130" s="263"/>
      <c r="H130" s="272"/>
      <c r="I130" s="112" t="s">
        <v>96</v>
      </c>
      <c r="J130" s="114">
        <f ca="1">H126</f>
        <v>7</v>
      </c>
      <c r="S130" s="109"/>
    </row>
    <row r="131" spans="1:22" s="20" customFormat="1" ht="15.75" customHeight="1" x14ac:dyDescent="0.35">
      <c r="A131" s="147" t="s">
        <v>121</v>
      </c>
      <c r="B131" s="148"/>
      <c r="C131" s="103">
        <v>1</v>
      </c>
      <c r="D131" s="104">
        <f ca="1">((100/(D126+F126+H126))*C131)/100</f>
        <v>0.125</v>
      </c>
      <c r="E131" s="263"/>
      <c r="F131" s="264"/>
      <c r="G131" s="263"/>
      <c r="H131" s="272"/>
      <c r="I131" s="112" t="s">
        <v>97</v>
      </c>
      <c r="J131" s="115">
        <f ca="1">(IF(B126&gt;1,(H126/(B126+2)),H126/4))</f>
        <v>1.75</v>
      </c>
      <c r="S131" s="109"/>
    </row>
    <row r="132" spans="1:22" s="20" customFormat="1" ht="15.75" customHeight="1" x14ac:dyDescent="0.35">
      <c r="A132" s="147" t="s">
        <v>128</v>
      </c>
      <c r="B132" s="148" t="s">
        <v>122</v>
      </c>
      <c r="C132" s="103">
        <v>0</v>
      </c>
      <c r="D132" s="104">
        <f ca="1">((100/H126)*C132)/100</f>
        <v>0</v>
      </c>
      <c r="E132" s="263"/>
      <c r="F132" s="264"/>
      <c r="G132" s="263"/>
      <c r="H132" s="272"/>
      <c r="I132" s="112" t="s">
        <v>98</v>
      </c>
      <c r="J132" s="115">
        <f ca="1">(IF(B126&gt;1,(H126/(B126+2)+J131),H126/4+J131))</f>
        <v>3.5</v>
      </c>
    </row>
    <row r="133" spans="1:22" s="20" customFormat="1" ht="15.75" customHeight="1" x14ac:dyDescent="0.35">
      <c r="A133" s="147" t="s">
        <v>129</v>
      </c>
      <c r="B133" s="148" t="s">
        <v>122</v>
      </c>
      <c r="C133" s="103">
        <v>0</v>
      </c>
      <c r="D133" s="104">
        <f ca="1">((100/H126)*C133)/100</f>
        <v>0</v>
      </c>
      <c r="E133" s="263"/>
      <c r="F133" s="264"/>
      <c r="G133" s="263"/>
      <c r="H133" s="272"/>
      <c r="I133" s="112" t="s">
        <v>138</v>
      </c>
      <c r="J133" s="115">
        <f>(IF(B126&gt;1,(H126/(B126+2)+J132),0))</f>
        <v>0</v>
      </c>
    </row>
    <row r="134" spans="1:22" s="20" customFormat="1" ht="15" customHeight="1" x14ac:dyDescent="0.35">
      <c r="A134" s="147" t="s">
        <v>127</v>
      </c>
      <c r="B134" s="148" t="s">
        <v>124</v>
      </c>
      <c r="C134" s="103">
        <v>0</v>
      </c>
      <c r="D134" s="104">
        <f ca="1">((100/(H126))*C134)/100</f>
        <v>0</v>
      </c>
      <c r="E134" s="263"/>
      <c r="F134" s="264"/>
      <c r="G134" s="263"/>
      <c r="H134" s="272"/>
      <c r="I134" s="112" t="s">
        <v>135</v>
      </c>
      <c r="J134" s="115">
        <f>(IF(B126&gt;2,(H126/(B126+2)+J133),0))</f>
        <v>0</v>
      </c>
    </row>
    <row r="135" spans="1:22" s="20" customFormat="1" ht="15.75" customHeight="1" x14ac:dyDescent="0.35">
      <c r="A135" s="147" t="s">
        <v>123</v>
      </c>
      <c r="B135" s="148" t="s">
        <v>123</v>
      </c>
      <c r="C135" s="103">
        <v>0</v>
      </c>
      <c r="D135" s="104">
        <f ca="1">((100/H126)*C135)/100</f>
        <v>0</v>
      </c>
      <c r="E135" s="263"/>
      <c r="F135" s="264"/>
      <c r="G135" s="263"/>
      <c r="H135" s="272"/>
      <c r="I135" s="112" t="s">
        <v>136</v>
      </c>
      <c r="J135" s="116">
        <f>(IF(B126&gt;3,(H126/(B126+2)+J134),0))</f>
        <v>0</v>
      </c>
    </row>
    <row r="136" spans="1:22" s="20" customFormat="1" ht="15.75" customHeight="1" x14ac:dyDescent="0.35">
      <c r="A136" s="147" t="s">
        <v>130</v>
      </c>
      <c r="B136" s="148"/>
      <c r="C136" s="103">
        <v>0</v>
      </c>
      <c r="D136" s="104">
        <f ca="1">((100/H126)*C136)/100</f>
        <v>0</v>
      </c>
      <c r="E136" s="263"/>
      <c r="F136" s="264"/>
      <c r="G136" s="263"/>
      <c r="H136" s="272"/>
      <c r="I136" s="112" t="s">
        <v>137</v>
      </c>
      <c r="J136" s="115">
        <f>(IF(B126&gt;4,(H126/(B126+2)+J135),0))</f>
        <v>0</v>
      </c>
    </row>
    <row r="137" spans="1:22" s="20" customFormat="1" ht="15.75" customHeight="1" x14ac:dyDescent="0.35">
      <c r="A137" s="147" t="s">
        <v>125</v>
      </c>
      <c r="B137" s="148" t="s">
        <v>125</v>
      </c>
      <c r="C137" s="103">
        <v>0</v>
      </c>
      <c r="D137" s="104">
        <f ca="1">((100/(H126))*C137)/100</f>
        <v>0</v>
      </c>
      <c r="E137" s="263"/>
      <c r="F137" s="264"/>
      <c r="G137" s="263"/>
      <c r="H137" s="272"/>
      <c r="I137" s="112" t="s">
        <v>139</v>
      </c>
      <c r="J137" s="115">
        <f ca="1">(IF(B126=1,(H126/(B126+3)+J132),IF(B126=0,(H126/4+J132),IF(B126&gt;1,0))))</f>
        <v>5.25</v>
      </c>
    </row>
    <row r="138" spans="1:22" s="20" customFormat="1" ht="16" thickBot="1" x14ac:dyDescent="0.4">
      <c r="A138" s="150" t="s">
        <v>126</v>
      </c>
      <c r="B138" s="151"/>
      <c r="C138" s="106">
        <v>0</v>
      </c>
      <c r="D138" s="107">
        <f ca="1">((100/(H126))*C138)/100</f>
        <v>0</v>
      </c>
      <c r="E138" s="265"/>
      <c r="F138" s="266"/>
      <c r="G138" s="265"/>
      <c r="H138" s="273"/>
      <c r="I138" s="117" t="s">
        <v>99</v>
      </c>
      <c r="J138" s="118">
        <f ca="1">(IF(B126&gt;1.5,(H126/(B126+2)+J132+MAX(0,J133-J132)+MAX(0,J134-J133)+MAX(0,J135-J134)+MAX(0,J136-J135)+MAX(0,J137-J136)),IF(B126=1,(H126/(B126+3)+J137),IF(B126=0,H126/4+J137))))</f>
        <v>7</v>
      </c>
    </row>
    <row r="139" spans="1:22" x14ac:dyDescent="0.35">
      <c r="A139" s="267" t="s">
        <v>148</v>
      </c>
      <c r="B139" s="267"/>
      <c r="C139" s="267"/>
      <c r="D139" s="267"/>
      <c r="E139" s="267"/>
      <c r="F139" s="268" t="s">
        <v>152</v>
      </c>
      <c r="G139" s="268"/>
      <c r="H139" s="268"/>
      <c r="R139" t="s">
        <v>240</v>
      </c>
      <c r="S139" t="s">
        <v>163</v>
      </c>
      <c r="T139" t="s">
        <v>168</v>
      </c>
      <c r="U139" t="s">
        <v>182</v>
      </c>
      <c r="V139" t="s">
        <v>177</v>
      </c>
    </row>
    <row r="140" spans="1:22" x14ac:dyDescent="0.35">
      <c r="A140" s="179" t="s">
        <v>150</v>
      </c>
      <c r="B140" s="179"/>
      <c r="C140" s="179"/>
      <c r="D140" s="179"/>
      <c r="E140" s="179"/>
      <c r="F140" s="149">
        <v>5800</v>
      </c>
      <c r="G140" s="149"/>
      <c r="H140" s="149"/>
      <c r="R140"/>
      <c r="S140">
        <v>800000</v>
      </c>
      <c r="T140">
        <v>150000</v>
      </c>
      <c r="U140">
        <v>100000</v>
      </c>
      <c r="V140">
        <v>100000</v>
      </c>
    </row>
    <row r="141" spans="1:22" hidden="1" x14ac:dyDescent="0.35">
      <c r="A141" s="179" t="s">
        <v>149</v>
      </c>
      <c r="B141" s="179"/>
      <c r="C141" s="179"/>
      <c r="D141" s="179"/>
      <c r="E141" s="179"/>
      <c r="F141" s="149"/>
      <c r="G141" s="149"/>
      <c r="H141" s="149"/>
      <c r="I141" s="20" t="s">
        <v>418</v>
      </c>
      <c r="J141" s="120" t="s">
        <v>416</v>
      </c>
      <c r="K141" s="18" t="s">
        <v>417</v>
      </c>
      <c r="R141"/>
      <c r="S141">
        <v>900000</v>
      </c>
      <c r="T141">
        <v>200000</v>
      </c>
      <c r="U141">
        <v>150000</v>
      </c>
      <c r="V141">
        <v>150000</v>
      </c>
    </row>
    <row r="142" spans="1:22" hidden="1" x14ac:dyDescent="0.35">
      <c r="A142" s="179" t="s">
        <v>151</v>
      </c>
      <c r="B142" s="179"/>
      <c r="C142" s="179"/>
      <c r="D142" s="179"/>
      <c r="E142" s="179"/>
      <c r="F142" s="149"/>
      <c r="G142" s="149"/>
      <c r="H142" s="149"/>
      <c r="I142" s="122">
        <f>2000000/H225</f>
        <v>5622.6879191000471</v>
      </c>
      <c r="J142" s="121">
        <f>3300000/H195</f>
        <v>5652.9796579294853</v>
      </c>
      <c r="K142" s="18">
        <f>4600000/H226</f>
        <v>5794.2481599423409</v>
      </c>
      <c r="L142" s="18" t="s">
        <v>419</v>
      </c>
      <c r="R142"/>
      <c r="S142">
        <v>1000000</v>
      </c>
      <c r="T142">
        <v>250000</v>
      </c>
      <c r="U142">
        <v>200000</v>
      </c>
      <c r="V142">
        <v>200000</v>
      </c>
    </row>
    <row r="143" spans="1:22" s="30" customFormat="1" hidden="1" x14ac:dyDescent="0.35">
      <c r="A143" s="179" t="s">
        <v>165</v>
      </c>
      <c r="B143" s="179"/>
      <c r="C143" s="179"/>
      <c r="D143" s="179"/>
      <c r="E143" s="179"/>
      <c r="F143" s="149"/>
      <c r="G143" s="149"/>
      <c r="H143" s="149"/>
      <c r="I143" s="92"/>
      <c r="J143" s="121">
        <f>3300000/H212</f>
        <v>6403.5600328874734</v>
      </c>
      <c r="R143"/>
      <c r="S143">
        <v>1100000</v>
      </c>
      <c r="T143">
        <v>300000</v>
      </c>
      <c r="U143">
        <v>250000</v>
      </c>
      <c r="V143" s="20">
        <v>250000</v>
      </c>
    </row>
    <row r="144" spans="1:22" s="30" customFormat="1" x14ac:dyDescent="0.35">
      <c r="A144" s="179" t="s">
        <v>90</v>
      </c>
      <c r="B144" s="179"/>
      <c r="C144" s="179"/>
      <c r="D144" s="179"/>
      <c r="E144" s="179"/>
      <c r="F144" s="149">
        <v>200000</v>
      </c>
      <c r="G144" s="149"/>
      <c r="H144" s="149"/>
      <c r="J144" s="123">
        <f>3000000/H195</f>
        <v>5139.0724162995321</v>
      </c>
      <c r="L144" s="30" t="s">
        <v>420</v>
      </c>
      <c r="R144"/>
      <c r="S144">
        <v>1200000</v>
      </c>
      <c r="T144">
        <v>350000</v>
      </c>
      <c r="U144">
        <v>300000</v>
      </c>
      <c r="V144">
        <v>300000</v>
      </c>
    </row>
    <row r="145" spans="1:22" s="30" customFormat="1" x14ac:dyDescent="0.35">
      <c r="A145" s="179" t="s">
        <v>425</v>
      </c>
      <c r="B145" s="179"/>
      <c r="C145" s="179"/>
      <c r="D145" s="179"/>
      <c r="E145" s="179"/>
      <c r="F145" s="149">
        <v>50000</v>
      </c>
      <c r="G145" s="149"/>
      <c r="H145" s="149"/>
      <c r="J145" s="123">
        <f>3000000/H227</f>
        <v>5242.3724673240176</v>
      </c>
      <c r="R145"/>
      <c r="S145">
        <v>1300000</v>
      </c>
      <c r="T145">
        <v>400000</v>
      </c>
      <c r="U145">
        <v>350000</v>
      </c>
      <c r="V145" s="20">
        <v>400000</v>
      </c>
    </row>
    <row r="146" spans="1:22" s="30" customFormat="1" hidden="1" x14ac:dyDescent="0.35">
      <c r="A146" s="179" t="s">
        <v>91</v>
      </c>
      <c r="B146" s="179"/>
      <c r="C146" s="179"/>
      <c r="D146" s="179"/>
      <c r="E146" s="179"/>
      <c r="F146" s="149"/>
      <c r="G146" s="149"/>
      <c r="H146" s="149"/>
      <c r="J146" s="123">
        <f>2900000/H227</f>
        <v>5067.6267184132175</v>
      </c>
      <c r="R146"/>
      <c r="S146">
        <v>1400000</v>
      </c>
      <c r="T146">
        <v>500000</v>
      </c>
      <c r="U146">
        <v>400000</v>
      </c>
      <c r="V146"/>
    </row>
    <row r="147" spans="1:22" s="30" customFormat="1" hidden="1" x14ac:dyDescent="0.35">
      <c r="A147" s="179" t="s">
        <v>92</v>
      </c>
      <c r="B147" s="179"/>
      <c r="C147" s="179"/>
      <c r="D147" s="179"/>
      <c r="E147" s="179"/>
      <c r="F147" s="149"/>
      <c r="G147" s="149"/>
      <c r="H147" s="149"/>
      <c r="R147"/>
      <c r="S147">
        <v>1500000</v>
      </c>
      <c r="T147">
        <v>600000</v>
      </c>
      <c r="U147">
        <v>500000</v>
      </c>
      <c r="V147" s="20"/>
    </row>
    <row r="148" spans="1:22" s="30" customFormat="1" hidden="1" x14ac:dyDescent="0.35">
      <c r="A148" s="179" t="s">
        <v>93</v>
      </c>
      <c r="B148" s="179"/>
      <c r="C148" s="179"/>
      <c r="D148" s="179"/>
      <c r="E148" s="179"/>
      <c r="F148" s="149"/>
      <c r="G148" s="149"/>
      <c r="H148" s="149"/>
      <c r="R148"/>
      <c r="S148">
        <v>1600000</v>
      </c>
      <c r="T148">
        <v>700000</v>
      </c>
      <c r="U148">
        <v>600000</v>
      </c>
      <c r="V148"/>
    </row>
    <row r="149" spans="1:22" s="30" customFormat="1" hidden="1" x14ac:dyDescent="0.35">
      <c r="A149" s="179" t="s">
        <v>94</v>
      </c>
      <c r="B149" s="179"/>
      <c r="C149" s="179"/>
      <c r="D149" s="179"/>
      <c r="E149" s="179"/>
      <c r="F149" s="149"/>
      <c r="G149" s="149"/>
      <c r="H149" s="149"/>
      <c r="R149"/>
      <c r="S149">
        <v>1700000</v>
      </c>
      <c r="T149">
        <v>800000</v>
      </c>
      <c r="U149"/>
      <c r="V149" s="20"/>
    </row>
    <row r="150" spans="1:22" x14ac:dyDescent="0.35">
      <c r="A150" s="179" t="s">
        <v>49</v>
      </c>
      <c r="B150" s="179"/>
      <c r="C150" s="179"/>
      <c r="D150" s="179"/>
      <c r="E150" s="179"/>
      <c r="F150" s="149">
        <v>250000</v>
      </c>
      <c r="G150" s="149"/>
      <c r="H150" s="149"/>
      <c r="R150"/>
      <c r="S150">
        <v>1800000</v>
      </c>
      <c r="T150">
        <v>900000</v>
      </c>
      <c r="U150"/>
    </row>
    <row r="151" spans="1:22" s="31" customFormat="1" x14ac:dyDescent="0.35">
      <c r="A151" s="209" t="s">
        <v>50</v>
      </c>
      <c r="B151" s="209"/>
      <c r="C151" s="209"/>
      <c r="D151" s="209"/>
      <c r="E151" s="209"/>
      <c r="F151" s="210">
        <f>F140*0.8</f>
        <v>4640</v>
      </c>
      <c r="G151" s="210"/>
      <c r="H151" s="210"/>
      <c r="R151" s="18"/>
      <c r="S151" s="18"/>
      <c r="T151">
        <v>1000000</v>
      </c>
      <c r="U151"/>
      <c r="V151" s="18"/>
    </row>
    <row r="152" spans="1:22" s="32" customFormat="1" x14ac:dyDescent="0.35">
      <c r="A152" s="211" t="s">
        <v>66</v>
      </c>
      <c r="B152" s="211"/>
      <c r="C152" s="211"/>
      <c r="D152" s="211"/>
      <c r="E152" s="211"/>
      <c r="F152" s="211"/>
      <c r="G152" s="211"/>
      <c r="H152" s="211"/>
      <c r="T152"/>
    </row>
    <row r="153" spans="1:22" s="32" customFormat="1" ht="15.75" customHeight="1" x14ac:dyDescent="0.35">
      <c r="A153" s="144" t="s">
        <v>51</v>
      </c>
      <c r="B153" s="144"/>
      <c r="C153" s="183" t="s">
        <v>73</v>
      </c>
      <c r="D153" s="183"/>
      <c r="E153" s="206" t="s">
        <v>52</v>
      </c>
      <c r="F153" s="206"/>
      <c r="G153" s="144" t="s">
        <v>53</v>
      </c>
      <c r="H153" s="144"/>
      <c r="T153"/>
    </row>
    <row r="154" spans="1:22" s="32" customFormat="1" x14ac:dyDescent="0.35">
      <c r="A154" s="199" t="s">
        <v>403</v>
      </c>
      <c r="B154" s="199"/>
      <c r="C154" s="189">
        <f>COUNT(D171:D174)*7</f>
        <v>28</v>
      </c>
      <c r="D154" s="189"/>
      <c r="E154" s="188">
        <f>SUM(F171:F174)*7</f>
        <v>17598.203532</v>
      </c>
      <c r="F154" s="188"/>
      <c r="G154" s="188">
        <f>SUM(H171:H174)*7</f>
        <v>25517.395121399997</v>
      </c>
      <c r="H154" s="188"/>
      <c r="T154"/>
    </row>
    <row r="155" spans="1:22" s="32" customFormat="1" x14ac:dyDescent="0.35">
      <c r="A155" s="199" t="s">
        <v>405</v>
      </c>
      <c r="B155" s="199"/>
      <c r="C155" s="189">
        <f>COUNT(D178:D181)*7</f>
        <v>28</v>
      </c>
      <c r="D155" s="189"/>
      <c r="E155" s="188">
        <f>SUM(F178:F181)*7</f>
        <v>11730.779423999998</v>
      </c>
      <c r="F155" s="188"/>
      <c r="G155" s="188">
        <f>SUM(H178:H181)*7</f>
        <v>17009.630164799997</v>
      </c>
      <c r="H155" s="188"/>
      <c r="T155"/>
    </row>
    <row r="156" spans="1:22" s="32" customFormat="1" ht="15.75" customHeight="1" x14ac:dyDescent="0.35">
      <c r="A156" s="199" t="s">
        <v>412</v>
      </c>
      <c r="B156" s="132" t="s">
        <v>406</v>
      </c>
      <c r="C156" s="189">
        <f>COUNT(D186:D189)*7</f>
        <v>28</v>
      </c>
      <c r="D156" s="189"/>
      <c r="E156" s="188">
        <f>SUM(F186:F189)*7</f>
        <v>13591.573631999998</v>
      </c>
      <c r="F156" s="188"/>
      <c r="G156" s="188">
        <f>SUM(H186:H189)*7</f>
        <v>19707.781766399996</v>
      </c>
      <c r="H156" s="188"/>
      <c r="T156"/>
    </row>
    <row r="157" spans="1:22" s="32" customFormat="1" x14ac:dyDescent="0.35">
      <c r="A157" s="199"/>
      <c r="B157" s="132" t="s">
        <v>407</v>
      </c>
      <c r="C157" s="189">
        <f>COUNT(D193:D198)*7</f>
        <v>42</v>
      </c>
      <c r="D157" s="189"/>
      <c r="E157" s="188">
        <f>SUM(F193:F198)*7</f>
        <v>17771.503932</v>
      </c>
      <c r="F157" s="188"/>
      <c r="G157" s="188">
        <f>SUM(H193:H198)*7</f>
        <v>25768.680701399997</v>
      </c>
      <c r="H157" s="188"/>
      <c r="T157"/>
    </row>
    <row r="158" spans="1:22" s="32" customFormat="1" x14ac:dyDescent="0.35">
      <c r="A158" s="199"/>
      <c r="B158" s="132" t="s">
        <v>408</v>
      </c>
      <c r="C158" s="189">
        <f>COUNT(D202:D205)*7</f>
        <v>28</v>
      </c>
      <c r="D158" s="189"/>
      <c r="E158" s="188">
        <f>SUM(F202:F205)*7</f>
        <v>13591.573631999998</v>
      </c>
      <c r="F158" s="188"/>
      <c r="G158" s="188">
        <f>SUM(H202:H205)*7</f>
        <v>19707.781766399996</v>
      </c>
      <c r="H158" s="188"/>
      <c r="T158"/>
    </row>
    <row r="159" spans="1:22" s="32" customFormat="1" ht="15.75" customHeight="1" x14ac:dyDescent="0.35">
      <c r="A159" s="199" t="s">
        <v>413</v>
      </c>
      <c r="B159" s="132" t="s">
        <v>406</v>
      </c>
      <c r="C159" s="189">
        <f>COUNT(D210:D213)*7</f>
        <v>28</v>
      </c>
      <c r="D159" s="189"/>
      <c r="E159" s="188">
        <f>SUM(F210:F213)*7</f>
        <v>10598.148287999999</v>
      </c>
      <c r="F159" s="188"/>
      <c r="G159" s="188">
        <f>SUM(H210:H213)*7</f>
        <v>15367.315017599998</v>
      </c>
      <c r="H159" s="188"/>
      <c r="T159"/>
    </row>
    <row r="160" spans="1:22" s="32" customFormat="1" x14ac:dyDescent="0.35">
      <c r="A160" s="199"/>
      <c r="B160" s="132" t="s">
        <v>407</v>
      </c>
      <c r="C160" s="189">
        <f>COUNT(D217:D220)*7</f>
        <v>28</v>
      </c>
      <c r="D160" s="189"/>
      <c r="E160" s="188">
        <f>SUM(F217:F220)*7</f>
        <v>10060.08822</v>
      </c>
      <c r="F160" s="188"/>
      <c r="G160" s="188">
        <f>SUM(H217:H220)*7</f>
        <v>14587.127918999999</v>
      </c>
      <c r="H160" s="188"/>
      <c r="T160"/>
    </row>
    <row r="161" spans="1:20" s="32" customFormat="1" x14ac:dyDescent="0.35">
      <c r="A161" s="199"/>
      <c r="B161" s="132" t="s">
        <v>408</v>
      </c>
      <c r="C161" s="189">
        <f>COUNT(D224:D227)*7</f>
        <v>28</v>
      </c>
      <c r="D161" s="189"/>
      <c r="E161" s="188">
        <f>SUM(F224:F227)*7</f>
        <v>10029.57228</v>
      </c>
      <c r="F161" s="188"/>
      <c r="G161" s="188">
        <f>SUM(H224:H227)*7</f>
        <v>14542.879805999997</v>
      </c>
      <c r="H161" s="188"/>
      <c r="T161"/>
    </row>
    <row r="162" spans="1:20" s="32" customFormat="1" x14ac:dyDescent="0.35">
      <c r="A162" s="199"/>
      <c r="B162" s="132" t="s">
        <v>409</v>
      </c>
      <c r="C162" s="189">
        <f>COUNT(D231:D234)*7</f>
        <v>28</v>
      </c>
      <c r="D162" s="189"/>
      <c r="E162" s="188">
        <f>SUM(F231:F234)*7</f>
        <v>10647.501227999999</v>
      </c>
      <c r="F162" s="188"/>
      <c r="G162" s="188">
        <f>SUM(H231:H234)*7</f>
        <v>15438.876780600001</v>
      </c>
      <c r="H162" s="188"/>
      <c r="T162"/>
    </row>
    <row r="163" spans="1:20" s="32" customFormat="1" x14ac:dyDescent="0.35">
      <c r="A163" s="211" t="s">
        <v>142</v>
      </c>
      <c r="B163" s="211"/>
      <c r="C163" s="183">
        <f>SUM(C154:D162)</f>
        <v>266</v>
      </c>
      <c r="D163" s="183"/>
      <c r="E163" s="269">
        <f>SUM(E154:F162)</f>
        <v>115618.944168</v>
      </c>
      <c r="F163" s="269"/>
      <c r="G163" s="144">
        <f>SUM(G154:H162)</f>
        <v>167647.46904359997</v>
      </c>
      <c r="H163" s="144"/>
      <c r="T163"/>
    </row>
    <row r="164" spans="1:20" s="31" customFormat="1" x14ac:dyDescent="0.35">
      <c r="A164" s="214" t="s">
        <v>342</v>
      </c>
      <c r="B164" s="214"/>
      <c r="C164" s="214"/>
      <c r="D164" s="214"/>
      <c r="E164" s="214"/>
      <c r="F164" s="214"/>
      <c r="G164" s="214"/>
      <c r="H164" s="214"/>
      <c r="T164" s="32"/>
    </row>
    <row r="165" spans="1:20" x14ac:dyDescent="0.35">
      <c r="A165" s="178" t="s">
        <v>364</v>
      </c>
      <c r="B165" s="178"/>
      <c r="C165" s="178"/>
      <c r="D165" s="178"/>
      <c r="E165" s="178"/>
      <c r="F165" s="178"/>
      <c r="G165" s="178"/>
      <c r="H165" s="178"/>
      <c r="T165" s="32"/>
    </row>
    <row r="166" spans="1:20" ht="47.25" customHeight="1" x14ac:dyDescent="0.35">
      <c r="A166" s="197" t="s">
        <v>365</v>
      </c>
      <c r="B166" s="145" t="s">
        <v>166</v>
      </c>
      <c r="C166" s="145" t="s">
        <v>54</v>
      </c>
      <c r="D166" s="145" t="s">
        <v>411</v>
      </c>
      <c r="E166" s="145" t="s">
        <v>404</v>
      </c>
      <c r="F166" s="145" t="s">
        <v>55</v>
      </c>
      <c r="G166" s="249" t="s">
        <v>56</v>
      </c>
      <c r="H166" s="60" t="s">
        <v>141</v>
      </c>
      <c r="I166" s="33">
        <f>10.764</f>
        <v>10.763999999999999</v>
      </c>
      <c r="T166" s="34"/>
    </row>
    <row r="167" spans="1:20" s="34" customFormat="1" x14ac:dyDescent="0.35">
      <c r="A167" s="198"/>
      <c r="B167" s="146"/>
      <c r="C167" s="146"/>
      <c r="D167" s="146"/>
      <c r="E167" s="146"/>
      <c r="F167" s="146"/>
      <c r="G167" s="250"/>
      <c r="H167" s="124">
        <v>0.45</v>
      </c>
      <c r="I167" s="33"/>
    </row>
    <row r="168" spans="1:20" s="94" customFormat="1" x14ac:dyDescent="0.35">
      <c r="A168" s="141" t="s">
        <v>403</v>
      </c>
      <c r="B168" s="142"/>
      <c r="C168" s="142"/>
      <c r="D168" s="142"/>
      <c r="E168" s="142"/>
      <c r="F168" s="142"/>
      <c r="G168" s="142"/>
      <c r="H168" s="143"/>
      <c r="J168" s="33"/>
    </row>
    <row r="169" spans="1:20" s="34" customFormat="1" x14ac:dyDescent="0.35">
      <c r="A169" s="141" t="s">
        <v>401</v>
      </c>
      <c r="B169" s="142"/>
      <c r="C169" s="142"/>
      <c r="D169" s="142"/>
      <c r="E169" s="142"/>
      <c r="F169" s="142"/>
      <c r="G169" s="142"/>
      <c r="H169" s="143"/>
      <c r="J169" s="33"/>
    </row>
    <row r="170" spans="1:20" s="94" customFormat="1" x14ac:dyDescent="0.35">
      <c r="A170" s="141" t="s">
        <v>402</v>
      </c>
      <c r="B170" s="142"/>
      <c r="C170" s="142"/>
      <c r="D170" s="142"/>
      <c r="E170" s="142"/>
      <c r="F170" s="142"/>
      <c r="G170" s="142"/>
      <c r="H170" s="143"/>
      <c r="I170" s="94">
        <f>4.7*2.9+2.15*2.05+3.2*2.05+1.1*1.8+2.05*2.9+1.2*1.9+1.4*0.9</f>
        <v>36.0625</v>
      </c>
      <c r="J170" s="33">
        <f>2.15+3.2+2.9</f>
        <v>8.25</v>
      </c>
      <c r="K170" s="94">
        <f>1.2*2.2+2.15+3.2</f>
        <v>7.99</v>
      </c>
      <c r="L170" s="119">
        <f>J170+K170</f>
        <v>16.240000000000002</v>
      </c>
    </row>
    <row r="171" spans="1:20" s="34" customFormat="1" ht="15.75" customHeight="1" x14ac:dyDescent="0.35">
      <c r="A171" s="139">
        <v>1</v>
      </c>
      <c r="B171" s="140"/>
      <c r="C171" s="39" t="s">
        <v>359</v>
      </c>
      <c r="D171" s="99">
        <f>(38.412)*(10.764)</f>
        <v>413.46676799999995</v>
      </c>
      <c r="E171" s="99">
        <f>(2.15*1.2+2.15+3.2+2.15+3.2+2.9)*(10.764)</f>
        <v>174.16152</v>
      </c>
      <c r="F171" s="39">
        <f>D171+E171</f>
        <v>587.62828799999988</v>
      </c>
      <c r="G171" s="49">
        <v>0</v>
      </c>
      <c r="H171" s="49">
        <f>F171*(($H$167)+1)+(IF(G171&lt;101,G171,IF(G171&lt;201,G171/2,IF(G171&lt;=301,G171/3,G171/4))))</f>
        <v>852.06101759999979</v>
      </c>
      <c r="I171" s="119">
        <f>4.7*2.9+2.15*2.05+2.05*(2.9+3.2)+1.2*1.9+1.1*1.8+0.9*1.45</f>
        <v>36.107499999999995</v>
      </c>
      <c r="J171" s="34">
        <f>2.5*1.2+2.15+3.2</f>
        <v>8.3500000000000014</v>
      </c>
      <c r="K171" s="34">
        <f>2.7*2.05+1.05*1.9+2.7</f>
        <v>10.23</v>
      </c>
      <c r="L171" s="251">
        <f>K171*10.764</f>
        <v>110.11572</v>
      </c>
      <c r="M171" s="251"/>
      <c r="N171" s="33"/>
    </row>
    <row r="172" spans="1:20" s="34" customFormat="1" ht="15.75" customHeight="1" x14ac:dyDescent="0.35">
      <c r="A172" s="139">
        <f>A171+1</f>
        <v>2</v>
      </c>
      <c r="B172" s="140"/>
      <c r="C172" s="93" t="s">
        <v>359</v>
      </c>
      <c r="D172" s="99">
        <f>(40.877)*(10.764)</f>
        <v>440.00002799999999</v>
      </c>
      <c r="E172" s="99">
        <f>(2.15*1.2+2.15+3.2+2.15+3.2)*(10.764)</f>
        <v>142.94592</v>
      </c>
      <c r="F172" s="49">
        <f>D172+E172</f>
        <v>582.94594800000004</v>
      </c>
      <c r="G172" s="49">
        <v>0</v>
      </c>
      <c r="H172" s="49">
        <f>F172*(($H$167)+1)+(IF(G172&lt;101,G172,IF(G172&lt;201,G172/2,IF(G172&lt;=301,G172/3,G172/4))))</f>
        <v>845.2716246</v>
      </c>
      <c r="I172" s="33"/>
      <c r="J172" s="94">
        <f>2.5*1.2+2.15+3.2</f>
        <v>8.3500000000000014</v>
      </c>
      <c r="L172" s="251"/>
      <c r="M172" s="251"/>
      <c r="N172" s="33"/>
    </row>
    <row r="173" spans="1:20" s="34" customFormat="1" ht="15.75" customHeight="1" x14ac:dyDescent="0.35">
      <c r="A173" s="139">
        <f>A172+1</f>
        <v>3</v>
      </c>
      <c r="B173" s="140"/>
      <c r="C173" s="93" t="s">
        <v>360</v>
      </c>
      <c r="D173" s="99">
        <f>(54.438)*(10.764)</f>
        <v>585.97063200000002</v>
      </c>
      <c r="E173" s="99">
        <f>(2.9*1.2+2.05+2.7+2.8+2.7+2.05)*(10.764)</f>
        <v>169.85592</v>
      </c>
      <c r="F173" s="49">
        <f>D173+E173</f>
        <v>755.82655199999999</v>
      </c>
      <c r="G173" s="49">
        <v>0</v>
      </c>
      <c r="H173" s="49">
        <f>F173*(($H$167)+1)+(IF(G173&lt;101,G173,IF(G173&lt;201,G173/2,IF(G173&lt;=301,G173/3,G173/4))))</f>
        <v>1095.9485004000001</v>
      </c>
      <c r="I173" s="33">
        <f>4.7*2.9+2.05*2.05+2.05*2.7+2.85*2.8+2.8*2.8+1.2*1.75+1.1*1.8+1.05*1.9+3.2+1.2*0.9+2.4*0.9+0.7*0.5</f>
        <v>52.052500000000002</v>
      </c>
      <c r="J173" s="94">
        <f>2.9*1.2+2.05+2.7</f>
        <v>8.23</v>
      </c>
      <c r="L173" s="251"/>
      <c r="M173" s="251"/>
      <c r="N173" s="33"/>
    </row>
    <row r="174" spans="1:20" s="34" customFormat="1" ht="15.75" customHeight="1" x14ac:dyDescent="0.35">
      <c r="A174" s="139">
        <f>A173+1</f>
        <v>4</v>
      </c>
      <c r="B174" s="140"/>
      <c r="C174" s="93" t="s">
        <v>359</v>
      </c>
      <c r="D174" s="99">
        <f>(38.412)*(10.764)</f>
        <v>413.46676799999995</v>
      </c>
      <c r="E174" s="99">
        <f>(2.15*1.2+2.15+3.2+2.15+3.2+2.9)*(10.764)</f>
        <v>174.16152</v>
      </c>
      <c r="F174" s="49">
        <f>D174+E174</f>
        <v>587.62828799999988</v>
      </c>
      <c r="G174" s="49">
        <v>0</v>
      </c>
      <c r="H174" s="49">
        <f>F174*(($H$167)+1)+(IF(G174&lt;101,G174,IF(G174&lt;201,G174/2,IF(G174&lt;=301,G174/3,G174/4))))</f>
        <v>852.06101759999979</v>
      </c>
      <c r="I174" s="33">
        <f>4.7*2.9+2.15*2.05+2.05*(2.9+3.2)+1.2*1.9+1.1*1.8+1.5</f>
        <v>36.302499999999995</v>
      </c>
      <c r="J174" s="34">
        <f>2.5*1.2+2.15+3.2</f>
        <v>8.3500000000000014</v>
      </c>
      <c r="L174" s="251"/>
      <c r="M174" s="251"/>
      <c r="N174" s="33"/>
      <c r="T174" s="18"/>
    </row>
    <row r="175" spans="1:20" s="127" customFormat="1" ht="32.25" customHeight="1" x14ac:dyDescent="0.35">
      <c r="A175" s="141" t="s">
        <v>435</v>
      </c>
      <c r="B175" s="142"/>
      <c r="C175" s="142"/>
      <c r="D175" s="142"/>
      <c r="E175" s="142"/>
      <c r="F175" s="142"/>
      <c r="G175" s="142"/>
      <c r="H175" s="143"/>
      <c r="J175" s="33"/>
    </row>
    <row r="176" spans="1:20" s="94" customFormat="1" x14ac:dyDescent="0.35">
      <c r="A176" s="141" t="s">
        <v>401</v>
      </c>
      <c r="B176" s="142"/>
      <c r="C176" s="142"/>
      <c r="D176" s="142"/>
      <c r="E176" s="142"/>
      <c r="F176" s="142"/>
      <c r="G176" s="142"/>
      <c r="H176" s="143"/>
      <c r="J176" s="33"/>
    </row>
    <row r="177" spans="1:14" s="34" customFormat="1" x14ac:dyDescent="0.35">
      <c r="A177" s="138" t="s">
        <v>402</v>
      </c>
      <c r="B177" s="138"/>
      <c r="C177" s="138"/>
      <c r="D177" s="138"/>
      <c r="E177" s="138"/>
      <c r="F177" s="138"/>
      <c r="G177" s="138"/>
      <c r="H177" s="138"/>
      <c r="I177" s="33"/>
      <c r="L177" s="251"/>
      <c r="M177" s="251"/>
    </row>
    <row r="178" spans="1:14" s="34" customFormat="1" x14ac:dyDescent="0.35">
      <c r="A178" s="137">
        <v>1</v>
      </c>
      <c r="B178" s="137"/>
      <c r="C178" s="39" t="s">
        <v>359</v>
      </c>
      <c r="D178" s="99">
        <f>(42.748)*(10.764)</f>
        <v>460.13947199999996</v>
      </c>
      <c r="E178" s="99">
        <f>(2.8*1.25)*(10.764)</f>
        <v>37.673999999999999</v>
      </c>
      <c r="F178" s="49">
        <f>D178+E178</f>
        <v>497.81347199999993</v>
      </c>
      <c r="G178" s="49">
        <v>0</v>
      </c>
      <c r="H178" s="49">
        <f>F178*(($H$167)+1)+(IF(G178&lt;101,G178,IF(G178&lt;201,G178/2,IF(G178&lt;=301,G178/3,G178/4))))</f>
        <v>721.82953439999983</v>
      </c>
      <c r="I178" s="33">
        <f>2.8*4.8+2.75*2+2.8*2.85+2.75*2.95+1.8*(1.1+1.2)+1.5</f>
        <v>40.672499999999999</v>
      </c>
      <c r="N178" s="33"/>
    </row>
    <row r="179" spans="1:14" s="34" customFormat="1" x14ac:dyDescent="0.35">
      <c r="A179" s="137">
        <f>A178+1</f>
        <v>2</v>
      </c>
      <c r="B179" s="137"/>
      <c r="C179" s="39" t="s">
        <v>361</v>
      </c>
      <c r="D179" s="99">
        <f>(30.32)*(10.764)</f>
        <v>326.36447999999996</v>
      </c>
      <c r="E179" s="99">
        <f>(2.05*1.25)*(10.764)</f>
        <v>27.582749999999997</v>
      </c>
      <c r="F179" s="49">
        <f>D179+E179</f>
        <v>353.94722999999993</v>
      </c>
      <c r="G179" s="49">
        <v>0</v>
      </c>
      <c r="H179" s="49">
        <f>F179*(($H$167)+1)+(IF(G179&lt;101,G179,IF(G179&lt;201,G179/2,IF(G179&lt;=301,G179/3,G179/4))))</f>
        <v>513.22348349999993</v>
      </c>
      <c r="I179" s="33"/>
      <c r="N179" s="33"/>
    </row>
    <row r="180" spans="1:14" s="34" customFormat="1" x14ac:dyDescent="0.35">
      <c r="A180" s="137">
        <f>A179+1</f>
        <v>3</v>
      </c>
      <c r="B180" s="137"/>
      <c r="C180" s="93" t="s">
        <v>359</v>
      </c>
      <c r="D180" s="99">
        <f>(39.895)*(10.764)</f>
        <v>429.42977999999999</v>
      </c>
      <c r="E180" s="99">
        <f>(1.35*2.8)*(10.764)</f>
        <v>40.687919999999998</v>
      </c>
      <c r="F180" s="49">
        <f>D180+E180</f>
        <v>470.11770000000001</v>
      </c>
      <c r="G180" s="49">
        <v>0</v>
      </c>
      <c r="H180" s="49">
        <f>F180*(($H$167)+1)+(IF(G180&lt;101,G180,IF(G180&lt;201,G180/2,IF(G180&lt;=301,G180/3,G180/4))))</f>
        <v>681.67066499999999</v>
      </c>
      <c r="I180" s="33"/>
      <c r="N180" s="33"/>
    </row>
    <row r="181" spans="1:14" s="34" customFormat="1" x14ac:dyDescent="0.35">
      <c r="A181" s="137">
        <f>A180+1</f>
        <v>4</v>
      </c>
      <c r="B181" s="137"/>
      <c r="C181" s="93" t="s">
        <v>361</v>
      </c>
      <c r="D181" s="99">
        <f>(30.32)*(10.764)</f>
        <v>326.36447999999996</v>
      </c>
      <c r="E181" s="99">
        <f>(2.05*1.25)*(10.764)</f>
        <v>27.582749999999997</v>
      </c>
      <c r="F181" s="49">
        <f>D181+E181</f>
        <v>353.94722999999993</v>
      </c>
      <c r="G181" s="49">
        <v>0</v>
      </c>
      <c r="H181" s="49">
        <f>F181*(($H$167)+1)+(IF(G181&lt;101,G181,IF(G181&lt;201,G181/2,IF(G181&lt;=301,G181/3,G181/4))))</f>
        <v>513.22348349999993</v>
      </c>
      <c r="I181" s="33">
        <f>2.8*4.2+2.3*2+2.9*2.75+1.1*1.45+1.2+1.2*1.1</f>
        <v>28.45</v>
      </c>
      <c r="N181" s="33"/>
    </row>
    <row r="182" spans="1:14" s="94" customFormat="1" ht="33" customHeight="1" x14ac:dyDescent="0.35">
      <c r="A182" s="141" t="s">
        <v>436</v>
      </c>
      <c r="B182" s="142"/>
      <c r="C182" s="142"/>
      <c r="D182" s="142"/>
      <c r="E182" s="142"/>
      <c r="F182" s="142"/>
      <c r="G182" s="142"/>
      <c r="H182" s="143"/>
      <c r="J182" s="33"/>
    </row>
    <row r="183" spans="1:14" s="94" customFormat="1" x14ac:dyDescent="0.35">
      <c r="A183" s="141" t="s">
        <v>406</v>
      </c>
      <c r="B183" s="142"/>
      <c r="C183" s="142"/>
      <c r="D183" s="142"/>
      <c r="E183" s="142"/>
      <c r="F183" s="142"/>
      <c r="G183" s="142"/>
      <c r="H183" s="143"/>
      <c r="J183" s="33"/>
    </row>
    <row r="184" spans="1:14" s="94" customFormat="1" x14ac:dyDescent="0.35">
      <c r="A184" s="141" t="s">
        <v>401</v>
      </c>
      <c r="B184" s="142"/>
      <c r="C184" s="142"/>
      <c r="D184" s="142"/>
      <c r="E184" s="142"/>
      <c r="F184" s="142"/>
      <c r="G184" s="142"/>
      <c r="H184" s="143"/>
      <c r="J184" s="33"/>
    </row>
    <row r="185" spans="1:14" s="34" customFormat="1" ht="15.75" customHeight="1" x14ac:dyDescent="0.35">
      <c r="A185" s="138" t="s">
        <v>402</v>
      </c>
      <c r="B185" s="138"/>
      <c r="C185" s="138"/>
      <c r="D185" s="138"/>
      <c r="E185" s="138"/>
      <c r="F185" s="138"/>
      <c r="G185" s="138"/>
      <c r="H185" s="138"/>
      <c r="I185" s="33"/>
    </row>
    <row r="186" spans="1:14" s="34" customFormat="1" ht="15.75" customHeight="1" x14ac:dyDescent="0.35">
      <c r="A186" s="139">
        <v>1</v>
      </c>
      <c r="B186" s="140"/>
      <c r="C186" s="39" t="s">
        <v>359</v>
      </c>
      <c r="D186" s="99">
        <f>(42.59)*(10.764)</f>
        <v>458.43876</v>
      </c>
      <c r="E186" s="99">
        <f>(1.5*2.9+3.15+2.7)*(10.764)</f>
        <v>109.79279999999999</v>
      </c>
      <c r="F186" s="49">
        <f>D186+E186</f>
        <v>568.23155999999994</v>
      </c>
      <c r="G186" s="49">
        <v>0</v>
      </c>
      <c r="H186" s="49">
        <f>F186*(($H$167)+1)+(IF(G186&lt;101,G186,IF(G186&lt;201,G186/2,IF(G186&lt;=301,G186/3,G186/4))))</f>
        <v>823.93576199999984</v>
      </c>
      <c r="I186" s="97">
        <f>4.8*2.9+2.35*2.7+2*(2.7+3.15)+1.1*(1.9+1.7)+3.6</f>
        <v>39.524999999999999</v>
      </c>
    </row>
    <row r="187" spans="1:14" s="34" customFormat="1" ht="15.75" customHeight="1" x14ac:dyDescent="0.35">
      <c r="A187" s="139">
        <v>2</v>
      </c>
      <c r="B187" s="140"/>
      <c r="C187" s="39" t="s">
        <v>361</v>
      </c>
      <c r="D187" s="99">
        <f>(29.972)*(10.764)</f>
        <v>322.61860799999999</v>
      </c>
      <c r="E187" s="99">
        <f>(1.15*2.2+2.1+2.8)*(10.764)</f>
        <v>79.976519999999994</v>
      </c>
      <c r="F187" s="49">
        <f>D187+E187</f>
        <v>402.59512799999999</v>
      </c>
      <c r="G187" s="49">
        <v>0</v>
      </c>
      <c r="H187" s="49">
        <f>F187*(($H$167)+1)+(IF(G187&lt;101,G187,IF(G187&lt;201,G187/2,IF(G187&lt;=301,G187/3,G187/4))))</f>
        <v>583.76293559999999</v>
      </c>
      <c r="I187" s="97">
        <f>4.45*3+2*2.1+2*2.8+1.1*(1.6+1.8)+1.1*1.1</f>
        <v>28.1</v>
      </c>
    </row>
    <row r="188" spans="1:14" s="34" customFormat="1" ht="15.75" customHeight="1" x14ac:dyDescent="0.35">
      <c r="A188" s="139">
        <v>3</v>
      </c>
      <c r="B188" s="140"/>
      <c r="C188" s="39" t="s">
        <v>361</v>
      </c>
      <c r="D188" s="99">
        <f>(29.972)*(10.764)</f>
        <v>322.61860799999999</v>
      </c>
      <c r="E188" s="99">
        <f>(1.15*2.2+2.1+2.8)*(10.764)</f>
        <v>79.976519999999994</v>
      </c>
      <c r="F188" s="49">
        <f>D188+E188</f>
        <v>402.59512799999999</v>
      </c>
      <c r="G188" s="49">
        <v>0</v>
      </c>
      <c r="H188" s="49">
        <f>F188*(($H$167)+1)+(IF(G188&lt;101,G188,IF(G188&lt;201,G188/2,IF(G188&lt;=301,G188/3,G188/4))))</f>
        <v>583.76293559999999</v>
      </c>
      <c r="I188" s="33"/>
    </row>
    <row r="189" spans="1:14" s="34" customFormat="1" ht="15.75" customHeight="1" x14ac:dyDescent="0.35">
      <c r="A189" s="139">
        <v>4</v>
      </c>
      <c r="B189" s="140"/>
      <c r="C189" s="39" t="s">
        <v>359</v>
      </c>
      <c r="D189" s="99">
        <f>(42.59)*(10.764)</f>
        <v>458.43876</v>
      </c>
      <c r="E189" s="99">
        <f>(1.5*2.9+3.15+2.7)*(10.764)</f>
        <v>109.79279999999999</v>
      </c>
      <c r="F189" s="49">
        <f>D189+E189</f>
        <v>568.23155999999994</v>
      </c>
      <c r="G189" s="49">
        <v>0</v>
      </c>
      <c r="H189" s="49">
        <f>F189*(($H$167)+1)+(IF(G189&lt;101,G189,IF(G189&lt;201,G189/2,IF(G189&lt;=301,G189/3,G189/4))))</f>
        <v>823.93576199999984</v>
      </c>
      <c r="I189" s="33"/>
    </row>
    <row r="190" spans="1:14" s="94" customFormat="1" x14ac:dyDescent="0.35">
      <c r="A190" s="138" t="s">
        <v>407</v>
      </c>
      <c r="B190" s="138"/>
      <c r="C190" s="138"/>
      <c r="D190" s="138"/>
      <c r="E190" s="138"/>
      <c r="F190" s="138"/>
      <c r="G190" s="138"/>
      <c r="H190" s="138"/>
      <c r="J190" s="33"/>
    </row>
    <row r="191" spans="1:14" s="94" customFormat="1" x14ac:dyDescent="0.35">
      <c r="A191" s="138" t="s">
        <v>410</v>
      </c>
      <c r="B191" s="138"/>
      <c r="C191" s="138"/>
      <c r="D191" s="138"/>
      <c r="E191" s="138"/>
      <c r="F191" s="138"/>
      <c r="G191" s="138"/>
      <c r="H191" s="138"/>
      <c r="J191" s="33"/>
    </row>
    <row r="192" spans="1:14" s="94" customFormat="1" ht="15.75" customHeight="1" x14ac:dyDescent="0.35">
      <c r="A192" s="138" t="s">
        <v>402</v>
      </c>
      <c r="B192" s="138"/>
      <c r="C192" s="138"/>
      <c r="D192" s="138"/>
      <c r="E192" s="138"/>
      <c r="F192" s="138"/>
      <c r="G192" s="138"/>
      <c r="H192" s="138"/>
      <c r="I192" s="33"/>
      <c r="J192" s="94">
        <v>6000</v>
      </c>
    </row>
    <row r="193" spans="1:10" s="94" customFormat="1" ht="15.75" customHeight="1" x14ac:dyDescent="0.35">
      <c r="A193" s="137">
        <v>1</v>
      </c>
      <c r="B193" s="137"/>
      <c r="C193" s="129" t="s">
        <v>361</v>
      </c>
      <c r="D193" s="99">
        <f>(29.972)*(10.764)</f>
        <v>322.61860799999999</v>
      </c>
      <c r="E193" s="99">
        <f>(2.2*1.15+2.1+2.8)*(10.764)</f>
        <v>79.976519999999994</v>
      </c>
      <c r="F193" s="129">
        <f t="shared" ref="F193:F198" si="0">D193+E193</f>
        <v>402.59512799999999</v>
      </c>
      <c r="G193" s="129">
        <v>0</v>
      </c>
      <c r="H193" s="129">
        <f t="shared" ref="H193:H198" si="1">F193*(($H$167)+1)+(IF(G193&lt;101,G193,IF(G193&lt;201,G193/2,IF(G193&lt;=301,G193/3,G193/4))))</f>
        <v>583.76293559999999</v>
      </c>
      <c r="I193" s="33"/>
      <c r="J193" s="33">
        <f>J$192*H193</f>
        <v>3502577.6135999998</v>
      </c>
    </row>
    <row r="194" spans="1:10" s="94" customFormat="1" ht="15.75" customHeight="1" x14ac:dyDescent="0.35">
      <c r="A194" s="137">
        <v>2</v>
      </c>
      <c r="B194" s="137"/>
      <c r="C194" s="129" t="s">
        <v>361</v>
      </c>
      <c r="D194" s="99">
        <f>(29.972)*(10.764)</f>
        <v>322.61860799999999</v>
      </c>
      <c r="E194" s="99">
        <f>(2.2*1.15+2.1+2.8)*(10.764)</f>
        <v>79.976519999999994</v>
      </c>
      <c r="F194" s="129">
        <f t="shared" si="0"/>
        <v>402.59512799999999</v>
      </c>
      <c r="G194" s="129">
        <v>0</v>
      </c>
      <c r="H194" s="129">
        <f t="shared" si="1"/>
        <v>583.76293559999999</v>
      </c>
      <c r="I194" s="33"/>
      <c r="J194" s="33">
        <f t="shared" ref="J194:J221" si="2">J$192*H194</f>
        <v>3502577.6135999998</v>
      </c>
    </row>
    <row r="195" spans="1:10" s="94" customFormat="1" ht="15.75" customHeight="1" x14ac:dyDescent="0.35">
      <c r="A195" s="137">
        <v>3</v>
      </c>
      <c r="B195" s="137"/>
      <c r="C195" s="129" t="s">
        <v>361</v>
      </c>
      <c r="D195" s="99">
        <f>(29.972)*(10.764)</f>
        <v>322.61860799999999</v>
      </c>
      <c r="E195" s="99">
        <f>(2.2*1.15+2.1+2.8)*(10.764)</f>
        <v>79.976519999999994</v>
      </c>
      <c r="F195" s="129">
        <f t="shared" si="0"/>
        <v>402.59512799999999</v>
      </c>
      <c r="G195" s="129">
        <v>0</v>
      </c>
      <c r="H195" s="129">
        <f t="shared" si="1"/>
        <v>583.76293559999999</v>
      </c>
      <c r="I195" s="33"/>
      <c r="J195" s="33">
        <f t="shared" si="2"/>
        <v>3502577.6135999998</v>
      </c>
    </row>
    <row r="196" spans="1:10" s="94" customFormat="1" ht="15.75" customHeight="1" x14ac:dyDescent="0.35">
      <c r="A196" s="137">
        <v>4</v>
      </c>
      <c r="B196" s="137"/>
      <c r="C196" s="129" t="s">
        <v>361</v>
      </c>
      <c r="D196" s="99">
        <f>(30.093)*(10.764)</f>
        <v>323.92105199999997</v>
      </c>
      <c r="E196" s="99">
        <f>(2.2*1.95+2.1+2.8)*(10.764)</f>
        <v>98.921160000000015</v>
      </c>
      <c r="F196" s="129">
        <f t="shared" si="0"/>
        <v>422.84221200000002</v>
      </c>
      <c r="G196" s="129">
        <v>0</v>
      </c>
      <c r="H196" s="129">
        <f t="shared" si="1"/>
        <v>613.1212074</v>
      </c>
      <c r="I196" s="33"/>
      <c r="J196" s="33">
        <f t="shared" si="2"/>
        <v>3678727.2444000002</v>
      </c>
    </row>
    <row r="197" spans="1:10" s="94" customFormat="1" ht="15.75" customHeight="1" x14ac:dyDescent="0.35">
      <c r="A197" s="137">
        <v>5</v>
      </c>
      <c r="B197" s="137"/>
      <c r="C197" s="129" t="s">
        <v>362</v>
      </c>
      <c r="D197" s="99">
        <f>(37.778)*(10.764)</f>
        <v>406.64239199999997</v>
      </c>
      <c r="E197" s="99">
        <f>(2.2*1.95+2.8+2.1)*(10.764)</f>
        <v>98.921159999999986</v>
      </c>
      <c r="F197" s="129">
        <f t="shared" si="0"/>
        <v>505.56355199999996</v>
      </c>
      <c r="G197" s="129">
        <v>0</v>
      </c>
      <c r="H197" s="129">
        <f t="shared" si="1"/>
        <v>733.06715039999995</v>
      </c>
      <c r="I197" s="98">
        <f>3*4.45+2*2.1+2*2.8+2.9*2.5+1.1*(1.6+1.8)+1.1*1.1</f>
        <v>35.35</v>
      </c>
      <c r="J197" s="33">
        <f t="shared" si="2"/>
        <v>4398402.9024</v>
      </c>
    </row>
    <row r="198" spans="1:10" s="94" customFormat="1" ht="15.75" customHeight="1" x14ac:dyDescent="0.35">
      <c r="A198" s="137">
        <v>6</v>
      </c>
      <c r="B198" s="137"/>
      <c r="C198" s="129" t="s">
        <v>361</v>
      </c>
      <c r="D198" s="99">
        <f>(29.972)*(10.764)</f>
        <v>322.61860799999999</v>
      </c>
      <c r="E198" s="99">
        <f>(1.15*2.2+2.8+2.1)*(10.764)</f>
        <v>79.976519999999994</v>
      </c>
      <c r="F198" s="129">
        <f t="shared" si="0"/>
        <v>402.59512799999999</v>
      </c>
      <c r="G198" s="129">
        <v>0</v>
      </c>
      <c r="H198" s="129">
        <f t="shared" si="1"/>
        <v>583.76293559999999</v>
      </c>
      <c r="I198" s="98">
        <f>3*4.45+2*2.1+2*2.8+1.1*(1.6+1.8)+1.1*1.1</f>
        <v>28.1</v>
      </c>
      <c r="J198" s="33">
        <f t="shared" si="2"/>
        <v>3502577.6135999998</v>
      </c>
    </row>
    <row r="199" spans="1:10" s="94" customFormat="1" x14ac:dyDescent="0.35">
      <c r="A199" s="138" t="s">
        <v>408</v>
      </c>
      <c r="B199" s="138"/>
      <c r="C199" s="138"/>
      <c r="D199" s="138"/>
      <c r="E199" s="138"/>
      <c r="F199" s="138"/>
      <c r="G199" s="138"/>
      <c r="H199" s="138"/>
      <c r="J199" s="33">
        <f t="shared" si="2"/>
        <v>0</v>
      </c>
    </row>
    <row r="200" spans="1:10" s="94" customFormat="1" x14ac:dyDescent="0.35">
      <c r="A200" s="138" t="s">
        <v>401</v>
      </c>
      <c r="B200" s="138"/>
      <c r="C200" s="138"/>
      <c r="D200" s="138"/>
      <c r="E200" s="138"/>
      <c r="F200" s="138"/>
      <c r="G200" s="138"/>
      <c r="H200" s="138"/>
      <c r="J200" s="33">
        <f t="shared" si="2"/>
        <v>0</v>
      </c>
    </row>
    <row r="201" spans="1:10" s="94" customFormat="1" ht="15.75" customHeight="1" x14ac:dyDescent="0.35">
      <c r="A201" s="138" t="s">
        <v>402</v>
      </c>
      <c r="B201" s="138"/>
      <c r="C201" s="138"/>
      <c r="D201" s="138"/>
      <c r="E201" s="138"/>
      <c r="F201" s="138"/>
      <c r="G201" s="138"/>
      <c r="H201" s="138"/>
      <c r="I201" s="33"/>
      <c r="J201" s="33">
        <f t="shared" si="2"/>
        <v>0</v>
      </c>
    </row>
    <row r="202" spans="1:10" s="94" customFormat="1" ht="15.75" customHeight="1" x14ac:dyDescent="0.35">
      <c r="A202" s="137">
        <v>1</v>
      </c>
      <c r="B202" s="137"/>
      <c r="C202" s="129" t="s">
        <v>359</v>
      </c>
      <c r="D202" s="99">
        <f>(42.59)*(10.764)</f>
        <v>458.43876</v>
      </c>
      <c r="E202" s="99">
        <f>(1.5*2.9+3.15+2.7)*(10.764)</f>
        <v>109.79279999999999</v>
      </c>
      <c r="F202" s="129">
        <f>D202+E202</f>
        <v>568.23155999999994</v>
      </c>
      <c r="G202" s="129">
        <v>0</v>
      </c>
      <c r="H202" s="129">
        <f>F202*(($H$167)+1)+(IF(G202&lt;101,G202,IF(G202&lt;201,G202/2,IF(G202&lt;=301,G202/3,G202/4))))</f>
        <v>823.93576199999984</v>
      </c>
      <c r="I202" s="97">
        <f>4.8*2.9+2.35*2.7+2*(2.7+3.15)+1.1*(1.9+1.7)+5*1.1</f>
        <v>41.424999999999997</v>
      </c>
      <c r="J202" s="33">
        <f t="shared" si="2"/>
        <v>4943614.5719999988</v>
      </c>
    </row>
    <row r="203" spans="1:10" s="94" customFormat="1" ht="15.75" customHeight="1" x14ac:dyDescent="0.35">
      <c r="A203" s="137">
        <v>2</v>
      </c>
      <c r="B203" s="137"/>
      <c r="C203" s="129" t="s">
        <v>361</v>
      </c>
      <c r="D203" s="99">
        <f>(29.972)*(10.764)</f>
        <v>322.61860799999999</v>
      </c>
      <c r="E203" s="99">
        <f>(1.15*2.2+2.1+2.8)*(10.764)</f>
        <v>79.976519999999994</v>
      </c>
      <c r="F203" s="129">
        <f>D203+E203</f>
        <v>402.59512799999999</v>
      </c>
      <c r="G203" s="129">
        <v>0</v>
      </c>
      <c r="H203" s="129">
        <f>F203*(($H$167)+1)+(IF(G203&lt;101,G203,IF(G203&lt;201,G203/2,IF(G203&lt;=301,G203/3,G203/4))))</f>
        <v>583.76293559999999</v>
      </c>
      <c r="I203" s="97">
        <f>4.45*3+2*2.1+2*2.8+1.1*(1.6+1.8)+1.1*1.1</f>
        <v>28.1</v>
      </c>
      <c r="J203" s="33">
        <f t="shared" si="2"/>
        <v>3502577.6135999998</v>
      </c>
    </row>
    <row r="204" spans="1:10" s="94" customFormat="1" ht="15.75" customHeight="1" x14ac:dyDescent="0.35">
      <c r="A204" s="139">
        <v>3</v>
      </c>
      <c r="B204" s="140"/>
      <c r="C204" s="93" t="s">
        <v>361</v>
      </c>
      <c r="D204" s="99">
        <f>(29.972)*(10.764)</f>
        <v>322.61860799999999</v>
      </c>
      <c r="E204" s="99">
        <f>(1.15*2.2+2.1+2.8)*(10.764)</f>
        <v>79.976519999999994</v>
      </c>
      <c r="F204" s="93">
        <f>D204+E204</f>
        <v>402.59512799999999</v>
      </c>
      <c r="G204" s="93">
        <v>0</v>
      </c>
      <c r="H204" s="93">
        <f>F204*(($H$167)+1)+(IF(G204&lt;101,G204,IF(G204&lt;201,G204/2,IF(G204&lt;=301,G204/3,G204/4))))</f>
        <v>583.76293559999999</v>
      </c>
      <c r="I204" s="33"/>
      <c r="J204" s="33">
        <f t="shared" si="2"/>
        <v>3502577.6135999998</v>
      </c>
    </row>
    <row r="205" spans="1:10" s="94" customFormat="1" ht="15.75" customHeight="1" x14ac:dyDescent="0.35">
      <c r="A205" s="139">
        <v>4</v>
      </c>
      <c r="B205" s="140"/>
      <c r="C205" s="93" t="s">
        <v>359</v>
      </c>
      <c r="D205" s="99">
        <f>(42.59)*(10.764)</f>
        <v>458.43876</v>
      </c>
      <c r="E205" s="99">
        <f>(1.5*2.9+3.15+2.7)*(10.764)</f>
        <v>109.79279999999999</v>
      </c>
      <c r="F205" s="93">
        <f>D205+E205</f>
        <v>568.23155999999994</v>
      </c>
      <c r="G205" s="93">
        <v>0</v>
      </c>
      <c r="H205" s="93">
        <f>F205*(($H$167)+1)+(IF(G205&lt;101,G205,IF(G205&lt;201,G205/2,IF(G205&lt;=301,G205/3,G205/4))))</f>
        <v>823.93576199999984</v>
      </c>
      <c r="I205" s="33"/>
      <c r="J205" s="33">
        <f t="shared" si="2"/>
        <v>4943614.5719999988</v>
      </c>
    </row>
    <row r="206" spans="1:10" s="127" customFormat="1" ht="33" customHeight="1" x14ac:dyDescent="0.35">
      <c r="A206" s="141" t="s">
        <v>437</v>
      </c>
      <c r="B206" s="142"/>
      <c r="C206" s="142"/>
      <c r="D206" s="142"/>
      <c r="E206" s="142"/>
      <c r="F206" s="142"/>
      <c r="G206" s="142"/>
      <c r="H206" s="143"/>
      <c r="J206" s="33">
        <f t="shared" ref="J206" si="3">J$192*H206</f>
        <v>0</v>
      </c>
    </row>
    <row r="207" spans="1:10" s="95" customFormat="1" x14ac:dyDescent="0.35">
      <c r="A207" s="141" t="s">
        <v>406</v>
      </c>
      <c r="B207" s="142"/>
      <c r="C207" s="142"/>
      <c r="D207" s="142"/>
      <c r="E207" s="142"/>
      <c r="F207" s="142"/>
      <c r="G207" s="142"/>
      <c r="H207" s="143"/>
      <c r="J207" s="33">
        <f t="shared" si="2"/>
        <v>0</v>
      </c>
    </row>
    <row r="208" spans="1:10" s="94" customFormat="1" x14ac:dyDescent="0.35">
      <c r="A208" s="194" t="s">
        <v>401</v>
      </c>
      <c r="B208" s="195"/>
      <c r="C208" s="195"/>
      <c r="D208" s="195"/>
      <c r="E208" s="195"/>
      <c r="F208" s="195"/>
      <c r="G208" s="195"/>
      <c r="H208" s="196"/>
      <c r="J208" s="33">
        <f t="shared" si="2"/>
        <v>0</v>
      </c>
    </row>
    <row r="209" spans="1:10" s="34" customFormat="1" ht="15.75" customHeight="1" x14ac:dyDescent="0.35">
      <c r="A209" s="138" t="s">
        <v>402</v>
      </c>
      <c r="B209" s="138"/>
      <c r="C209" s="138"/>
      <c r="D209" s="138"/>
      <c r="E209" s="138"/>
      <c r="F209" s="138"/>
      <c r="G209" s="138"/>
      <c r="H209" s="138"/>
      <c r="I209" s="33"/>
      <c r="J209" s="33">
        <f t="shared" si="2"/>
        <v>0</v>
      </c>
    </row>
    <row r="210" spans="1:10" s="34" customFormat="1" ht="15.75" customHeight="1" x14ac:dyDescent="0.35">
      <c r="A210" s="139">
        <v>1</v>
      </c>
      <c r="B210" s="140"/>
      <c r="C210" s="39" t="s">
        <v>361</v>
      </c>
      <c r="D210" s="99">
        <f>(32.165)*(10.764)</f>
        <v>346.22405999999995</v>
      </c>
      <c r="E210" s="99">
        <f>(2.8+2.1)*(10.764)</f>
        <v>52.743600000000001</v>
      </c>
      <c r="F210" s="49">
        <f>D210+E210</f>
        <v>398.96765999999997</v>
      </c>
      <c r="G210" s="49">
        <v>0</v>
      </c>
      <c r="H210" s="49">
        <f>F210*(($H$167)+1)+(IF(G210&lt;101,G210,IF(G210&lt;201,G210/2,IF(G210&lt;=301,G210/3,G210/4))))</f>
        <v>578.50310699999989</v>
      </c>
      <c r="I210" s="98">
        <f>2.8*4.8+2.1*2+2.7*2.85+1*(1.2+1.5)+2.35+0.5</f>
        <v>30.885000000000002</v>
      </c>
      <c r="J210" s="33">
        <f t="shared" si="2"/>
        <v>3471018.6419999995</v>
      </c>
    </row>
    <row r="211" spans="1:10" s="34" customFormat="1" ht="15.75" customHeight="1" x14ac:dyDescent="0.35">
      <c r="A211" s="139">
        <v>2</v>
      </c>
      <c r="B211" s="140"/>
      <c r="C211" s="96" t="s">
        <v>361</v>
      </c>
      <c r="D211" s="99">
        <f>(30.233)*(10.764)</f>
        <v>325.42801199999997</v>
      </c>
      <c r="E211" s="99">
        <f>(2.8)*(10.764)</f>
        <v>30.139199999999995</v>
      </c>
      <c r="F211" s="49">
        <f>D211+E211</f>
        <v>355.56721199999998</v>
      </c>
      <c r="G211" s="49">
        <v>0</v>
      </c>
      <c r="H211" s="49">
        <f>F211*(($H$167)+1)+(IF(G211&lt;101,G211,IF(G211&lt;201,G211/2,IF(G211&lt;=301,G211/3,G211/4))))</f>
        <v>515.57245739999996</v>
      </c>
      <c r="I211" s="98">
        <f>2.8*3.8+2.1*2.35+2.7*2.85+1*(1.2+1.5)+2.35+0.5</f>
        <v>28.82</v>
      </c>
      <c r="J211" s="33">
        <f t="shared" si="2"/>
        <v>3093434.7443999997</v>
      </c>
    </row>
    <row r="212" spans="1:10" s="34" customFormat="1" ht="15.75" customHeight="1" x14ac:dyDescent="0.35">
      <c r="A212" s="139">
        <v>3</v>
      </c>
      <c r="B212" s="140"/>
      <c r="C212" s="96" t="s">
        <v>361</v>
      </c>
      <c r="D212" s="99">
        <f>(30.218)*(10.764)</f>
        <v>325.26655199999999</v>
      </c>
      <c r="E212" s="99">
        <f>(2.8)*(10.764)</f>
        <v>30.139199999999995</v>
      </c>
      <c r="F212" s="49">
        <f>D212+E212</f>
        <v>355.40575200000001</v>
      </c>
      <c r="G212" s="49">
        <v>0</v>
      </c>
      <c r="H212" s="49">
        <f>F212*(($H$167)+1)+(IF(G212&lt;101,G212,IF(G212&lt;201,G212/2,IF(G212&lt;=301,G212/3,G212/4))))</f>
        <v>515.33834039999999</v>
      </c>
      <c r="I212" s="98"/>
      <c r="J212" s="33">
        <f t="shared" si="2"/>
        <v>3092030.0424000002</v>
      </c>
    </row>
    <row r="213" spans="1:10" s="34" customFormat="1" ht="15.75" customHeight="1" x14ac:dyDescent="0.35">
      <c r="A213" s="139">
        <v>4</v>
      </c>
      <c r="B213" s="140"/>
      <c r="C213" s="96" t="s">
        <v>361</v>
      </c>
      <c r="D213" s="99">
        <f>(27.74)*(10.764)</f>
        <v>298.59335999999996</v>
      </c>
      <c r="E213" s="99">
        <f>(2.8+2.1+2.8+2.1)*(10.764)</f>
        <v>105.4872</v>
      </c>
      <c r="F213" s="49">
        <f>D213+E213</f>
        <v>404.08055999999999</v>
      </c>
      <c r="G213" s="49">
        <v>0</v>
      </c>
      <c r="H213" s="49">
        <f>F213*(($H$167)+1)+(IF(G213&lt;101,G213,IF(G213&lt;201,G213/2,IF(G213&lt;=301,G213/3,G213/4))))</f>
        <v>585.91681199999994</v>
      </c>
      <c r="I213" s="98"/>
      <c r="J213" s="33">
        <f t="shared" si="2"/>
        <v>3515500.8719999995</v>
      </c>
    </row>
    <row r="214" spans="1:10" s="95" customFormat="1" x14ac:dyDescent="0.35">
      <c r="A214" s="141" t="s">
        <v>407</v>
      </c>
      <c r="B214" s="142"/>
      <c r="C214" s="142"/>
      <c r="D214" s="142"/>
      <c r="E214" s="142"/>
      <c r="F214" s="142"/>
      <c r="G214" s="142"/>
      <c r="H214" s="143"/>
      <c r="J214" s="33">
        <f t="shared" si="2"/>
        <v>0</v>
      </c>
    </row>
    <row r="215" spans="1:10" s="95" customFormat="1" x14ac:dyDescent="0.35">
      <c r="A215" s="194" t="s">
        <v>401</v>
      </c>
      <c r="B215" s="195"/>
      <c r="C215" s="195"/>
      <c r="D215" s="195"/>
      <c r="E215" s="195"/>
      <c r="F215" s="195"/>
      <c r="G215" s="195"/>
      <c r="H215" s="196"/>
      <c r="J215" s="33">
        <f t="shared" si="2"/>
        <v>0</v>
      </c>
    </row>
    <row r="216" spans="1:10" s="95" customFormat="1" ht="15.75" customHeight="1" x14ac:dyDescent="0.35">
      <c r="A216" s="138" t="s">
        <v>402</v>
      </c>
      <c r="B216" s="138"/>
      <c r="C216" s="138"/>
      <c r="D216" s="138"/>
      <c r="E216" s="138"/>
      <c r="F216" s="138"/>
      <c r="G216" s="138"/>
      <c r="H216" s="138"/>
      <c r="I216" s="33"/>
      <c r="J216" s="33">
        <f t="shared" si="2"/>
        <v>0</v>
      </c>
    </row>
    <row r="217" spans="1:10" s="95" customFormat="1" ht="15.75" customHeight="1" x14ac:dyDescent="0.35">
      <c r="A217" s="139">
        <v>1</v>
      </c>
      <c r="B217" s="140"/>
      <c r="C217" s="96" t="s">
        <v>361</v>
      </c>
      <c r="D217" s="99">
        <f>(29.57)*(10.764)</f>
        <v>318.29147999999998</v>
      </c>
      <c r="E217" s="99">
        <f>(2.8+2.7+2)*(10.764)</f>
        <v>80.72999999999999</v>
      </c>
      <c r="F217" s="96">
        <f>D217+E217</f>
        <v>399.02148</v>
      </c>
      <c r="G217" s="96">
        <v>0</v>
      </c>
      <c r="H217" s="96">
        <f>F217*(($H$167)+1)+(IF(G217&lt;101,G217,IF(G217&lt;201,G217/2,IF(G217&lt;=301,G217/3,G217/4))))</f>
        <v>578.58114599999999</v>
      </c>
      <c r="I217" s="98">
        <f>2.8*4.8+2*2+2.7*2+1*(1.2+1.5)+0.5+2.35</f>
        <v>28.389999999999997</v>
      </c>
      <c r="J217" s="33">
        <f t="shared" si="2"/>
        <v>3471486.8760000002</v>
      </c>
    </row>
    <row r="218" spans="1:10" s="95" customFormat="1" ht="15.75" customHeight="1" x14ac:dyDescent="0.35">
      <c r="A218" s="139">
        <v>2</v>
      </c>
      <c r="B218" s="140"/>
      <c r="C218" s="96" t="s">
        <v>359</v>
      </c>
      <c r="D218" s="99">
        <f>(43.065)*(10.764)</f>
        <v>463.55165999999997</v>
      </c>
      <c r="E218" s="99">
        <f>(2.8+2.9+2.1)*(10.764)</f>
        <v>83.959199999999981</v>
      </c>
      <c r="F218" s="96">
        <f>D218+E218</f>
        <v>547.51085999999998</v>
      </c>
      <c r="G218" s="96">
        <v>0</v>
      </c>
      <c r="H218" s="96">
        <f>F218*(($H$167)+1)+(IF(G218&lt;101,G218,IF(G218&lt;201,G218/2,IF(G218&lt;=301,G218/3,G218/4))))</f>
        <v>793.89074699999992</v>
      </c>
      <c r="I218" s="98">
        <f>2.8*4.8+2*2.1+2.7*2.7+2.85*2.9+1.1*(2+1.85)+1.1*0.8+2.4</f>
        <v>40.71</v>
      </c>
      <c r="J218" s="33">
        <f t="shared" si="2"/>
        <v>4763344.4819999998</v>
      </c>
    </row>
    <row r="219" spans="1:10" s="95" customFormat="1" ht="15.75" customHeight="1" x14ac:dyDescent="0.35">
      <c r="A219" s="139">
        <v>3</v>
      </c>
      <c r="B219" s="140"/>
      <c r="C219" s="96" t="s">
        <v>363</v>
      </c>
      <c r="D219" s="99">
        <f>(22.79)*(10.764)</f>
        <v>245.31155999999999</v>
      </c>
      <c r="E219" s="99">
        <f>0*(10.764)</f>
        <v>0</v>
      </c>
      <c r="F219" s="96">
        <f>D219+E219</f>
        <v>245.31155999999999</v>
      </c>
      <c r="G219" s="96">
        <v>0</v>
      </c>
      <c r="H219" s="96">
        <f>F219*(($H$167)+1)+(IF(G219&lt;101,G219,IF(G219&lt;201,G219/2,IF(G219&lt;=301,G219/3,G219/4))))</f>
        <v>355.70176199999997</v>
      </c>
      <c r="I219" s="98">
        <f>2.8*4.8+2*2.25+1*(1.2+1.35)+1.35</f>
        <v>21.84</v>
      </c>
      <c r="J219" s="33">
        <f t="shared" si="2"/>
        <v>2134210.5719999997</v>
      </c>
    </row>
    <row r="220" spans="1:10" s="95" customFormat="1" ht="15.75" customHeight="1" x14ac:dyDescent="0.35">
      <c r="A220" s="139">
        <v>4</v>
      </c>
      <c r="B220" s="140"/>
      <c r="C220" s="96" t="s">
        <v>363</v>
      </c>
      <c r="D220" s="99">
        <f>(22.79)*(10.764)</f>
        <v>245.31155999999999</v>
      </c>
      <c r="E220" s="99">
        <f>0*(10.764)</f>
        <v>0</v>
      </c>
      <c r="F220" s="96">
        <f>D220+E220</f>
        <v>245.31155999999999</v>
      </c>
      <c r="G220" s="96">
        <v>0</v>
      </c>
      <c r="H220" s="96">
        <f>F220*(($H$167)+1)+(IF(G220&lt;101,G220,IF(G220&lt;201,G220/2,IF(G220&lt;=301,G220/3,G220/4))))</f>
        <v>355.70176199999997</v>
      </c>
      <c r="I220" s="98"/>
      <c r="J220" s="33">
        <f t="shared" si="2"/>
        <v>2134210.5719999997</v>
      </c>
    </row>
    <row r="221" spans="1:10" s="95" customFormat="1" x14ac:dyDescent="0.35">
      <c r="A221" s="141" t="s">
        <v>408</v>
      </c>
      <c r="B221" s="142"/>
      <c r="C221" s="142"/>
      <c r="D221" s="142"/>
      <c r="E221" s="142"/>
      <c r="F221" s="142"/>
      <c r="G221" s="142"/>
      <c r="H221" s="143"/>
      <c r="J221" s="33">
        <f t="shared" si="2"/>
        <v>0</v>
      </c>
    </row>
    <row r="222" spans="1:10" s="95" customFormat="1" x14ac:dyDescent="0.35">
      <c r="A222" s="194" t="s">
        <v>401</v>
      </c>
      <c r="B222" s="195"/>
      <c r="C222" s="195"/>
      <c r="D222" s="195"/>
      <c r="E222" s="195"/>
      <c r="F222" s="195"/>
      <c r="G222" s="195"/>
      <c r="H222" s="196"/>
      <c r="J222" s="33"/>
    </row>
    <row r="223" spans="1:10" s="95" customFormat="1" ht="15.75" customHeight="1" x14ac:dyDescent="0.35">
      <c r="A223" s="138" t="s">
        <v>402</v>
      </c>
      <c r="B223" s="138"/>
      <c r="C223" s="138"/>
      <c r="D223" s="138"/>
      <c r="E223" s="138"/>
      <c r="F223" s="138"/>
      <c r="G223" s="138"/>
      <c r="H223" s="138"/>
      <c r="I223" s="33"/>
    </row>
    <row r="224" spans="1:10" s="95" customFormat="1" ht="15.75" customHeight="1" x14ac:dyDescent="0.35">
      <c r="A224" s="139">
        <v>1</v>
      </c>
      <c r="B224" s="140"/>
      <c r="C224" s="96" t="s">
        <v>363</v>
      </c>
      <c r="D224" s="99">
        <f>(22.79)*(10.764)</f>
        <v>245.31155999999999</v>
      </c>
      <c r="E224" s="99">
        <f>0*(10.764)</f>
        <v>0</v>
      </c>
      <c r="F224" s="96">
        <f>D224+E224</f>
        <v>245.31155999999999</v>
      </c>
      <c r="G224" s="96">
        <v>0</v>
      </c>
      <c r="H224" s="96">
        <f>F224*(($H$167)+1)+(IF(G224&lt;101,G224,IF(G224&lt;201,G224/2,IF(G224&lt;=301,G224/3,G224/4))))</f>
        <v>355.70176199999997</v>
      </c>
      <c r="I224" s="98">
        <f>2.8*4.8+2*2.25+1*(1.2+1.35)+1.35</f>
        <v>21.84</v>
      </c>
    </row>
    <row r="225" spans="1:20" s="95" customFormat="1" ht="15.75" customHeight="1" x14ac:dyDescent="0.35">
      <c r="A225" s="139">
        <v>2</v>
      </c>
      <c r="B225" s="140"/>
      <c r="C225" s="96" t="s">
        <v>363</v>
      </c>
      <c r="D225" s="99">
        <f>(22.79)*(10.764)</f>
        <v>245.31155999999999</v>
      </c>
      <c r="E225" s="99">
        <f>0*(10.764)</f>
        <v>0</v>
      </c>
      <c r="F225" s="96">
        <f>D225+E225</f>
        <v>245.31155999999999</v>
      </c>
      <c r="G225" s="96">
        <v>0</v>
      </c>
      <c r="H225" s="96">
        <f>F225*(($H$167)+1)+(IF(G225&lt;101,G225,IF(G225&lt;201,G225/2,IF(G225&lt;=301,G225/3,G225/4))))</f>
        <v>355.70176199999997</v>
      </c>
      <c r="I225" s="98"/>
    </row>
    <row r="226" spans="1:20" s="95" customFormat="1" ht="15.75" customHeight="1" x14ac:dyDescent="0.35">
      <c r="A226" s="139">
        <v>3</v>
      </c>
      <c r="B226" s="140"/>
      <c r="C226" s="96" t="s">
        <v>359</v>
      </c>
      <c r="D226" s="99">
        <f>(43.065)*(10.764)</f>
        <v>463.55165999999997</v>
      </c>
      <c r="E226" s="99">
        <f>(2.9+2.8+2.1)*(10.764)</f>
        <v>83.959199999999981</v>
      </c>
      <c r="F226" s="96">
        <f>D226+E226</f>
        <v>547.51085999999998</v>
      </c>
      <c r="G226" s="96">
        <v>0</v>
      </c>
      <c r="H226" s="96">
        <f>F226*(($H$167)+1)+(IF(G226&lt;101,G226,IF(G226&lt;201,G226/2,IF(G226&lt;=301,G226/3,G226/4))))</f>
        <v>793.89074699999992</v>
      </c>
      <c r="I226" s="98">
        <f>2.8*4.8+2*2.1+2.7*2.7+2.85*2.9+1.1*(2+1.85)+1.1*0.8+2.4</f>
        <v>40.71</v>
      </c>
    </row>
    <row r="227" spans="1:20" s="95" customFormat="1" ht="15.75" customHeight="1" x14ac:dyDescent="0.35">
      <c r="A227" s="139">
        <v>4</v>
      </c>
      <c r="B227" s="140"/>
      <c r="C227" s="96" t="s">
        <v>361</v>
      </c>
      <c r="D227" s="99">
        <f>(31.865)*(10.764)</f>
        <v>342.99485999999996</v>
      </c>
      <c r="E227" s="99">
        <f>(2.8+2)*(10.764)</f>
        <v>51.667199999999994</v>
      </c>
      <c r="F227" s="96">
        <f>D227+E227</f>
        <v>394.66205999999994</v>
      </c>
      <c r="G227" s="96">
        <v>0</v>
      </c>
      <c r="H227" s="96">
        <f>F227*(($H$167)+1)+(IF(G227&lt;101,G227,IF(G227&lt;201,G227/2,IF(G227&lt;=301,G227/3,G227/4))))</f>
        <v>572.25998699999991</v>
      </c>
      <c r="I227" s="98">
        <f>2.8*4.8+2*2+2.85*2.7+1*(1.2+1.5)+0.5+2.35</f>
        <v>30.684999999999999</v>
      </c>
    </row>
    <row r="228" spans="1:20" s="95" customFormat="1" x14ac:dyDescent="0.35">
      <c r="A228" s="141" t="s">
        <v>409</v>
      </c>
      <c r="B228" s="142"/>
      <c r="C228" s="142"/>
      <c r="D228" s="142"/>
      <c r="E228" s="142"/>
      <c r="F228" s="142"/>
      <c r="G228" s="142"/>
      <c r="H228" s="143"/>
      <c r="J228" s="33"/>
    </row>
    <row r="229" spans="1:20" s="95" customFormat="1" x14ac:dyDescent="0.35">
      <c r="A229" s="270" t="s">
        <v>401</v>
      </c>
      <c r="B229" s="270"/>
      <c r="C229" s="270"/>
      <c r="D229" s="270"/>
      <c r="E229" s="270"/>
      <c r="F229" s="270"/>
      <c r="G229" s="270"/>
      <c r="H229" s="270"/>
      <c r="J229" s="33"/>
    </row>
    <row r="230" spans="1:20" s="95" customFormat="1" ht="15.75" customHeight="1" x14ac:dyDescent="0.35">
      <c r="A230" s="138" t="s">
        <v>402</v>
      </c>
      <c r="B230" s="138"/>
      <c r="C230" s="138"/>
      <c r="D230" s="138"/>
      <c r="E230" s="138"/>
      <c r="F230" s="138"/>
      <c r="G230" s="138"/>
      <c r="H230" s="138"/>
      <c r="I230" s="33"/>
    </row>
    <row r="231" spans="1:20" s="95" customFormat="1" ht="15.75" customHeight="1" x14ac:dyDescent="0.35">
      <c r="A231" s="137">
        <v>1</v>
      </c>
      <c r="B231" s="137"/>
      <c r="C231" s="129" t="s">
        <v>361</v>
      </c>
      <c r="D231" s="99">
        <f>(25.275)*(10.764)</f>
        <v>272.06009999999998</v>
      </c>
      <c r="E231" s="99">
        <f>(2.8+2.1+2.8+2.1+2.9)*(10.764)</f>
        <v>136.7028</v>
      </c>
      <c r="F231" s="129">
        <f>D231+E231</f>
        <v>408.76289999999995</v>
      </c>
      <c r="G231" s="129">
        <v>0</v>
      </c>
      <c r="H231" s="129">
        <f>F231*(($H$167)+1)+(IF(G231&lt;101,G231,IF(G231&lt;201,G231/2,IF(G231&lt;=301,G231/3,G231/4))))</f>
        <v>592.70620499999995</v>
      </c>
      <c r="I231" s="98">
        <f>2.8*3.95+2.1*2+2.9*2+1*(1.2+1.5)+0.4</f>
        <v>24.16</v>
      </c>
    </row>
    <row r="232" spans="1:20" s="95" customFormat="1" ht="15.75" customHeight="1" x14ac:dyDescent="0.35">
      <c r="A232" s="137">
        <v>2</v>
      </c>
      <c r="B232" s="137"/>
      <c r="C232" s="129" t="s">
        <v>361</v>
      </c>
      <c r="D232" s="99">
        <f>(30.218)*(10.764)</f>
        <v>325.26655199999999</v>
      </c>
      <c r="E232" s="99">
        <f>(2.8)*(10.764)</f>
        <v>30.139199999999995</v>
      </c>
      <c r="F232" s="129">
        <f>D232+E232</f>
        <v>355.40575200000001</v>
      </c>
      <c r="G232" s="129">
        <v>0</v>
      </c>
      <c r="H232" s="129">
        <f>F232*(($H$167)+1)+(IF(G232&lt;101,G232,IF(G232&lt;201,G232/2,IF(G232&lt;=301,G232/3,G232/4))))</f>
        <v>515.33834039999999</v>
      </c>
      <c r="I232" s="98">
        <f>2.8*3.8+2.1*2.35+2.85*2.7+1*(1.2+1.5)+2.3</f>
        <v>28.27</v>
      </c>
    </row>
    <row r="233" spans="1:20" s="95" customFormat="1" ht="15.75" customHeight="1" x14ac:dyDescent="0.35">
      <c r="A233" s="137">
        <v>3</v>
      </c>
      <c r="B233" s="137"/>
      <c r="C233" s="129" t="s">
        <v>361</v>
      </c>
      <c r="D233" s="99">
        <f>(30.233)*(10.764)</f>
        <v>325.42801199999997</v>
      </c>
      <c r="E233" s="99">
        <f>(2.8)*(10.764)</f>
        <v>30.139199999999995</v>
      </c>
      <c r="F233" s="129">
        <f>D233+E233</f>
        <v>355.56721199999998</v>
      </c>
      <c r="G233" s="129">
        <v>0</v>
      </c>
      <c r="H233" s="129">
        <f>F233*(($H$167)+1)+(IF(G233&lt;101,G233,IF(G233&lt;201,G233/2,IF(G233&lt;=301,G233/3,G233/4))))</f>
        <v>515.57245739999996</v>
      </c>
      <c r="I233" s="98"/>
    </row>
    <row r="234" spans="1:20" s="95" customFormat="1" ht="15.75" customHeight="1" x14ac:dyDescent="0.35">
      <c r="A234" s="137">
        <v>4</v>
      </c>
      <c r="B234" s="137"/>
      <c r="C234" s="129" t="s">
        <v>361</v>
      </c>
      <c r="D234" s="99">
        <f>(24.785)*(10.764)</f>
        <v>266.78573999999998</v>
      </c>
      <c r="E234" s="99">
        <f>(2.8+2.1+2.7+2.1+2.8)*(10.764)</f>
        <v>134.54999999999998</v>
      </c>
      <c r="F234" s="129">
        <f>D234+E234</f>
        <v>401.33573999999999</v>
      </c>
      <c r="G234" s="129">
        <v>0</v>
      </c>
      <c r="H234" s="129">
        <f>F234*(($H$167)+1)+(IF(G234&lt;101,G234,IF(G234&lt;201,G234/2,IF(G234&lt;=301,G234/3,G234/4))))</f>
        <v>581.936823</v>
      </c>
      <c r="I234" s="98">
        <f>2.8*3.95+2.1*2+2.7*2+1*(1.2+1.5)+0.4</f>
        <v>23.76</v>
      </c>
    </row>
    <row r="235" spans="1:20" s="32" customFormat="1" x14ac:dyDescent="0.35">
      <c r="A235" s="193" t="s">
        <v>64</v>
      </c>
      <c r="B235" s="193"/>
      <c r="C235" s="193"/>
      <c r="D235" s="193"/>
      <c r="E235" s="193"/>
      <c r="F235" s="193"/>
      <c r="G235" s="193"/>
      <c r="H235" s="193"/>
      <c r="T235" s="34"/>
    </row>
    <row r="236" spans="1:20" s="32" customFormat="1" ht="15.75" hidden="1" customHeight="1" x14ac:dyDescent="0.35">
      <c r="A236" s="199" t="s">
        <v>145</v>
      </c>
      <c r="B236" s="144" t="s">
        <v>434</v>
      </c>
      <c r="C236" s="144"/>
      <c r="D236" s="144"/>
      <c r="E236" s="144"/>
      <c r="F236" s="144"/>
      <c r="G236" s="144"/>
      <c r="H236" s="144"/>
      <c r="I236" s="128"/>
      <c r="J236" s="128"/>
      <c r="K236" s="128"/>
      <c r="L236" s="128"/>
      <c r="T236" s="127"/>
    </row>
    <row r="237" spans="1:20" s="32" customFormat="1" ht="15.75" hidden="1" customHeight="1" x14ac:dyDescent="0.35">
      <c r="A237" s="199"/>
      <c r="B237" s="144" t="s">
        <v>426</v>
      </c>
      <c r="C237" s="144"/>
      <c r="D237" s="144" t="s">
        <v>433</v>
      </c>
      <c r="E237" s="144"/>
      <c r="F237" s="211" t="s">
        <v>438</v>
      </c>
      <c r="G237" s="211"/>
      <c r="H237" s="211"/>
      <c r="I237" s="128"/>
      <c r="J237" s="128"/>
      <c r="K237" s="128"/>
      <c r="L237" s="128"/>
      <c r="T237" s="127"/>
    </row>
    <row r="238" spans="1:20" s="32" customFormat="1" ht="15.75" hidden="1" customHeight="1" x14ac:dyDescent="0.35">
      <c r="A238" s="199"/>
      <c r="B238" s="288" t="s">
        <v>403</v>
      </c>
      <c r="C238" s="288"/>
      <c r="D238" s="288" t="s">
        <v>403</v>
      </c>
      <c r="E238" s="288"/>
      <c r="F238" s="211"/>
      <c r="G238" s="211"/>
      <c r="H238" s="211"/>
      <c r="I238" s="128"/>
      <c r="J238" s="289"/>
      <c r="K238" s="289"/>
      <c r="L238" s="128"/>
      <c r="T238" s="127"/>
    </row>
    <row r="239" spans="1:20" s="32" customFormat="1" ht="15.75" hidden="1" customHeight="1" x14ac:dyDescent="0.35">
      <c r="A239" s="199"/>
      <c r="B239" s="288" t="s">
        <v>428</v>
      </c>
      <c r="C239" s="288"/>
      <c r="D239" s="288" t="s">
        <v>431</v>
      </c>
      <c r="E239" s="288"/>
      <c r="F239" s="211"/>
      <c r="G239" s="211"/>
      <c r="H239" s="211"/>
      <c r="I239" s="128"/>
      <c r="J239" s="289"/>
      <c r="K239" s="289"/>
      <c r="L239" s="128"/>
      <c r="T239" s="127"/>
    </row>
    <row r="240" spans="1:20" s="32" customFormat="1" ht="30" hidden="1" customHeight="1" x14ac:dyDescent="0.35">
      <c r="A240" s="199"/>
      <c r="B240" s="288" t="s">
        <v>429</v>
      </c>
      <c r="C240" s="288"/>
      <c r="D240" s="288" t="s">
        <v>432</v>
      </c>
      <c r="E240" s="288"/>
      <c r="F240" s="211"/>
      <c r="G240" s="211"/>
      <c r="H240" s="211"/>
      <c r="I240" s="128"/>
      <c r="J240" s="290"/>
      <c r="K240" s="290"/>
      <c r="L240" s="128"/>
      <c r="T240" s="127"/>
    </row>
    <row r="241" spans="1:20" s="32" customFormat="1" hidden="1" x14ac:dyDescent="0.35">
      <c r="A241" s="199"/>
      <c r="B241" s="288" t="s">
        <v>405</v>
      </c>
      <c r="C241" s="288"/>
      <c r="D241" s="288" t="s">
        <v>430</v>
      </c>
      <c r="E241" s="288"/>
      <c r="F241" s="144" t="s">
        <v>439</v>
      </c>
      <c r="G241" s="144"/>
      <c r="H241" s="144"/>
      <c r="I241" s="128"/>
      <c r="J241" s="290"/>
      <c r="K241" s="290"/>
      <c r="L241" s="128"/>
      <c r="T241" s="127"/>
    </row>
    <row r="242" spans="1:20" s="32" customFormat="1" ht="47.5" customHeight="1" x14ac:dyDescent="0.35">
      <c r="A242" s="130" t="s">
        <v>145</v>
      </c>
      <c r="B242" s="204" t="s">
        <v>441</v>
      </c>
      <c r="C242" s="204"/>
      <c r="D242" s="204"/>
      <c r="E242" s="204"/>
      <c r="F242" s="204"/>
      <c r="G242" s="204"/>
      <c r="H242" s="204"/>
      <c r="I242" s="128"/>
      <c r="J242" s="128"/>
      <c r="K242" s="128"/>
      <c r="L242" s="128"/>
      <c r="T242" s="34"/>
    </row>
    <row r="243" spans="1:20" s="32" customFormat="1" x14ac:dyDescent="0.35">
      <c r="A243" s="130" t="s">
        <v>145</v>
      </c>
      <c r="B243" s="204" t="str">
        <f>(IF(H166="Saleable area Loading :","We have considered Saleable area of Flats as per our Calculation.","We considered Saleable area of Flat as per Builder area Sheet."))</f>
        <v>We have considered Saleable area of Flats as per our Calculation.</v>
      </c>
      <c r="C243" s="204"/>
      <c r="D243" s="204"/>
      <c r="E243" s="204"/>
      <c r="F243" s="204"/>
      <c r="G243" s="204"/>
      <c r="H243" s="204"/>
      <c r="T243" s="34"/>
    </row>
    <row r="244" spans="1:20" s="32" customFormat="1" x14ac:dyDescent="0.35">
      <c r="A244" s="130" t="s">
        <v>145</v>
      </c>
      <c r="B244" s="205" t="s">
        <v>115</v>
      </c>
      <c r="C244" s="205"/>
      <c r="D244" s="205"/>
      <c r="E244" s="205"/>
      <c r="F244" s="205"/>
      <c r="G244" s="205"/>
      <c r="H244" s="205"/>
      <c r="T244" s="34"/>
    </row>
    <row r="245" spans="1:20" s="32" customFormat="1" x14ac:dyDescent="0.35">
      <c r="A245" s="130" t="s">
        <v>145</v>
      </c>
      <c r="B245" s="204" t="s">
        <v>377</v>
      </c>
      <c r="C245" s="204"/>
      <c r="D245" s="204"/>
      <c r="E245" s="204"/>
      <c r="F245" s="204"/>
      <c r="G245" s="204"/>
      <c r="H245" s="204"/>
      <c r="I245" s="101"/>
      <c r="T245" s="34"/>
    </row>
    <row r="246" spans="1:20" s="32" customFormat="1" x14ac:dyDescent="0.35">
      <c r="A246" s="130" t="s">
        <v>145</v>
      </c>
      <c r="B246" s="205" t="s">
        <v>144</v>
      </c>
      <c r="C246" s="205"/>
      <c r="D246" s="205"/>
      <c r="E246" s="205"/>
      <c r="F246" s="205"/>
      <c r="G246" s="205"/>
      <c r="H246" s="205"/>
    </row>
    <row r="247" spans="1:20" s="32" customFormat="1" x14ac:dyDescent="0.35">
      <c r="A247" s="41" t="s">
        <v>145</v>
      </c>
      <c r="B247" s="133" t="s">
        <v>116</v>
      </c>
      <c r="C247" s="134"/>
      <c r="D247" s="134"/>
      <c r="E247" s="134"/>
      <c r="F247" s="134"/>
      <c r="G247" s="134"/>
      <c r="H247" s="135"/>
    </row>
    <row r="248" spans="1:20" s="32" customFormat="1" ht="34.5" customHeight="1" x14ac:dyDescent="0.35">
      <c r="A248" s="41" t="s">
        <v>145</v>
      </c>
      <c r="B248" s="201" t="s">
        <v>146</v>
      </c>
      <c r="C248" s="202"/>
      <c r="D248" s="202"/>
      <c r="E248" s="202"/>
      <c r="F248" s="202"/>
      <c r="G248" s="202"/>
      <c r="H248" s="203"/>
    </row>
    <row r="249" spans="1:20" s="32" customFormat="1" ht="17.25" customHeight="1" x14ac:dyDescent="0.35">
      <c r="A249" s="126" t="s">
        <v>145</v>
      </c>
      <c r="B249" s="133" t="s">
        <v>117</v>
      </c>
      <c r="C249" s="134"/>
      <c r="D249" s="134"/>
      <c r="E249" s="134"/>
      <c r="F249" s="134"/>
      <c r="G249" s="134"/>
      <c r="H249" s="135"/>
    </row>
    <row r="250" spans="1:20" s="32" customFormat="1" ht="17.25" customHeight="1" x14ac:dyDescent="0.35">
      <c r="A250" s="125" t="s">
        <v>145</v>
      </c>
      <c r="B250" s="133" t="s">
        <v>440</v>
      </c>
      <c r="C250" s="134"/>
      <c r="D250" s="134"/>
      <c r="E250" s="134"/>
      <c r="F250" s="134"/>
      <c r="G250" s="134"/>
      <c r="H250" s="135"/>
    </row>
    <row r="251" spans="1:20" s="32" customFormat="1" ht="38.25" hidden="1" customHeight="1" x14ac:dyDescent="0.35">
      <c r="A251" s="50" t="s">
        <v>145</v>
      </c>
      <c r="B251" s="190" t="s">
        <v>336</v>
      </c>
      <c r="C251" s="191"/>
      <c r="D251" s="191"/>
      <c r="E251" s="191"/>
      <c r="F251" s="191"/>
      <c r="G251" s="191"/>
      <c r="H251" s="192"/>
    </row>
    <row r="252" spans="1:20" s="32" customFormat="1" hidden="1" x14ac:dyDescent="0.35">
      <c r="A252" s="76" t="s">
        <v>145</v>
      </c>
      <c r="B252" s="190" t="s">
        <v>338</v>
      </c>
      <c r="C252" s="191"/>
      <c r="D252" s="191"/>
      <c r="E252" s="191"/>
      <c r="F252" s="191"/>
      <c r="G252" s="191"/>
      <c r="H252" s="192"/>
    </row>
    <row r="253" spans="1:20" s="32" customFormat="1" hidden="1" x14ac:dyDescent="0.35">
      <c r="A253" s="76" t="s">
        <v>145</v>
      </c>
      <c r="B253" s="190" t="str">
        <f ca="1">IF(G56&gt;EDATE(E3,-48),"NO REMARK FOR CC","REMARK FOR CC")</f>
        <v>NO REMARK FOR CC</v>
      </c>
      <c r="C253" s="191"/>
      <c r="D253" s="191"/>
      <c r="E253" s="191"/>
      <c r="F253" s="191"/>
      <c r="G253" s="191"/>
      <c r="H253" s="192"/>
    </row>
    <row r="254" spans="1:20" x14ac:dyDescent="0.35">
      <c r="A254" s="212" t="s">
        <v>57</v>
      </c>
      <c r="B254" s="212"/>
      <c r="C254" s="212"/>
      <c r="D254" s="212"/>
      <c r="E254" s="212"/>
      <c r="F254" s="212"/>
      <c r="G254" s="212"/>
      <c r="H254" s="212"/>
      <c r="T254" s="32"/>
    </row>
    <row r="255" spans="1:20" x14ac:dyDescent="0.35">
      <c r="A255" s="179" t="s">
        <v>58</v>
      </c>
      <c r="B255" s="179"/>
      <c r="C255" s="179"/>
      <c r="D255" s="179"/>
      <c r="E255" s="179"/>
      <c r="F255" s="179"/>
      <c r="G255" s="179"/>
      <c r="H255" s="179"/>
      <c r="T255" s="32"/>
    </row>
    <row r="256" spans="1:20" ht="15.75" customHeight="1" x14ac:dyDescent="0.35">
      <c r="A256" s="200" t="s">
        <v>59</v>
      </c>
      <c r="B256" s="200"/>
      <c r="C256" s="200"/>
      <c r="D256" s="200"/>
      <c r="E256" s="200"/>
      <c r="F256" s="200"/>
      <c r="G256" s="200"/>
      <c r="H256" s="200"/>
      <c r="T256" s="32"/>
    </row>
    <row r="257" spans="1:20" x14ac:dyDescent="0.35">
      <c r="A257" s="179" t="s">
        <v>60</v>
      </c>
      <c r="B257" s="179"/>
      <c r="C257" s="179"/>
      <c r="D257" s="179"/>
      <c r="E257" s="179"/>
      <c r="F257" s="179"/>
      <c r="G257" s="179"/>
      <c r="H257" s="179"/>
      <c r="T257" s="32"/>
    </row>
    <row r="258" spans="1:20" x14ac:dyDescent="0.35">
      <c r="A258" s="179" t="s">
        <v>61</v>
      </c>
      <c r="B258" s="179"/>
      <c r="C258" s="179"/>
      <c r="D258" s="179"/>
      <c r="E258" s="179"/>
      <c r="F258" s="179"/>
      <c r="G258" s="179"/>
      <c r="H258" s="179"/>
      <c r="T258" s="32"/>
    </row>
    <row r="259" spans="1:20" x14ac:dyDescent="0.35">
      <c r="A259" s="179" t="s">
        <v>118</v>
      </c>
      <c r="B259" s="179"/>
      <c r="C259" s="179"/>
      <c r="D259" s="179"/>
      <c r="E259" s="179"/>
      <c r="F259" s="179"/>
      <c r="G259" s="179"/>
      <c r="H259" s="179"/>
      <c r="T259" s="32"/>
    </row>
    <row r="260" spans="1:20" ht="34" customHeight="1" x14ac:dyDescent="0.35">
      <c r="A260" s="171" t="s">
        <v>119</v>
      </c>
      <c r="B260" s="171"/>
      <c r="C260" s="171"/>
      <c r="D260" s="171"/>
      <c r="E260" s="171"/>
      <c r="F260" s="171"/>
      <c r="G260" s="171"/>
      <c r="H260" s="171"/>
    </row>
    <row r="261" spans="1:20" x14ac:dyDescent="0.35">
      <c r="A261" s="208" t="s">
        <v>72</v>
      </c>
      <c r="B261" s="208"/>
      <c r="C261" s="208" t="s">
        <v>383</v>
      </c>
      <c r="D261" s="208"/>
      <c r="E261" s="208" t="s">
        <v>101</v>
      </c>
      <c r="F261" s="208"/>
      <c r="G261" s="208" t="s">
        <v>442</v>
      </c>
      <c r="H261" s="208"/>
    </row>
    <row r="262" spans="1:20" x14ac:dyDescent="0.35">
      <c r="A262" s="207" t="s">
        <v>74</v>
      </c>
      <c r="B262" s="207"/>
      <c r="C262" s="207"/>
      <c r="D262" s="207"/>
      <c r="E262" s="207"/>
      <c r="F262" s="207"/>
      <c r="G262" s="207"/>
      <c r="H262" s="207"/>
    </row>
    <row r="263" spans="1:20" x14ac:dyDescent="0.35">
      <c r="A263" s="207"/>
      <c r="B263" s="207"/>
      <c r="C263" s="207"/>
      <c r="D263" s="207"/>
      <c r="E263" s="207"/>
      <c r="F263" s="207"/>
      <c r="G263" s="207"/>
      <c r="H263" s="207"/>
    </row>
    <row r="264" spans="1:20" x14ac:dyDescent="0.35">
      <c r="A264" s="207"/>
      <c r="B264" s="207"/>
      <c r="C264" s="207"/>
      <c r="D264" s="207"/>
      <c r="E264" s="207"/>
      <c r="F264" s="207"/>
      <c r="G264" s="207"/>
      <c r="H264" s="207"/>
    </row>
    <row r="265" spans="1:20" x14ac:dyDescent="0.35">
      <c r="A265" s="207"/>
      <c r="B265" s="207"/>
      <c r="C265" s="207"/>
      <c r="D265" s="207"/>
      <c r="E265" s="207"/>
      <c r="F265" s="207"/>
      <c r="G265" s="207"/>
      <c r="H265" s="207"/>
    </row>
    <row r="266" spans="1:20" x14ac:dyDescent="0.35">
      <c r="A266" s="35" t="s">
        <v>62</v>
      </c>
      <c r="B266" s="36"/>
      <c r="C266" s="36"/>
      <c r="D266" s="35" t="str">
        <f>E9</f>
        <v>Vistara World</v>
      </c>
      <c r="F266" s="36"/>
      <c r="G266" s="36"/>
      <c r="H266" s="36"/>
    </row>
    <row r="267" spans="1:20" x14ac:dyDescent="0.35">
      <c r="A267" s="36"/>
      <c r="B267" s="36"/>
      <c r="C267" s="36"/>
      <c r="D267" s="36"/>
      <c r="E267" s="36"/>
      <c r="F267" s="36"/>
      <c r="G267" s="36"/>
      <c r="H267" s="36"/>
    </row>
    <row r="268" spans="1:20" x14ac:dyDescent="0.35">
      <c r="A268" s="36"/>
      <c r="B268" s="36"/>
      <c r="C268" s="36"/>
      <c r="D268" s="36"/>
      <c r="E268" s="36"/>
      <c r="F268" s="36"/>
      <c r="G268" s="36"/>
      <c r="H268" s="36"/>
    </row>
    <row r="269" spans="1:20" ht="15" customHeight="1" x14ac:dyDescent="0.35"/>
    <row r="309" spans="1:1" x14ac:dyDescent="0.35">
      <c r="A309" s="38" t="s">
        <v>155</v>
      </c>
    </row>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3" spans="1:1" x14ac:dyDescent="0.35">
      <c r="A353" s="38" t="s">
        <v>63</v>
      </c>
    </row>
  </sheetData>
  <mergeCells count="439">
    <mergeCell ref="D241:E241"/>
    <mergeCell ref="F237:H240"/>
    <mergeCell ref="F241:H241"/>
    <mergeCell ref="A236:A241"/>
    <mergeCell ref="B236:H236"/>
    <mergeCell ref="J238:K238"/>
    <mergeCell ref="J239:K239"/>
    <mergeCell ref="J240:K240"/>
    <mergeCell ref="J241:K241"/>
    <mergeCell ref="B237:C237"/>
    <mergeCell ref="B238:C238"/>
    <mergeCell ref="B239:C239"/>
    <mergeCell ref="B240:C240"/>
    <mergeCell ref="B241:C241"/>
    <mergeCell ref="D237:E237"/>
    <mergeCell ref="D238:E238"/>
    <mergeCell ref="D239:E239"/>
    <mergeCell ref="A206:H206"/>
    <mergeCell ref="B249:H249"/>
    <mergeCell ref="A12:D16"/>
    <mergeCell ref="E12:F12"/>
    <mergeCell ref="G12:H12"/>
    <mergeCell ref="E13:F13"/>
    <mergeCell ref="G13:H13"/>
    <mergeCell ref="E14:F14"/>
    <mergeCell ref="G14:H14"/>
    <mergeCell ref="E15:F15"/>
    <mergeCell ref="G15:H15"/>
    <mergeCell ref="E16:F16"/>
    <mergeCell ref="G16:H16"/>
    <mergeCell ref="C125:H125"/>
    <mergeCell ref="A127:B127"/>
    <mergeCell ref="C127:H127"/>
    <mergeCell ref="E128:F128"/>
    <mergeCell ref="A224:B224"/>
    <mergeCell ref="A232:B232"/>
    <mergeCell ref="A233:B233"/>
    <mergeCell ref="A181:B181"/>
    <mergeCell ref="A93:B93"/>
    <mergeCell ref="A129:B129"/>
    <mergeCell ref="D240:E240"/>
    <mergeCell ref="E129:F138"/>
    <mergeCell ref="G129:H138"/>
    <mergeCell ref="A130:B130"/>
    <mergeCell ref="A131:B131"/>
    <mergeCell ref="A132:B132"/>
    <mergeCell ref="A133:B133"/>
    <mergeCell ref="A134:B134"/>
    <mergeCell ref="A135:B135"/>
    <mergeCell ref="A136:B136"/>
    <mergeCell ref="A137:B137"/>
    <mergeCell ref="G115:H124"/>
    <mergeCell ref="A116:B116"/>
    <mergeCell ref="A117:B117"/>
    <mergeCell ref="A118:B118"/>
    <mergeCell ref="A120:B120"/>
    <mergeCell ref="A121:B121"/>
    <mergeCell ref="E87:F96"/>
    <mergeCell ref="A125:B125"/>
    <mergeCell ref="G159:H159"/>
    <mergeCell ref="A111:B111"/>
    <mergeCell ref="C111:H111"/>
    <mergeCell ref="A113:B113"/>
    <mergeCell ref="C113:H113"/>
    <mergeCell ref="A114:B114"/>
    <mergeCell ref="E114:F114"/>
    <mergeCell ref="G114:H114"/>
    <mergeCell ref="A103:B103"/>
    <mergeCell ref="G101:H110"/>
    <mergeCell ref="A104:B104"/>
    <mergeCell ref="A108:B108"/>
    <mergeCell ref="G87:H96"/>
    <mergeCell ref="A106:B106"/>
    <mergeCell ref="G100:H100"/>
    <mergeCell ref="A97:B97"/>
    <mergeCell ref="C97:H97"/>
    <mergeCell ref="A101:B101"/>
    <mergeCell ref="C99:H99"/>
    <mergeCell ref="A102:B102"/>
    <mergeCell ref="A100:B100"/>
    <mergeCell ref="E100:F100"/>
    <mergeCell ref="E101:F110"/>
    <mergeCell ref="A88:B88"/>
    <mergeCell ref="A109:B109"/>
    <mergeCell ref="B251:H251"/>
    <mergeCell ref="A144:E144"/>
    <mergeCell ref="A163:B163"/>
    <mergeCell ref="E163:F163"/>
    <mergeCell ref="A149:E149"/>
    <mergeCell ref="G163:H163"/>
    <mergeCell ref="E155:F155"/>
    <mergeCell ref="G155:H155"/>
    <mergeCell ref="C156:D156"/>
    <mergeCell ref="E156:F156"/>
    <mergeCell ref="G156:H156"/>
    <mergeCell ref="A155:B155"/>
    <mergeCell ref="C155:D155"/>
    <mergeCell ref="B247:H247"/>
    <mergeCell ref="A186:B186"/>
    <mergeCell ref="A207:H207"/>
    <mergeCell ref="A218:B218"/>
    <mergeCell ref="A219:B219"/>
    <mergeCell ref="A220:B220"/>
    <mergeCell ref="A221:H221"/>
    <mergeCell ref="A228:H228"/>
    <mergeCell ref="A229:H229"/>
    <mergeCell ref="A230:H230"/>
    <mergeCell ref="A231:B231"/>
    <mergeCell ref="A128:B128"/>
    <mergeCell ref="A227:B227"/>
    <mergeCell ref="G128:H128"/>
    <mergeCell ref="C56:E57"/>
    <mergeCell ref="A222:H222"/>
    <mergeCell ref="A223:H223"/>
    <mergeCell ref="L177:M177"/>
    <mergeCell ref="A179:B179"/>
    <mergeCell ref="A180:B180"/>
    <mergeCell ref="A210:B210"/>
    <mergeCell ref="C83:H83"/>
    <mergeCell ref="A78:C78"/>
    <mergeCell ref="D78:H78"/>
    <mergeCell ref="C85:H85"/>
    <mergeCell ref="A79:C79"/>
    <mergeCell ref="D79:H79"/>
    <mergeCell ref="A82:C82"/>
    <mergeCell ref="D82:H82"/>
    <mergeCell ref="A81:C81"/>
    <mergeCell ref="A115:B115"/>
    <mergeCell ref="E115:F124"/>
    <mergeCell ref="A139:E139"/>
    <mergeCell ref="F139:H139"/>
    <mergeCell ref="A164:H164"/>
    <mergeCell ref="A44:B44"/>
    <mergeCell ref="C44:H44"/>
    <mergeCell ref="E154:F154"/>
    <mergeCell ref="C166:C167"/>
    <mergeCell ref="G166:G167"/>
    <mergeCell ref="L174:M174"/>
    <mergeCell ref="L171:M171"/>
    <mergeCell ref="A172:B172"/>
    <mergeCell ref="G157:H157"/>
    <mergeCell ref="L172:M172"/>
    <mergeCell ref="A173:B173"/>
    <mergeCell ref="L173:M173"/>
    <mergeCell ref="A119:B119"/>
    <mergeCell ref="A122:B122"/>
    <mergeCell ref="A123:B123"/>
    <mergeCell ref="A89:B89"/>
    <mergeCell ref="A94:B94"/>
    <mergeCell ref="C58:H58"/>
    <mergeCell ref="G154:H154"/>
    <mergeCell ref="A140:E140"/>
    <mergeCell ref="A99:B99"/>
    <mergeCell ref="C59:E59"/>
    <mergeCell ref="A86:B86"/>
    <mergeCell ref="A50:D50"/>
    <mergeCell ref="A42:H42"/>
    <mergeCell ref="A41:B41"/>
    <mergeCell ref="C41:E41"/>
    <mergeCell ref="A46:D46"/>
    <mergeCell ref="E46:H46"/>
    <mergeCell ref="A45:H45"/>
    <mergeCell ref="A76:C76"/>
    <mergeCell ref="A77:C77"/>
    <mergeCell ref="D76:H76"/>
    <mergeCell ref="F41:H41"/>
    <mergeCell ref="C55:E55"/>
    <mergeCell ref="C54:E54"/>
    <mergeCell ref="G54:H54"/>
    <mergeCell ref="A55:B55"/>
    <mergeCell ref="G61:H61"/>
    <mergeCell ref="A65:B66"/>
    <mergeCell ref="C65:E65"/>
    <mergeCell ref="G65:H65"/>
    <mergeCell ref="G55:H55"/>
    <mergeCell ref="A43:B43"/>
    <mergeCell ref="A70:C70"/>
    <mergeCell ref="C43:H43"/>
    <mergeCell ref="C60:H60"/>
    <mergeCell ref="A56:B58"/>
    <mergeCell ref="A51:D51"/>
    <mergeCell ref="D77:H77"/>
    <mergeCell ref="A48:D48"/>
    <mergeCell ref="E48:H48"/>
    <mergeCell ref="E49:H49"/>
    <mergeCell ref="E50:H50"/>
    <mergeCell ref="E51:H51"/>
    <mergeCell ref="C62:H62"/>
    <mergeCell ref="A52:H52"/>
    <mergeCell ref="D71:H71"/>
    <mergeCell ref="A71:C71"/>
    <mergeCell ref="A49:D49"/>
    <mergeCell ref="A53:B53"/>
    <mergeCell ref="C53:H53"/>
    <mergeCell ref="D72:H72"/>
    <mergeCell ref="D73:H73"/>
    <mergeCell ref="A68:H68"/>
    <mergeCell ref="F56:F57"/>
    <mergeCell ref="G56:H57"/>
    <mergeCell ref="G59:H59"/>
    <mergeCell ref="C37:E37"/>
    <mergeCell ref="F40:H40"/>
    <mergeCell ref="F37:H37"/>
    <mergeCell ref="A38:B38"/>
    <mergeCell ref="A37:B37"/>
    <mergeCell ref="C38:E38"/>
    <mergeCell ref="A39:B39"/>
    <mergeCell ref="C39:E39"/>
    <mergeCell ref="F38:H38"/>
    <mergeCell ref="F39:H39"/>
    <mergeCell ref="A40:B40"/>
    <mergeCell ref="C40:E40"/>
    <mergeCell ref="A34:D34"/>
    <mergeCell ref="E34:H34"/>
    <mergeCell ref="A31:D31"/>
    <mergeCell ref="A35:D35"/>
    <mergeCell ref="E35:H35"/>
    <mergeCell ref="A36:D36"/>
    <mergeCell ref="E36:H36"/>
    <mergeCell ref="A32:D32"/>
    <mergeCell ref="E32:H32"/>
    <mergeCell ref="E31:H31"/>
    <mergeCell ref="A33:D33"/>
    <mergeCell ref="E33:H33"/>
    <mergeCell ref="A30:D30"/>
    <mergeCell ref="E30:H30"/>
    <mergeCell ref="A29:D29"/>
    <mergeCell ref="E29:H29"/>
    <mergeCell ref="E27:H28"/>
    <mergeCell ref="A26:B26"/>
    <mergeCell ref="C26:D26"/>
    <mergeCell ref="E26:F26"/>
    <mergeCell ref="G26:H26"/>
    <mergeCell ref="E19:H19"/>
    <mergeCell ref="A20:B20"/>
    <mergeCell ref="C20:H20"/>
    <mergeCell ref="C21:H21"/>
    <mergeCell ref="A22:B22"/>
    <mergeCell ref="C22:H22"/>
    <mergeCell ref="A17:D17"/>
    <mergeCell ref="E17:H17"/>
    <mergeCell ref="A25:B25"/>
    <mergeCell ref="C25:D25"/>
    <mergeCell ref="E25:F25"/>
    <mergeCell ref="G25:H25"/>
    <mergeCell ref="E18:H18"/>
    <mergeCell ref="A19:D19"/>
    <mergeCell ref="A21:B21"/>
    <mergeCell ref="A18:D18"/>
    <mergeCell ref="A23:B23"/>
    <mergeCell ref="C23:D23"/>
    <mergeCell ref="E23:F23"/>
    <mergeCell ref="G23:H23"/>
    <mergeCell ref="A24:B24"/>
    <mergeCell ref="C24:D24"/>
    <mergeCell ref="E24:F24"/>
    <mergeCell ref="G24:H2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7:D28"/>
    <mergeCell ref="B245:H245"/>
    <mergeCell ref="A262:H265"/>
    <mergeCell ref="A261:B261"/>
    <mergeCell ref="E261:F261"/>
    <mergeCell ref="C261:D261"/>
    <mergeCell ref="G261:H261"/>
    <mergeCell ref="A150:E150"/>
    <mergeCell ref="F150:H150"/>
    <mergeCell ref="A151:E151"/>
    <mergeCell ref="F151:H151"/>
    <mergeCell ref="A177:H177"/>
    <mergeCell ref="A154:B154"/>
    <mergeCell ref="A188:B188"/>
    <mergeCell ref="A257:H257"/>
    <mergeCell ref="A152:H152"/>
    <mergeCell ref="A260:H260"/>
    <mergeCell ref="A258:H258"/>
    <mergeCell ref="A254:H254"/>
    <mergeCell ref="G153:H153"/>
    <mergeCell ref="B246:H246"/>
    <mergeCell ref="A212:B212"/>
    <mergeCell ref="A259:H259"/>
    <mergeCell ref="A256:H256"/>
    <mergeCell ref="A255:H255"/>
    <mergeCell ref="A142:E142"/>
    <mergeCell ref="F143:H143"/>
    <mergeCell ref="A143:E143"/>
    <mergeCell ref="A174:B174"/>
    <mergeCell ref="B248:H248"/>
    <mergeCell ref="A211:B211"/>
    <mergeCell ref="A203:B203"/>
    <mergeCell ref="B242:H242"/>
    <mergeCell ref="B243:H243"/>
    <mergeCell ref="B244:H244"/>
    <mergeCell ref="F144:H144"/>
    <mergeCell ref="A171:B171"/>
    <mergeCell ref="F145:H145"/>
    <mergeCell ref="A234:B234"/>
    <mergeCell ref="C158:D158"/>
    <mergeCell ref="A147:E147"/>
    <mergeCell ref="A214:H214"/>
    <mergeCell ref="A225:B225"/>
    <mergeCell ref="A226:B226"/>
    <mergeCell ref="A216:H216"/>
    <mergeCell ref="E153:F153"/>
    <mergeCell ref="A166:A167"/>
    <mergeCell ref="F166:F167"/>
    <mergeCell ref="F141:H141"/>
    <mergeCell ref="A141:E141"/>
    <mergeCell ref="E157:F157"/>
    <mergeCell ref="B166:B167"/>
    <mergeCell ref="A215:H215"/>
    <mergeCell ref="C154:D154"/>
    <mergeCell ref="A159:A162"/>
    <mergeCell ref="C157:D157"/>
    <mergeCell ref="A178:B178"/>
    <mergeCell ref="A156:A158"/>
    <mergeCell ref="F146:H146"/>
    <mergeCell ref="C163:D163"/>
    <mergeCell ref="C160:D160"/>
    <mergeCell ref="E160:F160"/>
    <mergeCell ref="G160:H160"/>
    <mergeCell ref="C161:D161"/>
    <mergeCell ref="E161:F161"/>
    <mergeCell ref="G161:H161"/>
    <mergeCell ref="C162:D162"/>
    <mergeCell ref="E162:F162"/>
    <mergeCell ref="G162:H162"/>
    <mergeCell ref="A175:H175"/>
    <mergeCell ref="A217:B217"/>
    <mergeCell ref="E158:F158"/>
    <mergeCell ref="G158:H158"/>
    <mergeCell ref="C159:D159"/>
    <mergeCell ref="E159:F159"/>
    <mergeCell ref="B253:H253"/>
    <mergeCell ref="B252:H252"/>
    <mergeCell ref="A182:H182"/>
    <mergeCell ref="F142:H142"/>
    <mergeCell ref="A146:E146"/>
    <mergeCell ref="A145:E145"/>
    <mergeCell ref="A235:H235"/>
    <mergeCell ref="A213:B213"/>
    <mergeCell ref="A196:B196"/>
    <mergeCell ref="A209:H209"/>
    <mergeCell ref="A202:B202"/>
    <mergeCell ref="A199:H199"/>
    <mergeCell ref="A176:H176"/>
    <mergeCell ref="A208:H208"/>
    <mergeCell ref="A183:H183"/>
    <mergeCell ref="A184:H184"/>
    <mergeCell ref="A190:H190"/>
    <mergeCell ref="A191:H191"/>
    <mergeCell ref="A192:H192"/>
    <mergeCell ref="I19:P19"/>
    <mergeCell ref="F149:H149"/>
    <mergeCell ref="F147:H147"/>
    <mergeCell ref="A187:B187"/>
    <mergeCell ref="A165:H165"/>
    <mergeCell ref="A148:E148"/>
    <mergeCell ref="A67:B67"/>
    <mergeCell ref="C67:E67"/>
    <mergeCell ref="D69:H69"/>
    <mergeCell ref="F148:H148"/>
    <mergeCell ref="A138:B138"/>
    <mergeCell ref="C153:D153"/>
    <mergeCell ref="D80:H80"/>
    <mergeCell ref="D70:H70"/>
    <mergeCell ref="G67:H67"/>
    <mergeCell ref="A59:B60"/>
    <mergeCell ref="E47:H47"/>
    <mergeCell ref="A47:D47"/>
    <mergeCell ref="A92:B92"/>
    <mergeCell ref="A54:B54"/>
    <mergeCell ref="D74:H74"/>
    <mergeCell ref="A185:H185"/>
    <mergeCell ref="A80:C80"/>
    <mergeCell ref="D81:H81"/>
    <mergeCell ref="G86:H86"/>
    <mergeCell ref="A95:B95"/>
    <mergeCell ref="A96:B96"/>
    <mergeCell ref="A91:B91"/>
    <mergeCell ref="A90:B90"/>
    <mergeCell ref="E86:F86"/>
    <mergeCell ref="C61:E61"/>
    <mergeCell ref="C66:E66"/>
    <mergeCell ref="A61:B62"/>
    <mergeCell ref="G66:H66"/>
    <mergeCell ref="D75:H75"/>
    <mergeCell ref="A72:C75"/>
    <mergeCell ref="A63:B64"/>
    <mergeCell ref="C63:E63"/>
    <mergeCell ref="G63:H63"/>
    <mergeCell ref="C64:E64"/>
    <mergeCell ref="G64:H64"/>
    <mergeCell ref="A69:C69"/>
    <mergeCell ref="A85:B85"/>
    <mergeCell ref="A83:B83"/>
    <mergeCell ref="B250:H250"/>
    <mergeCell ref="I72:I75"/>
    <mergeCell ref="A193:B193"/>
    <mergeCell ref="A194:B194"/>
    <mergeCell ref="A195:B195"/>
    <mergeCell ref="A200:H200"/>
    <mergeCell ref="A201:H201"/>
    <mergeCell ref="A205:B205"/>
    <mergeCell ref="A197:B197"/>
    <mergeCell ref="A168:H168"/>
    <mergeCell ref="A170:H170"/>
    <mergeCell ref="A189:B189"/>
    <mergeCell ref="A153:B153"/>
    <mergeCell ref="D166:D167"/>
    <mergeCell ref="E166:E167"/>
    <mergeCell ref="A198:B198"/>
    <mergeCell ref="A204:B204"/>
    <mergeCell ref="A105:B105"/>
    <mergeCell ref="A107:B107"/>
    <mergeCell ref="F140:H140"/>
    <mergeCell ref="A110:B110"/>
    <mergeCell ref="A169:H169"/>
    <mergeCell ref="A124:B124"/>
    <mergeCell ref="A87:B87"/>
  </mergeCells>
  <dataValidations count="15">
    <dataValidation type="list" allowBlank="1" showInputMessage="1" showErrorMessage="1" sqref="E5:H5">
      <formula1>OFFSET($L$3,1,MATCH($E4,$L$3:$P$3,0)-1,10,1)</formula1>
    </dataValidation>
    <dataValidation type="list" allowBlank="1" showInputMessage="1" showErrorMessage="1" sqref="A21:B21">
      <formula1>"CTS No,Survey No,Plot No,Gut No,FP No,"</formula1>
    </dataValidation>
    <dataValidation type="list" allowBlank="1" showInputMessage="1" showErrorMessage="1" sqref="G24:H24">
      <formula1>$S$17:$W$17</formula1>
    </dataValidation>
    <dataValidation type="list" allowBlank="1" showInputMessage="1" showErrorMessage="1" sqref="G261:H261">
      <formula1>"Kunal Kadam,Pranita Mhatre,Shruti Fule,Pooja Kawale,Gaurav Panchal,Shruti Tathare, Dipti Gothawade,Saurav Panse, Sachin Sawant"</formula1>
    </dataValidation>
    <dataValidation type="list" allowBlank="1" showInputMessage="1" showErrorMessage="1" sqref="F139:H139">
      <formula1>"On Saleable Area,On Builtup Area,On Carpet Area,On Plot Area"</formula1>
    </dataValidation>
    <dataValidation type="list" allowBlank="1" showInputMessage="1" showErrorMessage="1" sqref="F150:H150">
      <formula1>OFFSET($S$139,1,MATCH($G24,$S$139:$W$139,0)-1,15,1)</formula1>
    </dataValidation>
    <dataValidation type="list" allowBlank="1" showInputMessage="1" showErrorMessage="1" sqref="B166:B167">
      <formula1>"Flat No. (Sale Plan),Sale / Rehab,Sale / Mhada"</formula1>
    </dataValidation>
    <dataValidation type="list" allowBlank="1" showInputMessage="1" showErrorMessage="1" sqref="C25:D25">
      <formula1>OFFSET($S$17,1,MATCH($G24,$S$17:$W$17,0)-1,15,1)</formula1>
    </dataValidation>
    <dataValidation type="list" allowBlank="1" showInputMessage="1" showErrorMessage="1" sqref="Y17">
      <formula1>$D$5:$H$5</formula1>
    </dataValidation>
    <dataValidation type="list" allowBlank="1" showInputMessage="1" showErrorMessage="1" sqref="E166:E167">
      <formula1>"Fungible area,Balcony Area,Chajja Area,Cornice Area,AP Area,WS Area, Open Balcony Area"</formula1>
    </dataValidation>
    <dataValidation type="list" allowBlank="1" showInputMessage="1" showErrorMessage="1" sqref="H167">
      <formula1>".45,.50,.55,.60"</formula1>
    </dataValidation>
    <dataValidation type="list" allowBlank="1" showInputMessage="1" showErrorMessage="1" sqref="E4:H4">
      <formula1>$L$3:$P$3</formula1>
    </dataValidation>
    <dataValidation type="list" allowBlank="1" showInputMessage="1" showErrorMessage="1" sqref="C53:H53">
      <formula1>OFFSET($S$53,1,MATCH($G24,$S$53:$W$53,0)-1,15,1)</formula1>
    </dataValidation>
    <dataValidation type="list" allowBlank="1" showInputMessage="1" showErrorMessage="1" sqref="H166">
      <formula1>"Saleable area Loading :,Builder Saleable Area"</formula1>
    </dataValidation>
    <dataValidation type="list" allowBlank="1" showInputMessage="1" showErrorMessage="1" sqref="D166:D167">
      <formula1>"Carpet area,RERA Carpet area, Carpet + Enclosed Balcony Area"</formula1>
    </dataValidation>
  </dataValidations>
  <hyperlinks>
    <hyperlink ref="C44"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234" max="16383" man="1"/>
    <brk id="265" max="16383" man="1"/>
    <brk id="308" max="16383" man="1"/>
    <brk id="35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3" zoomScale="85" zoomScaleNormal="85" workbookViewId="0">
      <selection activeCell="F19" sqref="F19"/>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91" t="s">
        <v>102</v>
      </c>
      <c r="C3" s="291"/>
      <c r="D3" s="291"/>
      <c r="E3" s="291"/>
      <c r="F3" s="291"/>
      <c r="G3" s="291"/>
      <c r="H3" s="291"/>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167</v>
      </c>
      <c r="E4" s="48" t="s">
        <v>177</v>
      </c>
      <c r="F4" s="48" t="s">
        <v>163</v>
      </c>
      <c r="G4" s="48" t="s">
        <v>182</v>
      </c>
      <c r="H4" s="48" t="s">
        <v>200</v>
      </c>
      <c r="J4" t="s">
        <v>182</v>
      </c>
      <c r="K4" t="s">
        <v>198</v>
      </c>
    </row>
    <row r="5" spans="2:11" x14ac:dyDescent="0.35">
      <c r="B5" s="47"/>
      <c r="C5" s="47"/>
      <c r="D5" s="48" t="s">
        <v>168</v>
      </c>
      <c r="E5" s="48" t="s">
        <v>175</v>
      </c>
      <c r="F5" s="48" t="s">
        <v>197</v>
      </c>
      <c r="G5" s="48" t="s">
        <v>183</v>
      </c>
      <c r="H5" s="48" t="s">
        <v>201</v>
      </c>
    </row>
    <row r="6" spans="2:11" x14ac:dyDescent="0.35">
      <c r="B6" s="47"/>
      <c r="C6" s="47"/>
      <c r="D6" s="48" t="s">
        <v>169</v>
      </c>
      <c r="E6" s="48" t="s">
        <v>176</v>
      </c>
      <c r="F6" s="48" t="s">
        <v>198</v>
      </c>
      <c r="G6" s="48" t="s">
        <v>184</v>
      </c>
      <c r="H6" s="48" t="s">
        <v>214</v>
      </c>
    </row>
    <row r="7" spans="2:11" x14ac:dyDescent="0.35">
      <c r="B7" s="47"/>
      <c r="C7" s="47"/>
      <c r="D7" s="48" t="s">
        <v>170</v>
      </c>
      <c r="E7" s="48" t="s">
        <v>178</v>
      </c>
      <c r="F7" s="48" t="s">
        <v>199</v>
      </c>
      <c r="G7" s="48" t="s">
        <v>185</v>
      </c>
      <c r="H7" s="48" t="s">
        <v>202</v>
      </c>
    </row>
    <row r="8" spans="2:11" x14ac:dyDescent="0.35">
      <c r="B8" s="47"/>
      <c r="C8" s="47"/>
      <c r="D8" s="48" t="s">
        <v>171</v>
      </c>
      <c r="E8" s="48" t="s">
        <v>179</v>
      </c>
      <c r="F8" s="48"/>
      <c r="G8" s="48" t="s">
        <v>186</v>
      </c>
      <c r="H8" s="48" t="s">
        <v>203</v>
      </c>
    </row>
    <row r="9" spans="2:11" x14ac:dyDescent="0.35">
      <c r="B9" s="47"/>
      <c r="C9" s="47"/>
      <c r="D9" s="48" t="s">
        <v>172</v>
      </c>
      <c r="E9" s="48" t="s">
        <v>177</v>
      </c>
      <c r="F9" s="48"/>
      <c r="G9" s="48" t="s">
        <v>187</v>
      </c>
      <c r="H9" s="48" t="s">
        <v>204</v>
      </c>
    </row>
    <row r="10" spans="2:11" x14ac:dyDescent="0.35">
      <c r="B10" s="47"/>
      <c r="C10" s="47"/>
      <c r="D10" s="48" t="s">
        <v>173</v>
      </c>
      <c r="E10" s="48" t="s">
        <v>180</v>
      </c>
      <c r="F10" s="48"/>
      <c r="G10" s="48" t="s">
        <v>188</v>
      </c>
      <c r="H10" s="48" t="s">
        <v>205</v>
      </c>
    </row>
    <row r="11" spans="2:11" x14ac:dyDescent="0.35">
      <c r="B11" s="47"/>
      <c r="C11" s="47"/>
      <c r="D11" s="48" t="s">
        <v>174</v>
      </c>
      <c r="E11" s="48" t="s">
        <v>181</v>
      </c>
      <c r="F11" s="48"/>
      <c r="G11" s="48" t="s">
        <v>189</v>
      </c>
      <c r="H11" s="48" t="s">
        <v>206</v>
      </c>
    </row>
    <row r="12" spans="2:11" x14ac:dyDescent="0.35">
      <c r="B12" s="47"/>
      <c r="C12" s="47"/>
      <c r="D12" s="48"/>
      <c r="E12" s="48"/>
      <c r="F12" s="48"/>
      <c r="G12" s="48" t="s">
        <v>190</v>
      </c>
      <c r="H12" s="48" t="s">
        <v>207</v>
      </c>
    </row>
    <row r="13" spans="2:11" x14ac:dyDescent="0.35">
      <c r="B13" s="47"/>
      <c r="C13" s="47"/>
      <c r="D13" s="48"/>
      <c r="E13" s="48"/>
      <c r="F13" s="48"/>
      <c r="G13" s="48" t="s">
        <v>191</v>
      </c>
      <c r="H13" s="48" t="s">
        <v>208</v>
      </c>
    </row>
    <row r="14" spans="2:11" x14ac:dyDescent="0.35">
      <c r="B14" s="47"/>
      <c r="C14" s="47"/>
      <c r="D14" s="48"/>
      <c r="E14" s="48"/>
      <c r="F14" s="48"/>
      <c r="G14" s="48" t="s">
        <v>192</v>
      </c>
      <c r="H14" s="48" t="s">
        <v>209</v>
      </c>
    </row>
    <row r="15" spans="2:11" x14ac:dyDescent="0.35">
      <c r="B15" s="47"/>
      <c r="C15" s="47"/>
      <c r="D15" s="48"/>
      <c r="E15" s="48"/>
      <c r="F15" s="48"/>
      <c r="G15" s="48" t="s">
        <v>193</v>
      </c>
      <c r="H15" s="48" t="s">
        <v>210</v>
      </c>
    </row>
    <row r="16" spans="2:11" x14ac:dyDescent="0.35">
      <c r="B16" s="47"/>
      <c r="C16" s="47"/>
      <c r="D16" s="48"/>
      <c r="E16" s="48"/>
      <c r="F16" s="48"/>
      <c r="G16" s="48" t="s">
        <v>194</v>
      </c>
      <c r="H16" s="48" t="s">
        <v>211</v>
      </c>
    </row>
    <row r="17" spans="2:8" x14ac:dyDescent="0.35">
      <c r="B17" s="47"/>
      <c r="C17" s="47"/>
      <c r="D17" s="48"/>
      <c r="E17" s="48"/>
      <c r="F17" s="48"/>
      <c r="G17" s="48" t="s">
        <v>195</v>
      </c>
      <c r="H17" s="48" t="s">
        <v>212</v>
      </c>
    </row>
    <row r="18" spans="2:8" x14ac:dyDescent="0.35">
      <c r="B18" s="47"/>
      <c r="C18" s="47"/>
      <c r="D18" s="48"/>
      <c r="E18" s="48"/>
      <c r="F18" s="48"/>
      <c r="G18" s="48" t="s">
        <v>196</v>
      </c>
      <c r="H18" s="48" t="s">
        <v>213</v>
      </c>
    </row>
    <row r="24" spans="2:8" x14ac:dyDescent="0.35">
      <c r="C24" t="s">
        <v>160</v>
      </c>
    </row>
    <row r="25" spans="2:8" x14ac:dyDescent="0.35">
      <c r="C25" t="s">
        <v>215</v>
      </c>
    </row>
    <row r="26" spans="2:8" x14ac:dyDescent="0.35">
      <c r="C26" t="s">
        <v>216</v>
      </c>
    </row>
    <row r="27" spans="2:8" x14ac:dyDescent="0.35">
      <c r="C27" t="s">
        <v>217</v>
      </c>
    </row>
    <row r="28" spans="2:8" x14ac:dyDescent="0.35">
      <c r="C28" t="s">
        <v>218</v>
      </c>
    </row>
    <row r="29" spans="2:8" x14ac:dyDescent="0.35">
      <c r="C29" t="s">
        <v>219</v>
      </c>
    </row>
    <row r="30" spans="2:8" x14ac:dyDescent="0.35">
      <c r="C30" t="s">
        <v>160</v>
      </c>
    </row>
    <row r="33" spans="3:11" x14ac:dyDescent="0.35">
      <c r="J33">
        <v>1</v>
      </c>
      <c r="K33">
        <v>2</v>
      </c>
    </row>
    <row r="34" spans="3:11" x14ac:dyDescent="0.35">
      <c r="C34" s="51" t="s">
        <v>223</v>
      </c>
      <c r="D34" s="48" t="s">
        <v>221</v>
      </c>
      <c r="E34" s="48" t="s">
        <v>226</v>
      </c>
      <c r="F34" s="48" t="s">
        <v>224</v>
      </c>
      <c r="G34" s="48" t="s">
        <v>225</v>
      </c>
      <c r="H34" s="48" t="s">
        <v>227</v>
      </c>
      <c r="J34" t="s">
        <v>182</v>
      </c>
      <c r="K34" t="s">
        <v>198</v>
      </c>
    </row>
    <row r="35" spans="3:11" x14ac:dyDescent="0.35">
      <c r="C35" s="47" t="s">
        <v>222</v>
      </c>
      <c r="D35" s="48" t="s">
        <v>161</v>
      </c>
      <c r="E35" s="48" t="s">
        <v>231</v>
      </c>
      <c r="F35" s="48" t="s">
        <v>233</v>
      </c>
      <c r="G35" s="48" t="s">
        <v>235</v>
      </c>
      <c r="H35" s="48"/>
    </row>
    <row r="36" spans="3:11" x14ac:dyDescent="0.35">
      <c r="C36" s="47"/>
      <c r="D36" s="48" t="s">
        <v>228</v>
      </c>
      <c r="E36" s="48" t="s">
        <v>232</v>
      </c>
      <c r="F36" s="48" t="s">
        <v>234</v>
      </c>
      <c r="G36" s="48" t="s">
        <v>236</v>
      </c>
      <c r="H36" s="48"/>
    </row>
    <row r="37" spans="3:11" x14ac:dyDescent="0.35">
      <c r="C37" s="47"/>
      <c r="D37" s="48" t="s">
        <v>229</v>
      </c>
      <c r="E37" s="48"/>
      <c r="F37" s="48"/>
      <c r="G37" s="48" t="s">
        <v>237</v>
      </c>
      <c r="H37" s="48"/>
    </row>
    <row r="38" spans="3:11" x14ac:dyDescent="0.35">
      <c r="C38" s="47"/>
      <c r="D38" s="48" t="s">
        <v>230</v>
      </c>
      <c r="E38" s="48"/>
      <c r="F38" s="48"/>
      <c r="G38" s="48" t="s">
        <v>237</v>
      </c>
      <c r="H38" s="48"/>
    </row>
    <row r="39" spans="3:11" x14ac:dyDescent="0.35">
      <c r="C39" s="47"/>
      <c r="D39" s="48"/>
      <c r="E39" s="48"/>
      <c r="F39" s="48"/>
      <c r="G39" s="48" t="s">
        <v>238</v>
      </c>
      <c r="H39" s="48"/>
    </row>
    <row r="40" spans="3:11" x14ac:dyDescent="0.35">
      <c r="C40" s="47"/>
      <c r="D40" s="48"/>
      <c r="E40" s="48"/>
      <c r="F40" s="48"/>
      <c r="G40" s="48" t="s">
        <v>239</v>
      </c>
      <c r="H40" s="48"/>
    </row>
    <row r="41" spans="3:11" x14ac:dyDescent="0.35">
      <c r="C41" s="47"/>
      <c r="D41" s="48"/>
      <c r="E41" s="48"/>
      <c r="F41" s="48"/>
      <c r="G41" s="48"/>
      <c r="H41" s="48"/>
    </row>
    <row r="43" spans="3:11" x14ac:dyDescent="0.35">
      <c r="C43" t="s">
        <v>240</v>
      </c>
    </row>
    <row r="44" spans="3:11" x14ac:dyDescent="0.35">
      <c r="C44" t="s">
        <v>163</v>
      </c>
      <c r="D44" t="s">
        <v>241</v>
      </c>
    </row>
    <row r="45" spans="3:11" x14ac:dyDescent="0.35">
      <c r="D45" t="s">
        <v>242</v>
      </c>
    </row>
    <row r="46" spans="3:11" x14ac:dyDescent="0.35">
      <c r="D46" t="s">
        <v>243</v>
      </c>
    </row>
    <row r="47" spans="3:11" x14ac:dyDescent="0.35">
      <c r="D47" t="s">
        <v>244</v>
      </c>
    </row>
    <row r="48" spans="3:11" x14ac:dyDescent="0.35">
      <c r="D48" t="s">
        <v>245</v>
      </c>
    </row>
    <row r="49" spans="3:4" x14ac:dyDescent="0.35">
      <c r="C49" t="s">
        <v>167</v>
      </c>
      <c r="D49" t="s">
        <v>246</v>
      </c>
    </row>
    <row r="50" spans="3:4" x14ac:dyDescent="0.35">
      <c r="D50" t="s">
        <v>247</v>
      </c>
    </row>
    <row r="51" spans="3:4" x14ac:dyDescent="0.35">
      <c r="D51" t="s">
        <v>248</v>
      </c>
    </row>
    <row r="52" spans="3:4" x14ac:dyDescent="0.35">
      <c r="D52" t="s">
        <v>251</v>
      </c>
    </row>
    <row r="53" spans="3:4" x14ac:dyDescent="0.35">
      <c r="D53" t="s">
        <v>249</v>
      </c>
    </row>
    <row r="54" spans="3:4" x14ac:dyDescent="0.35">
      <c r="D54" t="s">
        <v>250</v>
      </c>
    </row>
    <row r="55" spans="3:4" x14ac:dyDescent="0.35">
      <c r="D55" t="s">
        <v>252</v>
      </c>
    </row>
    <row r="56" spans="3:4" x14ac:dyDescent="0.35">
      <c r="D56" t="s">
        <v>253</v>
      </c>
    </row>
    <row r="57" spans="3:4" x14ac:dyDescent="0.35">
      <c r="D57" t="s">
        <v>254</v>
      </c>
    </row>
    <row r="58" spans="3:4" x14ac:dyDescent="0.35">
      <c r="D58" t="s">
        <v>256</v>
      </c>
    </row>
    <row r="59" spans="3:4" x14ac:dyDescent="0.35">
      <c r="D59" t="s">
        <v>265</v>
      </c>
    </row>
    <row r="60" spans="3:4" x14ac:dyDescent="0.35">
      <c r="C60" t="s">
        <v>182</v>
      </c>
      <c r="D60" t="s">
        <v>257</v>
      </c>
    </row>
    <row r="61" spans="3:4" x14ac:dyDescent="0.35">
      <c r="D61" t="s">
        <v>255</v>
      </c>
    </row>
    <row r="62" spans="3:4" x14ac:dyDescent="0.35">
      <c r="D62" t="s">
        <v>245</v>
      </c>
    </row>
    <row r="63" spans="3:4" x14ac:dyDescent="0.35">
      <c r="D63" t="s">
        <v>258</v>
      </c>
    </row>
    <row r="64" spans="3:4" x14ac:dyDescent="0.35">
      <c r="D64" t="s">
        <v>259</v>
      </c>
    </row>
    <row r="65" spans="3:4" x14ac:dyDescent="0.35">
      <c r="D65" t="s">
        <v>260</v>
      </c>
    </row>
    <row r="66" spans="3:4" x14ac:dyDescent="0.35">
      <c r="D66" t="s">
        <v>261</v>
      </c>
    </row>
    <row r="67" spans="3:4" x14ac:dyDescent="0.35">
      <c r="C67" t="s">
        <v>177</v>
      </c>
      <c r="D67" t="s">
        <v>262</v>
      </c>
    </row>
    <row r="68" spans="3:4" x14ac:dyDescent="0.35">
      <c r="D68" t="s">
        <v>263</v>
      </c>
    </row>
    <row r="69" spans="3:4" x14ac:dyDescent="0.35">
      <c r="D69" t="s">
        <v>264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4.5" x14ac:dyDescent="0.35"/>
  <cols>
    <col min="2" max="2" width="3" bestFit="1" customWidth="1"/>
    <col min="3" max="3" width="155.26953125" customWidth="1"/>
  </cols>
  <sheetData>
    <row r="2" spans="2:3" ht="15" customHeight="1" x14ac:dyDescent="0.35">
      <c r="B2" s="52">
        <v>1</v>
      </c>
      <c r="C2" s="55" t="s">
        <v>270</v>
      </c>
    </row>
    <row r="3" spans="2:3" x14ac:dyDescent="0.35">
      <c r="B3" s="52">
        <v>2</v>
      </c>
      <c r="C3" s="53" t="s">
        <v>271</v>
      </c>
    </row>
    <row r="4" spans="2:3" x14ac:dyDescent="0.35">
      <c r="B4" s="52">
        <v>3</v>
      </c>
      <c r="C4" s="54" t="s">
        <v>272</v>
      </c>
    </row>
    <row r="5" spans="2:3" x14ac:dyDescent="0.35">
      <c r="B5" s="52">
        <v>4</v>
      </c>
      <c r="C5" s="53" t="s">
        <v>273</v>
      </c>
    </row>
    <row r="6" spans="2:3" x14ac:dyDescent="0.35">
      <c r="B6" s="52">
        <v>5</v>
      </c>
      <c r="C6" s="54" t="s">
        <v>274</v>
      </c>
    </row>
    <row r="7" spans="2:3" ht="29" x14ac:dyDescent="0.35">
      <c r="B7" s="52">
        <v>6</v>
      </c>
      <c r="C7" s="53" t="s">
        <v>275</v>
      </c>
    </row>
    <row r="8" spans="2:3" ht="72.5" x14ac:dyDescent="0.35">
      <c r="B8" s="52">
        <v>7</v>
      </c>
      <c r="C8" s="53" t="s">
        <v>276</v>
      </c>
    </row>
    <row r="9" spans="2:3" x14ac:dyDescent="0.35">
      <c r="B9" s="52">
        <v>8</v>
      </c>
      <c r="C9" s="54" t="s">
        <v>277</v>
      </c>
    </row>
    <row r="10" spans="2:3" x14ac:dyDescent="0.35">
      <c r="B10" s="52">
        <v>9</v>
      </c>
      <c r="C10" s="54" t="s">
        <v>278</v>
      </c>
    </row>
    <row r="11" spans="2:3" x14ac:dyDescent="0.35">
      <c r="B11" s="52">
        <v>10</v>
      </c>
      <c r="C11" s="54" t="s">
        <v>279</v>
      </c>
    </row>
    <row r="12" spans="2:3" x14ac:dyDescent="0.35">
      <c r="B12" s="52">
        <v>11</v>
      </c>
      <c r="C12" s="54" t="s">
        <v>280</v>
      </c>
    </row>
    <row r="13" spans="2:3" x14ac:dyDescent="0.35">
      <c r="B13" s="52">
        <v>12</v>
      </c>
      <c r="C13" s="54" t="s">
        <v>281</v>
      </c>
    </row>
    <row r="14" spans="2:3" x14ac:dyDescent="0.35">
      <c r="B14" s="52">
        <v>13</v>
      </c>
      <c r="C14" s="54" t="s">
        <v>282</v>
      </c>
    </row>
    <row r="15" spans="2:3" x14ac:dyDescent="0.35">
      <c r="B15" s="52">
        <v>14</v>
      </c>
      <c r="C15" s="54" t="s">
        <v>272</v>
      </c>
    </row>
    <row r="16" spans="2:3" x14ac:dyDescent="0.35">
      <c r="B16" s="52">
        <v>15</v>
      </c>
      <c r="C16" s="54" t="s">
        <v>284</v>
      </c>
    </row>
    <row r="17" spans="2:3" x14ac:dyDescent="0.35">
      <c r="B17" s="74">
        <v>16</v>
      </c>
      <c r="C17" s="58" t="s">
        <v>285</v>
      </c>
    </row>
    <row r="18" spans="2:3" x14ac:dyDescent="0.35">
      <c r="B18" s="57">
        <v>17</v>
      </c>
      <c r="C18" s="58" t="s">
        <v>286</v>
      </c>
    </row>
    <row r="19" spans="2:3" x14ac:dyDescent="0.35">
      <c r="B19" s="56">
        <v>18</v>
      </c>
      <c r="C19" s="52" t="s">
        <v>287</v>
      </c>
    </row>
    <row r="20" spans="2:3" x14ac:dyDescent="0.35">
      <c r="B20" s="57">
        <v>19</v>
      </c>
      <c r="C20" s="52" t="s">
        <v>323</v>
      </c>
    </row>
    <row r="21" spans="2:3" x14ac:dyDescent="0.35">
      <c r="B21" s="59">
        <v>20</v>
      </c>
      <c r="C21" s="52" t="s">
        <v>288</v>
      </c>
    </row>
    <row r="22" spans="2:3" x14ac:dyDescent="0.35">
      <c r="B22" s="57">
        <v>21</v>
      </c>
      <c r="C22" s="52" t="s">
        <v>287</v>
      </c>
    </row>
    <row r="23" spans="2:3" s="68" customFormat="1" ht="29.25" customHeight="1" x14ac:dyDescent="0.35">
      <c r="B23" s="67">
        <v>22</v>
      </c>
      <c r="C23" s="55" t="s">
        <v>315</v>
      </c>
    </row>
    <row r="24" spans="2:3" s="68" customFormat="1" ht="30.75" customHeight="1" x14ac:dyDescent="0.35">
      <c r="B24" s="69">
        <v>23</v>
      </c>
      <c r="C24" s="55" t="s">
        <v>316</v>
      </c>
    </row>
    <row r="25" spans="2:3" x14ac:dyDescent="0.35">
      <c r="B25" s="59">
        <v>24</v>
      </c>
      <c r="C25" s="52" t="s">
        <v>319</v>
      </c>
    </row>
    <row r="26" spans="2:3" x14ac:dyDescent="0.35">
      <c r="B26" s="57">
        <v>25</v>
      </c>
      <c r="C26" s="52" t="s">
        <v>317</v>
      </c>
    </row>
    <row r="27" spans="2:3" x14ac:dyDescent="0.35">
      <c r="B27" s="69">
        <v>26</v>
      </c>
      <c r="C27" s="59" t="s">
        <v>318</v>
      </c>
    </row>
    <row r="28" spans="2:3" x14ac:dyDescent="0.35">
      <c r="B28" s="70">
        <v>27</v>
      </c>
      <c r="C28" s="52" t="s">
        <v>320</v>
      </c>
    </row>
    <row r="29" spans="2:3" ht="43.5" x14ac:dyDescent="0.35">
      <c r="B29" s="73">
        <v>28</v>
      </c>
      <c r="C29" s="53" t="s">
        <v>321</v>
      </c>
    </row>
    <row r="30" spans="2:3" x14ac:dyDescent="0.35">
      <c r="B30" s="69">
        <v>29</v>
      </c>
      <c r="C30" s="52" t="s">
        <v>322</v>
      </c>
    </row>
    <row r="31" spans="2:3" ht="29" x14ac:dyDescent="0.35">
      <c r="B31" s="75">
        <v>30</v>
      </c>
      <c r="C31" s="53" t="s">
        <v>324</v>
      </c>
    </row>
    <row r="32" spans="2:3" x14ac:dyDescent="0.35">
      <c r="B32" s="69">
        <v>31</v>
      </c>
      <c r="C32" s="52" t="s">
        <v>325</v>
      </c>
    </row>
    <row r="33" spans="2:4" x14ac:dyDescent="0.35">
      <c r="B33" s="69">
        <v>32</v>
      </c>
      <c r="C33" s="52" t="s">
        <v>326</v>
      </c>
    </row>
    <row r="34" spans="2:4" ht="36.75" customHeight="1" x14ac:dyDescent="0.35">
      <c r="B34" s="75">
        <v>33</v>
      </c>
      <c r="C34" s="58" t="s">
        <v>327</v>
      </c>
    </row>
    <row r="35" spans="2:4" x14ac:dyDescent="0.35">
      <c r="B35" s="79">
        <v>34</v>
      </c>
      <c r="C35" s="52" t="s">
        <v>335</v>
      </c>
    </row>
    <row r="36" spans="2:4" ht="58" x14ac:dyDescent="0.35">
      <c r="B36" s="67">
        <v>35</v>
      </c>
      <c r="C36" s="53" t="s">
        <v>339</v>
      </c>
    </row>
    <row r="37" spans="2:4" x14ac:dyDescent="0.35">
      <c r="B37" s="52">
        <v>36</v>
      </c>
      <c r="C37" s="53" t="s">
        <v>349</v>
      </c>
    </row>
    <row r="38" spans="2:4" x14ac:dyDescent="0.35">
      <c r="B38" s="52">
        <f t="shared" ref="B38:B44" si="0">B37+1</f>
        <v>37</v>
      </c>
      <c r="C38" s="52" t="s">
        <v>345</v>
      </c>
    </row>
    <row r="39" spans="2:4" x14ac:dyDescent="0.35">
      <c r="B39" s="52">
        <f t="shared" si="0"/>
        <v>38</v>
      </c>
      <c r="C39" s="52" t="s">
        <v>346</v>
      </c>
    </row>
    <row r="40" spans="2:4" x14ac:dyDescent="0.35">
      <c r="B40" s="52">
        <f t="shared" si="0"/>
        <v>39</v>
      </c>
      <c r="C40" s="52" t="s">
        <v>347</v>
      </c>
    </row>
    <row r="41" spans="2:4" x14ac:dyDescent="0.35">
      <c r="B41" s="52">
        <f t="shared" si="0"/>
        <v>40</v>
      </c>
      <c r="C41" s="52" t="s">
        <v>348</v>
      </c>
    </row>
    <row r="42" spans="2:4" ht="29.5" thickBot="1" x14ac:dyDescent="0.4">
      <c r="B42" s="80">
        <f t="shared" si="0"/>
        <v>41</v>
      </c>
      <c r="C42" s="81" t="s">
        <v>350</v>
      </c>
    </row>
    <row r="43" spans="2:4" ht="29" x14ac:dyDescent="0.35">
      <c r="B43" s="84">
        <f t="shared" si="0"/>
        <v>42</v>
      </c>
      <c r="C43" s="89" t="s">
        <v>355</v>
      </c>
      <c r="D43" t="s">
        <v>356</v>
      </c>
    </row>
    <row r="44" spans="2:4" ht="15" thickBot="1" x14ac:dyDescent="0.4">
      <c r="B44" s="86">
        <f t="shared" si="0"/>
        <v>43</v>
      </c>
      <c r="C44" s="88" t="s">
        <v>351</v>
      </c>
    </row>
    <row r="45" spans="2:4" ht="15" thickBot="1" x14ac:dyDescent="0.4">
      <c r="B45" s="82">
        <f>B44+1</f>
        <v>44</v>
      </c>
      <c r="C45" s="83" t="s">
        <v>352</v>
      </c>
    </row>
    <row r="46" spans="2:4" ht="29" x14ac:dyDescent="0.35">
      <c r="B46" s="84">
        <f>B45+1</f>
        <v>45</v>
      </c>
      <c r="C46" s="85" t="s">
        <v>353</v>
      </c>
    </row>
    <row r="47" spans="2:4" ht="15" thickBot="1" x14ac:dyDescent="0.4">
      <c r="B47" s="86">
        <f>B46+1</f>
        <v>46</v>
      </c>
      <c r="C47" s="87" t="s">
        <v>354</v>
      </c>
    </row>
    <row r="48" spans="2:4" x14ac:dyDescent="0.35">
      <c r="B48" s="90">
        <f>B47+1</f>
        <v>47</v>
      </c>
      <c r="C48" s="91" t="s">
        <v>357</v>
      </c>
    </row>
    <row r="49" spans="2:3" x14ac:dyDescent="0.35">
      <c r="B49" s="90">
        <f>B48+1</f>
        <v>48</v>
      </c>
      <c r="C49" s="91" t="s">
        <v>358</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H19" sqref="H19"/>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61" t="s">
        <v>289</v>
      </c>
      <c r="C2" s="292"/>
      <c r="D2" s="292"/>
    </row>
    <row r="3" spans="1:12" x14ac:dyDescent="0.35">
      <c r="D3" s="62"/>
      <c r="E3" s="62"/>
      <c r="F3" s="62"/>
      <c r="G3" s="62"/>
      <c r="H3" s="62"/>
      <c r="I3" s="62"/>
    </row>
    <row r="4" spans="1:12" x14ac:dyDescent="0.35">
      <c r="A4" s="61" t="s">
        <v>65</v>
      </c>
      <c r="B4" s="63" t="s">
        <v>290</v>
      </c>
      <c r="C4" s="293" t="s">
        <v>291</v>
      </c>
      <c r="D4" s="293"/>
      <c r="E4" s="293"/>
      <c r="F4" s="63"/>
      <c r="G4" s="294" t="s">
        <v>292</v>
      </c>
      <c r="H4" s="294"/>
      <c r="I4" s="294"/>
      <c r="J4" s="295" t="s">
        <v>293</v>
      </c>
      <c r="K4" s="295"/>
      <c r="L4" s="295"/>
    </row>
    <row r="5" spans="1:12" x14ac:dyDescent="0.35">
      <c r="A5" s="61"/>
      <c r="B5" s="63"/>
      <c r="C5" s="63" t="s">
        <v>294</v>
      </c>
      <c r="D5" s="63" t="s">
        <v>295</v>
      </c>
      <c r="E5" s="63" t="s">
        <v>296</v>
      </c>
      <c r="F5" s="63"/>
      <c r="G5" s="63" t="s">
        <v>294</v>
      </c>
      <c r="H5" s="63" t="s">
        <v>295</v>
      </c>
      <c r="I5" s="63" t="s">
        <v>296</v>
      </c>
      <c r="J5" s="63" t="s">
        <v>294</v>
      </c>
      <c r="K5" s="63" t="s">
        <v>295</v>
      </c>
      <c r="L5" s="63" t="s">
        <v>296</v>
      </c>
    </row>
    <row r="6" spans="1:12" x14ac:dyDescent="0.35">
      <c r="B6" s="48" t="s">
        <v>297</v>
      </c>
      <c r="C6" s="48"/>
      <c r="D6" s="48"/>
      <c r="E6" s="48">
        <f>C6*D6</f>
        <v>0</v>
      </c>
      <c r="F6" s="48" t="s">
        <v>314</v>
      </c>
      <c r="G6" s="48"/>
      <c r="H6" s="48"/>
      <c r="I6" s="48">
        <f>G6*H6</f>
        <v>0</v>
      </c>
      <c r="J6" s="48"/>
      <c r="K6" s="48"/>
      <c r="L6" s="48">
        <f>J6*K6</f>
        <v>0</v>
      </c>
    </row>
    <row r="7" spans="1:12" x14ac:dyDescent="0.35">
      <c r="B7" s="48"/>
      <c r="C7" s="48"/>
      <c r="D7" s="48"/>
      <c r="E7" s="48">
        <f t="shared" ref="E7:E41" si="0">C7*D7</f>
        <v>0</v>
      </c>
      <c r="F7" s="48" t="s">
        <v>314</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298</v>
      </c>
      <c r="G9" s="48"/>
      <c r="H9" s="48"/>
      <c r="I9" s="48">
        <f t="shared" si="1"/>
        <v>0</v>
      </c>
      <c r="J9" s="48"/>
      <c r="K9" s="48"/>
      <c r="L9" s="48">
        <f t="shared" si="2"/>
        <v>0</v>
      </c>
    </row>
    <row r="10" spans="1:12" x14ac:dyDescent="0.35">
      <c r="B10" s="48" t="s">
        <v>299</v>
      </c>
      <c r="C10" s="48"/>
      <c r="D10" s="48"/>
      <c r="E10" s="48">
        <f t="shared" si="0"/>
        <v>0</v>
      </c>
      <c r="F10" s="48" t="s">
        <v>298</v>
      </c>
      <c r="G10" s="48"/>
      <c r="H10" s="48"/>
      <c r="I10" s="48">
        <f t="shared" si="1"/>
        <v>0</v>
      </c>
      <c r="J10" s="48"/>
      <c r="K10" s="48"/>
      <c r="L10" s="48">
        <f t="shared" si="2"/>
        <v>0</v>
      </c>
    </row>
    <row r="11" spans="1:12" x14ac:dyDescent="0.35">
      <c r="B11" s="48"/>
      <c r="C11" s="48"/>
      <c r="D11" s="48"/>
      <c r="E11" s="48">
        <f t="shared" si="0"/>
        <v>0</v>
      </c>
      <c r="F11" s="48" t="s">
        <v>300</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301</v>
      </c>
      <c r="C14" s="48"/>
      <c r="D14" s="48"/>
      <c r="E14" s="48">
        <f t="shared" si="0"/>
        <v>0</v>
      </c>
      <c r="F14" s="48" t="s">
        <v>298</v>
      </c>
      <c r="G14" s="48"/>
      <c r="H14" s="48"/>
      <c r="I14" s="48">
        <f t="shared" si="1"/>
        <v>0</v>
      </c>
      <c r="J14" s="48"/>
      <c r="K14" s="48"/>
      <c r="L14" s="48">
        <f t="shared" si="2"/>
        <v>0</v>
      </c>
    </row>
    <row r="15" spans="1:12" x14ac:dyDescent="0.35">
      <c r="B15" s="48"/>
      <c r="C15" s="48"/>
      <c r="D15" s="48"/>
      <c r="E15" s="48">
        <f t="shared" si="0"/>
        <v>0</v>
      </c>
      <c r="F15" s="48" t="s">
        <v>300</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302</v>
      </c>
      <c r="C18" s="48"/>
      <c r="D18" s="48"/>
      <c r="E18" s="48">
        <f t="shared" si="0"/>
        <v>0</v>
      </c>
      <c r="F18" s="48" t="s">
        <v>298</v>
      </c>
      <c r="G18" s="48"/>
      <c r="H18" s="48"/>
      <c r="I18" s="48">
        <f t="shared" si="1"/>
        <v>0</v>
      </c>
      <c r="J18" s="48"/>
      <c r="K18" s="48"/>
      <c r="L18" s="48">
        <f t="shared" si="2"/>
        <v>0</v>
      </c>
    </row>
    <row r="19" spans="2:12" x14ac:dyDescent="0.35">
      <c r="B19" s="48"/>
      <c r="C19" s="48"/>
      <c r="D19" s="48"/>
      <c r="E19" s="48">
        <f t="shared" si="0"/>
        <v>0</v>
      </c>
      <c r="F19" s="48" t="s">
        <v>300</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303</v>
      </c>
      <c r="C21" s="48"/>
      <c r="D21" s="48"/>
      <c r="E21" s="48">
        <f t="shared" si="0"/>
        <v>0</v>
      </c>
      <c r="F21" s="48" t="s">
        <v>298</v>
      </c>
      <c r="G21" s="48"/>
      <c r="H21" s="48"/>
      <c r="I21" s="48">
        <f t="shared" si="1"/>
        <v>0</v>
      </c>
      <c r="J21" s="48"/>
      <c r="K21" s="48"/>
      <c r="L21" s="48">
        <f t="shared" si="2"/>
        <v>0</v>
      </c>
    </row>
    <row r="22" spans="2:12" x14ac:dyDescent="0.35">
      <c r="B22" s="48"/>
      <c r="C22" s="48"/>
      <c r="D22" s="48"/>
      <c r="E22" s="48">
        <f t="shared" si="0"/>
        <v>0</v>
      </c>
      <c r="F22" s="48" t="s">
        <v>300</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304</v>
      </c>
      <c r="C24" s="48"/>
      <c r="D24" s="48"/>
      <c r="E24" s="48">
        <f t="shared" si="0"/>
        <v>0</v>
      </c>
      <c r="F24" s="48" t="s">
        <v>305</v>
      </c>
      <c r="G24" s="48"/>
      <c r="H24" s="48"/>
      <c r="I24" s="48">
        <f t="shared" si="1"/>
        <v>0</v>
      </c>
      <c r="J24" s="48"/>
      <c r="K24" s="48"/>
      <c r="L24" s="48">
        <f t="shared" si="2"/>
        <v>0</v>
      </c>
    </row>
    <row r="25" spans="2:12" x14ac:dyDescent="0.35">
      <c r="B25" s="48"/>
      <c r="C25" s="48"/>
      <c r="D25" s="48"/>
      <c r="E25" s="48">
        <f>C25*D25</f>
        <v>0</v>
      </c>
      <c r="F25" s="48" t="s">
        <v>305</v>
      </c>
      <c r="G25" s="48"/>
      <c r="H25" s="48"/>
      <c r="I25" s="48">
        <f>G25*H25</f>
        <v>0</v>
      </c>
      <c r="J25" s="48"/>
      <c r="K25" s="48"/>
      <c r="L25" s="48">
        <f>J25*K25</f>
        <v>0</v>
      </c>
    </row>
    <row r="26" spans="2:12" x14ac:dyDescent="0.35">
      <c r="B26" s="48"/>
      <c r="C26" s="48"/>
      <c r="D26" s="48"/>
      <c r="E26" s="48">
        <f>C26*D26</f>
        <v>0</v>
      </c>
      <c r="F26" s="48" t="s">
        <v>305</v>
      </c>
      <c r="G26" s="48"/>
      <c r="H26" s="48"/>
      <c r="I26" s="48">
        <f>G26*H26</f>
        <v>0</v>
      </c>
      <c r="J26" s="48"/>
      <c r="K26" s="48"/>
      <c r="L26" s="48">
        <f>J26*K26</f>
        <v>0</v>
      </c>
    </row>
    <row r="27" spans="2:12" x14ac:dyDescent="0.35">
      <c r="B27" s="48"/>
      <c r="C27" s="48"/>
      <c r="D27" s="48"/>
      <c r="E27" s="48">
        <f>C27*D27</f>
        <v>0</v>
      </c>
      <c r="F27" s="48" t="s">
        <v>305</v>
      </c>
      <c r="G27" s="48"/>
      <c r="H27" s="48"/>
      <c r="I27" s="48">
        <f>G27*H27</f>
        <v>0</v>
      </c>
      <c r="J27" s="48"/>
      <c r="K27" s="48"/>
      <c r="L27" s="48">
        <f>J27*K27</f>
        <v>0</v>
      </c>
    </row>
    <row r="28" spans="2:12" x14ac:dyDescent="0.35">
      <c r="B28" s="48" t="s">
        <v>306</v>
      </c>
      <c r="C28" s="48"/>
      <c r="D28" s="48"/>
      <c r="E28" s="48">
        <f t="shared" si="0"/>
        <v>0</v>
      </c>
      <c r="F28" s="48" t="s">
        <v>305</v>
      </c>
      <c r="G28" s="48"/>
      <c r="H28" s="48"/>
      <c r="I28" s="48">
        <f t="shared" si="1"/>
        <v>0</v>
      </c>
      <c r="J28" s="48"/>
      <c r="K28" s="48"/>
      <c r="L28" s="48">
        <f t="shared" si="2"/>
        <v>0</v>
      </c>
    </row>
    <row r="29" spans="2:12" x14ac:dyDescent="0.35">
      <c r="B29" s="48" t="s">
        <v>307</v>
      </c>
      <c r="C29" s="48"/>
      <c r="D29" s="48"/>
      <c r="E29" s="48">
        <f t="shared" si="0"/>
        <v>0</v>
      </c>
      <c r="F29" s="48" t="s">
        <v>305</v>
      </c>
      <c r="G29" s="48"/>
      <c r="H29" s="48"/>
      <c r="I29" s="48">
        <f t="shared" si="1"/>
        <v>0</v>
      </c>
      <c r="J29" s="48"/>
      <c r="K29" s="48"/>
      <c r="L29" s="48">
        <f t="shared" si="2"/>
        <v>0</v>
      </c>
    </row>
    <row r="30" spans="2:12" x14ac:dyDescent="0.35">
      <c r="B30" s="48" t="s">
        <v>311</v>
      </c>
      <c r="C30" s="48"/>
      <c r="D30" s="48"/>
      <c r="E30" s="48">
        <f t="shared" si="0"/>
        <v>0</v>
      </c>
      <c r="F30" s="48"/>
      <c r="G30" s="48"/>
      <c r="H30" s="48"/>
      <c r="I30" s="48">
        <f t="shared" si="1"/>
        <v>0</v>
      </c>
      <c r="J30" s="48"/>
      <c r="K30" s="48"/>
      <c r="L30" s="48">
        <f t="shared" si="2"/>
        <v>0</v>
      </c>
    </row>
    <row r="31" spans="2:12" x14ac:dyDescent="0.35">
      <c r="B31" s="48"/>
      <c r="C31" s="48"/>
      <c r="D31" s="48"/>
      <c r="E31" s="48">
        <f>C31*D31</f>
        <v>0</v>
      </c>
      <c r="F31" s="48"/>
      <c r="G31" s="48"/>
      <c r="H31" s="48"/>
      <c r="I31" s="48">
        <f>G31*H31</f>
        <v>0</v>
      </c>
      <c r="J31" s="48"/>
      <c r="K31" s="48"/>
      <c r="L31" s="48">
        <f>J31*K31</f>
        <v>0</v>
      </c>
    </row>
    <row r="32" spans="2:12" x14ac:dyDescent="0.35">
      <c r="B32" s="48"/>
      <c r="C32" s="48"/>
      <c r="D32" s="48"/>
      <c r="E32" s="48">
        <f>C32*D32</f>
        <v>0</v>
      </c>
      <c r="F32" s="48"/>
      <c r="G32" s="48"/>
      <c r="H32" s="48"/>
      <c r="I32" s="48">
        <f>G32*H32</f>
        <v>0</v>
      </c>
      <c r="J32" s="48"/>
      <c r="K32" s="48"/>
      <c r="L32" s="48">
        <f>J32*K32</f>
        <v>0</v>
      </c>
    </row>
    <row r="33" spans="2:12" x14ac:dyDescent="0.35">
      <c r="B33" s="48" t="s">
        <v>308</v>
      </c>
      <c r="C33" s="48"/>
      <c r="D33" s="48"/>
      <c r="E33" s="48">
        <f t="shared" si="0"/>
        <v>0</v>
      </c>
      <c r="F33" s="48"/>
      <c r="G33" s="48"/>
      <c r="H33" s="48"/>
      <c r="I33" s="48">
        <f t="shared" si="1"/>
        <v>0</v>
      </c>
      <c r="J33" s="48"/>
      <c r="K33" s="48"/>
      <c r="L33" s="48">
        <f t="shared" si="2"/>
        <v>0</v>
      </c>
    </row>
    <row r="34" spans="2:12" x14ac:dyDescent="0.35">
      <c r="B34" s="48" t="s">
        <v>312</v>
      </c>
      <c r="C34" s="48"/>
      <c r="D34" s="48"/>
      <c r="E34" s="48">
        <f t="shared" si="0"/>
        <v>0</v>
      </c>
      <c r="F34" s="48"/>
      <c r="G34" s="48"/>
      <c r="H34" s="48"/>
      <c r="I34" s="48">
        <f t="shared" si="1"/>
        <v>0</v>
      </c>
      <c r="J34" s="48"/>
      <c r="K34" s="48"/>
      <c r="L34" s="48">
        <f t="shared" si="2"/>
        <v>0</v>
      </c>
    </row>
    <row r="35" spans="2:12" x14ac:dyDescent="0.35">
      <c r="B35" s="48" t="s">
        <v>309</v>
      </c>
      <c r="C35" s="48"/>
      <c r="D35" s="48"/>
      <c r="E35" s="48">
        <f t="shared" si="0"/>
        <v>0</v>
      </c>
      <c r="F35" s="48"/>
      <c r="G35" s="48"/>
      <c r="H35" s="48"/>
      <c r="I35" s="48">
        <f t="shared" si="1"/>
        <v>0</v>
      </c>
      <c r="J35" s="48"/>
      <c r="K35" s="48"/>
      <c r="L35" s="48">
        <f t="shared" si="2"/>
        <v>0</v>
      </c>
    </row>
    <row r="36" spans="2:12" x14ac:dyDescent="0.35">
      <c r="B36" s="48" t="s">
        <v>310</v>
      </c>
      <c r="C36" s="48"/>
      <c r="D36" s="48"/>
      <c r="E36" s="48">
        <f t="shared" si="0"/>
        <v>0</v>
      </c>
      <c r="F36" s="48"/>
      <c r="G36" s="48"/>
      <c r="H36" s="48"/>
      <c r="I36" s="48">
        <f t="shared" ref="I36:I41" si="3">G36*H36</f>
        <v>0</v>
      </c>
      <c r="J36" s="48"/>
      <c r="K36" s="48"/>
      <c r="L36" s="48">
        <f t="shared" ref="L36:L41" si="4">J36*K36</f>
        <v>0</v>
      </c>
    </row>
    <row r="37" spans="2:12" x14ac:dyDescent="0.35">
      <c r="B37" s="48"/>
      <c r="C37" s="48"/>
      <c r="D37" s="48"/>
      <c r="E37" s="48">
        <f>C37*D37</f>
        <v>0</v>
      </c>
      <c r="F37" s="48"/>
      <c r="G37" s="48"/>
      <c r="H37" s="48"/>
      <c r="I37" s="48">
        <f t="shared" si="3"/>
        <v>0</v>
      </c>
      <c r="J37" s="48"/>
      <c r="K37" s="48"/>
      <c r="L37" s="48">
        <f t="shared" si="4"/>
        <v>0</v>
      </c>
    </row>
    <row r="38" spans="2:12" x14ac:dyDescent="0.35">
      <c r="B38" s="48" t="s">
        <v>313</v>
      </c>
      <c r="C38" s="48"/>
      <c r="D38" s="48"/>
      <c r="E38" s="48">
        <f>C38*D38</f>
        <v>0</v>
      </c>
      <c r="F38" s="48"/>
      <c r="G38" s="48"/>
      <c r="H38" s="48"/>
      <c r="I38" s="48">
        <f t="shared" si="3"/>
        <v>0</v>
      </c>
      <c r="J38" s="48"/>
      <c r="K38" s="48"/>
      <c r="L38" s="48">
        <f t="shared" si="4"/>
        <v>0</v>
      </c>
    </row>
    <row r="39" spans="2:12" x14ac:dyDescent="0.35">
      <c r="B39" s="48"/>
      <c r="C39" s="48"/>
      <c r="D39" s="48"/>
      <c r="E39" s="48">
        <f t="shared" si="0"/>
        <v>0</v>
      </c>
      <c r="F39" s="48"/>
      <c r="G39" s="48"/>
      <c r="H39" s="48"/>
      <c r="I39" s="48">
        <f t="shared" si="3"/>
        <v>0</v>
      </c>
      <c r="J39" s="48"/>
      <c r="K39" s="48"/>
      <c r="L39" s="48">
        <f t="shared" si="4"/>
        <v>0</v>
      </c>
    </row>
    <row r="40" spans="2:12" x14ac:dyDescent="0.35">
      <c r="B40" s="48"/>
      <c r="C40" s="48"/>
      <c r="D40" s="48"/>
      <c r="E40" s="48">
        <f t="shared" si="0"/>
        <v>0</v>
      </c>
      <c r="F40" s="48"/>
      <c r="G40" s="48"/>
      <c r="H40" s="48"/>
      <c r="I40" s="48">
        <f t="shared" si="3"/>
        <v>0</v>
      </c>
      <c r="J40" s="48"/>
      <c r="K40" s="48"/>
      <c r="L40" s="48">
        <f t="shared" si="4"/>
        <v>0</v>
      </c>
    </row>
    <row r="41" spans="2:12" x14ac:dyDescent="0.35">
      <c r="B41" s="48"/>
      <c r="C41" s="48"/>
      <c r="D41" s="48"/>
      <c r="E41" s="48">
        <f t="shared" si="0"/>
        <v>0</v>
      </c>
      <c r="F41" s="48"/>
      <c r="G41" s="48"/>
      <c r="H41" s="48"/>
      <c r="I41" s="48">
        <f t="shared" si="3"/>
        <v>0</v>
      </c>
      <c r="J41" s="48"/>
      <c r="K41" s="48"/>
      <c r="L41" s="48">
        <f t="shared" si="4"/>
        <v>0</v>
      </c>
    </row>
    <row r="42" spans="2:12" x14ac:dyDescent="0.35">
      <c r="B42" s="48" t="s">
        <v>142</v>
      </c>
      <c r="C42" s="48"/>
      <c r="D42" s="48">
        <f>E42*10.764</f>
        <v>0</v>
      </c>
      <c r="E42" s="66">
        <f>SUM(E6:E41)</f>
        <v>0</v>
      </c>
      <c r="F42" s="48"/>
      <c r="G42" s="48"/>
      <c r="H42" s="48">
        <f>I42*10.764</f>
        <v>0</v>
      </c>
      <c r="I42" s="65">
        <f>SUM(I6:I41)</f>
        <v>0</v>
      </c>
      <c r="J42" s="48"/>
      <c r="K42" s="48">
        <f>L42*10.764</f>
        <v>0</v>
      </c>
      <c r="L42" s="64">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2025-08-16T09:29:18Z</cp:lastPrinted>
  <dcterms:created xsi:type="dcterms:W3CDTF">2019-07-16T09:29:46Z</dcterms:created>
  <dcterms:modified xsi:type="dcterms:W3CDTF">2025-08-16T09:32:18Z</dcterms:modified>
</cp:coreProperties>
</file>