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8-08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Report!$A$1:$H$1120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C91" i="1"/>
  <c r="E970" i="1" l="1"/>
  <c r="E969" i="1"/>
  <c r="E966" i="1"/>
  <c r="E967" i="1"/>
  <c r="E965" i="1"/>
  <c r="E964" i="1"/>
  <c r="E963" i="1"/>
  <c r="E961" i="1"/>
  <c r="E960" i="1"/>
  <c r="E959" i="1"/>
  <c r="E958" i="1"/>
  <c r="E957" i="1"/>
  <c r="E956" i="1"/>
  <c r="E955" i="1"/>
  <c r="E954" i="1"/>
  <c r="E952" i="1"/>
  <c r="E951" i="1"/>
  <c r="E950" i="1"/>
  <c r="E949" i="1"/>
  <c r="E948" i="1"/>
  <c r="E947" i="1"/>
  <c r="E946" i="1"/>
  <c r="E945" i="1"/>
  <c r="E981" i="1"/>
  <c r="E980" i="1"/>
  <c r="E979" i="1"/>
  <c r="E978" i="1"/>
  <c r="E977" i="1"/>
  <c r="E976" i="1"/>
  <c r="E975" i="1"/>
  <c r="E974" i="1"/>
  <c r="E988" i="1"/>
  <c r="E989" i="1"/>
  <c r="E990" i="1"/>
  <c r="E987" i="1"/>
  <c r="E986" i="1"/>
  <c r="E985" i="1"/>
  <c r="E984" i="1"/>
  <c r="E983" i="1"/>
  <c r="E994" i="1"/>
  <c r="E995" i="1"/>
  <c r="E996" i="1"/>
  <c r="E993" i="1"/>
  <c r="E992" i="1"/>
  <c r="E999" i="1"/>
  <c r="E998" i="1"/>
  <c r="E730" i="1"/>
  <c r="E729" i="1"/>
  <c r="E725" i="1"/>
  <c r="E726" i="1"/>
  <c r="E727" i="1"/>
  <c r="E724" i="1"/>
  <c r="E723" i="1"/>
  <c r="E721" i="1"/>
  <c r="E720" i="1"/>
  <c r="E719" i="1"/>
  <c r="E718" i="1"/>
  <c r="E717" i="1"/>
  <c r="E716" i="1"/>
  <c r="E715" i="1"/>
  <c r="E714" i="1"/>
  <c r="E710" i="1"/>
  <c r="E711" i="1"/>
  <c r="E712" i="1"/>
  <c r="E707" i="1"/>
  <c r="E708" i="1"/>
  <c r="E709" i="1"/>
  <c r="E706" i="1"/>
  <c r="E705" i="1"/>
  <c r="E672" i="1"/>
  <c r="E671" i="1"/>
  <c r="E666" i="1"/>
  <c r="E667" i="1"/>
  <c r="E668" i="1"/>
  <c r="E669" i="1"/>
  <c r="E665" i="1"/>
  <c r="E657" i="1"/>
  <c r="E658" i="1"/>
  <c r="E659" i="1"/>
  <c r="E660" i="1"/>
  <c r="E661" i="1"/>
  <c r="E662" i="1"/>
  <c r="E663" i="1"/>
  <c r="E656" i="1"/>
  <c r="E648" i="1"/>
  <c r="E649" i="1"/>
  <c r="E650" i="1"/>
  <c r="E651" i="1"/>
  <c r="E652" i="1"/>
  <c r="E653" i="1"/>
  <c r="E654" i="1"/>
  <c r="E647" i="1"/>
  <c r="J659" i="1"/>
  <c r="D999" i="1"/>
  <c r="D998" i="1"/>
  <c r="D996" i="1"/>
  <c r="D995" i="1"/>
  <c r="F995" i="1" s="1"/>
  <c r="D994" i="1"/>
  <c r="D993" i="1"/>
  <c r="G992" i="1"/>
  <c r="D992" i="1"/>
  <c r="D990" i="1"/>
  <c r="D989" i="1"/>
  <c r="D988" i="1"/>
  <c r="D987" i="1"/>
  <c r="D986" i="1"/>
  <c r="D985" i="1"/>
  <c r="D984" i="1"/>
  <c r="G983" i="1"/>
  <c r="D983" i="1"/>
  <c r="D981" i="1"/>
  <c r="D980" i="1"/>
  <c r="D979" i="1"/>
  <c r="D978" i="1"/>
  <c r="D977" i="1"/>
  <c r="D976" i="1"/>
  <c r="D975" i="1"/>
  <c r="G974" i="1"/>
  <c r="D974" i="1"/>
  <c r="D970" i="1"/>
  <c r="D969" i="1"/>
  <c r="D967" i="1"/>
  <c r="D966" i="1"/>
  <c r="D965" i="1"/>
  <c r="D964" i="1"/>
  <c r="G963" i="1"/>
  <c r="D963" i="1"/>
  <c r="F963" i="1" s="1"/>
  <c r="D961" i="1"/>
  <c r="D960" i="1"/>
  <c r="D959" i="1"/>
  <c r="D958" i="1"/>
  <c r="F958" i="1" s="1"/>
  <c r="D957" i="1"/>
  <c r="D956" i="1"/>
  <c r="D955" i="1"/>
  <c r="G954" i="1"/>
  <c r="D954" i="1"/>
  <c r="D952" i="1"/>
  <c r="D951" i="1"/>
  <c r="F951" i="1" s="1"/>
  <c r="D950" i="1"/>
  <c r="D949" i="1"/>
  <c r="F949" i="1" s="1"/>
  <c r="D948" i="1"/>
  <c r="D947" i="1"/>
  <c r="D946" i="1"/>
  <c r="G945" i="1"/>
  <c r="D945" i="1"/>
  <c r="D712" i="1"/>
  <c r="D711" i="1"/>
  <c r="D710" i="1"/>
  <c r="D709" i="1"/>
  <c r="D708" i="1"/>
  <c r="D707" i="1"/>
  <c r="D706" i="1"/>
  <c r="D705" i="1"/>
  <c r="D721" i="1"/>
  <c r="D720" i="1"/>
  <c r="D719" i="1"/>
  <c r="D718" i="1"/>
  <c r="D717" i="1"/>
  <c r="D716" i="1"/>
  <c r="D715" i="1"/>
  <c r="D714" i="1"/>
  <c r="P963" i="1"/>
  <c r="O954" i="1"/>
  <c r="O983" i="1"/>
  <c r="P992" i="1"/>
  <c r="O974" i="1"/>
  <c r="P974" i="1"/>
  <c r="O945" i="1"/>
  <c r="O992" i="1"/>
  <c r="P945" i="1"/>
  <c r="P983" i="1"/>
  <c r="P954" i="1"/>
  <c r="O963" i="1"/>
  <c r="F979" i="1" l="1"/>
  <c r="F980" i="1"/>
  <c r="F993" i="1"/>
  <c r="F989" i="1"/>
  <c r="F998" i="1"/>
  <c r="F950" i="1"/>
  <c r="F975" i="1"/>
  <c r="F977" i="1"/>
  <c r="E352" i="1"/>
  <c r="F981" i="1"/>
  <c r="C351" i="1"/>
  <c r="F983" i="1"/>
  <c r="F999" i="1"/>
  <c r="F976" i="1"/>
  <c r="F978" i="1"/>
  <c r="C352" i="1"/>
  <c r="E351" i="1"/>
  <c r="F946" i="1"/>
  <c r="F948" i="1"/>
  <c r="F955" i="1"/>
  <c r="F967" i="1"/>
  <c r="F984" i="1"/>
  <c r="F988" i="1"/>
  <c r="F990" i="1"/>
  <c r="F994" i="1"/>
  <c r="F996" i="1"/>
  <c r="F987" i="1"/>
  <c r="F969" i="1"/>
  <c r="F954" i="1"/>
  <c r="F961" i="1"/>
  <c r="F974" i="1"/>
  <c r="J974" i="1" s="1"/>
  <c r="F986" i="1"/>
  <c r="F992" i="1"/>
  <c r="F945" i="1"/>
  <c r="F959" i="1"/>
  <c r="F964" i="1"/>
  <c r="F985" i="1"/>
  <c r="O993" i="1"/>
  <c r="N992" i="1"/>
  <c r="A992" i="1" s="1"/>
  <c r="P993" i="1"/>
  <c r="P994" i="1" s="1"/>
  <c r="P995" i="1" s="1"/>
  <c r="P996" i="1" s="1"/>
  <c r="P997" i="1" s="1"/>
  <c r="P998" i="1" s="1"/>
  <c r="P999" i="1" s="1"/>
  <c r="P984" i="1"/>
  <c r="P985" i="1" s="1"/>
  <c r="P986" i="1" s="1"/>
  <c r="P987" i="1" s="1"/>
  <c r="P988" i="1" s="1"/>
  <c r="P989" i="1" s="1"/>
  <c r="P990" i="1" s="1"/>
  <c r="O975" i="1"/>
  <c r="N974" i="1"/>
  <c r="A974" i="1" s="1"/>
  <c r="P975" i="1"/>
  <c r="P976" i="1" s="1"/>
  <c r="P977" i="1" s="1"/>
  <c r="P978" i="1" s="1"/>
  <c r="P979" i="1" s="1"/>
  <c r="P980" i="1" s="1"/>
  <c r="P981" i="1" s="1"/>
  <c r="O984" i="1"/>
  <c r="N983" i="1"/>
  <c r="A983" i="1" s="1"/>
  <c r="F956" i="1"/>
  <c r="F966" i="1"/>
  <c r="F957" i="1"/>
  <c r="F960" i="1"/>
  <c r="F965" i="1"/>
  <c r="F947" i="1"/>
  <c r="F952" i="1"/>
  <c r="F970" i="1"/>
  <c r="P955" i="1"/>
  <c r="P956" i="1" s="1"/>
  <c r="P957" i="1" s="1"/>
  <c r="P958" i="1" s="1"/>
  <c r="P959" i="1" s="1"/>
  <c r="P960" i="1" s="1"/>
  <c r="P961" i="1" s="1"/>
  <c r="O964" i="1"/>
  <c r="N963" i="1"/>
  <c r="A963" i="1" s="1"/>
  <c r="P964" i="1"/>
  <c r="P965" i="1" s="1"/>
  <c r="P966" i="1" s="1"/>
  <c r="P967" i="1" s="1"/>
  <c r="P968" i="1" s="1"/>
  <c r="P969" i="1" s="1"/>
  <c r="P970" i="1" s="1"/>
  <c r="O946" i="1"/>
  <c r="N945" i="1"/>
  <c r="A945" i="1" s="1"/>
  <c r="P946" i="1"/>
  <c r="P947" i="1" s="1"/>
  <c r="P948" i="1" s="1"/>
  <c r="P949" i="1" s="1"/>
  <c r="P950" i="1" s="1"/>
  <c r="P951" i="1" s="1"/>
  <c r="P952" i="1" s="1"/>
  <c r="O955" i="1"/>
  <c r="N954" i="1"/>
  <c r="A954" i="1" s="1"/>
  <c r="D730" i="1"/>
  <c r="D729" i="1"/>
  <c r="D727" i="1"/>
  <c r="D726" i="1"/>
  <c r="D725" i="1"/>
  <c r="F725" i="1" s="1"/>
  <c r="D724" i="1"/>
  <c r="G723" i="1"/>
  <c r="D723" i="1"/>
  <c r="D669" i="1"/>
  <c r="D661" i="1"/>
  <c r="D660" i="1"/>
  <c r="D651" i="1"/>
  <c r="D656" i="1"/>
  <c r="D657" i="1"/>
  <c r="D658" i="1"/>
  <c r="D659" i="1"/>
  <c r="D662" i="1"/>
  <c r="D663" i="1"/>
  <c r="D672" i="1"/>
  <c r="D671" i="1"/>
  <c r="D668" i="1"/>
  <c r="D667" i="1"/>
  <c r="D666" i="1"/>
  <c r="G665" i="1"/>
  <c r="D665" i="1"/>
  <c r="P665" i="1"/>
  <c r="O665" i="1"/>
  <c r="P723" i="1"/>
  <c r="O723" i="1"/>
  <c r="E335" i="1" l="1"/>
  <c r="C335" i="1"/>
  <c r="J945" i="1"/>
  <c r="G351" i="1"/>
  <c r="G352" i="1"/>
  <c r="O985" i="1"/>
  <c r="N984" i="1"/>
  <c r="A984" i="1" s="1"/>
  <c r="O976" i="1"/>
  <c r="N975" i="1"/>
  <c r="A975" i="1" s="1"/>
  <c r="O994" i="1"/>
  <c r="N993" i="1"/>
  <c r="A993" i="1" s="1"/>
  <c r="O947" i="1"/>
  <c r="N946" i="1"/>
  <c r="A946" i="1" s="1"/>
  <c r="O956" i="1"/>
  <c r="N955" i="1"/>
  <c r="A955" i="1" s="1"/>
  <c r="O965" i="1"/>
  <c r="N964" i="1"/>
  <c r="A964" i="1" s="1"/>
  <c r="F730" i="1"/>
  <c r="F726" i="1"/>
  <c r="F724" i="1"/>
  <c r="F723" i="1"/>
  <c r="F729" i="1"/>
  <c r="F727" i="1"/>
  <c r="P724" i="1"/>
  <c r="P725" i="1" s="1"/>
  <c r="P726" i="1" s="1"/>
  <c r="P727" i="1" s="1"/>
  <c r="P728" i="1" s="1"/>
  <c r="P729" i="1" s="1"/>
  <c r="P730" i="1" s="1"/>
  <c r="O724" i="1"/>
  <c r="N723" i="1"/>
  <c r="A723" i="1" s="1"/>
  <c r="F669" i="1"/>
  <c r="F672" i="1"/>
  <c r="F668" i="1"/>
  <c r="F665" i="1"/>
  <c r="F671" i="1"/>
  <c r="F667" i="1"/>
  <c r="F666" i="1"/>
  <c r="P666" i="1"/>
  <c r="P667" i="1" s="1"/>
  <c r="P668" i="1" s="1"/>
  <c r="P669" i="1" s="1"/>
  <c r="P670" i="1" s="1"/>
  <c r="P671" i="1" s="1"/>
  <c r="P672" i="1" s="1"/>
  <c r="O666" i="1"/>
  <c r="N665" i="1"/>
  <c r="A665" i="1" s="1"/>
  <c r="J172" i="1"/>
  <c r="J171" i="1"/>
  <c r="J170" i="1"/>
  <c r="J169" i="1"/>
  <c r="E3" i="1"/>
  <c r="J284" i="1"/>
  <c r="J283" i="1"/>
  <c r="J282" i="1"/>
  <c r="J281" i="1"/>
  <c r="J242" i="1"/>
  <c r="J241" i="1"/>
  <c r="J240" i="1"/>
  <c r="J239" i="1"/>
  <c r="H162" i="1"/>
  <c r="H274" i="1"/>
  <c r="H232" i="1"/>
  <c r="O977" i="1" l="1"/>
  <c r="N976" i="1"/>
  <c r="A976" i="1" s="1"/>
  <c r="O995" i="1"/>
  <c r="N994" i="1"/>
  <c r="A994" i="1" s="1"/>
  <c r="O986" i="1"/>
  <c r="N985" i="1"/>
  <c r="A985" i="1" s="1"/>
  <c r="O957" i="1"/>
  <c r="N956" i="1"/>
  <c r="A956" i="1" s="1"/>
  <c r="O966" i="1"/>
  <c r="N965" i="1"/>
  <c r="A965" i="1" s="1"/>
  <c r="O948" i="1"/>
  <c r="N947" i="1"/>
  <c r="A947" i="1" s="1"/>
  <c r="O725" i="1"/>
  <c r="N724" i="1"/>
  <c r="A724" i="1" s="1"/>
  <c r="O667" i="1"/>
  <c r="N666" i="1"/>
  <c r="A666" i="1" s="1"/>
  <c r="J166" i="1"/>
  <c r="C165" i="1" s="1"/>
  <c r="D165" i="1" s="1"/>
  <c r="J164" i="1"/>
  <c r="D174" i="1"/>
  <c r="D172" i="1"/>
  <c r="D170" i="1"/>
  <c r="D168" i="1"/>
  <c r="J167" i="1"/>
  <c r="J168" i="1" s="1"/>
  <c r="J173" i="1" s="1"/>
  <c r="J174" i="1" s="1"/>
  <c r="C166" i="1" s="1"/>
  <c r="D173" i="1"/>
  <c r="D171" i="1"/>
  <c r="D169" i="1"/>
  <c r="D167" i="1"/>
  <c r="J165" i="1"/>
  <c r="D286" i="1"/>
  <c r="D284" i="1"/>
  <c r="D282" i="1"/>
  <c r="D280" i="1"/>
  <c r="D278" i="1"/>
  <c r="D277" i="1"/>
  <c r="D283" i="1"/>
  <c r="D279" i="1"/>
  <c r="J278" i="1"/>
  <c r="E277" i="1"/>
  <c r="J279" i="1"/>
  <c r="J280" i="1" s="1"/>
  <c r="J285" i="1" s="1"/>
  <c r="J286" i="1" s="1"/>
  <c r="J277" i="1"/>
  <c r="J276" i="1"/>
  <c r="D285" i="1"/>
  <c r="D281" i="1"/>
  <c r="G277" i="1"/>
  <c r="J236" i="1"/>
  <c r="C235" i="1" s="1"/>
  <c r="D235" i="1" s="1"/>
  <c r="D244" i="1"/>
  <c r="D242" i="1"/>
  <c r="D240" i="1"/>
  <c r="D238" i="1"/>
  <c r="J237" i="1"/>
  <c r="J238" i="1" s="1"/>
  <c r="J243" i="1" s="1"/>
  <c r="J244" i="1" s="1"/>
  <c r="C236" i="1" s="1"/>
  <c r="D236" i="1" s="1"/>
  <c r="J234" i="1"/>
  <c r="D243" i="1"/>
  <c r="D241" i="1"/>
  <c r="D239" i="1"/>
  <c r="D237" i="1"/>
  <c r="J235" i="1"/>
  <c r="J214" i="1"/>
  <c r="J213" i="1"/>
  <c r="J212" i="1"/>
  <c r="J211" i="1"/>
  <c r="I334" i="1"/>
  <c r="I329" i="1"/>
  <c r="I339" i="1"/>
  <c r="I511" i="1"/>
  <c r="E513" i="1"/>
  <c r="D513" i="1"/>
  <c r="E512" i="1"/>
  <c r="D512" i="1"/>
  <c r="G511" i="1"/>
  <c r="G512" i="1" s="1"/>
  <c r="G513" i="1" s="1"/>
  <c r="E511" i="1"/>
  <c r="D511" i="1"/>
  <c r="E509" i="1"/>
  <c r="D509" i="1"/>
  <c r="E508" i="1"/>
  <c r="D508" i="1"/>
  <c r="E507" i="1"/>
  <c r="D507" i="1"/>
  <c r="G506" i="1"/>
  <c r="G507" i="1" s="1"/>
  <c r="G508" i="1" s="1"/>
  <c r="G509" i="1" s="1"/>
  <c r="E506" i="1"/>
  <c r="D506" i="1"/>
  <c r="E504" i="1"/>
  <c r="D504" i="1"/>
  <c r="E503" i="1"/>
  <c r="D503" i="1"/>
  <c r="E502" i="1"/>
  <c r="D502" i="1"/>
  <c r="G501" i="1"/>
  <c r="E501" i="1"/>
  <c r="D501" i="1"/>
  <c r="E499" i="1"/>
  <c r="D499" i="1"/>
  <c r="E498" i="1"/>
  <c r="D498" i="1"/>
  <c r="E497" i="1"/>
  <c r="D497" i="1"/>
  <c r="I496" i="1"/>
  <c r="G496" i="1"/>
  <c r="E496" i="1"/>
  <c r="D496" i="1"/>
  <c r="A496" i="1"/>
  <c r="A497" i="1" s="1"/>
  <c r="A498" i="1" s="1"/>
  <c r="A499" i="1" s="1"/>
  <c r="E493" i="1"/>
  <c r="D493" i="1"/>
  <c r="E492" i="1"/>
  <c r="D492" i="1"/>
  <c r="G491" i="1"/>
  <c r="G492" i="1" s="1"/>
  <c r="G493" i="1" s="1"/>
  <c r="E491" i="1"/>
  <c r="D491" i="1"/>
  <c r="E489" i="1"/>
  <c r="D489" i="1"/>
  <c r="E488" i="1"/>
  <c r="D488" i="1"/>
  <c r="E487" i="1"/>
  <c r="D487" i="1"/>
  <c r="G486" i="1"/>
  <c r="G487" i="1" s="1"/>
  <c r="G488" i="1" s="1"/>
  <c r="G489" i="1" s="1"/>
  <c r="E486" i="1"/>
  <c r="D486" i="1"/>
  <c r="E484" i="1"/>
  <c r="D484" i="1"/>
  <c r="E483" i="1"/>
  <c r="D483" i="1"/>
  <c r="E482" i="1"/>
  <c r="D482" i="1"/>
  <c r="G481" i="1"/>
  <c r="E481" i="1"/>
  <c r="D481" i="1"/>
  <c r="E479" i="1"/>
  <c r="D479" i="1"/>
  <c r="E478" i="1"/>
  <c r="D478" i="1"/>
  <c r="E477" i="1"/>
  <c r="D477" i="1"/>
  <c r="G476" i="1"/>
  <c r="G477" i="1" s="1"/>
  <c r="G478" i="1" s="1"/>
  <c r="G479" i="1" s="1"/>
  <c r="E476" i="1"/>
  <c r="D476" i="1"/>
  <c r="A476" i="1"/>
  <c r="A477" i="1" s="1"/>
  <c r="A478" i="1" s="1"/>
  <c r="A479" i="1" s="1"/>
  <c r="D533" i="1"/>
  <c r="D532" i="1"/>
  <c r="D531" i="1"/>
  <c r="D524" i="1"/>
  <c r="D523" i="1"/>
  <c r="D522" i="1"/>
  <c r="I516" i="1"/>
  <c r="E522" i="1"/>
  <c r="E523" i="1"/>
  <c r="E524" i="1"/>
  <c r="E521" i="1"/>
  <c r="D521" i="1"/>
  <c r="E527" i="1"/>
  <c r="E528" i="1"/>
  <c r="E529" i="1"/>
  <c r="E526" i="1"/>
  <c r="D529" i="1"/>
  <c r="D528" i="1"/>
  <c r="D527" i="1"/>
  <c r="D526" i="1"/>
  <c r="D516" i="1"/>
  <c r="D517" i="1"/>
  <c r="E519" i="1"/>
  <c r="E518" i="1"/>
  <c r="E517" i="1"/>
  <c r="E516" i="1"/>
  <c r="E533" i="1"/>
  <c r="E532" i="1"/>
  <c r="G531" i="1"/>
  <c r="G532" i="1" s="1"/>
  <c r="G533" i="1" s="1"/>
  <c r="E531" i="1"/>
  <c r="G526" i="1"/>
  <c r="G527" i="1" s="1"/>
  <c r="G528" i="1" s="1"/>
  <c r="G529" i="1" s="1"/>
  <c r="G521" i="1"/>
  <c r="G522" i="1" s="1"/>
  <c r="G523" i="1" s="1"/>
  <c r="G524" i="1" s="1"/>
  <c r="D519" i="1"/>
  <c r="D518" i="1"/>
  <c r="G516" i="1"/>
  <c r="G517" i="1" s="1"/>
  <c r="G518" i="1" s="1"/>
  <c r="G519" i="1" s="1"/>
  <c r="A516" i="1"/>
  <c r="A517" i="1" s="1"/>
  <c r="A518" i="1" s="1"/>
  <c r="A519" i="1" s="1"/>
  <c r="O486" i="1"/>
  <c r="P531" i="1"/>
  <c r="P526" i="1"/>
  <c r="O531" i="1"/>
  <c r="H204" i="1"/>
  <c r="P486" i="1"/>
  <c r="P521" i="1"/>
  <c r="P501" i="1"/>
  <c r="P481" i="1"/>
  <c r="P491" i="1"/>
  <c r="O491" i="1"/>
  <c r="O506" i="1"/>
  <c r="P506" i="1"/>
  <c r="O511" i="1"/>
  <c r="P511" i="1"/>
  <c r="O481" i="1"/>
  <c r="O526" i="1"/>
  <c r="O521" i="1"/>
  <c r="O501" i="1"/>
  <c r="O987" i="1" l="1"/>
  <c r="N986" i="1"/>
  <c r="A986" i="1" s="1"/>
  <c r="O978" i="1"/>
  <c r="N977" i="1"/>
  <c r="A977" i="1" s="1"/>
  <c r="O996" i="1"/>
  <c r="N995" i="1"/>
  <c r="A995" i="1" s="1"/>
  <c r="O949" i="1"/>
  <c r="N948" i="1"/>
  <c r="A948" i="1" s="1"/>
  <c r="O958" i="1"/>
  <c r="N957" i="1"/>
  <c r="A957" i="1" s="1"/>
  <c r="O967" i="1"/>
  <c r="N966" i="1"/>
  <c r="A966" i="1" s="1"/>
  <c r="O726" i="1"/>
  <c r="N725" i="1"/>
  <c r="A725" i="1" s="1"/>
  <c r="F526" i="1"/>
  <c r="F521" i="1"/>
  <c r="O668" i="1"/>
  <c r="N667" i="1"/>
  <c r="A667" i="1" s="1"/>
  <c r="E165" i="1"/>
  <c r="I161" i="1" s="1"/>
  <c r="C163" i="1" s="1"/>
  <c r="D166" i="1"/>
  <c r="G165" i="1"/>
  <c r="F522" i="1"/>
  <c r="I273" i="1"/>
  <c r="C275" i="1" s="1"/>
  <c r="E235" i="1"/>
  <c r="I231" i="1" s="1"/>
  <c r="C233" i="1" s="1"/>
  <c r="G235" i="1"/>
  <c r="F529" i="1"/>
  <c r="F527" i="1"/>
  <c r="F518" i="1"/>
  <c r="E326" i="1"/>
  <c r="E327" i="1"/>
  <c r="J209" i="1"/>
  <c r="J210" i="1" s="1"/>
  <c r="J215" i="1" s="1"/>
  <c r="J216" i="1" s="1"/>
  <c r="J208" i="1"/>
  <c r="J207" i="1"/>
  <c r="E207" i="1"/>
  <c r="J206" i="1"/>
  <c r="D216" i="1"/>
  <c r="D215" i="1"/>
  <c r="D214" i="1"/>
  <c r="D213" i="1"/>
  <c r="D212" i="1"/>
  <c r="D211" i="1"/>
  <c r="D210" i="1"/>
  <c r="D209" i="1"/>
  <c r="D208" i="1"/>
  <c r="G207" i="1"/>
  <c r="D207" i="1"/>
  <c r="C328" i="1"/>
  <c r="C326" i="1"/>
  <c r="E328" i="1"/>
  <c r="F477" i="1"/>
  <c r="F478" i="1"/>
  <c r="F479" i="1"/>
  <c r="F481" i="1"/>
  <c r="F487" i="1"/>
  <c r="F488" i="1"/>
  <c r="F489" i="1"/>
  <c r="F491" i="1"/>
  <c r="F496" i="1"/>
  <c r="F497" i="1"/>
  <c r="F498" i="1"/>
  <c r="F499" i="1"/>
  <c r="F501" i="1"/>
  <c r="F507" i="1"/>
  <c r="F508" i="1"/>
  <c r="F509" i="1"/>
  <c r="F511" i="1"/>
  <c r="C327" i="1"/>
  <c r="F531" i="1"/>
  <c r="F476" i="1"/>
  <c r="F482" i="1"/>
  <c r="F483" i="1"/>
  <c r="F484" i="1"/>
  <c r="F486" i="1"/>
  <c r="F492" i="1"/>
  <c r="F493" i="1"/>
  <c r="F502" i="1"/>
  <c r="F503" i="1"/>
  <c r="F504" i="1"/>
  <c r="F506" i="1"/>
  <c r="F512" i="1"/>
  <c r="F513" i="1"/>
  <c r="N501" i="1"/>
  <c r="A501" i="1" s="1"/>
  <c r="O502" i="1"/>
  <c r="N506" i="1"/>
  <c r="A506" i="1" s="1"/>
  <c r="O507" i="1"/>
  <c r="N511" i="1"/>
  <c r="A511" i="1" s="1"/>
  <c r="O512" i="1"/>
  <c r="P502" i="1"/>
  <c r="P503" i="1" s="1"/>
  <c r="P504" i="1" s="1"/>
  <c r="P507" i="1"/>
  <c r="P508" i="1" s="1"/>
  <c r="P509" i="1" s="1"/>
  <c r="P512" i="1"/>
  <c r="P513" i="1" s="1"/>
  <c r="N481" i="1"/>
  <c r="A481" i="1" s="1"/>
  <c r="O482" i="1"/>
  <c r="N486" i="1"/>
  <c r="A486" i="1" s="1"/>
  <c r="O487" i="1"/>
  <c r="N491" i="1"/>
  <c r="A491" i="1" s="1"/>
  <c r="O492" i="1"/>
  <c r="P482" i="1"/>
  <c r="P483" i="1" s="1"/>
  <c r="P484" i="1" s="1"/>
  <c r="P487" i="1"/>
  <c r="P488" i="1" s="1"/>
  <c r="P489" i="1" s="1"/>
  <c r="P492" i="1"/>
  <c r="P493" i="1" s="1"/>
  <c r="F524" i="1"/>
  <c r="F517" i="1"/>
  <c r="F516" i="1"/>
  <c r="F519" i="1"/>
  <c r="F532" i="1"/>
  <c r="F533" i="1"/>
  <c r="F528" i="1"/>
  <c r="F523" i="1"/>
  <c r="N521" i="1"/>
  <c r="A521" i="1" s="1"/>
  <c r="O522" i="1"/>
  <c r="N526" i="1"/>
  <c r="A526" i="1" s="1"/>
  <c r="O527" i="1"/>
  <c r="N531" i="1"/>
  <c r="A531" i="1" s="1"/>
  <c r="O532" i="1"/>
  <c r="P522" i="1"/>
  <c r="P523" i="1" s="1"/>
  <c r="P524" i="1" s="1"/>
  <c r="P527" i="1"/>
  <c r="P528" i="1" s="1"/>
  <c r="P529" i="1" s="1"/>
  <c r="P532" i="1"/>
  <c r="P533" i="1" s="1"/>
  <c r="G55" i="1"/>
  <c r="G56" i="1" s="1"/>
  <c r="O979" i="1" l="1"/>
  <c r="N978" i="1"/>
  <c r="A978" i="1" s="1"/>
  <c r="N996" i="1"/>
  <c r="A996" i="1" s="1"/>
  <c r="O997" i="1"/>
  <c r="O988" i="1"/>
  <c r="N987" i="1"/>
  <c r="A987" i="1" s="1"/>
  <c r="N967" i="1"/>
  <c r="A967" i="1" s="1"/>
  <c r="O968" i="1"/>
  <c r="O950" i="1"/>
  <c r="N949" i="1"/>
  <c r="A949" i="1" s="1"/>
  <c r="O959" i="1"/>
  <c r="N958" i="1"/>
  <c r="A958" i="1" s="1"/>
  <c r="O727" i="1"/>
  <c r="N726" i="1"/>
  <c r="A726" i="1" s="1"/>
  <c r="O669" i="1"/>
  <c r="N668" i="1"/>
  <c r="A668" i="1" s="1"/>
  <c r="I203" i="1"/>
  <c r="C205" i="1" s="1"/>
  <c r="G327" i="1"/>
  <c r="G326" i="1"/>
  <c r="G328" i="1"/>
  <c r="N512" i="1"/>
  <c r="A512" i="1" s="1"/>
  <c r="O513" i="1"/>
  <c r="N513" i="1" s="1"/>
  <c r="A513" i="1" s="1"/>
  <c r="N507" i="1"/>
  <c r="A507" i="1" s="1"/>
  <c r="O508" i="1"/>
  <c r="N502" i="1"/>
  <c r="A502" i="1" s="1"/>
  <c r="O503" i="1"/>
  <c r="N492" i="1"/>
  <c r="A492" i="1" s="1"/>
  <c r="O493" i="1"/>
  <c r="N493" i="1" s="1"/>
  <c r="A493" i="1" s="1"/>
  <c r="N487" i="1"/>
  <c r="A487" i="1" s="1"/>
  <c r="O488" i="1"/>
  <c r="N482" i="1"/>
  <c r="A482" i="1" s="1"/>
  <c r="O483" i="1"/>
  <c r="N532" i="1"/>
  <c r="A532" i="1" s="1"/>
  <c r="O533" i="1"/>
  <c r="N533" i="1" s="1"/>
  <c r="A533" i="1" s="1"/>
  <c r="N527" i="1"/>
  <c r="A527" i="1" s="1"/>
  <c r="O528" i="1"/>
  <c r="N522" i="1"/>
  <c r="A522" i="1" s="1"/>
  <c r="O523" i="1"/>
  <c r="J116" i="1"/>
  <c r="J115" i="1"/>
  <c r="J114" i="1"/>
  <c r="J113" i="1"/>
  <c r="J186" i="1"/>
  <c r="J185" i="1"/>
  <c r="J184" i="1"/>
  <c r="J183" i="1"/>
  <c r="J270" i="1"/>
  <c r="J269" i="1"/>
  <c r="J268" i="1"/>
  <c r="J267" i="1"/>
  <c r="J256" i="1"/>
  <c r="J255" i="1"/>
  <c r="J254" i="1"/>
  <c r="J253" i="1"/>
  <c r="H176" i="1"/>
  <c r="H246" i="1"/>
  <c r="H105" i="1"/>
  <c r="H260" i="1"/>
  <c r="O998" i="1" l="1"/>
  <c r="N997" i="1"/>
  <c r="A997" i="1" s="1"/>
  <c r="O989" i="1"/>
  <c r="N988" i="1"/>
  <c r="A988" i="1" s="1"/>
  <c r="O980" i="1"/>
  <c r="N979" i="1"/>
  <c r="A979" i="1" s="1"/>
  <c r="O969" i="1"/>
  <c r="N968" i="1"/>
  <c r="A968" i="1" s="1"/>
  <c r="O951" i="1"/>
  <c r="N950" i="1"/>
  <c r="A950" i="1" s="1"/>
  <c r="O960" i="1"/>
  <c r="N959" i="1"/>
  <c r="A959" i="1" s="1"/>
  <c r="N727" i="1"/>
  <c r="A727" i="1" s="1"/>
  <c r="O728" i="1"/>
  <c r="O670" i="1"/>
  <c r="N669" i="1"/>
  <c r="A669" i="1" s="1"/>
  <c r="N503" i="1"/>
  <c r="A503" i="1" s="1"/>
  <c r="O504" i="1"/>
  <c r="N504" i="1" s="1"/>
  <c r="A504" i="1" s="1"/>
  <c r="N508" i="1"/>
  <c r="A508" i="1" s="1"/>
  <c r="O509" i="1"/>
  <c r="N509" i="1" s="1"/>
  <c r="A509" i="1" s="1"/>
  <c r="N483" i="1"/>
  <c r="A483" i="1" s="1"/>
  <c r="O484" i="1"/>
  <c r="N484" i="1" s="1"/>
  <c r="A484" i="1" s="1"/>
  <c r="N488" i="1"/>
  <c r="A488" i="1" s="1"/>
  <c r="O489" i="1"/>
  <c r="N489" i="1" s="1"/>
  <c r="A489" i="1" s="1"/>
  <c r="N523" i="1"/>
  <c r="A523" i="1" s="1"/>
  <c r="O524" i="1"/>
  <c r="N524" i="1" s="1"/>
  <c r="A524" i="1" s="1"/>
  <c r="N528" i="1"/>
  <c r="A528" i="1" s="1"/>
  <c r="O529" i="1"/>
  <c r="N529" i="1" s="1"/>
  <c r="A529" i="1" s="1"/>
  <c r="J108" i="1"/>
  <c r="J109" i="1"/>
  <c r="D118" i="1"/>
  <c r="D112" i="1"/>
  <c r="D115" i="1"/>
  <c r="J111" i="1"/>
  <c r="J112" i="1" s="1"/>
  <c r="J117" i="1" s="1"/>
  <c r="J118" i="1" s="1"/>
  <c r="C110" i="1" s="1"/>
  <c r="D117" i="1"/>
  <c r="D111" i="1"/>
  <c r="D113" i="1"/>
  <c r="J110" i="1"/>
  <c r="D114" i="1"/>
  <c r="D116" i="1"/>
  <c r="D187" i="1"/>
  <c r="D181" i="1"/>
  <c r="J180" i="1"/>
  <c r="C179" i="1" s="1"/>
  <c r="D185" i="1"/>
  <c r="D183" i="1"/>
  <c r="D188" i="1"/>
  <c r="J181" i="1"/>
  <c r="J182" i="1" s="1"/>
  <c r="J187" i="1" s="1"/>
  <c r="J188" i="1" s="1"/>
  <c r="C180" i="1" s="1"/>
  <c r="J179" i="1"/>
  <c r="D186" i="1"/>
  <c r="D182" i="1"/>
  <c r="D184" i="1"/>
  <c r="J178" i="1"/>
  <c r="D270" i="1"/>
  <c r="D264" i="1"/>
  <c r="J263" i="1"/>
  <c r="D269" i="1"/>
  <c r="G263" i="1"/>
  <c r="E263" i="1"/>
  <c r="D268" i="1"/>
  <c r="D263" i="1"/>
  <c r="J262" i="1"/>
  <c r="D272" i="1"/>
  <c r="D266" i="1"/>
  <c r="J265" i="1"/>
  <c r="J266" i="1" s="1"/>
  <c r="J271" i="1" s="1"/>
  <c r="J272" i="1" s="1"/>
  <c r="D271" i="1"/>
  <c r="D265" i="1"/>
  <c r="J264" i="1"/>
  <c r="D267" i="1"/>
  <c r="J250" i="1"/>
  <c r="D249" i="1"/>
  <c r="J248" i="1"/>
  <c r="D252" i="1"/>
  <c r="D256" i="1"/>
  <c r="J249" i="1"/>
  <c r="D255" i="1"/>
  <c r="D254" i="1"/>
  <c r="D258" i="1"/>
  <c r="J251" i="1"/>
  <c r="J252" i="1" s="1"/>
  <c r="J257" i="1" s="1"/>
  <c r="D257" i="1"/>
  <c r="D251" i="1"/>
  <c r="D253" i="1"/>
  <c r="O990" i="1" l="1"/>
  <c r="N990" i="1" s="1"/>
  <c r="A990" i="1" s="1"/>
  <c r="N989" i="1"/>
  <c r="A989" i="1" s="1"/>
  <c r="O981" i="1"/>
  <c r="N981" i="1" s="1"/>
  <c r="A981" i="1" s="1"/>
  <c r="N980" i="1"/>
  <c r="A980" i="1" s="1"/>
  <c r="O999" i="1"/>
  <c r="N999" i="1" s="1"/>
  <c r="A999" i="1" s="1"/>
  <c r="N998" i="1"/>
  <c r="A998" i="1" s="1"/>
  <c r="O952" i="1"/>
  <c r="N952" i="1" s="1"/>
  <c r="A952" i="1" s="1"/>
  <c r="N951" i="1"/>
  <c r="A951" i="1" s="1"/>
  <c r="O961" i="1"/>
  <c r="N961" i="1" s="1"/>
  <c r="A961" i="1" s="1"/>
  <c r="N960" i="1"/>
  <c r="A960" i="1" s="1"/>
  <c r="O970" i="1"/>
  <c r="N970" i="1" s="1"/>
  <c r="A970" i="1" s="1"/>
  <c r="N969" i="1"/>
  <c r="A969" i="1" s="1"/>
  <c r="O729" i="1"/>
  <c r="N728" i="1"/>
  <c r="A728" i="1" s="1"/>
  <c r="O671" i="1"/>
  <c r="N670" i="1"/>
  <c r="A670" i="1" s="1"/>
  <c r="C109" i="1"/>
  <c r="D109" i="1" s="1"/>
  <c r="E109" i="1"/>
  <c r="C107" i="1" s="1"/>
  <c r="D110" i="1"/>
  <c r="E179" i="1"/>
  <c r="D180" i="1"/>
  <c r="G179" i="1"/>
  <c r="D179" i="1"/>
  <c r="I259" i="1"/>
  <c r="C261" i="1" s="1"/>
  <c r="J258" i="1"/>
  <c r="O730" i="1" l="1"/>
  <c r="N730" i="1" s="1"/>
  <c r="A730" i="1" s="1"/>
  <c r="N729" i="1"/>
  <c r="A729" i="1" s="1"/>
  <c r="O672" i="1"/>
  <c r="N672" i="1" s="1"/>
  <c r="A672" i="1" s="1"/>
  <c r="N671" i="1"/>
  <c r="A671" i="1" s="1"/>
  <c r="G109" i="1"/>
  <c r="G107" i="1" s="1"/>
  <c r="I104" i="1"/>
  <c r="I175" i="1"/>
  <c r="C177" i="1" s="1"/>
  <c r="D250" i="1"/>
  <c r="G249" i="1"/>
  <c r="E249" i="1"/>
  <c r="I245" i="1" s="1"/>
  <c r="C247" i="1" s="1"/>
  <c r="J793" i="1"/>
  <c r="J798" i="1"/>
  <c r="J802" i="1"/>
  <c r="J803" i="1"/>
  <c r="J808" i="1"/>
  <c r="J813" i="1"/>
  <c r="J818" i="1"/>
  <c r="J822" i="1"/>
  <c r="J824" i="1"/>
  <c r="J827" i="1"/>
  <c r="J828" i="1"/>
  <c r="J829" i="1"/>
  <c r="J830" i="1"/>
  <c r="J835" i="1"/>
  <c r="K782" i="1"/>
  <c r="K783" i="1"/>
  <c r="K788" i="1"/>
  <c r="K793" i="1"/>
  <c r="K779" i="1"/>
  <c r="K777" i="1"/>
  <c r="K773" i="1"/>
  <c r="K768" i="1"/>
  <c r="K763" i="1"/>
  <c r="K798" i="1"/>
  <c r="K802" i="1"/>
  <c r="K803" i="1"/>
  <c r="K808" i="1"/>
  <c r="K813" i="1"/>
  <c r="K818" i="1"/>
  <c r="K822" i="1"/>
  <c r="K824" i="1"/>
  <c r="G51" i="1" l="1"/>
  <c r="G52" i="1" s="1"/>
  <c r="G444" i="1" l="1"/>
  <c r="G438" i="1"/>
  <c r="G429" i="1"/>
  <c r="G417" i="1"/>
  <c r="G409" i="1"/>
  <c r="G400" i="1"/>
  <c r="J228" i="1" l="1"/>
  <c r="J227" i="1"/>
  <c r="J226" i="1"/>
  <c r="J225" i="1"/>
  <c r="J200" i="1"/>
  <c r="J199" i="1"/>
  <c r="J198" i="1"/>
  <c r="J197" i="1"/>
  <c r="J158" i="1"/>
  <c r="J157" i="1"/>
  <c r="J156" i="1"/>
  <c r="J155" i="1"/>
  <c r="D941" i="1"/>
  <c r="F941" i="1" s="1"/>
  <c r="D940" i="1"/>
  <c r="F940" i="1" s="1"/>
  <c r="D939" i="1"/>
  <c r="F939" i="1" s="1"/>
  <c r="D938" i="1"/>
  <c r="F938" i="1" s="1"/>
  <c r="D937" i="1"/>
  <c r="F937" i="1" s="1"/>
  <c r="D936" i="1"/>
  <c r="F936" i="1" s="1"/>
  <c r="G934" i="1"/>
  <c r="G935" i="1" s="1"/>
  <c r="G936" i="1" s="1"/>
  <c r="G937" i="1" s="1"/>
  <c r="G938" i="1" s="1"/>
  <c r="G939" i="1" s="1"/>
  <c r="G940" i="1" s="1"/>
  <c r="G941" i="1" s="1"/>
  <c r="D934" i="1"/>
  <c r="F934" i="1" s="1"/>
  <c r="I933" i="1"/>
  <c r="D932" i="1"/>
  <c r="F932" i="1" s="1"/>
  <c r="D931" i="1"/>
  <c r="F931" i="1" s="1"/>
  <c r="D930" i="1"/>
  <c r="F930" i="1" s="1"/>
  <c r="D929" i="1"/>
  <c r="F929" i="1" s="1"/>
  <c r="D928" i="1"/>
  <c r="F928" i="1" s="1"/>
  <c r="D927" i="1"/>
  <c r="F927" i="1" s="1"/>
  <c r="D926" i="1"/>
  <c r="F926" i="1" s="1"/>
  <c r="G925" i="1"/>
  <c r="G926" i="1" s="1"/>
  <c r="G927" i="1" s="1"/>
  <c r="G928" i="1" s="1"/>
  <c r="G929" i="1" s="1"/>
  <c r="G930" i="1" s="1"/>
  <c r="G931" i="1" s="1"/>
  <c r="G932" i="1" s="1"/>
  <c r="D925" i="1"/>
  <c r="F925" i="1" s="1"/>
  <c r="D923" i="1"/>
  <c r="F923" i="1" s="1"/>
  <c r="D922" i="1"/>
  <c r="F922" i="1" s="1"/>
  <c r="D921" i="1"/>
  <c r="F921" i="1" s="1"/>
  <c r="D920" i="1"/>
  <c r="F920" i="1" s="1"/>
  <c r="D919" i="1"/>
  <c r="F919" i="1" s="1"/>
  <c r="D918" i="1"/>
  <c r="F918" i="1" s="1"/>
  <c r="D917" i="1"/>
  <c r="F917" i="1" s="1"/>
  <c r="G916" i="1"/>
  <c r="G917" i="1" s="1"/>
  <c r="G918" i="1" s="1"/>
  <c r="G919" i="1" s="1"/>
  <c r="G920" i="1" s="1"/>
  <c r="G921" i="1" s="1"/>
  <c r="G922" i="1" s="1"/>
  <c r="G923" i="1" s="1"/>
  <c r="D916" i="1"/>
  <c r="E912" i="1"/>
  <c r="D912" i="1"/>
  <c r="E911" i="1"/>
  <c r="D911" i="1"/>
  <c r="G910" i="1"/>
  <c r="G911" i="1" s="1"/>
  <c r="G912" i="1" s="1"/>
  <c r="E910" i="1"/>
  <c r="D910" i="1"/>
  <c r="I909" i="1"/>
  <c r="E908" i="1"/>
  <c r="D908" i="1"/>
  <c r="E907" i="1"/>
  <c r="D907" i="1"/>
  <c r="E906" i="1"/>
  <c r="D906" i="1"/>
  <c r="G905" i="1"/>
  <c r="G906" i="1" s="1"/>
  <c r="G907" i="1" s="1"/>
  <c r="G908" i="1" s="1"/>
  <c r="E905" i="1"/>
  <c r="D905" i="1"/>
  <c r="E903" i="1"/>
  <c r="D903" i="1"/>
  <c r="E902" i="1"/>
  <c r="D902" i="1"/>
  <c r="E901" i="1"/>
  <c r="D901" i="1"/>
  <c r="G900" i="1"/>
  <c r="G901" i="1" s="1"/>
  <c r="G902" i="1" s="1"/>
  <c r="G903" i="1" s="1"/>
  <c r="E900" i="1"/>
  <c r="D900" i="1"/>
  <c r="E898" i="1"/>
  <c r="D898" i="1"/>
  <c r="E897" i="1"/>
  <c r="D897" i="1"/>
  <c r="E896" i="1"/>
  <c r="D896" i="1"/>
  <c r="G895" i="1"/>
  <c r="G896" i="1" s="1"/>
  <c r="G897" i="1" s="1"/>
  <c r="G898" i="1" s="1"/>
  <c r="E895" i="1"/>
  <c r="D895" i="1"/>
  <c r="A895" i="1"/>
  <c r="A896" i="1" s="1"/>
  <c r="A897" i="1" s="1"/>
  <c r="A898" i="1" s="1"/>
  <c r="E891" i="1"/>
  <c r="D891" i="1"/>
  <c r="E890" i="1"/>
  <c r="D890" i="1"/>
  <c r="G889" i="1"/>
  <c r="G890" i="1" s="1"/>
  <c r="G891" i="1" s="1"/>
  <c r="E889" i="1"/>
  <c r="D889" i="1"/>
  <c r="I888" i="1"/>
  <c r="E887" i="1"/>
  <c r="D887" i="1"/>
  <c r="E886" i="1"/>
  <c r="D886" i="1"/>
  <c r="E885" i="1"/>
  <c r="D885" i="1"/>
  <c r="G884" i="1"/>
  <c r="G885" i="1" s="1"/>
  <c r="G886" i="1" s="1"/>
  <c r="G887" i="1" s="1"/>
  <c r="E884" i="1"/>
  <c r="D884" i="1"/>
  <c r="E882" i="1"/>
  <c r="D882" i="1"/>
  <c r="E881" i="1"/>
  <c r="D881" i="1"/>
  <c r="E880" i="1"/>
  <c r="D880" i="1"/>
  <c r="G879" i="1"/>
  <c r="G880" i="1" s="1"/>
  <c r="G881" i="1" s="1"/>
  <c r="G882" i="1" s="1"/>
  <c r="E879" i="1"/>
  <c r="D879" i="1"/>
  <c r="E877" i="1"/>
  <c r="D877" i="1"/>
  <c r="E876" i="1"/>
  <c r="D876" i="1"/>
  <c r="E875" i="1"/>
  <c r="D875" i="1"/>
  <c r="G874" i="1"/>
  <c r="G875" i="1" s="1"/>
  <c r="G876" i="1" s="1"/>
  <c r="G877" i="1" s="1"/>
  <c r="E874" i="1"/>
  <c r="D874" i="1"/>
  <c r="A874" i="1"/>
  <c r="A875" i="1" s="1"/>
  <c r="A876" i="1" s="1"/>
  <c r="A877" i="1" s="1"/>
  <c r="E870" i="1"/>
  <c r="D870" i="1"/>
  <c r="E868" i="1"/>
  <c r="D868" i="1"/>
  <c r="G867" i="1"/>
  <c r="G868" i="1" s="1"/>
  <c r="G869" i="1" s="1"/>
  <c r="G870" i="1" s="1"/>
  <c r="E867" i="1"/>
  <c r="D867" i="1"/>
  <c r="I866" i="1"/>
  <c r="E865" i="1"/>
  <c r="D865" i="1"/>
  <c r="E864" i="1"/>
  <c r="D864" i="1"/>
  <c r="E863" i="1"/>
  <c r="D863" i="1"/>
  <c r="G862" i="1"/>
  <c r="G863" i="1" s="1"/>
  <c r="G864" i="1" s="1"/>
  <c r="G865" i="1" s="1"/>
  <c r="E862" i="1"/>
  <c r="D862" i="1"/>
  <c r="E860" i="1"/>
  <c r="D860" i="1"/>
  <c r="E859" i="1"/>
  <c r="D859" i="1"/>
  <c r="E858" i="1"/>
  <c r="D858" i="1"/>
  <c r="G857" i="1"/>
  <c r="G858" i="1" s="1"/>
  <c r="G859" i="1" s="1"/>
  <c r="G860" i="1" s="1"/>
  <c r="E857" i="1"/>
  <c r="D857" i="1"/>
  <c r="E855" i="1"/>
  <c r="D855" i="1"/>
  <c r="E854" i="1"/>
  <c r="D854" i="1"/>
  <c r="E853" i="1"/>
  <c r="D853" i="1"/>
  <c r="G852" i="1"/>
  <c r="G853" i="1" s="1"/>
  <c r="G854" i="1" s="1"/>
  <c r="G855" i="1" s="1"/>
  <c r="E852" i="1"/>
  <c r="D852" i="1"/>
  <c r="A852" i="1"/>
  <c r="A853" i="1" s="1"/>
  <c r="A854" i="1" s="1"/>
  <c r="A855" i="1" s="1"/>
  <c r="E848" i="1"/>
  <c r="D848" i="1"/>
  <c r="E847" i="1"/>
  <c r="D847" i="1"/>
  <c r="G846" i="1"/>
  <c r="G847" i="1" s="1"/>
  <c r="G848" i="1" s="1"/>
  <c r="E846" i="1"/>
  <c r="D846" i="1"/>
  <c r="I845" i="1"/>
  <c r="E844" i="1"/>
  <c r="D844" i="1"/>
  <c r="E843" i="1"/>
  <c r="D843" i="1"/>
  <c r="E842" i="1"/>
  <c r="D842" i="1"/>
  <c r="G841" i="1"/>
  <c r="G842" i="1" s="1"/>
  <c r="G843" i="1" s="1"/>
  <c r="G844" i="1" s="1"/>
  <c r="E841" i="1"/>
  <c r="D841" i="1"/>
  <c r="E839" i="1"/>
  <c r="D839" i="1"/>
  <c r="E838" i="1"/>
  <c r="D838" i="1"/>
  <c r="E837" i="1"/>
  <c r="D837" i="1"/>
  <c r="G836" i="1"/>
  <c r="G837" i="1" s="1"/>
  <c r="G838" i="1" s="1"/>
  <c r="G839" i="1" s="1"/>
  <c r="E836" i="1"/>
  <c r="D836" i="1"/>
  <c r="E834" i="1"/>
  <c r="D834" i="1"/>
  <c r="E833" i="1"/>
  <c r="D833" i="1"/>
  <c r="E832" i="1"/>
  <c r="D832" i="1"/>
  <c r="G831" i="1"/>
  <c r="G832" i="1" s="1"/>
  <c r="G833" i="1" s="1"/>
  <c r="G834" i="1" s="1"/>
  <c r="E831" i="1"/>
  <c r="D831" i="1"/>
  <c r="A831" i="1"/>
  <c r="A832" i="1" s="1"/>
  <c r="A833" i="1" s="1"/>
  <c r="A834" i="1" s="1"/>
  <c r="D469" i="1"/>
  <c r="F469" i="1" s="1"/>
  <c r="D468" i="1"/>
  <c r="F468" i="1" s="1"/>
  <c r="D467" i="1"/>
  <c r="F467" i="1" s="1"/>
  <c r="A467" i="1"/>
  <c r="A468" i="1" s="1"/>
  <c r="A469" i="1" s="1"/>
  <c r="G466" i="1"/>
  <c r="G467" i="1" s="1"/>
  <c r="G468" i="1" s="1"/>
  <c r="G469" i="1" s="1"/>
  <c r="D466" i="1"/>
  <c r="D463" i="1"/>
  <c r="F463" i="1" s="1"/>
  <c r="D462" i="1"/>
  <c r="F462" i="1" s="1"/>
  <c r="D461" i="1"/>
  <c r="F461" i="1" s="1"/>
  <c r="A461" i="1"/>
  <c r="A462" i="1" s="1"/>
  <c r="A463" i="1" s="1"/>
  <c r="G460" i="1"/>
  <c r="G461" i="1" s="1"/>
  <c r="G462" i="1" s="1"/>
  <c r="G463" i="1" s="1"/>
  <c r="D460" i="1"/>
  <c r="D457" i="1"/>
  <c r="F457" i="1" s="1"/>
  <c r="D456" i="1"/>
  <c r="F456" i="1" s="1"/>
  <c r="D455" i="1"/>
  <c r="F455" i="1" s="1"/>
  <c r="D454" i="1"/>
  <c r="F454" i="1" s="1"/>
  <c r="D453" i="1"/>
  <c r="F453" i="1" s="1"/>
  <c r="D452" i="1"/>
  <c r="F452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G445" i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D444" i="1"/>
  <c r="D441" i="1"/>
  <c r="F441" i="1" s="1"/>
  <c r="D440" i="1"/>
  <c r="F440" i="1" s="1"/>
  <c r="D439" i="1"/>
  <c r="F439" i="1" s="1"/>
  <c r="A439" i="1"/>
  <c r="A440" i="1" s="1"/>
  <c r="A441" i="1" s="1"/>
  <c r="G439" i="1"/>
  <c r="G440" i="1" s="1"/>
  <c r="G441" i="1" s="1"/>
  <c r="D438" i="1"/>
  <c r="P884" i="1"/>
  <c r="P900" i="1"/>
  <c r="H190" i="1"/>
  <c r="O867" i="1"/>
  <c r="O884" i="1"/>
  <c r="H218" i="1"/>
  <c r="O846" i="1"/>
  <c r="P846" i="1"/>
  <c r="P910" i="1"/>
  <c r="O889" i="1"/>
  <c r="H148" i="1"/>
  <c r="P916" i="1"/>
  <c r="O925" i="1"/>
  <c r="P879" i="1"/>
  <c r="O862" i="1"/>
  <c r="P857" i="1"/>
  <c r="O910" i="1"/>
  <c r="P889" i="1"/>
  <c r="O916" i="1"/>
  <c r="P925" i="1"/>
  <c r="P836" i="1"/>
  <c r="O841" i="1"/>
  <c r="O900" i="1"/>
  <c r="O934" i="1"/>
  <c r="P905" i="1"/>
  <c r="O836" i="1"/>
  <c r="P862" i="1"/>
  <c r="O857" i="1"/>
  <c r="O905" i="1"/>
  <c r="P841" i="1"/>
  <c r="P934" i="1"/>
  <c r="P867" i="1"/>
  <c r="O879" i="1"/>
  <c r="F839" i="1" l="1"/>
  <c r="J839" i="1" s="1"/>
  <c r="F858" i="1"/>
  <c r="F867" i="1"/>
  <c r="F843" i="1"/>
  <c r="F832" i="1"/>
  <c r="J832" i="1" s="1"/>
  <c r="F853" i="1"/>
  <c r="F881" i="1"/>
  <c r="F905" i="1"/>
  <c r="F834" i="1"/>
  <c r="J834" i="1" s="1"/>
  <c r="F847" i="1"/>
  <c r="C347" i="1"/>
  <c r="E347" i="1"/>
  <c r="E349" i="1"/>
  <c r="C349" i="1"/>
  <c r="E319" i="1"/>
  <c r="C319" i="1"/>
  <c r="C321" i="1"/>
  <c r="E321" i="1"/>
  <c r="F831" i="1"/>
  <c r="J831" i="1" s="1"/>
  <c r="E346" i="1"/>
  <c r="C346" i="1"/>
  <c r="C348" i="1"/>
  <c r="E348" i="1"/>
  <c r="F916" i="1"/>
  <c r="G350" i="1" s="1"/>
  <c r="E350" i="1"/>
  <c r="C350" i="1"/>
  <c r="E322" i="1"/>
  <c r="C322" i="1"/>
  <c r="F879" i="1"/>
  <c r="F887" i="1"/>
  <c r="F891" i="1"/>
  <c r="F897" i="1"/>
  <c r="F906" i="1"/>
  <c r="E320" i="1"/>
  <c r="C320" i="1"/>
  <c r="F460" i="1"/>
  <c r="G321" i="1" s="1"/>
  <c r="F438" i="1"/>
  <c r="G319" i="1" s="1"/>
  <c r="F466" i="1"/>
  <c r="G322" i="1" s="1"/>
  <c r="F444" i="1"/>
  <c r="G320" i="1" s="1"/>
  <c r="F855" i="1"/>
  <c r="F864" i="1"/>
  <c r="F868" i="1"/>
  <c r="F875" i="1"/>
  <c r="F837" i="1"/>
  <c r="J837" i="1" s="1"/>
  <c r="F846" i="1"/>
  <c r="F852" i="1"/>
  <c r="F860" i="1"/>
  <c r="F880" i="1"/>
  <c r="F889" i="1"/>
  <c r="F895" i="1"/>
  <c r="F903" i="1"/>
  <c r="F874" i="1"/>
  <c r="F882" i="1"/>
  <c r="F901" i="1"/>
  <c r="F838" i="1"/>
  <c r="J838" i="1" s="1"/>
  <c r="F877" i="1"/>
  <c r="F886" i="1"/>
  <c r="F890" i="1"/>
  <c r="F833" i="1"/>
  <c r="J833" i="1" s="1"/>
  <c r="F842" i="1"/>
  <c r="F857" i="1"/>
  <c r="F865" i="1"/>
  <c r="F870" i="1"/>
  <c r="F876" i="1"/>
  <c r="F885" i="1"/>
  <c r="F900" i="1"/>
  <c r="F908" i="1"/>
  <c r="F912" i="1"/>
  <c r="F862" i="1"/>
  <c r="F896" i="1"/>
  <c r="F910" i="1"/>
  <c r="F836" i="1"/>
  <c r="J836" i="1" s="1"/>
  <c r="F844" i="1"/>
  <c r="F848" i="1"/>
  <c r="F854" i="1"/>
  <c r="F863" i="1"/>
  <c r="F841" i="1"/>
  <c r="F859" i="1"/>
  <c r="F884" i="1"/>
  <c r="F902" i="1"/>
  <c r="F898" i="1"/>
  <c r="F907" i="1"/>
  <c r="F911" i="1"/>
  <c r="D230" i="1"/>
  <c r="D226" i="1"/>
  <c r="D222" i="1"/>
  <c r="J221" i="1"/>
  <c r="D229" i="1"/>
  <c r="D225" i="1"/>
  <c r="G221" i="1"/>
  <c r="J220" i="1"/>
  <c r="E221" i="1"/>
  <c r="D228" i="1"/>
  <c r="D224" i="1"/>
  <c r="D221" i="1"/>
  <c r="J223" i="1"/>
  <c r="J224" i="1" s="1"/>
  <c r="J229" i="1" s="1"/>
  <c r="J230" i="1" s="1"/>
  <c r="D227" i="1"/>
  <c r="D223" i="1"/>
  <c r="J222" i="1"/>
  <c r="D201" i="1"/>
  <c r="D197" i="1"/>
  <c r="J193" i="1"/>
  <c r="D200" i="1"/>
  <c r="D196" i="1"/>
  <c r="D195" i="1"/>
  <c r="D202" i="1"/>
  <c r="J195" i="1"/>
  <c r="J196" i="1" s="1"/>
  <c r="J201" i="1" s="1"/>
  <c r="J202" i="1" s="1"/>
  <c r="D199" i="1"/>
  <c r="J194" i="1"/>
  <c r="J192" i="1"/>
  <c r="D198" i="1"/>
  <c r="J152" i="1"/>
  <c r="C151" i="1" s="1"/>
  <c r="D151" i="1" s="1"/>
  <c r="J150" i="1"/>
  <c r="D160" i="1"/>
  <c r="D156" i="1"/>
  <c r="D159" i="1"/>
  <c r="D155" i="1"/>
  <c r="J151" i="1"/>
  <c r="J153" i="1"/>
  <c r="J154" i="1" s="1"/>
  <c r="J159" i="1" s="1"/>
  <c r="J160" i="1" s="1"/>
  <c r="C152" i="1" s="1"/>
  <c r="D158" i="1"/>
  <c r="D154" i="1"/>
  <c r="D157" i="1"/>
  <c r="D153" i="1"/>
  <c r="N857" i="1"/>
  <c r="A857" i="1" s="1"/>
  <c r="O858" i="1"/>
  <c r="N836" i="1"/>
  <c r="A836" i="1" s="1"/>
  <c r="O837" i="1"/>
  <c r="N900" i="1"/>
  <c r="A900" i="1" s="1"/>
  <c r="O901" i="1"/>
  <c r="N905" i="1"/>
  <c r="A905" i="1" s="1"/>
  <c r="O906" i="1"/>
  <c r="O917" i="1"/>
  <c r="N916" i="1"/>
  <c r="A916" i="1" s="1"/>
  <c r="O926" i="1"/>
  <c r="N925" i="1"/>
  <c r="A925" i="1" s="1"/>
  <c r="N862" i="1"/>
  <c r="A862" i="1" s="1"/>
  <c r="O863" i="1"/>
  <c r="P847" i="1"/>
  <c r="P848" i="1" s="1"/>
  <c r="P901" i="1"/>
  <c r="P902" i="1" s="1"/>
  <c r="P903" i="1" s="1"/>
  <c r="P906" i="1"/>
  <c r="P907" i="1" s="1"/>
  <c r="P908" i="1" s="1"/>
  <c r="O911" i="1"/>
  <c r="N910" i="1"/>
  <c r="A910" i="1" s="1"/>
  <c r="P917" i="1"/>
  <c r="P918" i="1" s="1"/>
  <c r="P919" i="1" s="1"/>
  <c r="P920" i="1" s="1"/>
  <c r="P921" i="1" s="1"/>
  <c r="P922" i="1" s="1"/>
  <c r="P923" i="1" s="1"/>
  <c r="P926" i="1"/>
  <c r="P927" i="1" s="1"/>
  <c r="P928" i="1" s="1"/>
  <c r="P929" i="1" s="1"/>
  <c r="P930" i="1" s="1"/>
  <c r="P931" i="1" s="1"/>
  <c r="P932" i="1" s="1"/>
  <c r="O935" i="1"/>
  <c r="N934" i="1"/>
  <c r="A934" i="1" s="1"/>
  <c r="P858" i="1"/>
  <c r="P859" i="1" s="1"/>
  <c r="P860" i="1" s="1"/>
  <c r="P863" i="1"/>
  <c r="P864" i="1" s="1"/>
  <c r="P865" i="1" s="1"/>
  <c r="O868" i="1"/>
  <c r="N867" i="1"/>
  <c r="A867" i="1" s="1"/>
  <c r="P911" i="1"/>
  <c r="P912" i="1" s="1"/>
  <c r="P935" i="1"/>
  <c r="P936" i="1" s="1"/>
  <c r="P937" i="1" s="1"/>
  <c r="P938" i="1" s="1"/>
  <c r="P939" i="1" s="1"/>
  <c r="P940" i="1" s="1"/>
  <c r="P941" i="1" s="1"/>
  <c r="P868" i="1"/>
  <c r="P869" i="1" s="1"/>
  <c r="P870" i="1" s="1"/>
  <c r="O880" i="1"/>
  <c r="N879" i="1"/>
  <c r="A879" i="1" s="1"/>
  <c r="O885" i="1"/>
  <c r="N884" i="1"/>
  <c r="A884" i="1" s="1"/>
  <c r="O842" i="1"/>
  <c r="N841" i="1"/>
  <c r="A841" i="1" s="1"/>
  <c r="P880" i="1"/>
  <c r="P881" i="1" s="1"/>
  <c r="P882" i="1" s="1"/>
  <c r="P885" i="1"/>
  <c r="P886" i="1" s="1"/>
  <c r="P887" i="1" s="1"/>
  <c r="O890" i="1"/>
  <c r="N889" i="1"/>
  <c r="A889" i="1" s="1"/>
  <c r="P837" i="1"/>
  <c r="P838" i="1" s="1"/>
  <c r="P839" i="1" s="1"/>
  <c r="P842" i="1"/>
  <c r="P843" i="1" s="1"/>
  <c r="P844" i="1" s="1"/>
  <c r="O847" i="1"/>
  <c r="N846" i="1"/>
  <c r="A846" i="1" s="1"/>
  <c r="P890" i="1"/>
  <c r="P891" i="1" s="1"/>
  <c r="C353" i="1" l="1"/>
  <c r="E353" i="1"/>
  <c r="G346" i="1"/>
  <c r="C323" i="1"/>
  <c r="E323" i="1"/>
  <c r="G323" i="1"/>
  <c r="G347" i="1"/>
  <c r="G348" i="1"/>
  <c r="G349" i="1"/>
  <c r="I217" i="1"/>
  <c r="C219" i="1" s="1"/>
  <c r="E193" i="1"/>
  <c r="D194" i="1"/>
  <c r="G193" i="1"/>
  <c r="D193" i="1"/>
  <c r="E151" i="1"/>
  <c r="I147" i="1" s="1"/>
  <c r="C149" i="1" s="1"/>
  <c r="D152" i="1"/>
  <c r="G151" i="1"/>
  <c r="O864" i="1"/>
  <c r="N863" i="1"/>
  <c r="A863" i="1" s="1"/>
  <c r="N906" i="1"/>
  <c r="A906" i="1" s="1"/>
  <c r="O907" i="1"/>
  <c r="O848" i="1"/>
  <c r="N848" i="1" s="1"/>
  <c r="A848" i="1" s="1"/>
  <c r="N847" i="1"/>
  <c r="A847" i="1" s="1"/>
  <c r="N868" i="1"/>
  <c r="A868" i="1" s="1"/>
  <c r="O869" i="1"/>
  <c r="N901" i="1"/>
  <c r="A901" i="1" s="1"/>
  <c r="O902" i="1"/>
  <c r="O891" i="1"/>
  <c r="N891" i="1" s="1"/>
  <c r="A891" i="1" s="1"/>
  <c r="N890" i="1"/>
  <c r="A890" i="1" s="1"/>
  <c r="O881" i="1"/>
  <c r="N880" i="1"/>
  <c r="A880" i="1" s="1"/>
  <c r="O843" i="1"/>
  <c r="N842" i="1"/>
  <c r="A842" i="1" s="1"/>
  <c r="O886" i="1"/>
  <c r="N885" i="1"/>
  <c r="A885" i="1" s="1"/>
  <c r="O912" i="1"/>
  <c r="N912" i="1" s="1"/>
  <c r="A912" i="1" s="1"/>
  <c r="N911" i="1"/>
  <c r="A911" i="1" s="1"/>
  <c r="O927" i="1"/>
  <c r="N926" i="1"/>
  <c r="A926" i="1" s="1"/>
  <c r="O918" i="1"/>
  <c r="N917" i="1"/>
  <c r="A917" i="1" s="1"/>
  <c r="O859" i="1"/>
  <c r="N858" i="1"/>
  <c r="A858" i="1" s="1"/>
  <c r="O838" i="1"/>
  <c r="N837" i="1"/>
  <c r="A837" i="1" s="1"/>
  <c r="O936" i="1"/>
  <c r="N935" i="1"/>
  <c r="A935" i="1" s="1"/>
  <c r="G353" i="1" l="1"/>
  <c r="I189" i="1"/>
  <c r="C191" i="1" s="1"/>
  <c r="N869" i="1"/>
  <c r="A869" i="1" s="1"/>
  <c r="O870" i="1"/>
  <c r="N870" i="1" s="1"/>
  <c r="A870" i="1" s="1"/>
  <c r="N859" i="1"/>
  <c r="A859" i="1" s="1"/>
  <c r="O860" i="1"/>
  <c r="N860" i="1" s="1"/>
  <c r="A860" i="1" s="1"/>
  <c r="O937" i="1"/>
  <c r="N936" i="1"/>
  <c r="A936" i="1" s="1"/>
  <c r="O928" i="1"/>
  <c r="N927" i="1"/>
  <c r="A927" i="1" s="1"/>
  <c r="O844" i="1"/>
  <c r="N844" i="1" s="1"/>
  <c r="A844" i="1" s="1"/>
  <c r="N843" i="1"/>
  <c r="A843" i="1" s="1"/>
  <c r="N864" i="1"/>
  <c r="A864" i="1" s="1"/>
  <c r="O865" i="1"/>
  <c r="N865" i="1" s="1"/>
  <c r="A865" i="1" s="1"/>
  <c r="O839" i="1"/>
  <c r="N839" i="1" s="1"/>
  <c r="A839" i="1" s="1"/>
  <c r="N838" i="1"/>
  <c r="A838" i="1" s="1"/>
  <c r="O882" i="1"/>
  <c r="N882" i="1" s="1"/>
  <c r="A882" i="1" s="1"/>
  <c r="N881" i="1"/>
  <c r="A881" i="1" s="1"/>
  <c r="O887" i="1"/>
  <c r="N887" i="1" s="1"/>
  <c r="A887" i="1" s="1"/>
  <c r="N886" i="1"/>
  <c r="A886" i="1" s="1"/>
  <c r="N902" i="1"/>
  <c r="A902" i="1" s="1"/>
  <c r="O903" i="1"/>
  <c r="N903" i="1" s="1"/>
  <c r="A903" i="1" s="1"/>
  <c r="N907" i="1"/>
  <c r="A907" i="1" s="1"/>
  <c r="O908" i="1"/>
  <c r="N908" i="1" s="1"/>
  <c r="A908" i="1" s="1"/>
  <c r="O919" i="1"/>
  <c r="N918" i="1"/>
  <c r="A918" i="1" s="1"/>
  <c r="O920" i="1" l="1"/>
  <c r="N919" i="1"/>
  <c r="A919" i="1" s="1"/>
  <c r="O929" i="1"/>
  <c r="N928" i="1"/>
  <c r="A928" i="1" s="1"/>
  <c r="O938" i="1"/>
  <c r="N937" i="1"/>
  <c r="A937" i="1" s="1"/>
  <c r="O921" i="1" l="1"/>
  <c r="N920" i="1"/>
  <c r="A920" i="1" s="1"/>
  <c r="O930" i="1"/>
  <c r="N929" i="1"/>
  <c r="A929" i="1" s="1"/>
  <c r="O939" i="1"/>
  <c r="N938" i="1"/>
  <c r="A938" i="1" s="1"/>
  <c r="O931" i="1" l="1"/>
  <c r="N930" i="1"/>
  <c r="A930" i="1" s="1"/>
  <c r="O922" i="1"/>
  <c r="N921" i="1"/>
  <c r="A921" i="1" s="1"/>
  <c r="O940" i="1"/>
  <c r="N939" i="1"/>
  <c r="A939" i="1" s="1"/>
  <c r="O932" i="1" l="1"/>
  <c r="N932" i="1" s="1"/>
  <c r="A932" i="1" s="1"/>
  <c r="N931" i="1"/>
  <c r="A931" i="1" s="1"/>
  <c r="O941" i="1"/>
  <c r="N941" i="1" s="1"/>
  <c r="A941" i="1" s="1"/>
  <c r="N940" i="1"/>
  <c r="A940" i="1" s="1"/>
  <c r="O923" i="1"/>
  <c r="N923" i="1" s="1"/>
  <c r="A923" i="1" s="1"/>
  <c r="N922" i="1"/>
  <c r="A922" i="1" s="1"/>
  <c r="E826" i="1" l="1"/>
  <c r="D826" i="1"/>
  <c r="E825" i="1"/>
  <c r="D825" i="1"/>
  <c r="G823" i="1"/>
  <c r="G824" i="1" s="1"/>
  <c r="G825" i="1" s="1"/>
  <c r="G826" i="1" s="1"/>
  <c r="E823" i="1"/>
  <c r="D823" i="1"/>
  <c r="A823" i="1"/>
  <c r="A824" i="1" s="1"/>
  <c r="A825" i="1" s="1"/>
  <c r="A826" i="1" s="1"/>
  <c r="E821" i="1"/>
  <c r="D821" i="1"/>
  <c r="E820" i="1"/>
  <c r="D820" i="1"/>
  <c r="G819" i="1"/>
  <c r="G820" i="1" s="1"/>
  <c r="G821" i="1" s="1"/>
  <c r="E819" i="1"/>
  <c r="D819" i="1"/>
  <c r="E817" i="1"/>
  <c r="D817" i="1"/>
  <c r="E816" i="1"/>
  <c r="D816" i="1"/>
  <c r="E815" i="1"/>
  <c r="D815" i="1"/>
  <c r="G814" i="1"/>
  <c r="G815" i="1" s="1"/>
  <c r="G816" i="1" s="1"/>
  <c r="G817" i="1" s="1"/>
  <c r="E814" i="1"/>
  <c r="D814" i="1"/>
  <c r="E812" i="1"/>
  <c r="D812" i="1"/>
  <c r="E811" i="1"/>
  <c r="D811" i="1"/>
  <c r="E810" i="1"/>
  <c r="D810" i="1"/>
  <c r="G809" i="1"/>
  <c r="G810" i="1" s="1"/>
  <c r="G811" i="1" s="1"/>
  <c r="G812" i="1" s="1"/>
  <c r="E809" i="1"/>
  <c r="D809" i="1"/>
  <c r="I807" i="1"/>
  <c r="E807" i="1"/>
  <c r="D807" i="1"/>
  <c r="I806" i="1"/>
  <c r="E806" i="1"/>
  <c r="D806" i="1"/>
  <c r="I805" i="1"/>
  <c r="E805" i="1"/>
  <c r="D805" i="1"/>
  <c r="G804" i="1"/>
  <c r="G805" i="1" s="1"/>
  <c r="G806" i="1" s="1"/>
  <c r="G807" i="1" s="1"/>
  <c r="E804" i="1"/>
  <c r="D804" i="1"/>
  <c r="A804" i="1"/>
  <c r="A805" i="1" s="1"/>
  <c r="A806" i="1" s="1"/>
  <c r="A807" i="1" s="1"/>
  <c r="E801" i="1"/>
  <c r="D801" i="1"/>
  <c r="E800" i="1"/>
  <c r="D800" i="1"/>
  <c r="G799" i="1"/>
  <c r="G800" i="1" s="1"/>
  <c r="G801" i="1" s="1"/>
  <c r="E799" i="1"/>
  <c r="D799" i="1"/>
  <c r="E797" i="1"/>
  <c r="D797" i="1"/>
  <c r="E796" i="1"/>
  <c r="D796" i="1"/>
  <c r="E795" i="1"/>
  <c r="D795" i="1"/>
  <c r="G794" i="1"/>
  <c r="G795" i="1" s="1"/>
  <c r="G796" i="1" s="1"/>
  <c r="G797" i="1" s="1"/>
  <c r="E794" i="1"/>
  <c r="D794" i="1"/>
  <c r="E792" i="1"/>
  <c r="D792" i="1"/>
  <c r="E791" i="1"/>
  <c r="D791" i="1"/>
  <c r="E790" i="1"/>
  <c r="D790" i="1"/>
  <c r="G789" i="1"/>
  <c r="G790" i="1" s="1"/>
  <c r="G791" i="1" s="1"/>
  <c r="G792" i="1" s="1"/>
  <c r="E789" i="1"/>
  <c r="D789" i="1"/>
  <c r="I787" i="1"/>
  <c r="E787" i="1"/>
  <c r="D787" i="1"/>
  <c r="I786" i="1"/>
  <c r="E786" i="1"/>
  <c r="D786" i="1"/>
  <c r="I785" i="1"/>
  <c r="E785" i="1"/>
  <c r="D785" i="1"/>
  <c r="G784" i="1"/>
  <c r="G785" i="1" s="1"/>
  <c r="G786" i="1" s="1"/>
  <c r="G787" i="1" s="1"/>
  <c r="E784" i="1"/>
  <c r="D784" i="1"/>
  <c r="A784" i="1"/>
  <c r="A785" i="1" s="1"/>
  <c r="A786" i="1" s="1"/>
  <c r="A787" i="1" s="1"/>
  <c r="E781" i="1"/>
  <c r="D781" i="1"/>
  <c r="E780" i="1"/>
  <c r="D780" i="1"/>
  <c r="G778" i="1"/>
  <c r="G779" i="1" s="1"/>
  <c r="G780" i="1" s="1"/>
  <c r="G781" i="1" s="1"/>
  <c r="E778" i="1"/>
  <c r="D778" i="1"/>
  <c r="A778" i="1"/>
  <c r="A779" i="1" s="1"/>
  <c r="A780" i="1" s="1"/>
  <c r="A781" i="1" s="1"/>
  <c r="E776" i="1"/>
  <c r="D776" i="1"/>
  <c r="E775" i="1"/>
  <c r="D775" i="1"/>
  <c r="G774" i="1"/>
  <c r="G775" i="1" s="1"/>
  <c r="G776" i="1" s="1"/>
  <c r="E774" i="1"/>
  <c r="D774" i="1"/>
  <c r="E772" i="1"/>
  <c r="D772" i="1"/>
  <c r="E771" i="1"/>
  <c r="D771" i="1"/>
  <c r="E770" i="1"/>
  <c r="D770" i="1"/>
  <c r="G769" i="1"/>
  <c r="G770" i="1" s="1"/>
  <c r="G771" i="1" s="1"/>
  <c r="G772" i="1" s="1"/>
  <c r="E769" i="1"/>
  <c r="D769" i="1"/>
  <c r="E767" i="1"/>
  <c r="D767" i="1"/>
  <c r="E766" i="1"/>
  <c r="D766" i="1"/>
  <c r="E765" i="1"/>
  <c r="D765" i="1"/>
  <c r="G764" i="1"/>
  <c r="G765" i="1" s="1"/>
  <c r="G766" i="1" s="1"/>
  <c r="G767" i="1" s="1"/>
  <c r="E764" i="1"/>
  <c r="D764" i="1"/>
  <c r="I762" i="1"/>
  <c r="E762" i="1"/>
  <c r="D762" i="1"/>
  <c r="I761" i="1"/>
  <c r="E761" i="1"/>
  <c r="D761" i="1"/>
  <c r="I760" i="1"/>
  <c r="E760" i="1"/>
  <c r="D760" i="1"/>
  <c r="G759" i="1"/>
  <c r="E759" i="1"/>
  <c r="D759" i="1"/>
  <c r="A759" i="1"/>
  <c r="A760" i="1" s="1"/>
  <c r="A761" i="1" s="1"/>
  <c r="A762" i="1" s="1"/>
  <c r="E756" i="1"/>
  <c r="D756" i="1"/>
  <c r="E755" i="1"/>
  <c r="D755" i="1"/>
  <c r="G753" i="1"/>
  <c r="G754" i="1" s="1"/>
  <c r="G755" i="1" s="1"/>
  <c r="G756" i="1" s="1"/>
  <c r="E753" i="1"/>
  <c r="D753" i="1"/>
  <c r="A753" i="1"/>
  <c r="A754" i="1" s="1"/>
  <c r="A755" i="1" s="1"/>
  <c r="A756" i="1" s="1"/>
  <c r="E751" i="1"/>
  <c r="D751" i="1"/>
  <c r="E750" i="1"/>
  <c r="D750" i="1"/>
  <c r="G749" i="1"/>
  <c r="G750" i="1" s="1"/>
  <c r="G751" i="1" s="1"/>
  <c r="E749" i="1"/>
  <c r="D749" i="1"/>
  <c r="E747" i="1"/>
  <c r="D747" i="1"/>
  <c r="E746" i="1"/>
  <c r="D746" i="1"/>
  <c r="E745" i="1"/>
  <c r="D745" i="1"/>
  <c r="G744" i="1"/>
  <c r="G745" i="1" s="1"/>
  <c r="G746" i="1" s="1"/>
  <c r="G747" i="1" s="1"/>
  <c r="E744" i="1"/>
  <c r="D744" i="1"/>
  <c r="E742" i="1"/>
  <c r="D742" i="1"/>
  <c r="E741" i="1"/>
  <c r="D741" i="1"/>
  <c r="E740" i="1"/>
  <c r="D740" i="1"/>
  <c r="G739" i="1"/>
  <c r="G740" i="1" s="1"/>
  <c r="G741" i="1" s="1"/>
  <c r="G742" i="1" s="1"/>
  <c r="E739" i="1"/>
  <c r="D739" i="1"/>
  <c r="I737" i="1"/>
  <c r="E737" i="1"/>
  <c r="D737" i="1"/>
  <c r="I736" i="1"/>
  <c r="E736" i="1"/>
  <c r="D736" i="1"/>
  <c r="I735" i="1"/>
  <c r="E735" i="1"/>
  <c r="D735" i="1"/>
  <c r="G734" i="1"/>
  <c r="G735" i="1" s="1"/>
  <c r="G736" i="1" s="1"/>
  <c r="G737" i="1" s="1"/>
  <c r="E734" i="1"/>
  <c r="D734" i="1"/>
  <c r="A734" i="1"/>
  <c r="A735" i="1" s="1"/>
  <c r="A736" i="1" s="1"/>
  <c r="A737" i="1" s="1"/>
  <c r="D434" i="1"/>
  <c r="F434" i="1" s="1"/>
  <c r="D433" i="1"/>
  <c r="F433" i="1" s="1"/>
  <c r="D432" i="1"/>
  <c r="F432" i="1" s="1"/>
  <c r="D431" i="1"/>
  <c r="F431" i="1" s="1"/>
  <c r="D430" i="1"/>
  <c r="F430" i="1" s="1"/>
  <c r="A430" i="1"/>
  <c r="A431" i="1" s="1"/>
  <c r="A432" i="1" s="1"/>
  <c r="A433" i="1" s="1"/>
  <c r="A434" i="1" s="1"/>
  <c r="G430" i="1"/>
  <c r="G431" i="1" s="1"/>
  <c r="D429" i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20" i="1"/>
  <c r="F420" i="1" s="1"/>
  <c r="D419" i="1"/>
  <c r="F419" i="1" s="1"/>
  <c r="D418" i="1"/>
  <c r="F418" i="1" s="1"/>
  <c r="A418" i="1"/>
  <c r="A419" i="1" s="1"/>
  <c r="A420" i="1" s="1"/>
  <c r="A421" i="1" s="1"/>
  <c r="A422" i="1" s="1"/>
  <c r="A423" i="1" s="1"/>
  <c r="A424" i="1" s="1"/>
  <c r="A425" i="1" s="1"/>
  <c r="A426" i="1" s="1"/>
  <c r="G418" i="1"/>
  <c r="D417" i="1"/>
  <c r="D414" i="1"/>
  <c r="F414" i="1" s="1"/>
  <c r="D413" i="1"/>
  <c r="F413" i="1" s="1"/>
  <c r="D412" i="1"/>
  <c r="F412" i="1" s="1"/>
  <c r="D411" i="1"/>
  <c r="F411" i="1" s="1"/>
  <c r="D410" i="1"/>
  <c r="F410" i="1" s="1"/>
  <c r="A410" i="1"/>
  <c r="A411" i="1" s="1"/>
  <c r="A412" i="1" s="1"/>
  <c r="A413" i="1" s="1"/>
  <c r="A414" i="1" s="1"/>
  <c r="G410" i="1"/>
  <c r="D409" i="1"/>
  <c r="D406" i="1"/>
  <c r="F406" i="1" s="1"/>
  <c r="D405" i="1"/>
  <c r="F405" i="1" s="1"/>
  <c r="D404" i="1"/>
  <c r="F404" i="1" s="1"/>
  <c r="D403" i="1"/>
  <c r="F403" i="1" s="1"/>
  <c r="D402" i="1"/>
  <c r="F402" i="1" s="1"/>
  <c r="D401" i="1"/>
  <c r="F401" i="1" s="1"/>
  <c r="A401" i="1"/>
  <c r="A402" i="1" s="1"/>
  <c r="A403" i="1" s="1"/>
  <c r="A404" i="1" s="1"/>
  <c r="A405" i="1" s="1"/>
  <c r="A406" i="1" s="1"/>
  <c r="G401" i="1"/>
  <c r="G402" i="1" s="1"/>
  <c r="D400" i="1"/>
  <c r="P739" i="1"/>
  <c r="P789" i="1"/>
  <c r="P794" i="1"/>
  <c r="O794" i="1"/>
  <c r="O739" i="1"/>
  <c r="P764" i="1"/>
  <c r="P799" i="1"/>
  <c r="O809" i="1"/>
  <c r="P744" i="1"/>
  <c r="O814" i="1"/>
  <c r="O819" i="1"/>
  <c r="P819" i="1"/>
  <c r="P814" i="1"/>
  <c r="O744" i="1"/>
  <c r="P774" i="1"/>
  <c r="P749" i="1"/>
  <c r="O769" i="1"/>
  <c r="O789" i="1"/>
  <c r="P809" i="1"/>
  <c r="O774" i="1"/>
  <c r="P769" i="1"/>
  <c r="O764" i="1"/>
  <c r="O749" i="1"/>
  <c r="O799" i="1"/>
  <c r="F786" i="1" l="1"/>
  <c r="K786" i="1" s="1"/>
  <c r="F799" i="1"/>
  <c r="K799" i="1" s="1"/>
  <c r="F815" i="1"/>
  <c r="F806" i="1"/>
  <c r="F819" i="1"/>
  <c r="F823" i="1"/>
  <c r="F761" i="1"/>
  <c r="F774" i="1"/>
  <c r="K774" i="1" s="1"/>
  <c r="F778" i="1"/>
  <c r="K778" i="1" s="1"/>
  <c r="F795" i="1"/>
  <c r="F816" i="1"/>
  <c r="F734" i="1"/>
  <c r="C339" i="1"/>
  <c r="E339" i="1"/>
  <c r="F745" i="1"/>
  <c r="F429" i="1"/>
  <c r="G315" i="1" s="1"/>
  <c r="E315" i="1"/>
  <c r="C315" i="1"/>
  <c r="F804" i="1"/>
  <c r="C342" i="1"/>
  <c r="E342" i="1"/>
  <c r="F409" i="1"/>
  <c r="G313" i="1" s="1"/>
  <c r="E313" i="1"/>
  <c r="C313" i="1"/>
  <c r="F417" i="1"/>
  <c r="G314" i="1" s="1"/>
  <c r="C314" i="1"/>
  <c r="E314" i="1"/>
  <c r="F784" i="1"/>
  <c r="K784" i="1" s="1"/>
  <c r="E341" i="1"/>
  <c r="C341" i="1"/>
  <c r="F400" i="1"/>
  <c r="G312" i="1" s="1"/>
  <c r="E312" i="1"/>
  <c r="C312" i="1"/>
  <c r="E340" i="1"/>
  <c r="C340" i="1"/>
  <c r="F771" i="1"/>
  <c r="K771" i="1" s="1"/>
  <c r="F789" i="1"/>
  <c r="K789" i="1" s="1"/>
  <c r="F797" i="1"/>
  <c r="F746" i="1"/>
  <c r="F764" i="1"/>
  <c r="K764" i="1" s="1"/>
  <c r="F772" i="1"/>
  <c r="K772" i="1" s="1"/>
  <c r="F739" i="1"/>
  <c r="F747" i="1"/>
  <c r="F736" i="1"/>
  <c r="F749" i="1"/>
  <c r="F753" i="1"/>
  <c r="F759" i="1"/>
  <c r="F770" i="1"/>
  <c r="K770" i="1" s="1"/>
  <c r="F796" i="1"/>
  <c r="F809" i="1"/>
  <c r="F817" i="1"/>
  <c r="F740" i="1"/>
  <c r="F762" i="1"/>
  <c r="K762" i="1" s="1"/>
  <c r="F766" i="1"/>
  <c r="K766" i="1" s="1"/>
  <c r="F775" i="1"/>
  <c r="K775" i="1" s="1"/>
  <c r="F780" i="1"/>
  <c r="K780" i="1" s="1"/>
  <c r="F785" i="1"/>
  <c r="K785" i="1" s="1"/>
  <c r="F792" i="1"/>
  <c r="K792" i="1" s="1"/>
  <c r="F801" i="1"/>
  <c r="F814" i="1"/>
  <c r="F737" i="1"/>
  <c r="F741" i="1"/>
  <c r="F750" i="1"/>
  <c r="F755" i="1"/>
  <c r="F760" i="1"/>
  <c r="F767" i="1"/>
  <c r="K767" i="1" s="1"/>
  <c r="F776" i="1"/>
  <c r="K776" i="1" s="1"/>
  <c r="F781" i="1"/>
  <c r="K781" i="1" s="1"/>
  <c r="F794" i="1"/>
  <c r="F810" i="1"/>
  <c r="F735" i="1"/>
  <c r="F742" i="1"/>
  <c r="F751" i="1"/>
  <c r="F756" i="1"/>
  <c r="F769" i="1"/>
  <c r="K769" i="1" s="1"/>
  <c r="F790" i="1"/>
  <c r="K790" i="1" s="1"/>
  <c r="F807" i="1"/>
  <c r="F811" i="1"/>
  <c r="F820" i="1"/>
  <c r="F825" i="1"/>
  <c r="F744" i="1"/>
  <c r="F765" i="1"/>
  <c r="K765" i="1" s="1"/>
  <c r="F787" i="1"/>
  <c r="K787" i="1" s="1"/>
  <c r="F791" i="1"/>
  <c r="K791" i="1" s="1"/>
  <c r="F800" i="1"/>
  <c r="F805" i="1"/>
  <c r="F812" i="1"/>
  <c r="F821" i="1"/>
  <c r="F826" i="1"/>
  <c r="J826" i="1" s="1"/>
  <c r="N774" i="1"/>
  <c r="A774" i="1" s="1"/>
  <c r="O775" i="1"/>
  <c r="N769" i="1"/>
  <c r="A769" i="1" s="1"/>
  <c r="O770" i="1"/>
  <c r="N739" i="1"/>
  <c r="A739" i="1" s="1"/>
  <c r="O740" i="1"/>
  <c r="N764" i="1"/>
  <c r="A764" i="1" s="1"/>
  <c r="O765" i="1"/>
  <c r="O810" i="1"/>
  <c r="N809" i="1"/>
  <c r="A809" i="1" s="1"/>
  <c r="O815" i="1"/>
  <c r="N814" i="1"/>
  <c r="A814" i="1" s="1"/>
  <c r="O820" i="1"/>
  <c r="N819" i="1"/>
  <c r="A819" i="1" s="1"/>
  <c r="O750" i="1"/>
  <c r="N749" i="1"/>
  <c r="A749" i="1" s="1"/>
  <c r="O790" i="1"/>
  <c r="N789" i="1"/>
  <c r="A789" i="1" s="1"/>
  <c r="O795" i="1"/>
  <c r="N794" i="1"/>
  <c r="A794" i="1" s="1"/>
  <c r="O800" i="1"/>
  <c r="N799" i="1"/>
  <c r="A799" i="1" s="1"/>
  <c r="P810" i="1"/>
  <c r="P811" i="1" s="1"/>
  <c r="P812" i="1" s="1"/>
  <c r="P815" i="1"/>
  <c r="P816" i="1" s="1"/>
  <c r="P817" i="1" s="1"/>
  <c r="P820" i="1"/>
  <c r="P821" i="1" s="1"/>
  <c r="N744" i="1"/>
  <c r="A744" i="1" s="1"/>
  <c r="O745" i="1"/>
  <c r="P740" i="1"/>
  <c r="P741" i="1" s="1"/>
  <c r="P742" i="1" s="1"/>
  <c r="P745" i="1"/>
  <c r="P746" i="1" s="1"/>
  <c r="P747" i="1" s="1"/>
  <c r="P750" i="1"/>
  <c r="P751" i="1" s="1"/>
  <c r="P765" i="1"/>
  <c r="P766" i="1" s="1"/>
  <c r="P767" i="1" s="1"/>
  <c r="P770" i="1"/>
  <c r="P771" i="1" s="1"/>
  <c r="P772" i="1" s="1"/>
  <c r="P775" i="1"/>
  <c r="P776" i="1" s="1"/>
  <c r="P790" i="1"/>
  <c r="P791" i="1" s="1"/>
  <c r="P792" i="1" s="1"/>
  <c r="P795" i="1"/>
  <c r="P796" i="1" s="1"/>
  <c r="P797" i="1" s="1"/>
  <c r="P800" i="1"/>
  <c r="P801" i="1" s="1"/>
  <c r="G412" i="1"/>
  <c r="G411" i="1"/>
  <c r="G419" i="1"/>
  <c r="G420" i="1"/>
  <c r="G433" i="1"/>
  <c r="G434" i="1"/>
  <c r="G404" i="1"/>
  <c r="G405" i="1"/>
  <c r="G403" i="1"/>
  <c r="G406" i="1" s="1"/>
  <c r="G432" i="1"/>
  <c r="J799" i="1" l="1"/>
  <c r="K814" i="1"/>
  <c r="J814" i="1"/>
  <c r="K801" i="1"/>
  <c r="J801" i="1"/>
  <c r="K816" i="1"/>
  <c r="J816" i="1"/>
  <c r="K810" i="1"/>
  <c r="J810" i="1"/>
  <c r="K795" i="1"/>
  <c r="J795" i="1"/>
  <c r="K794" i="1"/>
  <c r="J794" i="1"/>
  <c r="K825" i="1"/>
  <c r="J825" i="1"/>
  <c r="K820" i="1"/>
  <c r="J820" i="1"/>
  <c r="K804" i="1"/>
  <c r="J804" i="1"/>
  <c r="K811" i="1"/>
  <c r="J811" i="1"/>
  <c r="K823" i="1"/>
  <c r="J823" i="1"/>
  <c r="K807" i="1"/>
  <c r="J807" i="1"/>
  <c r="K819" i="1"/>
  <c r="J819" i="1"/>
  <c r="K821" i="1"/>
  <c r="J821" i="1"/>
  <c r="K806" i="1"/>
  <c r="J806" i="1"/>
  <c r="K812" i="1"/>
  <c r="J812" i="1"/>
  <c r="K817" i="1"/>
  <c r="J817" i="1"/>
  <c r="K805" i="1"/>
  <c r="J805" i="1"/>
  <c r="K809" i="1"/>
  <c r="J809" i="1"/>
  <c r="K797" i="1"/>
  <c r="J797" i="1"/>
  <c r="K800" i="1"/>
  <c r="J800" i="1"/>
  <c r="K796" i="1"/>
  <c r="J796" i="1"/>
  <c r="K815" i="1"/>
  <c r="J815" i="1"/>
  <c r="J792" i="1"/>
  <c r="C316" i="1"/>
  <c r="G316" i="1"/>
  <c r="E316" i="1"/>
  <c r="G341" i="1"/>
  <c r="G339" i="1"/>
  <c r="G342" i="1"/>
  <c r="E343" i="1"/>
  <c r="C343" i="1"/>
  <c r="G340" i="1"/>
  <c r="O766" i="1"/>
  <c r="N765" i="1"/>
  <c r="A765" i="1" s="1"/>
  <c r="G421" i="1"/>
  <c r="G422" i="1"/>
  <c r="G423" i="1" s="1"/>
  <c r="O751" i="1"/>
  <c r="N751" i="1" s="1"/>
  <c r="A751" i="1" s="1"/>
  <c r="N750" i="1"/>
  <c r="A750" i="1" s="1"/>
  <c r="N740" i="1"/>
  <c r="A740" i="1" s="1"/>
  <c r="O741" i="1"/>
  <c r="O801" i="1"/>
  <c r="N801" i="1" s="1"/>
  <c r="A801" i="1" s="1"/>
  <c r="N800" i="1"/>
  <c r="A800" i="1" s="1"/>
  <c r="O821" i="1"/>
  <c r="N821" i="1" s="1"/>
  <c r="A821" i="1" s="1"/>
  <c r="N820" i="1"/>
  <c r="A820" i="1" s="1"/>
  <c r="G413" i="1"/>
  <c r="G414" i="1"/>
  <c r="N770" i="1"/>
  <c r="A770" i="1" s="1"/>
  <c r="O771" i="1"/>
  <c r="N745" i="1"/>
  <c r="A745" i="1" s="1"/>
  <c r="O746" i="1"/>
  <c r="O796" i="1"/>
  <c r="N795" i="1"/>
  <c r="A795" i="1" s="1"/>
  <c r="O816" i="1"/>
  <c r="N815" i="1"/>
  <c r="A815" i="1" s="1"/>
  <c r="N775" i="1"/>
  <c r="A775" i="1" s="1"/>
  <c r="O776" i="1"/>
  <c r="N776" i="1" s="1"/>
  <c r="A776" i="1" s="1"/>
  <c r="O791" i="1"/>
  <c r="N790" i="1"/>
  <c r="A790" i="1" s="1"/>
  <c r="O811" i="1"/>
  <c r="N810" i="1"/>
  <c r="A810" i="1" s="1"/>
  <c r="G343" i="1" l="1"/>
  <c r="N746" i="1"/>
  <c r="A746" i="1" s="1"/>
  <c r="O747" i="1"/>
  <c r="N747" i="1" s="1"/>
  <c r="A747" i="1" s="1"/>
  <c r="N771" i="1"/>
  <c r="A771" i="1" s="1"/>
  <c r="O772" i="1"/>
  <c r="N772" i="1" s="1"/>
  <c r="A772" i="1" s="1"/>
  <c r="N741" i="1"/>
  <c r="A741" i="1" s="1"/>
  <c r="O742" i="1"/>
  <c r="N742" i="1" s="1"/>
  <c r="A742" i="1" s="1"/>
  <c r="O817" i="1"/>
  <c r="N817" i="1" s="1"/>
  <c r="A817" i="1" s="1"/>
  <c r="N816" i="1"/>
  <c r="A816" i="1" s="1"/>
  <c r="G425" i="1"/>
  <c r="G424" i="1"/>
  <c r="G426" i="1" s="1"/>
  <c r="O812" i="1"/>
  <c r="N812" i="1" s="1"/>
  <c r="A812" i="1" s="1"/>
  <c r="N811" i="1"/>
  <c r="A811" i="1" s="1"/>
  <c r="O797" i="1"/>
  <c r="N797" i="1" s="1"/>
  <c r="A797" i="1" s="1"/>
  <c r="N796" i="1"/>
  <c r="A796" i="1" s="1"/>
  <c r="O792" i="1"/>
  <c r="N792" i="1" s="1"/>
  <c r="A792" i="1" s="1"/>
  <c r="N791" i="1"/>
  <c r="A791" i="1" s="1"/>
  <c r="N766" i="1"/>
  <c r="A766" i="1" s="1"/>
  <c r="O767" i="1"/>
  <c r="N767" i="1" s="1"/>
  <c r="A767" i="1" s="1"/>
  <c r="E583" i="1" l="1"/>
  <c r="D583" i="1"/>
  <c r="E582" i="1"/>
  <c r="D582" i="1"/>
  <c r="E580" i="1"/>
  <c r="D580" i="1"/>
  <c r="E578" i="1"/>
  <c r="D578" i="1"/>
  <c r="E577" i="1"/>
  <c r="D577" i="1"/>
  <c r="E576" i="1"/>
  <c r="D576" i="1"/>
  <c r="E574" i="1"/>
  <c r="D574" i="1"/>
  <c r="E573" i="1"/>
  <c r="D573" i="1"/>
  <c r="E572" i="1"/>
  <c r="D572" i="1"/>
  <c r="E571" i="1"/>
  <c r="D571" i="1"/>
  <c r="E569" i="1"/>
  <c r="D569" i="1"/>
  <c r="E568" i="1"/>
  <c r="D568" i="1"/>
  <c r="E567" i="1"/>
  <c r="D567" i="1"/>
  <c r="E566" i="1"/>
  <c r="D566" i="1"/>
  <c r="E564" i="1"/>
  <c r="D564" i="1"/>
  <c r="E563" i="1"/>
  <c r="D563" i="1"/>
  <c r="E562" i="1"/>
  <c r="D562" i="1"/>
  <c r="E561" i="1"/>
  <c r="D561" i="1"/>
  <c r="E558" i="1"/>
  <c r="D558" i="1"/>
  <c r="E557" i="1"/>
  <c r="D557" i="1"/>
  <c r="G555" i="1"/>
  <c r="E555" i="1"/>
  <c r="D555" i="1"/>
  <c r="A555" i="1"/>
  <c r="A556" i="1" s="1"/>
  <c r="A557" i="1" s="1"/>
  <c r="A558" i="1" s="1"/>
  <c r="E549" i="1"/>
  <c r="D549" i="1"/>
  <c r="E548" i="1"/>
  <c r="D548" i="1"/>
  <c r="E547" i="1"/>
  <c r="D547" i="1"/>
  <c r="E546" i="1"/>
  <c r="D546" i="1"/>
  <c r="E544" i="1"/>
  <c r="D544" i="1"/>
  <c r="E543" i="1"/>
  <c r="D543" i="1"/>
  <c r="E542" i="1"/>
  <c r="D542" i="1"/>
  <c r="E541" i="1"/>
  <c r="D541" i="1"/>
  <c r="E539" i="1"/>
  <c r="D539" i="1"/>
  <c r="E538" i="1"/>
  <c r="D538" i="1"/>
  <c r="E537" i="1"/>
  <c r="D537" i="1"/>
  <c r="E536" i="1"/>
  <c r="D536" i="1"/>
  <c r="D396" i="1"/>
  <c r="F396" i="1" s="1"/>
  <c r="D395" i="1"/>
  <c r="F395" i="1" s="1"/>
  <c r="D394" i="1"/>
  <c r="F394" i="1" s="1"/>
  <c r="D393" i="1"/>
  <c r="F393" i="1" s="1"/>
  <c r="D392" i="1"/>
  <c r="F392" i="1" s="1"/>
  <c r="A392" i="1"/>
  <c r="A393" i="1" s="1"/>
  <c r="A394" i="1" s="1"/>
  <c r="A395" i="1" s="1"/>
  <c r="A396" i="1" s="1"/>
  <c r="G391" i="1"/>
  <c r="G392" i="1" s="1"/>
  <c r="D391" i="1"/>
  <c r="F391" i="1" s="1"/>
  <c r="D388" i="1"/>
  <c r="F388" i="1" s="1"/>
  <c r="D387" i="1"/>
  <c r="F387" i="1" s="1"/>
  <c r="D386" i="1"/>
  <c r="F386" i="1" s="1"/>
  <c r="D385" i="1"/>
  <c r="F385" i="1" s="1"/>
  <c r="D384" i="1"/>
  <c r="F384" i="1" s="1"/>
  <c r="D383" i="1"/>
  <c r="F383" i="1" s="1"/>
  <c r="A383" i="1"/>
  <c r="A384" i="1" s="1"/>
  <c r="A385" i="1" s="1"/>
  <c r="A386" i="1" s="1"/>
  <c r="A387" i="1" s="1"/>
  <c r="A388" i="1" s="1"/>
  <c r="G382" i="1"/>
  <c r="G383" i="1" s="1"/>
  <c r="D382" i="1"/>
  <c r="F558" i="1" l="1"/>
  <c r="F583" i="1"/>
  <c r="F582" i="1"/>
  <c r="F557" i="1"/>
  <c r="F555" i="1"/>
  <c r="F580" i="1"/>
  <c r="E307" i="1"/>
  <c r="C307" i="1"/>
  <c r="F382" i="1"/>
  <c r="G307" i="1" s="1"/>
  <c r="G394" i="1"/>
  <c r="G393" i="1"/>
  <c r="G384" i="1"/>
  <c r="G385" i="1"/>
  <c r="G388" i="1" s="1"/>
  <c r="G396" i="1" l="1"/>
  <c r="G395" i="1"/>
  <c r="G386" i="1"/>
  <c r="G387" i="1"/>
  <c r="F539" i="1" l="1"/>
  <c r="F538" i="1"/>
  <c r="F564" i="1"/>
  <c r="F563" i="1"/>
  <c r="F578" i="1"/>
  <c r="F577" i="1"/>
  <c r="F576" i="1"/>
  <c r="F574" i="1"/>
  <c r="F573" i="1"/>
  <c r="F572" i="1"/>
  <c r="F571" i="1"/>
  <c r="F569" i="1"/>
  <c r="F568" i="1"/>
  <c r="F567" i="1"/>
  <c r="F566" i="1"/>
  <c r="F562" i="1"/>
  <c r="F561" i="1"/>
  <c r="F549" i="1"/>
  <c r="F548" i="1"/>
  <c r="F547" i="1"/>
  <c r="F546" i="1"/>
  <c r="F544" i="1"/>
  <c r="F543" i="1"/>
  <c r="F542" i="1"/>
  <c r="F541" i="1"/>
  <c r="F537" i="1"/>
  <c r="F536" i="1"/>
  <c r="E308" i="1" l="1"/>
  <c r="C308" i="1"/>
  <c r="G714" i="1"/>
  <c r="G705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G694" i="1"/>
  <c r="E694" i="1"/>
  <c r="D694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G685" i="1"/>
  <c r="E685" i="1"/>
  <c r="D685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G676" i="1"/>
  <c r="E676" i="1"/>
  <c r="D676" i="1"/>
  <c r="E553" i="1"/>
  <c r="E552" i="1"/>
  <c r="E551" i="1"/>
  <c r="E643" i="1"/>
  <c r="D643" i="1"/>
  <c r="E642" i="1"/>
  <c r="D642" i="1"/>
  <c r="G640" i="1"/>
  <c r="E640" i="1"/>
  <c r="D640" i="1"/>
  <c r="A640" i="1"/>
  <c r="A641" i="1" s="1"/>
  <c r="A642" i="1" s="1"/>
  <c r="A643" i="1" s="1"/>
  <c r="E638" i="1"/>
  <c r="D638" i="1"/>
  <c r="E637" i="1"/>
  <c r="D637" i="1"/>
  <c r="G636" i="1"/>
  <c r="E636" i="1"/>
  <c r="D636" i="1"/>
  <c r="E634" i="1"/>
  <c r="D634" i="1"/>
  <c r="E633" i="1"/>
  <c r="D633" i="1"/>
  <c r="E632" i="1"/>
  <c r="D632" i="1"/>
  <c r="G631" i="1"/>
  <c r="E631" i="1"/>
  <c r="D631" i="1"/>
  <c r="E629" i="1"/>
  <c r="D629" i="1"/>
  <c r="E628" i="1"/>
  <c r="D628" i="1"/>
  <c r="E627" i="1"/>
  <c r="D627" i="1"/>
  <c r="G626" i="1"/>
  <c r="E626" i="1"/>
  <c r="D626" i="1"/>
  <c r="E624" i="1"/>
  <c r="D624" i="1"/>
  <c r="E623" i="1"/>
  <c r="D623" i="1"/>
  <c r="E622" i="1"/>
  <c r="D622" i="1"/>
  <c r="G621" i="1"/>
  <c r="G622" i="1" s="1"/>
  <c r="G623" i="1" s="1"/>
  <c r="G624" i="1" s="1"/>
  <c r="E621" i="1"/>
  <c r="D621" i="1"/>
  <c r="A621" i="1"/>
  <c r="A622" i="1" s="1"/>
  <c r="A623" i="1" s="1"/>
  <c r="A624" i="1" s="1"/>
  <c r="D619" i="1"/>
  <c r="F619" i="1" s="1"/>
  <c r="D618" i="1"/>
  <c r="F618" i="1" s="1"/>
  <c r="A617" i="1"/>
  <c r="A618" i="1" s="1"/>
  <c r="A619" i="1" s="1"/>
  <c r="G616" i="1"/>
  <c r="G617" i="1" s="1"/>
  <c r="G618" i="1" s="1"/>
  <c r="G619" i="1" s="1"/>
  <c r="E613" i="1"/>
  <c r="E612" i="1"/>
  <c r="E610" i="1"/>
  <c r="E608" i="1"/>
  <c r="E607" i="1"/>
  <c r="E606" i="1"/>
  <c r="E604" i="1"/>
  <c r="E603" i="1"/>
  <c r="E602" i="1"/>
  <c r="E601" i="1"/>
  <c r="E592" i="1"/>
  <c r="E591" i="1"/>
  <c r="E597" i="1"/>
  <c r="E598" i="1"/>
  <c r="E599" i="1"/>
  <c r="E596" i="1"/>
  <c r="D613" i="1"/>
  <c r="D612" i="1"/>
  <c r="D610" i="1"/>
  <c r="D608" i="1"/>
  <c r="D607" i="1"/>
  <c r="D606" i="1"/>
  <c r="D604" i="1"/>
  <c r="F604" i="1" s="1"/>
  <c r="D603" i="1"/>
  <c r="F603" i="1" s="1"/>
  <c r="D602" i="1"/>
  <c r="D601" i="1"/>
  <c r="D599" i="1"/>
  <c r="D598" i="1"/>
  <c r="D597" i="1"/>
  <c r="D596" i="1"/>
  <c r="D594" i="1"/>
  <c r="D593" i="1"/>
  <c r="D592" i="1"/>
  <c r="D591" i="1"/>
  <c r="D378" i="1"/>
  <c r="D376" i="1"/>
  <c r="D375" i="1"/>
  <c r="F375" i="1" s="1"/>
  <c r="D379" i="1"/>
  <c r="D366" i="1"/>
  <c r="F366" i="1" s="1"/>
  <c r="D365" i="1"/>
  <c r="F365" i="1" s="1"/>
  <c r="D364" i="1"/>
  <c r="F364" i="1" s="1"/>
  <c r="D363" i="1"/>
  <c r="F363" i="1" s="1"/>
  <c r="D362" i="1"/>
  <c r="F362" i="1" s="1"/>
  <c r="F597" i="1" l="1"/>
  <c r="F613" i="1"/>
  <c r="E334" i="1"/>
  <c r="C334" i="1"/>
  <c r="F608" i="1"/>
  <c r="F606" i="1"/>
  <c r="F610" i="1"/>
  <c r="F612" i="1"/>
  <c r="F602" i="1"/>
  <c r="F601" i="1"/>
  <c r="F678" i="1"/>
  <c r="F682" i="1"/>
  <c r="F696" i="1"/>
  <c r="F700" i="1"/>
  <c r="F715" i="1"/>
  <c r="F719" i="1"/>
  <c r="F631" i="1"/>
  <c r="F621" i="1"/>
  <c r="F629" i="1"/>
  <c r="F638" i="1"/>
  <c r="F643" i="1"/>
  <c r="F607" i="1"/>
  <c r="F628" i="1"/>
  <c r="F637" i="1"/>
  <c r="F642" i="1"/>
  <c r="F686" i="1"/>
  <c r="F690" i="1"/>
  <c r="F706" i="1"/>
  <c r="F710" i="1"/>
  <c r="F598" i="1"/>
  <c r="F688" i="1"/>
  <c r="F708" i="1"/>
  <c r="F712" i="1"/>
  <c r="F622" i="1"/>
  <c r="F599" i="1"/>
  <c r="F623" i="1"/>
  <c r="F632" i="1"/>
  <c r="F677" i="1"/>
  <c r="G304" i="1"/>
  <c r="F591" i="1"/>
  <c r="F687" i="1"/>
  <c r="F691" i="1"/>
  <c r="F707" i="1"/>
  <c r="F711" i="1"/>
  <c r="F592" i="1"/>
  <c r="F676" i="1"/>
  <c r="F692" i="1"/>
  <c r="F636" i="1"/>
  <c r="F640" i="1"/>
  <c r="F680" i="1"/>
  <c r="F685" i="1"/>
  <c r="F698" i="1"/>
  <c r="F705" i="1"/>
  <c r="F717" i="1"/>
  <c r="F721" i="1"/>
  <c r="F681" i="1"/>
  <c r="F699" i="1"/>
  <c r="F718" i="1"/>
  <c r="F627" i="1"/>
  <c r="F689" i="1"/>
  <c r="F694" i="1"/>
  <c r="F709" i="1"/>
  <c r="F714" i="1"/>
  <c r="C304" i="1"/>
  <c r="F624" i="1"/>
  <c r="F633" i="1"/>
  <c r="F596" i="1"/>
  <c r="F626" i="1"/>
  <c r="F634" i="1"/>
  <c r="F679" i="1"/>
  <c r="F683" i="1"/>
  <c r="F697" i="1"/>
  <c r="F701" i="1"/>
  <c r="F716" i="1"/>
  <c r="F720" i="1"/>
  <c r="E304" i="1"/>
  <c r="A1006" i="1"/>
  <c r="A1007" i="1" s="1"/>
  <c r="A1008" i="1" s="1"/>
  <c r="G334" i="1" l="1"/>
  <c r="G335" i="1"/>
  <c r="A1010" i="1"/>
  <c r="A1011" i="1" s="1"/>
  <c r="A1012" i="1" s="1"/>
  <c r="A1013" i="1" s="1"/>
  <c r="G47" i="1" l="1"/>
  <c r="G48" i="1" s="1"/>
  <c r="C48" i="1"/>
  <c r="J144" i="1" l="1"/>
  <c r="J143" i="1"/>
  <c r="J142" i="1"/>
  <c r="J141" i="1"/>
  <c r="J130" i="1"/>
  <c r="J129" i="1"/>
  <c r="J128" i="1"/>
  <c r="J127" i="1"/>
  <c r="H120" i="1"/>
  <c r="H134" i="1"/>
  <c r="D139" i="1" l="1"/>
  <c r="J137" i="1"/>
  <c r="D143" i="1"/>
  <c r="D146" i="1"/>
  <c r="D144" i="1"/>
  <c r="D142" i="1"/>
  <c r="D140" i="1"/>
  <c r="J138" i="1"/>
  <c r="C137" i="1" s="1"/>
  <c r="J136" i="1"/>
  <c r="D145" i="1"/>
  <c r="J139" i="1"/>
  <c r="J140" i="1" s="1"/>
  <c r="J145" i="1" s="1"/>
  <c r="J146" i="1" s="1"/>
  <c r="C138" i="1" s="1"/>
  <c r="D141" i="1"/>
  <c r="D125" i="1"/>
  <c r="J123" i="1"/>
  <c r="D127" i="1"/>
  <c r="D132" i="1"/>
  <c r="D130" i="1"/>
  <c r="D128" i="1"/>
  <c r="D126" i="1"/>
  <c r="J124" i="1"/>
  <c r="C123" i="1" s="1"/>
  <c r="D123" i="1" s="1"/>
  <c r="J122" i="1"/>
  <c r="D129" i="1"/>
  <c r="J125" i="1"/>
  <c r="J126" i="1" s="1"/>
  <c r="J131" i="1" s="1"/>
  <c r="J132" i="1" s="1"/>
  <c r="C124" i="1" s="1"/>
  <c r="D131" i="1"/>
  <c r="E137" i="1" l="1"/>
  <c r="D138" i="1"/>
  <c r="G137" i="1"/>
  <c r="D137" i="1"/>
  <c r="E123" i="1"/>
  <c r="I119" i="1" s="1"/>
  <c r="C121" i="1" s="1"/>
  <c r="D124" i="1"/>
  <c r="G123" i="1"/>
  <c r="I133" i="1" l="1"/>
  <c r="C135" i="1" s="1"/>
  <c r="G580" i="1" l="1"/>
  <c r="A580" i="1"/>
  <c r="A581" i="1" s="1"/>
  <c r="A582" i="1" s="1"/>
  <c r="A583" i="1" s="1"/>
  <c r="G576" i="1"/>
  <c r="G571" i="1"/>
  <c r="G566" i="1"/>
  <c r="G561" i="1"/>
  <c r="A561" i="1"/>
  <c r="A562" i="1" s="1"/>
  <c r="A563" i="1" s="1"/>
  <c r="A564" i="1" s="1"/>
  <c r="D551" i="1"/>
  <c r="F551" i="1" s="1"/>
  <c r="D553" i="1"/>
  <c r="F553" i="1" s="1"/>
  <c r="D552" i="1"/>
  <c r="F552" i="1" s="1"/>
  <c r="G551" i="1"/>
  <c r="G552" i="1" s="1"/>
  <c r="G553" i="1" s="1"/>
  <c r="G546" i="1"/>
  <c r="G547" i="1" s="1"/>
  <c r="G548" i="1" s="1"/>
  <c r="G549" i="1" s="1"/>
  <c r="G541" i="1"/>
  <c r="G536" i="1"/>
  <c r="A536" i="1"/>
  <c r="A537" i="1" s="1"/>
  <c r="A538" i="1" s="1"/>
  <c r="A539" i="1" s="1"/>
  <c r="G376" i="1"/>
  <c r="G377" i="1" s="1"/>
  <c r="G378" i="1" s="1"/>
  <c r="G379" i="1" s="1"/>
  <c r="A377" i="1"/>
  <c r="A378" i="1" s="1"/>
  <c r="A379" i="1" s="1"/>
  <c r="D377" i="1"/>
  <c r="F378" i="1"/>
  <c r="F379" i="1"/>
  <c r="P551" i="1"/>
  <c r="P576" i="1"/>
  <c r="O571" i="1"/>
  <c r="P566" i="1"/>
  <c r="P541" i="1"/>
  <c r="O546" i="1"/>
  <c r="P571" i="1"/>
  <c r="O551" i="1"/>
  <c r="O566" i="1"/>
  <c r="O576" i="1"/>
  <c r="P546" i="1"/>
  <c r="O541" i="1"/>
  <c r="F377" i="1" l="1"/>
  <c r="C306" i="1"/>
  <c r="E306" i="1"/>
  <c r="E330" i="1"/>
  <c r="C330" i="1"/>
  <c r="C329" i="1"/>
  <c r="E329" i="1"/>
  <c r="G308" i="1"/>
  <c r="F376" i="1"/>
  <c r="G306" i="1" s="1"/>
  <c r="O567" i="1"/>
  <c r="N566" i="1"/>
  <c r="A566" i="1" s="1"/>
  <c r="O577" i="1"/>
  <c r="N576" i="1"/>
  <c r="A576" i="1" s="1"/>
  <c r="O572" i="1"/>
  <c r="N571" i="1"/>
  <c r="A571" i="1" s="1"/>
  <c r="P567" i="1"/>
  <c r="P568" i="1" s="1"/>
  <c r="P569" i="1" s="1"/>
  <c r="P572" i="1"/>
  <c r="P573" i="1" s="1"/>
  <c r="P574" i="1" s="1"/>
  <c r="P577" i="1"/>
  <c r="P578" i="1" s="1"/>
  <c r="O552" i="1"/>
  <c r="N551" i="1"/>
  <c r="A551" i="1" s="1"/>
  <c r="P542" i="1"/>
  <c r="P543" i="1" s="1"/>
  <c r="P544" i="1" s="1"/>
  <c r="P552" i="1"/>
  <c r="P553" i="1" s="1"/>
  <c r="O542" i="1"/>
  <c r="N541" i="1"/>
  <c r="A541" i="1" s="1"/>
  <c r="P547" i="1"/>
  <c r="P548" i="1" s="1"/>
  <c r="P549" i="1" s="1"/>
  <c r="O547" i="1"/>
  <c r="N546" i="1"/>
  <c r="A546" i="1" s="1"/>
  <c r="F651" i="1"/>
  <c r="F661" i="1"/>
  <c r="F663" i="1"/>
  <c r="F662" i="1"/>
  <c r="F660" i="1"/>
  <c r="F659" i="1"/>
  <c r="F658" i="1"/>
  <c r="F657" i="1"/>
  <c r="F656" i="1"/>
  <c r="D647" i="1"/>
  <c r="D654" i="1"/>
  <c r="F654" i="1" s="1"/>
  <c r="D653" i="1"/>
  <c r="F653" i="1" s="1"/>
  <c r="D649" i="1"/>
  <c r="F649" i="1" s="1"/>
  <c r="D650" i="1"/>
  <c r="F650" i="1" s="1"/>
  <c r="D648" i="1"/>
  <c r="F648" i="1" s="1"/>
  <c r="D652" i="1"/>
  <c r="F652" i="1" s="1"/>
  <c r="G647" i="1"/>
  <c r="G656" i="1"/>
  <c r="O656" i="1"/>
  <c r="P647" i="1"/>
  <c r="O694" i="1"/>
  <c r="O705" i="1"/>
  <c r="O714" i="1"/>
  <c r="O676" i="1"/>
  <c r="O685" i="1"/>
  <c r="O647" i="1"/>
  <c r="P714" i="1"/>
  <c r="P685" i="1"/>
  <c r="P676" i="1"/>
  <c r="P656" i="1"/>
  <c r="P694" i="1"/>
  <c r="P705" i="1"/>
  <c r="F647" i="1" l="1"/>
  <c r="J647" i="1" s="1"/>
  <c r="E333" i="1"/>
  <c r="C333" i="1"/>
  <c r="G330" i="1"/>
  <c r="G329" i="1"/>
  <c r="O578" i="1"/>
  <c r="N578" i="1" s="1"/>
  <c r="A578" i="1" s="1"/>
  <c r="N577" i="1"/>
  <c r="A577" i="1" s="1"/>
  <c r="O573" i="1"/>
  <c r="N572" i="1"/>
  <c r="A572" i="1" s="1"/>
  <c r="O568" i="1"/>
  <c r="N567" i="1"/>
  <c r="A567" i="1" s="1"/>
  <c r="O548" i="1"/>
  <c r="N547" i="1"/>
  <c r="A547" i="1" s="1"/>
  <c r="O543" i="1"/>
  <c r="N542" i="1"/>
  <c r="A542" i="1" s="1"/>
  <c r="O553" i="1"/>
  <c r="N553" i="1" s="1"/>
  <c r="A553" i="1" s="1"/>
  <c r="N552" i="1"/>
  <c r="A552" i="1" s="1"/>
  <c r="O706" i="1"/>
  <c r="N705" i="1"/>
  <c r="A705" i="1" s="1"/>
  <c r="O715" i="1"/>
  <c r="N714" i="1"/>
  <c r="A714" i="1" s="1"/>
  <c r="P706" i="1"/>
  <c r="P707" i="1" s="1"/>
  <c r="P708" i="1" s="1"/>
  <c r="P709" i="1" s="1"/>
  <c r="P710" i="1" s="1"/>
  <c r="P711" i="1" s="1"/>
  <c r="P712" i="1" s="1"/>
  <c r="P715" i="1"/>
  <c r="P716" i="1" s="1"/>
  <c r="P717" i="1" s="1"/>
  <c r="P718" i="1" s="1"/>
  <c r="P719" i="1" s="1"/>
  <c r="P720" i="1" s="1"/>
  <c r="P721" i="1" s="1"/>
  <c r="P695" i="1"/>
  <c r="P696" i="1" s="1"/>
  <c r="P697" i="1" s="1"/>
  <c r="P698" i="1" s="1"/>
  <c r="P699" i="1" s="1"/>
  <c r="P700" i="1" s="1"/>
  <c r="P701" i="1" s="1"/>
  <c r="O677" i="1"/>
  <c r="N676" i="1"/>
  <c r="A676" i="1" s="1"/>
  <c r="O686" i="1"/>
  <c r="N685" i="1"/>
  <c r="A685" i="1" s="1"/>
  <c r="P677" i="1"/>
  <c r="P678" i="1" s="1"/>
  <c r="P679" i="1" s="1"/>
  <c r="P680" i="1" s="1"/>
  <c r="P681" i="1" s="1"/>
  <c r="P682" i="1" s="1"/>
  <c r="P683" i="1" s="1"/>
  <c r="P686" i="1"/>
  <c r="P687" i="1" s="1"/>
  <c r="P688" i="1" s="1"/>
  <c r="P689" i="1" s="1"/>
  <c r="P690" i="1" s="1"/>
  <c r="P691" i="1" s="1"/>
  <c r="P692" i="1" s="1"/>
  <c r="N694" i="1"/>
  <c r="A694" i="1" s="1"/>
  <c r="O695" i="1"/>
  <c r="P648" i="1"/>
  <c r="P649" i="1" s="1"/>
  <c r="P650" i="1" s="1"/>
  <c r="P651" i="1" s="1"/>
  <c r="P652" i="1" s="1"/>
  <c r="P653" i="1" s="1"/>
  <c r="P654" i="1" s="1"/>
  <c r="O657" i="1"/>
  <c r="N656" i="1"/>
  <c r="A656" i="1" s="1"/>
  <c r="O648" i="1"/>
  <c r="N647" i="1"/>
  <c r="A647" i="1" s="1"/>
  <c r="P657" i="1"/>
  <c r="P658" i="1" s="1"/>
  <c r="P659" i="1" s="1"/>
  <c r="P660" i="1" s="1"/>
  <c r="P661" i="1" s="1"/>
  <c r="P662" i="1" s="1"/>
  <c r="P663" i="1" s="1"/>
  <c r="D588" i="1"/>
  <c r="F588" i="1" s="1"/>
  <c r="D589" i="1"/>
  <c r="F589" i="1" s="1"/>
  <c r="A587" i="1"/>
  <c r="A588" i="1" s="1"/>
  <c r="A589" i="1" s="1"/>
  <c r="E594" i="1"/>
  <c r="F594" i="1" s="1"/>
  <c r="E593" i="1"/>
  <c r="F593" i="1" s="1"/>
  <c r="G591" i="1"/>
  <c r="A591" i="1"/>
  <c r="A592" i="1" s="1"/>
  <c r="A593" i="1" s="1"/>
  <c r="A594" i="1" s="1"/>
  <c r="G610" i="1"/>
  <c r="A610" i="1"/>
  <c r="A611" i="1" s="1"/>
  <c r="A612" i="1" s="1"/>
  <c r="A613" i="1" s="1"/>
  <c r="G606" i="1"/>
  <c r="G601" i="1"/>
  <c r="G596" i="1"/>
  <c r="G586" i="1"/>
  <c r="O631" i="1"/>
  <c r="P606" i="1"/>
  <c r="P601" i="1"/>
  <c r="P631" i="1"/>
  <c r="O636" i="1"/>
  <c r="O596" i="1"/>
  <c r="O606" i="1"/>
  <c r="O601" i="1"/>
  <c r="P596" i="1"/>
  <c r="P636" i="1"/>
  <c r="P626" i="1"/>
  <c r="O626" i="1"/>
  <c r="G333" i="1" l="1"/>
  <c r="C331" i="1"/>
  <c r="E331" i="1"/>
  <c r="E332" i="1"/>
  <c r="C332" i="1"/>
  <c r="O574" i="1"/>
  <c r="N574" i="1" s="1"/>
  <c r="A574" i="1" s="1"/>
  <c r="N573" i="1"/>
  <c r="A573" i="1" s="1"/>
  <c r="O569" i="1"/>
  <c r="N569" i="1" s="1"/>
  <c r="A569" i="1" s="1"/>
  <c r="N568" i="1"/>
  <c r="A568" i="1" s="1"/>
  <c r="O544" i="1"/>
  <c r="N544" i="1" s="1"/>
  <c r="A544" i="1" s="1"/>
  <c r="N543" i="1"/>
  <c r="A543" i="1" s="1"/>
  <c r="N548" i="1"/>
  <c r="A548" i="1" s="1"/>
  <c r="O549" i="1"/>
  <c r="N549" i="1" s="1"/>
  <c r="A549" i="1" s="1"/>
  <c r="O707" i="1"/>
  <c r="N706" i="1"/>
  <c r="A706" i="1" s="1"/>
  <c r="O716" i="1"/>
  <c r="N715" i="1"/>
  <c r="A715" i="1" s="1"/>
  <c r="N686" i="1"/>
  <c r="A686" i="1" s="1"/>
  <c r="O687" i="1"/>
  <c r="O678" i="1"/>
  <c r="N677" i="1"/>
  <c r="A677" i="1" s="1"/>
  <c r="O696" i="1"/>
  <c r="N695" i="1"/>
  <c r="A695" i="1" s="1"/>
  <c r="O649" i="1"/>
  <c r="N648" i="1"/>
  <c r="A648" i="1" s="1"/>
  <c r="O658" i="1"/>
  <c r="N657" i="1"/>
  <c r="A657" i="1" s="1"/>
  <c r="O627" i="1"/>
  <c r="N626" i="1"/>
  <c r="A626" i="1" s="1"/>
  <c r="O632" i="1"/>
  <c r="N631" i="1"/>
  <c r="A631" i="1" s="1"/>
  <c r="O637" i="1"/>
  <c r="N636" i="1"/>
  <c r="A636" i="1" s="1"/>
  <c r="P627" i="1"/>
  <c r="P628" i="1" s="1"/>
  <c r="P629" i="1" s="1"/>
  <c r="P632" i="1"/>
  <c r="P633" i="1" s="1"/>
  <c r="P634" i="1" s="1"/>
  <c r="P637" i="1"/>
  <c r="P638" i="1" s="1"/>
  <c r="O607" i="1"/>
  <c r="N606" i="1"/>
  <c r="A606" i="1" s="1"/>
  <c r="O597" i="1"/>
  <c r="N596" i="1"/>
  <c r="A596" i="1" s="1"/>
  <c r="P597" i="1"/>
  <c r="P598" i="1" s="1"/>
  <c r="P599" i="1" s="1"/>
  <c r="P602" i="1"/>
  <c r="P603" i="1" s="1"/>
  <c r="P604" i="1" s="1"/>
  <c r="P607" i="1"/>
  <c r="P608" i="1" s="1"/>
  <c r="O602" i="1"/>
  <c r="N601" i="1"/>
  <c r="A601" i="1" s="1"/>
  <c r="D372" i="1"/>
  <c r="F372" i="1" s="1"/>
  <c r="D371" i="1"/>
  <c r="D370" i="1"/>
  <c r="D369" i="1"/>
  <c r="C336" i="1" l="1"/>
  <c r="C305" i="1"/>
  <c r="C309" i="1" s="1"/>
  <c r="C354" i="1" s="1"/>
  <c r="E305" i="1"/>
  <c r="E309" i="1" s="1"/>
  <c r="G332" i="1"/>
  <c r="G331" i="1"/>
  <c r="O717" i="1"/>
  <c r="N716" i="1"/>
  <c r="A716" i="1" s="1"/>
  <c r="O708" i="1"/>
  <c r="N707" i="1"/>
  <c r="A707" i="1" s="1"/>
  <c r="O697" i="1"/>
  <c r="N696" i="1"/>
  <c r="A696" i="1" s="1"/>
  <c r="O679" i="1"/>
  <c r="N678" i="1"/>
  <c r="A678" i="1" s="1"/>
  <c r="O688" i="1"/>
  <c r="N687" i="1"/>
  <c r="A687" i="1" s="1"/>
  <c r="O659" i="1"/>
  <c r="N658" i="1"/>
  <c r="A658" i="1" s="1"/>
  <c r="O650" i="1"/>
  <c r="N649" i="1"/>
  <c r="A649" i="1" s="1"/>
  <c r="O633" i="1"/>
  <c r="N632" i="1"/>
  <c r="A632" i="1" s="1"/>
  <c r="O638" i="1"/>
  <c r="N638" i="1" s="1"/>
  <c r="A638" i="1" s="1"/>
  <c r="N637" i="1"/>
  <c r="A637" i="1" s="1"/>
  <c r="O628" i="1"/>
  <c r="N627" i="1"/>
  <c r="A627" i="1" s="1"/>
  <c r="O608" i="1"/>
  <c r="N608" i="1" s="1"/>
  <c r="A608" i="1" s="1"/>
  <c r="N607" i="1"/>
  <c r="A607" i="1" s="1"/>
  <c r="O603" i="1"/>
  <c r="N602" i="1"/>
  <c r="A602" i="1" s="1"/>
  <c r="O598" i="1"/>
  <c r="N597" i="1"/>
  <c r="A597" i="1" s="1"/>
  <c r="D86" i="1"/>
  <c r="E336" i="1" l="1"/>
  <c r="E354" i="1" s="1"/>
  <c r="O709" i="1"/>
  <c r="N708" i="1"/>
  <c r="A708" i="1" s="1"/>
  <c r="O718" i="1"/>
  <c r="N717" i="1"/>
  <c r="A717" i="1" s="1"/>
  <c r="O689" i="1"/>
  <c r="N688" i="1"/>
  <c r="A688" i="1" s="1"/>
  <c r="O698" i="1"/>
  <c r="N697" i="1"/>
  <c r="A697" i="1" s="1"/>
  <c r="O680" i="1"/>
  <c r="N679" i="1"/>
  <c r="A679" i="1" s="1"/>
  <c r="N650" i="1"/>
  <c r="A650" i="1" s="1"/>
  <c r="O651" i="1"/>
  <c r="N659" i="1"/>
  <c r="A659" i="1" s="1"/>
  <c r="O660" i="1"/>
  <c r="O629" i="1"/>
  <c r="N629" i="1" s="1"/>
  <c r="A629" i="1" s="1"/>
  <c r="N628" i="1"/>
  <c r="A628" i="1" s="1"/>
  <c r="O634" i="1"/>
  <c r="N634" i="1" s="1"/>
  <c r="A634" i="1" s="1"/>
  <c r="N633" i="1"/>
  <c r="A633" i="1" s="1"/>
  <c r="O599" i="1"/>
  <c r="N599" i="1" s="1"/>
  <c r="A599" i="1" s="1"/>
  <c r="N598" i="1"/>
  <c r="A598" i="1" s="1"/>
  <c r="O604" i="1"/>
  <c r="N604" i="1" s="1"/>
  <c r="A604" i="1" s="1"/>
  <c r="N603" i="1"/>
  <c r="A603" i="1" s="1"/>
  <c r="J101" i="1"/>
  <c r="J100" i="1"/>
  <c r="H90" i="1"/>
  <c r="O710" i="1" l="1"/>
  <c r="N709" i="1"/>
  <c r="A709" i="1" s="1"/>
  <c r="O719" i="1"/>
  <c r="N718" i="1"/>
  <c r="A718" i="1" s="1"/>
  <c r="O699" i="1"/>
  <c r="N698" i="1"/>
  <c r="A698" i="1" s="1"/>
  <c r="O681" i="1"/>
  <c r="N680" i="1"/>
  <c r="A680" i="1" s="1"/>
  <c r="O690" i="1"/>
  <c r="N689" i="1"/>
  <c r="A689" i="1" s="1"/>
  <c r="O652" i="1"/>
  <c r="N651" i="1"/>
  <c r="A651" i="1" s="1"/>
  <c r="O661" i="1"/>
  <c r="N660" i="1"/>
  <c r="A660" i="1" s="1"/>
  <c r="D96" i="1"/>
  <c r="D102" i="1"/>
  <c r="J94" i="1"/>
  <c r="D103" i="1"/>
  <c r="D99" i="1"/>
  <c r="J95" i="1"/>
  <c r="J93" i="1"/>
  <c r="D98" i="1"/>
  <c r="D101" i="1"/>
  <c r="D97" i="1"/>
  <c r="J96" i="1"/>
  <c r="J97" i="1" s="1"/>
  <c r="J102" i="1" s="1"/>
  <c r="D100" i="1"/>
  <c r="C94" i="1" l="1"/>
  <c r="O720" i="1"/>
  <c r="N719" i="1"/>
  <c r="A719" i="1" s="1"/>
  <c r="O711" i="1"/>
  <c r="N710" i="1"/>
  <c r="A710" i="1" s="1"/>
  <c r="N690" i="1"/>
  <c r="A690" i="1" s="1"/>
  <c r="O691" i="1"/>
  <c r="O700" i="1"/>
  <c r="N699" i="1"/>
  <c r="A699" i="1" s="1"/>
  <c r="O682" i="1"/>
  <c r="N681" i="1"/>
  <c r="A681" i="1" s="1"/>
  <c r="N652" i="1"/>
  <c r="A652" i="1" s="1"/>
  <c r="O653" i="1"/>
  <c r="N661" i="1"/>
  <c r="A661" i="1" s="1"/>
  <c r="O662" i="1"/>
  <c r="J98" i="1"/>
  <c r="J99" i="1" s="1"/>
  <c r="D94" i="1" l="1"/>
  <c r="O712" i="1"/>
  <c r="N712" i="1" s="1"/>
  <c r="A712" i="1" s="1"/>
  <c r="N711" i="1"/>
  <c r="A711" i="1" s="1"/>
  <c r="O721" i="1"/>
  <c r="N721" i="1" s="1"/>
  <c r="A721" i="1" s="1"/>
  <c r="N720" i="1"/>
  <c r="A720" i="1" s="1"/>
  <c r="O692" i="1"/>
  <c r="N692" i="1" s="1"/>
  <c r="A692" i="1" s="1"/>
  <c r="N691" i="1"/>
  <c r="A691" i="1" s="1"/>
  <c r="O683" i="1"/>
  <c r="N683" i="1" s="1"/>
  <c r="A683" i="1" s="1"/>
  <c r="N682" i="1"/>
  <c r="A682" i="1" s="1"/>
  <c r="O701" i="1"/>
  <c r="N701" i="1" s="1"/>
  <c r="A701" i="1" s="1"/>
  <c r="N700" i="1"/>
  <c r="A700" i="1" s="1"/>
  <c r="O654" i="1"/>
  <c r="N654" i="1" s="1"/>
  <c r="A654" i="1" s="1"/>
  <c r="N653" i="1"/>
  <c r="A653" i="1" s="1"/>
  <c r="O663" i="1"/>
  <c r="N663" i="1" s="1"/>
  <c r="A663" i="1" s="1"/>
  <c r="N662" i="1"/>
  <c r="A662" i="1" s="1"/>
  <c r="J103" i="1"/>
  <c r="C95" i="1" s="1"/>
  <c r="G94" i="1" s="1"/>
  <c r="G92" i="1" s="1"/>
  <c r="E94" i="1" l="1"/>
  <c r="D95" i="1"/>
  <c r="I89" i="1" l="1"/>
  <c r="C92" i="1"/>
  <c r="D88" i="1"/>
  <c r="F287" i="1" s="1"/>
  <c r="C14" i="1" l="1"/>
  <c r="E41" i="1" l="1"/>
  <c r="E42" i="1" s="1"/>
  <c r="G369" i="1" l="1"/>
  <c r="G370" i="1" s="1"/>
  <c r="G371" i="1" s="1"/>
  <c r="A370" i="1"/>
  <c r="A371" i="1" s="1"/>
  <c r="A372" i="1" s="1"/>
  <c r="A364" i="1" s="1"/>
  <c r="A365" i="1" s="1"/>
  <c r="A366" i="1" s="1"/>
  <c r="F369" i="1"/>
  <c r="F370" i="1"/>
  <c r="F371" i="1"/>
  <c r="G305" i="1" l="1"/>
  <c r="G309" i="1" s="1"/>
  <c r="G372" i="1"/>
  <c r="G363" i="1" s="1"/>
  <c r="G364" i="1" s="1"/>
  <c r="G365" i="1" s="1"/>
  <c r="G366" i="1" s="1"/>
  <c r="G362" i="1"/>
  <c r="G336" i="1"/>
  <c r="G354" i="1" l="1"/>
  <c r="E25" i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F301" i="1" l="1"/>
  <c r="D6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<sst xmlns="http://schemas.openxmlformats.org/spreadsheetml/2006/main" count="1615" uniqueCount="377">
  <si>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</si>
  <si>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</si>
  <si>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</si>
  <si>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</si>
  <si>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</si>
  <si>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</si>
  <si>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</si>
  <si>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</si>
  <si>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</si>
  <si>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</si>
  <si>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</si>
  <si>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</si>
  <si>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</si>
  <si>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</si>
  <si>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</si>
  <si>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</si>
  <si>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</si>
  <si>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</si>
  <si>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</si>
  <si>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</si>
  <si>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</si>
  <si>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</si>
  <si>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</si>
  <si>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</si>
  <si>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</si>
  <si>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</si>
  <si>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</si>
  <si>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</si>
  <si>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</si>
  <si>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</si>
  <si>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</si>
  <si>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</si>
  <si>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</si>
  <si>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</si>
  <si>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</si>
  <si>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</si>
  <si>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</si>
  <si>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</si>
  <si>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</si>
  <si>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</si>
  <si>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</si>
  <si>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</si>
  <si>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</si>
  <si>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</si>
  <si>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</si>
  <si>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</si>
  <si>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</si>
  <si>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</si>
  <si>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</si>
  <si>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</si>
  <si>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</si>
  <si>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</si>
  <si>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</si>
  <si>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</si>
  <si>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</si>
  <si>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</si>
  <si>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</si>
  <si>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</si>
  <si>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</si>
  <si>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</si>
  <si>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</si>
  <si>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</si>
  <si>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</si>
  <si>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</si>
  <si>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</si>
  <si>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</si>
  <si>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</si>
  <si>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</si>
  <si>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</si>
  <si>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</si>
  <si>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</si>
  <si>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</si>
  <si>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</si>
  <si>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</si>
  <si>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</si>
  <si>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</si>
  <si>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</si>
  <si>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</si>
  <si>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</si>
  <si>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</si>
  <si>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</si>
  <si>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</si>
  <si>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</si>
  <si>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</si>
  <si>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</si>
  <si>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</si>
  <si>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</si>
  <si>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</si>
  <si>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</si>
  <si>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</si>
  <si>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</si>
  <si>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</si>
  <si>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</si>
  <si>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</si>
  <si>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</si>
  <si>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</si>
  <si>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</si>
  <si>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</si>
  <si>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</si>
  <si>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</si>
  <si>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</si>
  <si>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</si>
  <si>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</si>
  <si>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</si>
  <si>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</si>
  <si>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</si>
  <si>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</si>
  <si>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</si>
  <si>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</si>
  <si>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</si>
  <si>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</si>
  <si>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</si>
  <si>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</si>
  <si>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</si>
  <si>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</si>
  <si>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</si>
  <si>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</si>
  <si>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</si>
  <si>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</si>
  <si>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</si>
  <si>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</si>
  <si>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</si>
  <si>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</si>
  <si>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</si>
  <si>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</si>
  <si>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</si>
  <si>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</si>
  <si>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</si>
  <si>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</si>
  <si>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</si>
  <si>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</si>
  <si>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</si>
  <si>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</si>
  <si>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</si>
  <si>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</si>
  <si>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</si>
  <si>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</si>
  <si>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</si>
  <si>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</si>
  <si>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</si>
  <si>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</si>
  <si>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</si>
  <si>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</si>
  <si>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</si>
  <si>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</si>
  <si>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</si>
  <si>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</si>
  <si>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</si>
  <si>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</si>
  <si>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</si>
  <si>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</si>
  <si>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</si>
  <si>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</si>
  <si>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</si>
  <si>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</si>
  <si>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</si>
  <si>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</si>
  <si>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</si>
  <si>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</si>
  <si>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</si>
  <si>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</si>
  <si>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</si>
  <si>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</si>
  <si>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</si>
  <si>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</si>
  <si>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</si>
  <si>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</si>
  <si>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</si>
  <si>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</si>
  <si>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</si>
  <si>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</si>
  <si>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</si>
  <si>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</si>
  <si>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</si>
  <si>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</si>
  <si>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</si>
  <si>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</si>
  <si>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</si>
  <si>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</si>
  <si>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</si>
  <si>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M/s.Evershine Developers</t>
  </si>
  <si>
    <t>Dongare</t>
  </si>
  <si>
    <t>Palghar</t>
  </si>
  <si>
    <t>VVCMC/AMEND/BP/VP/453/59/2019-20</t>
  </si>
  <si>
    <t>VVCMC/AMEND/BP/VP-0453/59/2019-20</t>
  </si>
  <si>
    <t>Garden Avenue-K</t>
  </si>
  <si>
    <t>J4 Rustomjee Global City</t>
  </si>
  <si>
    <t>Chikhaldongari Road</t>
  </si>
  <si>
    <t>Evershine Global City</t>
  </si>
  <si>
    <t>Open Plot</t>
  </si>
  <si>
    <t>Internal Road</t>
  </si>
  <si>
    <t>2.6 KM from Vasai Railway Station</t>
  </si>
  <si>
    <t>1st Floor</t>
  </si>
  <si>
    <t>3rd, 5th, 7th, 9th, 11th, 13th Floor</t>
  </si>
  <si>
    <t>2nd, 4th, 6th, 10th Floor</t>
  </si>
  <si>
    <t>2BHK</t>
  </si>
  <si>
    <t>Shop</t>
  </si>
  <si>
    <t>1BHK</t>
  </si>
  <si>
    <t>1st, 3rd, 5th, 7th, 9th, 11th, 13th Floor</t>
  </si>
  <si>
    <t>2nd, 4th, 6th, 10th, 14th Floor</t>
  </si>
  <si>
    <t>Ground Floor For Parking</t>
  </si>
  <si>
    <t>Type-YI1A 17</t>
  </si>
  <si>
    <t>Type-YI1A 18</t>
  </si>
  <si>
    <t>Type- YI1A 18 = G + 1st to 14th Floor</t>
  </si>
  <si>
    <t>Type- YI1A 17 = G + 1st to 14th Floor</t>
  </si>
  <si>
    <t>Type- TI1A 15 = G + 1st to 14th Floor</t>
  </si>
  <si>
    <t>Type- TI1A 14 = G + 1st to 14th Floor</t>
  </si>
  <si>
    <t>CTS No</t>
  </si>
  <si>
    <t>VVCMC/TP/RDP/VP-0453/81/2018-19</t>
  </si>
  <si>
    <t>Electricity and water meater</t>
  </si>
  <si>
    <t>Transformer Charges</t>
  </si>
  <si>
    <t>Type- YI1B  19 = G + 1st to 14th Floor</t>
  </si>
  <si>
    <t>Type- YI1B  20 = G + 1st to 14th Floor</t>
  </si>
  <si>
    <t>Type- TI1A 14</t>
  </si>
  <si>
    <t xml:space="preserve"> Type- TI1A 14</t>
  </si>
  <si>
    <t>Type- TI1A 15</t>
  </si>
  <si>
    <t>Type- TI1A 16</t>
  </si>
  <si>
    <t>8th &amp; 12th Floor (Part Refuge Area)</t>
  </si>
  <si>
    <t>14th Floor (Part Terrace Area)</t>
  </si>
  <si>
    <t>8th &amp; 12th Floor ( Part Refuge Area)</t>
  </si>
  <si>
    <t>Refuge Area</t>
  </si>
  <si>
    <t>Terrace Area</t>
  </si>
  <si>
    <t>Amenities</t>
  </si>
  <si>
    <t>Construction of building No.16 is further than CC &amp; Approved Plan.</t>
  </si>
  <si>
    <t>5, 5B, 5D, 5F, 5G</t>
  </si>
  <si>
    <t>Vasai</t>
  </si>
  <si>
    <t>Type- TI1A 16 = G + 1st to 14th Floor</t>
  </si>
  <si>
    <t>Type-TI1A = Building No.14</t>
  </si>
  <si>
    <t>Type-TI1A = Building No.15</t>
  </si>
  <si>
    <t>Type-TI1A = Building No.16</t>
  </si>
  <si>
    <t>Type-YI1A = Building No.17</t>
  </si>
  <si>
    <t>Type-YI1A = Building No.18</t>
  </si>
  <si>
    <t>Type-TI1B = Building No.19</t>
  </si>
  <si>
    <t>Type-TI1B = Building No.20</t>
  </si>
  <si>
    <t>50000/-</t>
  </si>
  <si>
    <t>20000/-</t>
  </si>
  <si>
    <t>25000/-</t>
  </si>
  <si>
    <t>5000/-</t>
  </si>
  <si>
    <t>Advance Maintenance Charges for 24 Months</t>
  </si>
  <si>
    <t>2,00,000/-</t>
  </si>
  <si>
    <t>Type-YI1B 19</t>
  </si>
  <si>
    <t>Type-YI1B 20</t>
  </si>
  <si>
    <t>Type- RSI1AA 21 = G + 1st to 14th Floor</t>
  </si>
  <si>
    <t>Type- RSI1AA 22 = G + 1st to 14th Floor</t>
  </si>
  <si>
    <t>Type- RSI1AA 23 = G + 1st to 14th Floor</t>
  </si>
  <si>
    <t>Type- RSI1AA 21</t>
  </si>
  <si>
    <t>Type- RSI1AA 22</t>
  </si>
  <si>
    <t>Type- RSI1AA 23</t>
  </si>
  <si>
    <t>Type-RSI1A = Building No.21</t>
  </si>
  <si>
    <t>Type-RSI1A = Building No.22</t>
  </si>
  <si>
    <t>Type-RSI1A = Building No.23</t>
  </si>
  <si>
    <t>Please provide revised approved plans &amp; CC of Building No.16 to 23</t>
  </si>
  <si>
    <t>Evershine Amavi 303 Phase 1, 2 &amp; 3</t>
  </si>
  <si>
    <t xml:space="preserve">P99000024780 - Evershine Amavi 303 Phase 1
P99000024860 - Evershine Amavi 303 Phase 2
P99000024753 - Evershine Amavi 303 Phase 3
</t>
  </si>
  <si>
    <t xml:space="preserve">Avenue I 
Phase 1 = Building No.14 to 23
Phase 2 = Building No.10 to 13
Phase 3 = Building No.6, 7, 8, 9, 24, 25, 26
</t>
  </si>
  <si>
    <t>Phase 1</t>
  </si>
  <si>
    <t>Commercial Area Details : Phase 1</t>
  </si>
  <si>
    <t>Residential Area Details : Phase 1</t>
  </si>
  <si>
    <t>Phase 2</t>
  </si>
  <si>
    <t>Type-YI1A = Building No.10</t>
  </si>
  <si>
    <t>Type-YI1A = Building No.11</t>
  </si>
  <si>
    <t>Type-YI2A = Building No.12</t>
  </si>
  <si>
    <t>Type-YI1A = Building No.13</t>
  </si>
  <si>
    <t>Phase 3</t>
  </si>
  <si>
    <t>Type- TI1 = Building No.6</t>
  </si>
  <si>
    <t>Type- TI2 = Building No.7</t>
  </si>
  <si>
    <t>Type- TI1 = Building No.8</t>
  </si>
  <si>
    <t>Type- TI1 = Building No.9</t>
  </si>
  <si>
    <t xml:space="preserve"> 3rd, 5th, 7th, 9th, 11th, 13th Floor</t>
  </si>
  <si>
    <t>1st Floor( Part Terrace Area)</t>
  </si>
  <si>
    <t xml:space="preserve">Refuge Area                  </t>
  </si>
  <si>
    <t>Type-RSI1A = Building No.24</t>
  </si>
  <si>
    <t>Type-RSI1A = Building No.25</t>
  </si>
  <si>
    <t>Type-RSI1A = Building No.26</t>
  </si>
  <si>
    <t>Type-YI1A 10 = G + 1st to 14th Floor</t>
  </si>
  <si>
    <t>Type-YI1A 11 = G + 1st to 14th Floor</t>
  </si>
  <si>
    <t>Type-YI2A 12 = G + 1st to 14th Floor</t>
  </si>
  <si>
    <t>Type-YI1A 13 = G + 1st to 14th Floor</t>
  </si>
  <si>
    <t>Proposed no of Floors
(Phase 1)</t>
  </si>
  <si>
    <t>Type- TI1 6 = G + 1st to 14th Floor</t>
  </si>
  <si>
    <t>Type- TI2 7 = G + 1st to 14th Floor</t>
  </si>
  <si>
    <t>Type- TI1 8 = G + 1st to 14th Floor</t>
  </si>
  <si>
    <t>Type- TI1 9 = G + 1st to 14th Floor</t>
  </si>
  <si>
    <t>Type-RSI1A 24 = G + 1st to 14th Floor</t>
  </si>
  <si>
    <t>Type-RSI1A 25 = G + 1st to 14th Floor</t>
  </si>
  <si>
    <t>Type-RSI1A 26 = G + 1st to 14th Floor</t>
  </si>
  <si>
    <t>Proposed no of Floors
(Phase 2)</t>
  </si>
  <si>
    <t>Proposed no of Floors
(Phase 3)</t>
  </si>
  <si>
    <t>21 Buildings</t>
  </si>
  <si>
    <t xml:space="preserve">Ground Floor </t>
  </si>
  <si>
    <t>Residential Area Details : Phase 2</t>
  </si>
  <si>
    <t>Type-YI1A 10</t>
  </si>
  <si>
    <t>Type-YI1A 11</t>
  </si>
  <si>
    <t>Type-YI2A 12</t>
  </si>
  <si>
    <t>Type-YI1A 13</t>
  </si>
  <si>
    <t>Commercial Area Details : Phase 2</t>
  </si>
  <si>
    <t>Commercial Area Details : Phase 3</t>
  </si>
  <si>
    <t>Type- TI1 6</t>
  </si>
  <si>
    <t>Type- TI2 7</t>
  </si>
  <si>
    <t>Type- TI1 8</t>
  </si>
  <si>
    <t>Type- TI1 9</t>
  </si>
  <si>
    <t>Residential Area Details : Phase 3</t>
  </si>
  <si>
    <t>Type-RSI1A 25</t>
  </si>
  <si>
    <t>Type-RSI1A 26</t>
  </si>
  <si>
    <t>Type-RSI1A 24</t>
  </si>
  <si>
    <t>Approved Plans, CC, Cost Sheet</t>
  </si>
  <si>
    <t xml:space="preserve">Commencement Certificate No.
</t>
  </si>
  <si>
    <t xml:space="preserve">Approved Floor plan No.  
</t>
  </si>
  <si>
    <r>
      <t xml:space="preserve">Valid Up to: 
</t>
    </r>
    <r>
      <rPr>
        <b/>
        <sz val="12"/>
        <rFont val="Times New Roman"/>
        <family val="1"/>
      </rPr>
      <t>Phase 1</t>
    </r>
    <r>
      <rPr>
        <sz val="12"/>
        <rFont val="Times New Roman"/>
        <family val="1"/>
      </rPr>
      <t xml:space="preserve">
Type- YI1B 19 = G + 1st to 14th Floor
Type- YI1B 20 = G + 1st to 14th Floor
Type- RSI1AA 21 = G + 1st to 14th Floor
Type- RSI1AA 22 = G + 1st to 14th Floor
Type- RSI1AA 23 = G + 1st to 14th Floor
</t>
    </r>
    <r>
      <rPr>
        <b/>
        <sz val="12"/>
        <rFont val="Times New Roman"/>
        <family val="1"/>
      </rPr>
      <t>Phase 3</t>
    </r>
    <r>
      <rPr>
        <sz val="12"/>
        <rFont val="Times New Roman"/>
        <family val="1"/>
      </rPr>
      <t xml:space="preserve">
TI1 6 = G + 1st to 14th Floor
Type- RSI1A 24 = G + 1st to 14th Floor
Type- RSI1A 25 = G + 1st to 14th Floor
Type- RSI1A 26 = G + 1st to 14th Floor
</t>
    </r>
  </si>
  <si>
    <t>On Site, we meet Mr.Vijay(9371137261).</t>
  </si>
  <si>
    <t xml:space="preserve">Phase 1 
Bldg No. 14 to 23 </t>
  </si>
  <si>
    <t>Phase 2
Bldg No. 10 to 13</t>
  </si>
  <si>
    <t xml:space="preserve">Development Charges </t>
  </si>
  <si>
    <t>1,00,000/-</t>
  </si>
  <si>
    <t>We considered Saleable area  as per our calculation.</t>
  </si>
  <si>
    <t>We have Updated Revised Appproved Floor Plans &amp; CC of Building No. 10, 11, 17 &amp; 18. (on 6/12/2021)</t>
  </si>
  <si>
    <t xml:space="preserve">Type-RSI1A 25 = G + 1st to 14th Floor
</t>
  </si>
  <si>
    <t>Construction details: Phase 1</t>
  </si>
  <si>
    <t>Construction details: Phase 3</t>
  </si>
  <si>
    <t>Construction details: Phase 2</t>
  </si>
  <si>
    <t>Evershine Amavi 303 Phase 1</t>
  </si>
  <si>
    <t>VVCMC/TP/AMEND/VP/0453/37/2022-23</t>
  </si>
  <si>
    <t>VVCMC/TP/RDP/VP-0453/37/2022-23</t>
  </si>
  <si>
    <r>
      <t xml:space="preserve">VVCMC/AMEND/BP/VP/453/59/2019-20
Approved Floor : 
</t>
    </r>
    <r>
      <rPr>
        <b/>
        <sz val="12"/>
        <rFont val="Times New Roman"/>
        <family val="1"/>
      </rPr>
      <t>Phase 1</t>
    </r>
    <r>
      <rPr>
        <sz val="12"/>
        <rFont val="Times New Roman"/>
        <family val="1"/>
      </rPr>
      <t xml:space="preserve">
Type- YI1A 17 = G + 1st to 14th Floor
Type- YI1A 18 = G + 1st to 14th Floor
</t>
    </r>
    <r>
      <rPr>
        <b/>
        <sz val="12"/>
        <rFont val="Times New Roman"/>
        <family val="1"/>
      </rPr>
      <t>Phase 2</t>
    </r>
    <r>
      <rPr>
        <sz val="12"/>
        <rFont val="Times New Roman"/>
        <family val="1"/>
      </rPr>
      <t xml:space="preserve">
Type-YI1A 10 = G + 1st to 14th Floor
Type-YI1A 11 = G + 1st to 14th Floor
Type-YI2A 12 = G + 1st to 14th Floor
Type-YI1A 13 = G + 1st to 14th Floor
</t>
    </r>
    <r>
      <rPr>
        <b/>
        <sz val="12"/>
        <rFont val="Times New Roman"/>
        <family val="1"/>
      </rPr>
      <t xml:space="preserve">Phase 3 </t>
    </r>
    <r>
      <rPr>
        <sz val="12"/>
        <rFont val="Times New Roman"/>
        <family val="1"/>
      </rPr>
      <t xml:space="preserve">
Type- TI2 7 = G + 1st to 14th Floor
Type- TI1 8 = G + 1st to 14th Floor
Type- TI1 9 = G + 1st to 14th Floor
</t>
    </r>
  </si>
  <si>
    <t>Type- TI1A 14 = G + 1st to 14th Floor
Type- TI1A 15 = G + 1st to 14th Floor
Type- TI1A 16 = G + 1st to 14th Floor
Type- YI1A 17 = G + 1st to 14th Floor
Type- YI1A 18 = G + 1st to 14th Floor
Type- YI1B 19 = G + 1st to 14th Floor
Type- YI1B 20 = G + 1st to 14th Floor
Type- RSI1A 21 = G + 1st to 14th Floor
Type- RSI1A 22 = G + 1st to 14th Floor
Type- RSI1A 23 = G + 1st to 14th Floor
Type- RSI1A 24 = G + 1st to 14th Floor
Type- RSI1A 25 = G + 1st to 14th Floor
Type- RSI1A 26 = G + 1st to 14th Floor</t>
  </si>
  <si>
    <t>Phase 1 = Flats - 708, Shops - 27
Phase 2 = Flats - 213, Shops - 29
Phase 3 = Flats - 546, Shops - 26</t>
  </si>
  <si>
    <t>We have Updated Revised Appproved Floor Plans &amp; CC of Building No. 14, 15 &amp; 16. (on 02/04/2022)</t>
  </si>
  <si>
    <t xml:space="preserve">Type- TI2 7 = G + 1st to 14th Floor
</t>
  </si>
  <si>
    <r>
      <t xml:space="preserve">Valid Up to: 
Phase 1
Type- YI1A 17 = G + 1st to 14th Floor
Type- YI1A 18 = G + 1st to 14th Floor
</t>
    </r>
    <r>
      <rPr>
        <b/>
        <sz val="12"/>
        <rFont val="Times New Roman"/>
        <family val="1"/>
      </rPr>
      <t>Phase 2</t>
    </r>
    <r>
      <rPr>
        <sz val="12"/>
        <rFont val="Times New Roman"/>
        <family val="1"/>
      </rPr>
      <t xml:space="preserve">
 Type-YI1A 10 = G + 1st to 14th Floor
Type-YI1A 11 = G + 1st to 14th Floor
Type-YI2A 12 = G + 1st to 14th Floor
Type-YI1A 13 = G + 1st to 14th Floor
</t>
    </r>
    <r>
      <rPr>
        <b/>
        <sz val="12"/>
        <rFont val="Times New Roman"/>
        <family val="1"/>
      </rPr>
      <t xml:space="preserve">Phase 3
</t>
    </r>
    <r>
      <rPr>
        <sz val="12"/>
        <rFont val="Times New Roman"/>
        <family val="1"/>
      </rPr>
      <t>Type- TI2 7 = G + 1st to 14th Floor
Type- TI1 8 = G + 1st to 14th Floor
Type- TI1 9 = G + 1st to 14th Floor</t>
    </r>
  </si>
  <si>
    <t>5200 to 5500</t>
  </si>
  <si>
    <t>Sanket</t>
  </si>
  <si>
    <t>Cost sheet</t>
  </si>
  <si>
    <t>40719719 / 26512867</t>
  </si>
  <si>
    <t xml:space="preserve">Type- YI1A 18 = G + 1st to 14th Floor
Type- YI1B  19 = G + 1st to 14th Floor
Type- YI1B  20 = G + 1st to 14th Floor
</t>
  </si>
  <si>
    <t xml:space="preserve">Type-RSI1A 24 = G + 1st to 14th Floor
</t>
  </si>
  <si>
    <t xml:space="preserve">Type-RSI1A 26 = G + 1st to 14th Floor
</t>
  </si>
  <si>
    <t xml:space="preserve">Type-YI1A 13 = G + 1st to 14th Floor
</t>
  </si>
  <si>
    <t xml:space="preserve">Type-YI1A 10 = G + 1st to 14th Floor
</t>
  </si>
  <si>
    <t>Construction work is in process at the time of Visit.</t>
  </si>
  <si>
    <t>5500 to 5700</t>
  </si>
  <si>
    <t>Nikhil</t>
  </si>
  <si>
    <t>Location Link</t>
  </si>
  <si>
    <t>https://goo.gl/maps/zoumRFwGxuEz5mNL6</t>
  </si>
  <si>
    <t>19.47232, 72.80496</t>
  </si>
  <si>
    <t>Latitude &amp; Longitude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</si>
  <si>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</si>
  <si>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Grand Total</t>
  </si>
  <si>
    <r>
      <t xml:space="preserve">Valid Up to: 
</t>
    </r>
    <r>
      <rPr>
        <b/>
        <sz val="12"/>
        <rFont val="Times New Roman"/>
        <family val="1"/>
      </rPr>
      <t>Phase 1</t>
    </r>
    <r>
      <rPr>
        <sz val="12"/>
        <rFont val="Times New Roman"/>
        <family val="1"/>
      </rPr>
      <t xml:space="preserve">
Type- TI 1A 14 = G + 1st to 14th Floor
Type- TI 1A 15 = G + 1st to 14th Floor
Type- TI 1A 16 = G + 1st to 14th Floor
Type- RSI1AA 21 = G + 1st to 14th Floor
Type- RSI1AA 23 = G + 1st to 14th Floor
</t>
    </r>
    <r>
      <rPr>
        <b/>
        <sz val="12"/>
        <rFont val="Times New Roman"/>
        <family val="1"/>
      </rPr>
      <t>Phase 3</t>
    </r>
    <r>
      <rPr>
        <sz val="12"/>
        <rFont val="Times New Roman"/>
        <family val="1"/>
      </rPr>
      <t xml:space="preserve">
Type- RSI1A 25 = G + 1st to 14th Floor
Type- RSI1A 26 = G + 1st to 14th Floor
</t>
    </r>
  </si>
  <si>
    <r>
      <t xml:space="preserve">VVCMC/TP/RDP/VP-0453/81/2018-19
Approved Floor : 
</t>
    </r>
    <r>
      <rPr>
        <b/>
        <sz val="12"/>
        <rFont val="Times New Roman"/>
        <family val="1"/>
      </rPr>
      <t>Phase 1</t>
    </r>
    <r>
      <rPr>
        <sz val="12"/>
        <rFont val="Times New Roman"/>
        <family val="1"/>
      </rPr>
      <t xml:space="preserve">
Type- YI1B 19 = G + 1st to 14th Floor
Type- YI1B 20 = G + 1st to 14th Floor
Type- RSI1AA 22 = G + 1st to 14th Floor
</t>
    </r>
    <r>
      <rPr>
        <b/>
        <sz val="12"/>
        <rFont val="Times New Roman"/>
        <family val="1"/>
      </rPr>
      <t>Phase 3</t>
    </r>
    <r>
      <rPr>
        <sz val="12"/>
        <rFont val="Times New Roman"/>
        <family val="1"/>
      </rPr>
      <t xml:space="preserve">
TI1 6 = G + 1st to 14th Floor
Type- RSI1A 24 = G + 1st to 14th Floor
</t>
    </r>
  </si>
  <si>
    <t>We have Updated Revised Appproved Floor Plans &amp; CC of Building No. 21, 23, 25 &amp; 26. (on 29/06/2023)</t>
  </si>
  <si>
    <r>
      <t xml:space="preserve">VVCMC/TP/AMEND/VP/0453/37/2022-23
Approved Floor : 
</t>
    </r>
    <r>
      <rPr>
        <b/>
        <sz val="12"/>
        <rFont val="Times New Roman"/>
        <family val="1"/>
      </rPr>
      <t>Phase 1</t>
    </r>
    <r>
      <rPr>
        <sz val="12"/>
        <rFont val="Times New Roman"/>
        <family val="1"/>
      </rPr>
      <t xml:space="preserve">
Type - TI1A 14 = G + 1st to 14th Floor
Type- TI1A 15 = G + 1st to 14th Floor
Type- TI1A 16 = G + 1st to 14th Floor
Type- RSI1AA 21 = G + 1st to 14th Floor
Type- RSI1AA 23 = G + 1st to 14th Floor
</t>
    </r>
    <r>
      <rPr>
        <b/>
        <sz val="12"/>
        <rFont val="Times New Roman"/>
        <family val="1"/>
      </rPr>
      <t>Phase 3</t>
    </r>
    <r>
      <rPr>
        <sz val="12"/>
        <rFont val="Times New Roman"/>
        <family val="1"/>
      </rPr>
      <t xml:space="preserve">
Type- RSI1A 25 = G + 1st to 14th Floor
Type- RSI1A 26 = G + 1st to 14th Floor</t>
    </r>
  </si>
  <si>
    <t>Navnath Bhatkar</t>
  </si>
  <si>
    <t xml:space="preserve">Type-YI1A 11 = G + 1st to 14th Floor
Type-YI2A 12 = G + 1st to 14th Floor
Type-YI1A 13 = G + 1st to 14th Floor
</t>
  </si>
  <si>
    <t xml:space="preserve">Type- YI1A 17 = G + 1st to 14th Floor
Type- YI1A 18 = G + 1st to 14th Floor
Type- YI1B  19 = G + 1st to 14th Floor
Type- YI1B  20 = G + 1st to 14th Floor
</t>
  </si>
  <si>
    <t xml:space="preserve">Type- TI1 6 = G + 1st to 14th Floor
Type- TI2 7 = G + 1st to 14th Floor
</t>
  </si>
  <si>
    <t>Approved Upto:</t>
  </si>
  <si>
    <t>VVCMC/TP/OC/VP-453/158/2023-24</t>
  </si>
  <si>
    <t>Type- TI 1A 14, 15, 16  = G + 1st to 14th Floor
Type- YI1A 17 &amp; 18 = G + 1st to 14th Floor
Type- YI1B 19 &amp; 20 = G + 1st to 14th Floor
Type- RSI1A 21, 22 &amp; 23 = G + 1st to 14th Floor</t>
  </si>
  <si>
    <t>All Work Completed OC Received.</t>
  </si>
  <si>
    <t>We have updated OC of Phase 1 Bldg No. 14 to 23 &amp; Phase 2 Bldg No. 10 to 13 on 23/02/2024.</t>
  </si>
  <si>
    <t>Type-YI1A 10&amp; 11 = G + 1st to 14th Floor
Type-YI2A 12 = G + 1st to 14th Floor
Type-YI1A 13 = G + 1st to 14th Floor</t>
  </si>
  <si>
    <t>Phase 2
Type-YI1A 10&amp; 11 = G + 1st to 14th Floor
Type-YI2A 12 = G + 1st to 14th Floor
Type-YI1A 13 = G + 1st to 14th Floor
Phase 1
Type- TI 1A 14, 15, 16  = G + 1st to 14th Floor
Type- YI1A 17 &amp; 18 = G + 1st to 14th Floor
Type- YI1B 19 &amp; 20 = G + 1st to 14th Floor
Type- RSI1A 21, 22 &amp; 23 = G + 1st to 14th Floor</t>
  </si>
  <si>
    <t>3,00,000/-</t>
  </si>
  <si>
    <t>5700 to 6500</t>
  </si>
  <si>
    <t>smith</t>
  </si>
  <si>
    <t>verbal</t>
  </si>
  <si>
    <t>Phase 3
Bldg No. 24 to 26</t>
  </si>
  <si>
    <t xml:space="preserve">Site Person - Contact Details ( Name &amp; Contact No.)
</t>
  </si>
  <si>
    <t>As per RERA - 
Phase I &amp; II = Completed
Phase III = 30/12/2025</t>
  </si>
  <si>
    <t>Rate 6750 by Shailesh verbal   on 14/02/2025</t>
  </si>
  <si>
    <t>Rate 6900 by Shailesh on higher side verbal   on 18/02/2025</t>
  </si>
  <si>
    <t>Recommended Rates/Other Charges of the Property have been revised on 21/03/2024, 14/02/2025 &amp; 18/02/2025.</t>
  </si>
  <si>
    <t>Mr. Mahesh Patil 9960169601</t>
  </si>
  <si>
    <t>Construction work is in process at the time of Visit. (Slow speed)</t>
  </si>
  <si>
    <t>Phase 3
Bldg No. 9</t>
  </si>
  <si>
    <t>Phase 3
Bldg No. 6 to 8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</si>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</sst>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0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11" xfId="1" applyFont="1" applyBorder="1" applyProtection="1">
      <protection hidden="1"/>
    </xf>
    <xf numFmtId="168" fontId="7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3" xfId="0" applyFont="1" applyBorder="1" applyProtection="1">
      <protection hidden="1"/>
    </xf>
    <xf numFmtId="1" fontId="23" fillId="0" borderId="13" xfId="0" applyNumberFormat="1" applyFont="1" applyBorder="1"/>
    <xf numFmtId="1" fontId="23" fillId="0" borderId="13" xfId="0" applyNumberFormat="1" applyFont="1" applyBorder="1" applyAlignment="1">
      <alignment horizontal="right"/>
    </xf>
    <xf numFmtId="0" fontId="16" fillId="0" borderId="14" xfId="0" applyFont="1" applyBorder="1" applyProtection="1">
      <protection hidden="1"/>
    </xf>
    <xf numFmtId="1" fontId="23" fillId="0" borderId="15" xfId="0" applyNumberFormat="1" applyFont="1" applyBorder="1"/>
    <xf numFmtId="0" fontId="15" fillId="0" borderId="0" xfId="0" applyFont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14" fontId="12" fillId="2" borderId="1" xfId="1" applyNumberFormat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5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7" xfId="1" applyFont="1" applyFill="1" applyBorder="1" applyAlignment="1" applyProtection="1">
      <alignment horizontal="center" wrapText="1"/>
      <protection locked="0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2" fillId="3" borderId="1" xfId="1" applyFont="1" applyFill="1" applyBorder="1" applyAlignment="1" applyProtection="1">
      <alignment vertical="top" wrapText="1"/>
      <protection locked="0"/>
    </xf>
    <xf numFmtId="0" fontId="12" fillId="3" borderId="1" xfId="1" applyFont="1" applyFill="1" applyBorder="1" applyAlignment="1" applyProtection="1">
      <alignment vertical="top"/>
      <protection locked="0"/>
    </xf>
    <xf numFmtId="14" fontId="12" fillId="3" borderId="1" xfId="1" applyNumberFormat="1" applyFont="1" applyFill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2" fillId="0" borderId="1" xfId="1" applyNumberFormat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30" xfId="1" applyFont="1" applyFill="1" applyBorder="1" applyAlignment="1" applyProtection="1">
      <alignment vertical="top" wrapText="1"/>
      <protection locked="0"/>
    </xf>
    <xf numFmtId="0" fontId="7" fillId="0" borderId="19" xfId="1" applyFont="1" applyFill="1" applyBorder="1" applyAlignment="1" applyProtection="1">
      <alignment horizontal="center" vertical="top" wrapText="1"/>
      <protection locked="0"/>
    </xf>
    <xf numFmtId="9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 applyProtection="1">
      <alignment horizontal="left"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Fill="1" applyBorder="1" applyAlignment="1" applyProtection="1">
      <alignment horizontal="left" vertical="top" wrapText="1"/>
      <protection locked="0"/>
    </xf>
    <xf numFmtId="0" fontId="10" fillId="0" borderId="25" xfId="1" applyFont="1" applyFill="1" applyBorder="1" applyAlignment="1" applyProtection="1">
      <alignment horizontal="left" vertical="top" wrapText="1"/>
      <protection locked="0"/>
    </xf>
    <xf numFmtId="0" fontId="10" fillId="0" borderId="18" xfId="1" applyFont="1" applyFill="1" applyBorder="1" applyAlignment="1" applyProtection="1">
      <alignment horizontal="left" vertical="top" wrapText="1"/>
      <protection locked="0"/>
    </xf>
    <xf numFmtId="0" fontId="10" fillId="0" borderId="16" xfId="1" applyFont="1" applyFill="1" applyBorder="1" applyAlignment="1" applyProtection="1">
      <alignment horizontal="left" vertical="top" wrapText="1"/>
      <protection locked="0"/>
    </xf>
    <xf numFmtId="0" fontId="10" fillId="0" borderId="17" xfId="1" applyFont="1" applyFill="1" applyBorder="1" applyAlignment="1" applyProtection="1">
      <alignment horizontal="left" vertical="top" wrapText="1"/>
      <protection locked="0"/>
    </xf>
    <xf numFmtId="0" fontId="10" fillId="0" borderId="26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horizontal="center" vertical="top" wrapText="1"/>
      <protection locked="0"/>
    </xf>
    <xf numFmtId="1" fontId="8" fillId="0" borderId="24" xfId="0" applyNumberFormat="1" applyFont="1" applyFill="1" applyBorder="1" applyAlignment="1" applyProtection="1">
      <alignment horizontal="center" vertical="top" wrapText="1"/>
      <protection locked="0"/>
    </xf>
    <xf numFmtId="1" fontId="8" fillId="0" borderId="1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1" fontId="7" fillId="0" borderId="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7" fillId="0" borderId="32" xfId="1" applyFont="1" applyFill="1" applyBorder="1" applyAlignment="1" applyProtection="1">
      <alignment horizontal="center" vertical="top"/>
      <protection locked="0"/>
    </xf>
    <xf numFmtId="0" fontId="7" fillId="0" borderId="19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6" xfId="1" applyFont="1" applyFill="1" applyBorder="1" applyAlignment="1" applyProtection="1">
      <alignment horizontal="center" vertical="top"/>
      <protection locked="0"/>
    </xf>
    <xf numFmtId="0" fontId="7" fillId="0" borderId="7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2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26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top" wrapText="1"/>
      <protection locked="0"/>
    </xf>
    <xf numFmtId="167" fontId="12" fillId="0" borderId="5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0" fontId="7" fillId="0" borderId="19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8" fillId="0" borderId="9" xfId="1" applyFont="1" applyFill="1" applyBorder="1" applyAlignment="1" applyProtection="1">
      <alignment vertical="top"/>
      <protection locked="0"/>
    </xf>
    <xf numFmtId="0" fontId="8" fillId="0" borderId="24" xfId="1" applyFont="1" applyFill="1" applyBorder="1" applyAlignment="1" applyProtection="1">
      <alignment vertical="top"/>
      <protection locked="0"/>
    </xf>
    <xf numFmtId="0" fontId="8" fillId="0" borderId="10" xfId="1" applyFont="1" applyFill="1" applyBorder="1" applyAlignment="1" applyProtection="1">
      <alignment vertical="top"/>
      <protection locked="0"/>
    </xf>
    <xf numFmtId="1" fontId="10" fillId="0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0" fontId="24" fillId="0" borderId="1" xfId="9" applyFill="1" applyBorder="1" applyAlignment="1" applyProtection="1">
      <alignment horizontal="left"/>
      <protection locked="0"/>
    </xf>
    <xf numFmtId="0" fontId="13" fillId="0" borderId="33" xfId="1" applyFont="1" applyFill="1" applyBorder="1" applyAlignment="1" applyProtection="1">
      <alignment horizontal="center" vertical="center"/>
      <protection locked="0"/>
    </xf>
    <xf numFmtId="0" fontId="13" fillId="0" borderId="34" xfId="1" applyFont="1" applyFill="1" applyBorder="1" applyAlignment="1" applyProtection="1">
      <alignment horizontal="center" vertical="center"/>
      <protection locked="0"/>
    </xf>
    <xf numFmtId="9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3" fillId="0" borderId="4" xfId="1" applyFont="1" applyFill="1" applyBorder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5" xfId="1" applyFont="1" applyFill="1" applyBorder="1" applyAlignment="1" applyProtection="1">
      <alignment horizontal="left" vertical="center" wrapText="1"/>
      <protection locked="0"/>
    </xf>
    <xf numFmtId="0" fontId="13" fillId="0" borderId="31" xfId="1" applyFont="1" applyFill="1" applyBorder="1" applyAlignment="1" applyProtection="1">
      <alignment horizontal="left" vertical="center"/>
      <protection locked="0"/>
    </xf>
    <xf numFmtId="0" fontId="13" fillId="0" borderId="3" xfId="1" applyFont="1" applyFill="1" applyBorder="1" applyAlignment="1" applyProtection="1">
      <alignment horizontal="left" vertical="center"/>
      <protection locked="0"/>
    </xf>
    <xf numFmtId="0" fontId="13" fillId="0" borderId="3" xfId="1" applyFont="1" applyFill="1" applyBorder="1" applyAlignment="1" applyProtection="1">
      <alignment horizontal="left" vertical="center" wrapText="1"/>
      <protection locked="0"/>
    </xf>
    <xf numFmtId="167" fontId="10" fillId="0" borderId="1" xfId="1" applyNumberFormat="1" applyFont="1" applyFill="1" applyBorder="1" applyAlignment="1" applyProtection="1">
      <alignment horizontal="left"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5.png"/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33525</xdr:colOff>
      <xdr:row>1097</xdr:row>
      <xdr:rowOff>184346</xdr:rowOff>
    </xdr:from>
    <xdr:to>
      <xdr:col>6</xdr:col>
      <xdr:colOff>1593906</xdr:colOff>
      <xdr:row>1115</xdr:row>
      <xdr:rowOff>112098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5525" y="246453221"/>
          <a:ext cx="5722806" cy="35282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</xdr:colOff>
      <xdr:row>1079</xdr:row>
      <xdr:rowOff>51547</xdr:rowOff>
    </xdr:from>
    <xdr:to>
      <xdr:col>6</xdr:col>
      <xdr:colOff>1621830</xdr:colOff>
      <xdr:row>1096</xdr:row>
      <xdr:rowOff>180046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0" y="242719972"/>
          <a:ext cx="5765205" cy="35289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700227</xdr:colOff>
      <xdr:row>1037</xdr:row>
      <xdr:rowOff>47625</xdr:rowOff>
    </xdr:from>
    <xdr:to>
      <xdr:col>10</xdr:col>
      <xdr:colOff>495300</xdr:colOff>
      <xdr:row>1038</xdr:row>
      <xdr:rowOff>142875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786827" y="235153200"/>
          <a:ext cx="557073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9 &amp; 10</a:t>
          </a:r>
        </a:p>
      </xdr:txBody>
    </xdr:sp>
    <xdr:clientData/>
  </xdr:twoCellAnchor>
  <xdr:twoCellAnchor>
    <xdr:from>
      <xdr:col>10</xdr:col>
      <xdr:colOff>0</xdr:colOff>
      <xdr:row>1030</xdr:row>
      <xdr:rowOff>126369</xdr:rowOff>
    </xdr:from>
    <xdr:to>
      <xdr:col>11</xdr:col>
      <xdr:colOff>352425</xdr:colOff>
      <xdr:row>1032</xdr:row>
      <xdr:rowOff>9525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267825" y="233003094"/>
          <a:ext cx="1057275" cy="283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10,11, 12 &amp; 13</a:t>
          </a:r>
        </a:p>
      </xdr:txBody>
    </xdr:sp>
    <xdr:clientData/>
  </xdr:twoCellAnchor>
  <xdr:twoCellAnchor>
    <xdr:from>
      <xdr:col>8</xdr:col>
      <xdr:colOff>826228</xdr:colOff>
      <xdr:row>1046</xdr:row>
      <xdr:rowOff>193045</xdr:rowOff>
    </xdr:from>
    <xdr:to>
      <xdr:col>9</xdr:col>
      <xdr:colOff>47625</xdr:colOff>
      <xdr:row>1048</xdr:row>
      <xdr:rowOff>38100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170003" y="236260645"/>
          <a:ext cx="383447" cy="2451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15</a:t>
          </a:r>
        </a:p>
      </xdr:txBody>
    </xdr:sp>
    <xdr:clientData/>
  </xdr:twoCellAnchor>
  <xdr:twoCellAnchor>
    <xdr:from>
      <xdr:col>8</xdr:col>
      <xdr:colOff>823158</xdr:colOff>
      <xdr:row>1041</xdr:row>
      <xdr:rowOff>2545</xdr:rowOff>
    </xdr:from>
    <xdr:to>
      <xdr:col>9</xdr:col>
      <xdr:colOff>47626</xdr:colOff>
      <xdr:row>1042</xdr:row>
      <xdr:rowOff>47626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166933" y="235908220"/>
          <a:ext cx="386518" cy="245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16</a:t>
          </a:r>
        </a:p>
      </xdr:txBody>
    </xdr:sp>
    <xdr:clientData/>
  </xdr:twoCellAnchor>
  <xdr:twoCellAnchor>
    <xdr:from>
      <xdr:col>10</xdr:col>
      <xdr:colOff>105712</xdr:colOff>
      <xdr:row>1044</xdr:row>
      <xdr:rowOff>69219</xdr:rowOff>
    </xdr:from>
    <xdr:to>
      <xdr:col>11</xdr:col>
      <xdr:colOff>57150</xdr:colOff>
      <xdr:row>1045</xdr:row>
      <xdr:rowOff>114300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373537" y="235736769"/>
          <a:ext cx="656288" cy="245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17 &amp; 18</a:t>
          </a:r>
        </a:p>
      </xdr:txBody>
    </xdr:sp>
    <xdr:clientData/>
  </xdr:twoCellAnchor>
  <xdr:twoCellAnchor>
    <xdr:from>
      <xdr:col>8</xdr:col>
      <xdr:colOff>1008443</xdr:colOff>
      <xdr:row>1036</xdr:row>
      <xdr:rowOff>196383</xdr:rowOff>
    </xdr:from>
    <xdr:to>
      <xdr:col>9</xdr:col>
      <xdr:colOff>504825</xdr:colOff>
      <xdr:row>1038</xdr:row>
      <xdr:rowOff>85725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932993" y="235101933"/>
          <a:ext cx="658432" cy="289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19 &amp; 20</a:t>
          </a:r>
        </a:p>
      </xdr:txBody>
    </xdr:sp>
    <xdr:clientData/>
  </xdr:twoCellAnchor>
  <xdr:twoCellAnchor>
    <xdr:from>
      <xdr:col>8</xdr:col>
      <xdr:colOff>514351</xdr:colOff>
      <xdr:row>1062</xdr:row>
      <xdr:rowOff>52097</xdr:rowOff>
    </xdr:from>
    <xdr:to>
      <xdr:col>9</xdr:col>
      <xdr:colOff>28575</xdr:colOff>
      <xdr:row>1063</xdr:row>
      <xdr:rowOff>171450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858126" y="239320097"/>
          <a:ext cx="676274" cy="319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21 &amp; 22 </a:t>
          </a:r>
        </a:p>
      </xdr:txBody>
    </xdr:sp>
    <xdr:clientData/>
  </xdr:twoCellAnchor>
  <xdr:twoCellAnchor>
    <xdr:from>
      <xdr:col>10</xdr:col>
      <xdr:colOff>254729</xdr:colOff>
      <xdr:row>1056</xdr:row>
      <xdr:rowOff>167808</xdr:rowOff>
    </xdr:from>
    <xdr:to>
      <xdr:col>10</xdr:col>
      <xdr:colOff>603771</xdr:colOff>
      <xdr:row>1058</xdr:row>
      <xdr:rowOff>9525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522554" y="239073858"/>
          <a:ext cx="349042" cy="2417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24</a:t>
          </a:r>
        </a:p>
      </xdr:txBody>
    </xdr:sp>
    <xdr:clientData/>
  </xdr:twoCellAnchor>
  <xdr:twoCellAnchor>
    <xdr:from>
      <xdr:col>9</xdr:col>
      <xdr:colOff>315261</xdr:colOff>
      <xdr:row>1057</xdr:row>
      <xdr:rowOff>5883</xdr:rowOff>
    </xdr:from>
    <xdr:to>
      <xdr:col>9</xdr:col>
      <xdr:colOff>666750</xdr:colOff>
      <xdr:row>1058</xdr:row>
      <xdr:rowOff>104775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21086" y="239111958"/>
          <a:ext cx="351489" cy="298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23</a:t>
          </a:r>
        </a:p>
      </xdr:txBody>
    </xdr:sp>
    <xdr:clientData/>
  </xdr:twoCellAnchor>
  <xdr:twoCellAnchor editAs="oneCell">
    <xdr:from>
      <xdr:col>10</xdr:col>
      <xdr:colOff>661614</xdr:colOff>
      <xdr:row>1063</xdr:row>
      <xdr:rowOff>75750</xdr:rowOff>
    </xdr:from>
    <xdr:to>
      <xdr:col>12</xdr:col>
      <xdr:colOff>784502</xdr:colOff>
      <xdr:row>1074</xdr:row>
      <xdr:rowOff>35475</xdr:rowOff>
    </xdr:to>
    <xdr:pic>
      <xdr:nvPicPr>
        <xdr:cNvPr id="34" name="Picture 33" descr="insp-167415-1525.jpg (959×1280)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439" y="240381975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104775</xdr:colOff>
      <xdr:row>1030</xdr:row>
      <xdr:rowOff>142874</xdr:rowOff>
    </xdr:from>
    <xdr:to>
      <xdr:col>19</xdr:col>
      <xdr:colOff>498824</xdr:colOff>
      <xdr:row>1075</xdr:row>
      <xdr:rowOff>979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585075" y="208391124"/>
          <a:ext cx="6724999" cy="8710005"/>
          <a:chOff x="552450" y="214198199"/>
          <a:chExt cx="6432899" cy="8849705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8392" y="221732854"/>
            <a:ext cx="929712" cy="13150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5671" y="219834974"/>
            <a:ext cx="2359678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1676" y="214198200"/>
            <a:ext cx="1905416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0919" y="214198200"/>
            <a:ext cx="1933991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3116" y="214198200"/>
            <a:ext cx="1984791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1676" y="217024394"/>
            <a:ext cx="1905416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0918" y="217024394"/>
            <a:ext cx="1933991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3115" y="217024394"/>
            <a:ext cx="1984791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7092" y="221732854"/>
            <a:ext cx="923362" cy="13150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450" y="219834974"/>
            <a:ext cx="1272394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2782" y="219834974"/>
            <a:ext cx="1307319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8039" y="219834974"/>
            <a:ext cx="1259694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711676" y="214198199"/>
            <a:ext cx="493749" cy="3387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6 &amp; 7</a:t>
            </a:r>
          </a:p>
        </xdr:txBody>
      </xdr:sp>
      <xdr:sp macro="" textlink="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2750919" y="214198200"/>
            <a:ext cx="297450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8</a:t>
            </a:r>
          </a:p>
        </xdr:txBody>
      </xdr:sp>
      <xdr:sp macro="" textlink="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4813116" y="214198200"/>
            <a:ext cx="259350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9</a:t>
            </a:r>
          </a:p>
        </xdr:txBody>
      </xdr:sp>
      <xdr:sp macro="" textlink="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711676" y="217024394"/>
            <a:ext cx="370539" cy="2989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24</a:t>
            </a:r>
          </a:p>
        </xdr:txBody>
      </xdr:sp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2750918" y="217024394"/>
            <a:ext cx="338357" cy="31388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25</a:t>
            </a:r>
          </a:p>
        </xdr:txBody>
      </xdr:sp>
      <xdr:sp macro="" textlink="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4813115" y="217024394"/>
            <a:ext cx="300257" cy="31388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26</a:t>
            </a:r>
          </a:p>
        </xdr:txBody>
      </xdr:sp>
    </xdr:grpSp>
    <xdr:clientData/>
  </xdr:twoCellAnchor>
  <xdr:twoCellAnchor>
    <xdr:from>
      <xdr:col>8</xdr:col>
      <xdr:colOff>659653</xdr:colOff>
      <xdr:row>1031</xdr:row>
      <xdr:rowOff>10459</xdr:rowOff>
    </xdr:from>
    <xdr:to>
      <xdr:col>20</xdr:col>
      <xdr:colOff>58502</xdr:colOff>
      <xdr:row>1072</xdr:row>
      <xdr:rowOff>150281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139953" y="208455559"/>
          <a:ext cx="6371149" cy="8204322"/>
          <a:chOff x="558800" y="207810100"/>
          <a:chExt cx="6282249" cy="8199466"/>
        </a:xfrm>
      </xdr:grpSpPr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8398" y="2140295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1367" y="2140295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802" y="2078101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8400" y="2078101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7596" y="2078101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7998" y="2078101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7596" y="2098903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800" y="21194935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8399" y="21194935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802" y="2098691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8400" y="2098903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7998" y="20989030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7996" y="2140295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1367" y="211950083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7998" y="21194935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800" y="21402956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 txBox="1"/>
        </xdr:nvSpPr>
        <xdr:spPr>
          <a:xfrm>
            <a:off x="1479552" y="207873600"/>
            <a:ext cx="516169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6 &amp; 7</a:t>
            </a: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/>
        </xdr:nvSpPr>
        <xdr:spPr>
          <a:xfrm>
            <a:off x="2158400" y="207810100"/>
            <a:ext cx="516169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8 &amp; 9</a:t>
            </a:r>
          </a:p>
        </xdr:txBody>
      </xdr:sp>
      <xdr:sp macro="" textlink="">
        <xdr:nvSpPr>
          <xdr:cNvPr id="95" name="TextBox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/>
        </xdr:nvSpPr>
        <xdr:spPr>
          <a:xfrm>
            <a:off x="4932748" y="207835500"/>
            <a:ext cx="516169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9</a:t>
            </a:r>
          </a:p>
        </xdr:txBody>
      </xdr:sp>
      <xdr:sp macro="" textlink="">
        <xdr:nvSpPr>
          <xdr:cNvPr id="96" name="TextBox 9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 txBox="1"/>
        </xdr:nvSpPr>
        <xdr:spPr>
          <a:xfrm>
            <a:off x="5357596" y="207810101"/>
            <a:ext cx="693954" cy="279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10 to 12</a:t>
            </a:r>
          </a:p>
        </xdr:txBody>
      </xdr:sp>
      <xdr:sp macro="" textlink="">
        <xdr:nvSpPr>
          <xdr:cNvPr id="98" name="TextBox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5744946" y="209915708"/>
            <a:ext cx="420904" cy="2692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24</a:t>
            </a:r>
          </a:p>
        </xdr:txBody>
      </xdr:sp>
      <xdr:sp macro="" textlink="">
        <xdr:nvSpPr>
          <xdr:cNvPr id="99" name="TextBox 9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 txBox="1"/>
        </xdr:nvSpPr>
        <xdr:spPr>
          <a:xfrm>
            <a:off x="1289050" y="211930308"/>
            <a:ext cx="420904" cy="2692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25</a:t>
            </a:r>
          </a:p>
        </xdr:txBody>
      </xdr: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/>
        </xdr:nvSpPr>
        <xdr:spPr>
          <a:xfrm>
            <a:off x="2647349" y="211898558"/>
            <a:ext cx="420904" cy="2692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26</a:t>
            </a:r>
          </a:p>
        </xdr:txBody>
      </xdr:sp>
    </xdr:grpSp>
    <xdr:clientData/>
  </xdr:twoCellAnchor>
  <xdr:twoCellAnchor>
    <xdr:from>
      <xdr:col>0</xdr:col>
      <xdr:colOff>527050</xdr:colOff>
      <xdr:row>1031</xdr:row>
      <xdr:rowOff>101600</xdr:rowOff>
    </xdr:from>
    <xdr:to>
      <xdr:col>6</xdr:col>
      <xdr:colOff>1805609</xdr:colOff>
      <xdr:row>1075</xdr:row>
      <xdr:rowOff>134472</xdr:rowOff>
    </xdr:to>
    <xdr:grpSp>
      <xdr:nvGrpSpPr>
        <xdr:cNvPr id="5" name="Group 4"/>
        <xdr:cNvGrpSpPr/>
      </xdr:nvGrpSpPr>
      <xdr:grpSpPr>
        <a:xfrm>
          <a:off x="527050" y="208546700"/>
          <a:ext cx="6447459" cy="8687922"/>
          <a:chOff x="527050" y="208546700"/>
          <a:chExt cx="6447459" cy="8687922"/>
        </a:xfrm>
      </xdr:grpSpPr>
      <xdr:pic>
        <xdr:nvPicPr>
          <xdr:cNvPr id="116" name="Picture 115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59930" y="215434622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7" name="Picture 116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4864" y="208546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8" name="Picture 117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4755" y="208546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9" name="Picture 118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4646" y="208546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0" name="Picture 119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5716" y="21139467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1" name="Picture 120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2142" y="21139467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2" name="Picture 121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08568" y="21139467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3" name="Picture 122"/>
          <xdr:cNvPicPr>
            <a:picLocks noChangeAspect="1"/>
          </xdr:cNvPicPr>
        </xdr:nvPicPr>
        <xdr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62241" y="21352264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4" name="Picture 123"/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9176" y="21543462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5" name="Picture 124"/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7050" y="21352264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6" name="Picture 125"/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46988" y="21352264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7" name="Picture 126"/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34994" y="21139467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8" name="TextBox 127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 txBox="1"/>
        </xdr:nvSpPr>
        <xdr:spPr>
          <a:xfrm>
            <a:off x="1211614" y="209042000"/>
            <a:ext cx="523473" cy="3335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6 &amp; 7</a:t>
            </a:r>
          </a:p>
        </xdr:txBody>
      </xdr:sp>
      <xdr:sp macro="" textlink="">
        <xdr:nvSpPr>
          <xdr:cNvPr id="129" name="TextBox 12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/>
        </xdr:nvSpPr>
        <xdr:spPr>
          <a:xfrm>
            <a:off x="2957005" y="208762600"/>
            <a:ext cx="523473" cy="3335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8 &amp; 9</a:t>
            </a:r>
          </a:p>
        </xdr:txBody>
      </xdr:sp>
      <xdr:sp macro="" textlink="">
        <xdr:nvSpPr>
          <xdr:cNvPr id="130" name="TextBox 12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5451696" y="208667350"/>
            <a:ext cx="426860" cy="269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24</a:t>
            </a:r>
          </a:p>
        </xdr:txBody>
      </xdr:sp>
      <xdr:sp macro="" textlink="">
        <xdr:nvSpPr>
          <xdr:cNvPr id="131" name="TextBox 130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1635216" y="211718524"/>
            <a:ext cx="426860" cy="269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25</a:t>
            </a:r>
          </a:p>
        </xdr:txBody>
      </xdr:sp>
      <xdr:sp macro="" textlink="">
        <xdr:nvSpPr>
          <xdr:cNvPr id="132" name="TextBox 131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3140992" y="211388324"/>
            <a:ext cx="426860" cy="269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oumRFwGxuEz5mNL6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120"/>
  <sheetViews>
    <sheetView tabSelected="1" view="pageBreakPreview" topLeftCell="A56" zoomScaleNormal="100" zoomScaleSheetLayoutView="100" zoomScalePageLayoutView="85" workbookViewId="0">
      <selection activeCell="A56" sqref="A56:H59"/>
    </sheetView>
  </sheetViews>
  <sheetFormatPr defaultColWidth="9.1796875" defaultRowHeight="15.5" x14ac:dyDescent="0.35"/>
  <cols>
    <col min="1" max="1" width="11.453125" style="13" customWidth="1"/>
    <col min="2" max="2" width="11.1796875" style="13" customWidth="1"/>
    <col min="3" max="3" width="12.7265625" style="13" customWidth="1"/>
    <col min="4" max="4" width="14.1796875" style="13" customWidth="1"/>
    <col min="5" max="5" width="12.7265625" style="13" customWidth="1"/>
    <col min="6" max="6" width="11.7265625" style="13" customWidth="1"/>
    <col min="7" max="7" width="32.54296875" style="13" customWidth="1"/>
    <col min="8" max="8" width="0.54296875" style="13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1.81640625" style="8" bestFit="1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93" t="s">
        <v>345</v>
      </c>
      <c r="B1" s="193"/>
      <c r="C1" s="193"/>
      <c r="D1" s="193"/>
      <c r="E1" s="193"/>
      <c r="F1" s="193"/>
      <c r="G1" s="193"/>
      <c r="H1" s="193"/>
    </row>
    <row r="2" spans="1:8" ht="16.5" customHeight="1" x14ac:dyDescent="0.3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8" x14ac:dyDescent="0.35">
      <c r="A3" s="133" t="s">
        <v>1</v>
      </c>
      <c r="B3" s="133"/>
      <c r="C3" s="133"/>
      <c r="D3" s="133"/>
      <c r="E3" s="194" t="str">
        <f ca="1">TEXT(TODAY(),"DD/MM/YYYY")</f>
        <v>18/08/2025</v>
      </c>
      <c r="F3" s="194"/>
      <c r="G3" s="194"/>
      <c r="H3" s="194"/>
    </row>
    <row r="4" spans="1:8" ht="15" customHeight="1" x14ac:dyDescent="0.35">
      <c r="A4" s="188" t="s">
        <v>2</v>
      </c>
      <c r="B4" s="188"/>
      <c r="C4" s="188"/>
      <c r="D4" s="188"/>
      <c r="E4" s="180" t="s">
        <v>179</v>
      </c>
      <c r="F4" s="180"/>
      <c r="G4" s="180"/>
      <c r="H4" s="180"/>
    </row>
    <row r="5" spans="1:8" x14ac:dyDescent="0.35">
      <c r="A5" s="133" t="s">
        <v>3</v>
      </c>
      <c r="B5" s="133"/>
      <c r="C5" s="133"/>
      <c r="D5" s="133"/>
      <c r="E5" s="194">
        <v>45879</v>
      </c>
      <c r="F5" s="194"/>
      <c r="G5" s="194"/>
      <c r="H5" s="194"/>
    </row>
    <row r="6" spans="1:8" ht="16.5" customHeight="1" x14ac:dyDescent="0.35">
      <c r="A6" s="133" t="s">
        <v>4</v>
      </c>
      <c r="B6" s="133"/>
      <c r="C6" s="133"/>
      <c r="D6" s="133"/>
      <c r="E6" s="181" t="s">
        <v>180</v>
      </c>
      <c r="F6" s="181"/>
      <c r="G6" s="181"/>
      <c r="H6" s="181"/>
    </row>
    <row r="7" spans="1:8" ht="15" customHeight="1" x14ac:dyDescent="0.35">
      <c r="A7" s="133" t="s">
        <v>5</v>
      </c>
      <c r="B7" s="133"/>
      <c r="C7" s="133"/>
      <c r="D7" s="133"/>
      <c r="E7" s="181" t="str">
        <f>E6</f>
        <v>M/s.Evershine Developers</v>
      </c>
      <c r="F7" s="181"/>
      <c r="G7" s="181"/>
      <c r="H7" s="181"/>
    </row>
    <row r="8" spans="1:8" x14ac:dyDescent="0.35">
      <c r="A8" s="133" t="s">
        <v>6</v>
      </c>
      <c r="B8" s="133"/>
      <c r="C8" s="133"/>
      <c r="D8" s="133"/>
      <c r="E8" s="195" t="s">
        <v>252</v>
      </c>
      <c r="F8" s="155"/>
      <c r="G8" s="155"/>
      <c r="H8" s="155"/>
    </row>
    <row r="9" spans="1:8" x14ac:dyDescent="0.35">
      <c r="A9" s="133" t="s">
        <v>152</v>
      </c>
      <c r="B9" s="133"/>
      <c r="C9" s="133"/>
      <c r="D9" s="133"/>
      <c r="E9" s="191" t="s">
        <v>332</v>
      </c>
      <c r="F9" s="191"/>
      <c r="G9" s="191"/>
      <c r="H9" s="191"/>
    </row>
    <row r="10" spans="1:8" x14ac:dyDescent="0.35">
      <c r="A10" s="181" t="s">
        <v>367</v>
      </c>
      <c r="B10" s="133"/>
      <c r="C10" s="133"/>
      <c r="D10" s="133"/>
      <c r="E10" s="191" t="s">
        <v>372</v>
      </c>
      <c r="F10" s="191"/>
      <c r="G10" s="191"/>
      <c r="H10" s="191"/>
    </row>
    <row r="11" spans="1:8" ht="64" customHeight="1" x14ac:dyDescent="0.35">
      <c r="A11" s="132" t="s">
        <v>7</v>
      </c>
      <c r="B11" s="132"/>
      <c r="C11" s="132"/>
      <c r="D11" s="132"/>
      <c r="E11" s="154" t="s">
        <v>254</v>
      </c>
      <c r="F11" s="132"/>
      <c r="G11" s="132"/>
      <c r="H11" s="132"/>
    </row>
    <row r="12" spans="1:8" ht="17.25" customHeight="1" x14ac:dyDescent="0.35">
      <c r="A12" s="188" t="s">
        <v>8</v>
      </c>
      <c r="B12" s="188"/>
      <c r="C12" s="188"/>
      <c r="D12" s="188"/>
      <c r="E12" s="179" t="s">
        <v>305</v>
      </c>
      <c r="F12" s="179"/>
      <c r="G12" s="179"/>
      <c r="H12" s="179"/>
    </row>
    <row r="13" spans="1:8" ht="51" customHeight="1" x14ac:dyDescent="0.35">
      <c r="A13" s="188" t="s">
        <v>9</v>
      </c>
      <c r="B13" s="188"/>
      <c r="C13" s="188"/>
      <c r="D13" s="188"/>
      <c r="E13" s="179" t="s">
        <v>253</v>
      </c>
      <c r="F13" s="188"/>
      <c r="G13" s="188"/>
      <c r="H13" s="188"/>
    </row>
    <row r="14" spans="1:8" ht="33.75" customHeight="1" x14ac:dyDescent="0.35">
      <c r="A14" s="181" t="s">
        <v>10</v>
      </c>
      <c r="B14" s="181"/>
      <c r="C14" s="18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Evershine Amavi 303 Phase 1, 2 &amp; 3, CTS No.5, 5B, 5D, 5F, 5G, near Evershine Global City, Chikhaldongari Road, Dongare, Vasai, Palghar, Palghar.</v>
      </c>
      <c r="D14" s="181"/>
      <c r="E14" s="181"/>
      <c r="F14" s="181"/>
      <c r="G14" s="181"/>
      <c r="H14" s="181"/>
    </row>
    <row r="15" spans="1:8" x14ac:dyDescent="0.35">
      <c r="A15" s="179" t="s">
        <v>207</v>
      </c>
      <c r="B15" s="179"/>
      <c r="C15" s="179" t="s">
        <v>224</v>
      </c>
      <c r="D15" s="179"/>
      <c r="E15" s="179"/>
      <c r="F15" s="179"/>
      <c r="G15" s="179"/>
      <c r="H15" s="179"/>
    </row>
    <row r="16" spans="1:8" ht="15.75" customHeight="1" x14ac:dyDescent="0.35">
      <c r="A16" s="181" t="s">
        <v>11</v>
      </c>
      <c r="B16" s="181"/>
      <c r="C16" s="132" t="s">
        <v>187</v>
      </c>
      <c r="D16" s="132"/>
      <c r="E16" s="181" t="s">
        <v>99</v>
      </c>
      <c r="F16" s="181"/>
      <c r="G16" s="154" t="s">
        <v>181</v>
      </c>
      <c r="H16" s="154"/>
    </row>
    <row r="17" spans="1:8" x14ac:dyDescent="0.35">
      <c r="A17" s="133" t="s">
        <v>13</v>
      </c>
      <c r="B17" s="133"/>
      <c r="C17" s="154" t="s">
        <v>225</v>
      </c>
      <c r="D17" s="154"/>
      <c r="E17" s="181" t="s">
        <v>12</v>
      </c>
      <c r="F17" s="181"/>
      <c r="G17" s="187" t="s">
        <v>182</v>
      </c>
      <c r="H17" s="187"/>
    </row>
    <row r="18" spans="1:8" x14ac:dyDescent="0.35">
      <c r="A18" s="133" t="s">
        <v>100</v>
      </c>
      <c r="B18" s="133"/>
      <c r="C18" s="154" t="s">
        <v>182</v>
      </c>
      <c r="D18" s="154"/>
      <c r="E18" s="181" t="s">
        <v>14</v>
      </c>
      <c r="F18" s="181"/>
      <c r="G18" s="154">
        <v>401303</v>
      </c>
      <c r="H18" s="154"/>
    </row>
    <row r="19" spans="1:8" ht="32.25" customHeight="1" x14ac:dyDescent="0.35">
      <c r="A19" s="188" t="s">
        <v>153</v>
      </c>
      <c r="B19" s="188"/>
      <c r="C19" s="179" t="s">
        <v>188</v>
      </c>
      <c r="D19" s="179"/>
      <c r="E19" s="179" t="s">
        <v>15</v>
      </c>
      <c r="F19" s="179"/>
      <c r="G19" s="179" t="s">
        <v>191</v>
      </c>
      <c r="H19" s="179"/>
    </row>
    <row r="20" spans="1:8" ht="15" customHeight="1" x14ac:dyDescent="0.35">
      <c r="A20" s="181" t="s">
        <v>104</v>
      </c>
      <c r="B20" s="181"/>
      <c r="C20" s="181"/>
      <c r="D20" s="181"/>
      <c r="E20" s="132" t="s">
        <v>16</v>
      </c>
      <c r="F20" s="132"/>
      <c r="G20" s="132"/>
      <c r="H20" s="132"/>
    </row>
    <row r="21" spans="1:8" ht="18.75" customHeight="1" x14ac:dyDescent="0.35">
      <c r="A21" s="181"/>
      <c r="B21" s="181"/>
      <c r="C21" s="181"/>
      <c r="D21" s="181"/>
      <c r="E21" s="132"/>
      <c r="F21" s="132"/>
      <c r="G21" s="132"/>
      <c r="H21" s="132"/>
    </row>
    <row r="22" spans="1:8" ht="15" customHeight="1" x14ac:dyDescent="0.35">
      <c r="A22" s="181" t="s">
        <v>17</v>
      </c>
      <c r="B22" s="181"/>
      <c r="C22" s="181"/>
      <c r="D22" s="181"/>
      <c r="E22" s="154" t="s">
        <v>18</v>
      </c>
      <c r="F22" s="154"/>
      <c r="G22" s="154"/>
      <c r="H22" s="154"/>
    </row>
    <row r="23" spans="1:8" ht="15" customHeight="1" x14ac:dyDescent="0.35">
      <c r="A23" s="133" t="s">
        <v>19</v>
      </c>
      <c r="B23" s="133"/>
      <c r="C23" s="133"/>
      <c r="D23" s="133"/>
      <c r="E23" s="154" t="str">
        <f>IF(AND(G17="Mumbai"),"Upper Class","Middle Class")</f>
        <v>Middle Class</v>
      </c>
      <c r="F23" s="154"/>
      <c r="G23" s="154"/>
      <c r="H23" s="154"/>
    </row>
    <row r="24" spans="1:8" x14ac:dyDescent="0.35">
      <c r="A24" s="133" t="s">
        <v>20</v>
      </c>
      <c r="B24" s="133"/>
      <c r="C24" s="133"/>
      <c r="D24" s="133"/>
      <c r="E24" s="154" t="s">
        <v>21</v>
      </c>
      <c r="F24" s="154"/>
      <c r="G24" s="154"/>
      <c r="H24" s="154"/>
    </row>
    <row r="25" spans="1:8" ht="15.75" customHeight="1" x14ac:dyDescent="0.35">
      <c r="A25" s="133" t="s">
        <v>22</v>
      </c>
      <c r="B25" s="133"/>
      <c r="C25" s="133"/>
      <c r="D25" s="133"/>
      <c r="E25" s="154" t="str">
        <f>IF(AND(G17="Mumbai"),"Developed","Developing")</f>
        <v>Developing</v>
      </c>
      <c r="F25" s="154"/>
      <c r="G25" s="154"/>
      <c r="H25" s="154"/>
    </row>
    <row r="26" spans="1:8" x14ac:dyDescent="0.35">
      <c r="A26" s="133" t="s">
        <v>23</v>
      </c>
      <c r="B26" s="133"/>
      <c r="C26" s="133"/>
      <c r="D26" s="133"/>
      <c r="E26" s="154" t="s">
        <v>24</v>
      </c>
      <c r="F26" s="154"/>
      <c r="G26" s="154"/>
      <c r="H26" s="154"/>
    </row>
    <row r="27" spans="1:8" x14ac:dyDescent="0.35">
      <c r="A27" s="133" t="s">
        <v>111</v>
      </c>
      <c r="B27" s="133"/>
      <c r="C27" s="133"/>
      <c r="D27" s="133"/>
      <c r="E27" s="154" t="s">
        <v>112</v>
      </c>
      <c r="F27" s="154"/>
      <c r="G27" s="154"/>
      <c r="H27" s="154"/>
    </row>
    <row r="28" spans="1:8" ht="15" customHeight="1" x14ac:dyDescent="0.35">
      <c r="A28" s="179" t="s">
        <v>33</v>
      </c>
      <c r="B28" s="179"/>
      <c r="C28" s="179"/>
      <c r="D28" s="179"/>
      <c r="E28" s="180" t="s">
        <v>108</v>
      </c>
      <c r="F28" s="180"/>
      <c r="G28" s="180"/>
      <c r="H28" s="180"/>
    </row>
    <row r="29" spans="1:8" x14ac:dyDescent="0.35">
      <c r="A29" s="181" t="s">
        <v>122</v>
      </c>
      <c r="B29" s="181"/>
      <c r="C29" s="181"/>
      <c r="D29" s="181"/>
      <c r="E29" s="181" t="s">
        <v>34</v>
      </c>
      <c r="F29" s="181"/>
      <c r="G29" s="181"/>
      <c r="H29" s="181"/>
    </row>
    <row r="30" spans="1:8" s="11" customFormat="1" x14ac:dyDescent="0.35">
      <c r="A30" s="196" t="s">
        <v>123</v>
      </c>
      <c r="B30" s="196"/>
      <c r="C30" s="174" t="s">
        <v>29</v>
      </c>
      <c r="D30" s="174"/>
      <c r="E30" s="174"/>
      <c r="F30" s="174" t="s">
        <v>31</v>
      </c>
      <c r="G30" s="174"/>
      <c r="H30" s="174"/>
    </row>
    <row r="31" spans="1:8" s="11" customFormat="1" x14ac:dyDescent="0.35">
      <c r="A31" s="178" t="s">
        <v>25</v>
      </c>
      <c r="B31" s="178" t="s">
        <v>30</v>
      </c>
      <c r="C31" s="175" t="s">
        <v>30</v>
      </c>
      <c r="D31" s="175"/>
      <c r="E31" s="175"/>
      <c r="F31" s="175" t="s">
        <v>186</v>
      </c>
      <c r="G31" s="175"/>
      <c r="H31" s="175"/>
    </row>
    <row r="32" spans="1:8" x14ac:dyDescent="0.35">
      <c r="A32" s="178" t="s">
        <v>26</v>
      </c>
      <c r="B32" s="178" t="s">
        <v>30</v>
      </c>
      <c r="C32" s="175" t="s">
        <v>30</v>
      </c>
      <c r="D32" s="175"/>
      <c r="E32" s="175"/>
      <c r="F32" s="175" t="s">
        <v>189</v>
      </c>
      <c r="G32" s="175"/>
      <c r="H32" s="175"/>
    </row>
    <row r="33" spans="1:8" s="11" customFormat="1" x14ac:dyDescent="0.35">
      <c r="A33" s="178" t="s">
        <v>28</v>
      </c>
      <c r="B33" s="178" t="s">
        <v>30</v>
      </c>
      <c r="C33" s="175" t="s">
        <v>30</v>
      </c>
      <c r="D33" s="175"/>
      <c r="E33" s="175"/>
      <c r="F33" s="175" t="s">
        <v>190</v>
      </c>
      <c r="G33" s="175"/>
      <c r="H33" s="175"/>
    </row>
    <row r="34" spans="1:8" x14ac:dyDescent="0.35">
      <c r="A34" s="178" t="s">
        <v>27</v>
      </c>
      <c r="B34" s="178" t="s">
        <v>30</v>
      </c>
      <c r="C34" s="175" t="s">
        <v>30</v>
      </c>
      <c r="D34" s="175"/>
      <c r="E34" s="175"/>
      <c r="F34" s="175" t="s">
        <v>185</v>
      </c>
      <c r="G34" s="175"/>
      <c r="H34" s="175"/>
    </row>
    <row r="35" spans="1:8" x14ac:dyDescent="0.35">
      <c r="A35" s="133" t="s">
        <v>32</v>
      </c>
      <c r="B35" s="133"/>
      <c r="C35" s="133"/>
      <c r="D35" s="133"/>
      <c r="E35" s="133"/>
      <c r="F35" s="133"/>
      <c r="G35" s="133"/>
      <c r="H35" s="133"/>
    </row>
    <row r="36" spans="1:8" ht="15.75" customHeight="1" x14ac:dyDescent="0.35">
      <c r="A36" s="140" t="s">
        <v>344</v>
      </c>
      <c r="B36" s="140"/>
      <c r="C36" s="192" t="s">
        <v>343</v>
      </c>
      <c r="D36" s="192"/>
      <c r="E36" s="192"/>
      <c r="F36" s="192"/>
      <c r="G36" s="192"/>
      <c r="H36" s="192"/>
    </row>
    <row r="37" spans="1:8" ht="15.75" customHeight="1" x14ac:dyDescent="0.35">
      <c r="A37" s="140" t="s">
        <v>341</v>
      </c>
      <c r="B37" s="140"/>
      <c r="C37" s="228" t="s">
        <v>342</v>
      </c>
      <c r="D37" s="192"/>
      <c r="E37" s="192"/>
      <c r="F37" s="192"/>
      <c r="G37" s="192"/>
      <c r="H37" s="192"/>
    </row>
    <row r="38" spans="1:8" x14ac:dyDescent="0.35">
      <c r="A38" s="155" t="s">
        <v>35</v>
      </c>
      <c r="B38" s="155"/>
      <c r="C38" s="155"/>
      <c r="D38" s="155"/>
      <c r="E38" s="155"/>
      <c r="F38" s="155"/>
      <c r="G38" s="155"/>
      <c r="H38" s="155"/>
    </row>
    <row r="39" spans="1:8" x14ac:dyDescent="0.35">
      <c r="A39" s="133" t="s">
        <v>36</v>
      </c>
      <c r="B39" s="133"/>
      <c r="C39" s="133"/>
      <c r="D39" s="133"/>
      <c r="E39" s="182">
        <v>666677.78</v>
      </c>
      <c r="F39" s="182"/>
      <c r="G39" s="182"/>
      <c r="H39" s="182"/>
    </row>
    <row r="40" spans="1:8" x14ac:dyDescent="0.35">
      <c r="A40" s="133" t="s">
        <v>37</v>
      </c>
      <c r="B40" s="133"/>
      <c r="C40" s="133"/>
      <c r="D40" s="133"/>
      <c r="E40" s="190">
        <v>1.1000000000000001</v>
      </c>
      <c r="F40" s="190"/>
      <c r="G40" s="190"/>
      <c r="H40" s="190"/>
    </row>
    <row r="41" spans="1:8" x14ac:dyDescent="0.35">
      <c r="A41" s="133" t="s">
        <v>38</v>
      </c>
      <c r="B41" s="133"/>
      <c r="C41" s="133"/>
      <c r="D41" s="133"/>
      <c r="E41" s="190">
        <f>E43/E39-E40</f>
        <v>-2.6766180807765938E-2</v>
      </c>
      <c r="F41" s="190"/>
      <c r="G41" s="190"/>
      <c r="H41" s="190"/>
    </row>
    <row r="42" spans="1:8" x14ac:dyDescent="0.35">
      <c r="A42" s="133" t="s">
        <v>39</v>
      </c>
      <c r="B42" s="133"/>
      <c r="C42" s="133"/>
      <c r="D42" s="133"/>
      <c r="E42" s="190">
        <f>E40+E41</f>
        <v>1.0732338191922342</v>
      </c>
      <c r="F42" s="190"/>
      <c r="G42" s="190"/>
      <c r="H42" s="190"/>
    </row>
    <row r="43" spans="1:8" x14ac:dyDescent="0.35">
      <c r="A43" s="133" t="s">
        <v>121</v>
      </c>
      <c r="B43" s="133"/>
      <c r="C43" s="133"/>
      <c r="D43" s="133"/>
      <c r="E43" s="191">
        <v>715501.14</v>
      </c>
      <c r="F43" s="191"/>
      <c r="G43" s="191"/>
      <c r="H43" s="191"/>
    </row>
    <row r="44" spans="1:8" x14ac:dyDescent="0.35">
      <c r="A44" s="132" t="s">
        <v>40</v>
      </c>
      <c r="B44" s="132"/>
      <c r="C44" s="132"/>
      <c r="D44" s="132"/>
      <c r="E44" s="132" t="s">
        <v>288</v>
      </c>
      <c r="F44" s="132"/>
      <c r="G44" s="132"/>
      <c r="H44" s="132"/>
    </row>
    <row r="45" spans="1:8" x14ac:dyDescent="0.35">
      <c r="A45" s="151" t="s">
        <v>41</v>
      </c>
      <c r="B45" s="151"/>
      <c r="C45" s="151"/>
      <c r="D45" s="151"/>
      <c r="E45" s="151"/>
      <c r="F45" s="151"/>
      <c r="G45" s="151"/>
      <c r="H45" s="151"/>
    </row>
    <row r="46" spans="1:8" x14ac:dyDescent="0.35">
      <c r="A46" s="195" t="s">
        <v>42</v>
      </c>
      <c r="B46" s="195"/>
      <c r="C46" s="154" t="s">
        <v>208</v>
      </c>
      <c r="D46" s="154"/>
      <c r="E46" s="154"/>
      <c r="F46" s="86" t="s">
        <v>43</v>
      </c>
      <c r="G46" s="189">
        <v>43297</v>
      </c>
      <c r="H46" s="189"/>
    </row>
    <row r="47" spans="1:8" ht="144" customHeight="1" x14ac:dyDescent="0.35">
      <c r="A47" s="203" t="s">
        <v>307</v>
      </c>
      <c r="B47" s="155"/>
      <c r="C47" s="154" t="s">
        <v>348</v>
      </c>
      <c r="D47" s="154"/>
      <c r="E47" s="154"/>
      <c r="F47" s="52" t="s">
        <v>43</v>
      </c>
      <c r="G47" s="189">
        <f>G46</f>
        <v>43297</v>
      </c>
      <c r="H47" s="204"/>
    </row>
    <row r="48" spans="1:8" s="10" customFormat="1" ht="18" customHeight="1" x14ac:dyDescent="0.35">
      <c r="A48" s="173" t="s">
        <v>306</v>
      </c>
      <c r="B48" s="173"/>
      <c r="C48" s="154" t="str">
        <f>C47</f>
        <v xml:space="preserve">VVCMC/TP/RDP/VP-0453/81/2018-19
Approved Floor : 
Phase 1
Type- YI1B 19 = G + 1st to 14th Floor
Type- YI1B 20 = G + 1st to 14th Floor
Type- RSI1AA 22 = G + 1st to 14th Floor
Phase 3
TI1 6 = G + 1st to 14th Floor
Type- RSI1A 24 = G + 1st to 14th Floor
</v>
      </c>
      <c r="D48" s="132"/>
      <c r="E48" s="132"/>
      <c r="F48" s="53" t="s">
        <v>43</v>
      </c>
      <c r="G48" s="189">
        <f>G47</f>
        <v>43297</v>
      </c>
      <c r="H48" s="189"/>
    </row>
    <row r="49" spans="1:9" s="10" customFormat="1" ht="189" customHeight="1" x14ac:dyDescent="0.35">
      <c r="A49" s="173"/>
      <c r="B49" s="173"/>
      <c r="C49" s="154" t="s">
        <v>308</v>
      </c>
      <c r="D49" s="154"/>
      <c r="E49" s="154"/>
      <c r="F49" s="154"/>
      <c r="G49" s="154"/>
      <c r="H49" s="154"/>
    </row>
    <row r="50" spans="1:9" x14ac:dyDescent="0.35">
      <c r="A50" s="195" t="s">
        <v>42</v>
      </c>
      <c r="B50" s="195"/>
      <c r="C50" s="154" t="s">
        <v>183</v>
      </c>
      <c r="D50" s="154"/>
      <c r="E50" s="154"/>
      <c r="F50" s="86" t="s">
        <v>43</v>
      </c>
      <c r="G50" s="189">
        <v>43677</v>
      </c>
      <c r="H50" s="189"/>
    </row>
    <row r="51" spans="1:9" ht="226.5" customHeight="1" x14ac:dyDescent="0.35">
      <c r="A51" s="195" t="s">
        <v>307</v>
      </c>
      <c r="B51" s="155"/>
      <c r="C51" s="154" t="s">
        <v>323</v>
      </c>
      <c r="D51" s="154"/>
      <c r="E51" s="154"/>
      <c r="F51" s="86" t="s">
        <v>43</v>
      </c>
      <c r="G51" s="189">
        <f>G50</f>
        <v>43677</v>
      </c>
      <c r="H51" s="189"/>
    </row>
    <row r="52" spans="1:9" s="10" customFormat="1" ht="31.5" customHeight="1" x14ac:dyDescent="0.35">
      <c r="A52" s="173" t="s">
        <v>306</v>
      </c>
      <c r="B52" s="173"/>
      <c r="C52" s="154" t="s">
        <v>184</v>
      </c>
      <c r="D52" s="132"/>
      <c r="E52" s="132"/>
      <c r="F52" s="53" t="s">
        <v>43</v>
      </c>
      <c r="G52" s="189">
        <f>G51</f>
        <v>43677</v>
      </c>
      <c r="H52" s="189"/>
    </row>
    <row r="53" spans="1:9" s="10" customFormat="1" ht="211.5" customHeight="1" x14ac:dyDescent="0.35">
      <c r="A53" s="173"/>
      <c r="B53" s="173"/>
      <c r="C53" s="154" t="s">
        <v>328</v>
      </c>
      <c r="D53" s="154"/>
      <c r="E53" s="154"/>
      <c r="F53" s="154"/>
      <c r="G53" s="154"/>
      <c r="H53" s="154"/>
    </row>
    <row r="54" spans="1:9" x14ac:dyDescent="0.35">
      <c r="A54" s="195" t="s">
        <v>42</v>
      </c>
      <c r="B54" s="195"/>
      <c r="C54" s="154" t="s">
        <v>321</v>
      </c>
      <c r="D54" s="154"/>
      <c r="E54" s="154"/>
      <c r="F54" s="86" t="s">
        <v>43</v>
      </c>
      <c r="G54" s="189">
        <v>44705</v>
      </c>
      <c r="H54" s="189"/>
    </row>
    <row r="55" spans="1:9" ht="174.65" customHeight="1" x14ac:dyDescent="0.35">
      <c r="A55" s="195" t="s">
        <v>307</v>
      </c>
      <c r="B55" s="155"/>
      <c r="C55" s="154" t="s">
        <v>350</v>
      </c>
      <c r="D55" s="154"/>
      <c r="E55" s="154"/>
      <c r="F55" s="86" t="s">
        <v>43</v>
      </c>
      <c r="G55" s="189">
        <f>G54</f>
        <v>44705</v>
      </c>
      <c r="H55" s="189"/>
    </row>
    <row r="56" spans="1:9" s="10" customFormat="1" ht="17.25" customHeight="1" x14ac:dyDescent="0.35">
      <c r="A56" s="173" t="s">
        <v>306</v>
      </c>
      <c r="B56" s="173"/>
      <c r="C56" s="154" t="s">
        <v>322</v>
      </c>
      <c r="D56" s="132"/>
      <c r="E56" s="132"/>
      <c r="F56" s="53" t="s">
        <v>43</v>
      </c>
      <c r="G56" s="189">
        <f>G55</f>
        <v>44705</v>
      </c>
      <c r="H56" s="189"/>
    </row>
    <row r="57" spans="1:9" s="10" customFormat="1" ht="171.75" customHeight="1" x14ac:dyDescent="0.35">
      <c r="A57" s="173"/>
      <c r="B57" s="173"/>
      <c r="C57" s="154" t="s">
        <v>347</v>
      </c>
      <c r="D57" s="154"/>
      <c r="E57" s="154"/>
      <c r="F57" s="154"/>
      <c r="G57" s="154"/>
      <c r="H57" s="154"/>
    </row>
    <row r="58" spans="1:9" x14ac:dyDescent="0.35">
      <c r="A58" s="108" t="s">
        <v>44</v>
      </c>
      <c r="B58" s="108"/>
      <c r="C58" s="108" t="s">
        <v>356</v>
      </c>
      <c r="D58" s="107"/>
      <c r="E58" s="107" t="s">
        <v>45</v>
      </c>
      <c r="F58" s="92" t="s">
        <v>43</v>
      </c>
      <c r="G58" s="244">
        <v>45337</v>
      </c>
      <c r="H58" s="244"/>
    </row>
    <row r="59" spans="1:9" ht="138.65" customHeight="1" x14ac:dyDescent="0.35">
      <c r="A59" s="108" t="s">
        <v>355</v>
      </c>
      <c r="B59" s="108"/>
      <c r="C59" s="108" t="s">
        <v>361</v>
      </c>
      <c r="D59" s="108"/>
      <c r="E59" s="108"/>
      <c r="F59" s="108"/>
      <c r="G59" s="108"/>
      <c r="H59" s="108"/>
    </row>
    <row r="60" spans="1:9" x14ac:dyDescent="0.35">
      <c r="A60" s="223" t="s">
        <v>47</v>
      </c>
      <c r="B60" s="223"/>
      <c r="C60" s="223"/>
      <c r="D60" s="223"/>
      <c r="E60" s="223"/>
      <c r="F60" s="223"/>
      <c r="G60" s="223"/>
      <c r="H60" s="223"/>
    </row>
    <row r="61" spans="1:9" x14ac:dyDescent="0.35">
      <c r="A61" s="181" t="s">
        <v>120</v>
      </c>
      <c r="B61" s="181"/>
      <c r="C61" s="181"/>
      <c r="D61" s="133">
        <f>E43</f>
        <v>715501.14</v>
      </c>
      <c r="E61" s="133"/>
      <c r="F61" s="133"/>
      <c r="G61" s="133"/>
      <c r="H61" s="133"/>
    </row>
    <row r="62" spans="1:9" ht="48.75" customHeight="1" x14ac:dyDescent="0.35">
      <c r="A62" s="154" t="s">
        <v>48</v>
      </c>
      <c r="B62" s="132"/>
      <c r="C62" s="132"/>
      <c r="D62" s="173" t="s">
        <v>325</v>
      </c>
      <c r="E62" s="151"/>
      <c r="F62" s="151"/>
      <c r="G62" s="151"/>
      <c r="H62" s="151"/>
      <c r="I62" s="34"/>
    </row>
    <row r="63" spans="1:9" ht="211.5" customHeight="1" x14ac:dyDescent="0.35">
      <c r="A63" s="184" t="s">
        <v>49</v>
      </c>
      <c r="B63" s="185"/>
      <c r="C63" s="186"/>
      <c r="D63" s="154" t="s">
        <v>324</v>
      </c>
      <c r="E63" s="132"/>
      <c r="F63" s="132"/>
      <c r="G63" s="132"/>
      <c r="H63" s="132"/>
    </row>
    <row r="64" spans="1:9" ht="15.75" customHeight="1" x14ac:dyDescent="0.35">
      <c r="A64" s="154" t="s">
        <v>278</v>
      </c>
      <c r="B64" s="154"/>
      <c r="C64" s="154"/>
      <c r="D64" s="132" t="s">
        <v>206</v>
      </c>
      <c r="E64" s="132"/>
      <c r="F64" s="132"/>
      <c r="G64" s="132"/>
      <c r="H64" s="132"/>
    </row>
    <row r="65" spans="1:8" ht="15.75" customHeight="1" x14ac:dyDescent="0.35">
      <c r="A65" s="154"/>
      <c r="B65" s="154"/>
      <c r="C65" s="154"/>
      <c r="D65" s="132" t="s">
        <v>205</v>
      </c>
      <c r="E65" s="132"/>
      <c r="F65" s="132"/>
      <c r="G65" s="132"/>
      <c r="H65" s="132"/>
    </row>
    <row r="66" spans="1:8" ht="15.75" customHeight="1" x14ac:dyDescent="0.35">
      <c r="A66" s="154"/>
      <c r="B66" s="154"/>
      <c r="C66" s="154"/>
      <c r="D66" s="132" t="s">
        <v>226</v>
      </c>
      <c r="E66" s="132"/>
      <c r="F66" s="132"/>
      <c r="G66" s="132"/>
      <c r="H66" s="132"/>
    </row>
    <row r="67" spans="1:8" ht="15.75" customHeight="1" x14ac:dyDescent="0.35">
      <c r="A67" s="154"/>
      <c r="B67" s="154"/>
      <c r="C67" s="154"/>
      <c r="D67" s="132" t="s">
        <v>204</v>
      </c>
      <c r="E67" s="132"/>
      <c r="F67" s="132"/>
      <c r="G67" s="132"/>
      <c r="H67" s="132"/>
    </row>
    <row r="68" spans="1:8" ht="15.75" customHeight="1" x14ac:dyDescent="0.35">
      <c r="A68" s="154"/>
      <c r="B68" s="154"/>
      <c r="C68" s="154"/>
      <c r="D68" s="132" t="s">
        <v>203</v>
      </c>
      <c r="E68" s="132"/>
      <c r="F68" s="132"/>
      <c r="G68" s="132"/>
      <c r="H68" s="132"/>
    </row>
    <row r="69" spans="1:8" ht="15.75" customHeight="1" x14ac:dyDescent="0.35">
      <c r="A69" s="154"/>
      <c r="B69" s="154"/>
      <c r="C69" s="154"/>
      <c r="D69" s="132" t="s">
        <v>211</v>
      </c>
      <c r="E69" s="132"/>
      <c r="F69" s="132"/>
      <c r="G69" s="132"/>
      <c r="H69" s="132"/>
    </row>
    <row r="70" spans="1:8" ht="15.75" customHeight="1" x14ac:dyDescent="0.35">
      <c r="A70" s="154"/>
      <c r="B70" s="154"/>
      <c r="C70" s="154"/>
      <c r="D70" s="132" t="s">
        <v>212</v>
      </c>
      <c r="E70" s="132"/>
      <c r="F70" s="132"/>
      <c r="G70" s="132"/>
      <c r="H70" s="132"/>
    </row>
    <row r="71" spans="1:8" ht="15.75" customHeight="1" x14ac:dyDescent="0.35">
      <c r="A71" s="154"/>
      <c r="B71" s="154"/>
      <c r="C71" s="154"/>
      <c r="D71" s="132" t="s">
        <v>242</v>
      </c>
      <c r="E71" s="132"/>
      <c r="F71" s="132"/>
      <c r="G71" s="132"/>
      <c r="H71" s="132"/>
    </row>
    <row r="72" spans="1:8" ht="15.75" customHeight="1" x14ac:dyDescent="0.35">
      <c r="A72" s="154"/>
      <c r="B72" s="154"/>
      <c r="C72" s="154"/>
      <c r="D72" s="132" t="s">
        <v>243</v>
      </c>
      <c r="E72" s="132"/>
      <c r="F72" s="132"/>
      <c r="G72" s="132"/>
      <c r="H72" s="132"/>
    </row>
    <row r="73" spans="1:8" ht="15.75" customHeight="1" x14ac:dyDescent="0.35">
      <c r="A73" s="154"/>
      <c r="B73" s="154"/>
      <c r="C73" s="154"/>
      <c r="D73" s="132" t="s">
        <v>244</v>
      </c>
      <c r="E73" s="132"/>
      <c r="F73" s="132"/>
      <c r="G73" s="132"/>
      <c r="H73" s="132"/>
    </row>
    <row r="74" spans="1:8" ht="15.75" customHeight="1" x14ac:dyDescent="0.35">
      <c r="A74" s="154" t="s">
        <v>286</v>
      </c>
      <c r="B74" s="154"/>
      <c r="C74" s="154"/>
      <c r="D74" s="154" t="s">
        <v>274</v>
      </c>
      <c r="E74" s="132"/>
      <c r="F74" s="132"/>
      <c r="G74" s="132"/>
      <c r="H74" s="132"/>
    </row>
    <row r="75" spans="1:8" ht="15.75" customHeight="1" x14ac:dyDescent="0.35">
      <c r="A75" s="154"/>
      <c r="B75" s="154"/>
      <c r="C75" s="154"/>
      <c r="D75" s="132" t="s">
        <v>275</v>
      </c>
      <c r="E75" s="132"/>
      <c r="F75" s="132"/>
      <c r="G75" s="132"/>
      <c r="H75" s="132"/>
    </row>
    <row r="76" spans="1:8" ht="15.75" customHeight="1" x14ac:dyDescent="0.35">
      <c r="A76" s="154"/>
      <c r="B76" s="154"/>
      <c r="C76" s="154"/>
      <c r="D76" s="132" t="s">
        <v>276</v>
      </c>
      <c r="E76" s="132"/>
      <c r="F76" s="132"/>
      <c r="G76" s="132"/>
      <c r="H76" s="132"/>
    </row>
    <row r="77" spans="1:8" ht="15.75" customHeight="1" x14ac:dyDescent="0.35">
      <c r="A77" s="154"/>
      <c r="B77" s="154"/>
      <c r="C77" s="154"/>
      <c r="D77" s="132" t="s">
        <v>277</v>
      </c>
      <c r="E77" s="132"/>
      <c r="F77" s="132"/>
      <c r="G77" s="132"/>
      <c r="H77" s="132"/>
    </row>
    <row r="78" spans="1:8" ht="15.75" customHeight="1" x14ac:dyDescent="0.35">
      <c r="A78" s="154" t="s">
        <v>287</v>
      </c>
      <c r="B78" s="154"/>
      <c r="C78" s="154"/>
      <c r="D78" s="132" t="s">
        <v>279</v>
      </c>
      <c r="E78" s="132"/>
      <c r="F78" s="132"/>
      <c r="G78" s="132"/>
      <c r="H78" s="132"/>
    </row>
    <row r="79" spans="1:8" ht="15.75" customHeight="1" x14ac:dyDescent="0.35">
      <c r="A79" s="154"/>
      <c r="B79" s="154"/>
      <c r="C79" s="154"/>
      <c r="D79" s="132" t="s">
        <v>280</v>
      </c>
      <c r="E79" s="132"/>
      <c r="F79" s="132"/>
      <c r="G79" s="132"/>
      <c r="H79" s="132"/>
    </row>
    <row r="80" spans="1:8" ht="15.75" customHeight="1" x14ac:dyDescent="0.35">
      <c r="A80" s="154"/>
      <c r="B80" s="154"/>
      <c r="C80" s="154"/>
      <c r="D80" s="132" t="s">
        <v>281</v>
      </c>
      <c r="E80" s="132"/>
      <c r="F80" s="132"/>
      <c r="G80" s="132"/>
      <c r="H80" s="132"/>
    </row>
    <row r="81" spans="1:14" ht="15.75" customHeight="1" x14ac:dyDescent="0.35">
      <c r="A81" s="154"/>
      <c r="B81" s="154"/>
      <c r="C81" s="154"/>
      <c r="D81" s="132" t="s">
        <v>282</v>
      </c>
      <c r="E81" s="132"/>
      <c r="F81" s="132"/>
      <c r="G81" s="132"/>
      <c r="H81" s="132"/>
    </row>
    <row r="82" spans="1:14" ht="15.75" customHeight="1" x14ac:dyDescent="0.35">
      <c r="A82" s="154"/>
      <c r="B82" s="154"/>
      <c r="C82" s="154"/>
      <c r="D82" s="132" t="s">
        <v>283</v>
      </c>
      <c r="E82" s="132"/>
      <c r="F82" s="132"/>
      <c r="G82" s="132"/>
      <c r="H82" s="132"/>
    </row>
    <row r="83" spans="1:14" ht="15.75" customHeight="1" x14ac:dyDescent="0.35">
      <c r="A83" s="154"/>
      <c r="B83" s="154"/>
      <c r="C83" s="154"/>
      <c r="D83" s="132" t="s">
        <v>284</v>
      </c>
      <c r="E83" s="132"/>
      <c r="F83" s="132"/>
      <c r="G83" s="132"/>
      <c r="H83" s="132"/>
    </row>
    <row r="84" spans="1:14" ht="15.75" customHeight="1" x14ac:dyDescent="0.35">
      <c r="A84" s="154"/>
      <c r="B84" s="154"/>
      <c r="C84" s="154"/>
      <c r="D84" s="132" t="s">
        <v>285</v>
      </c>
      <c r="E84" s="132"/>
      <c r="F84" s="132"/>
      <c r="G84" s="132"/>
      <c r="H84" s="132"/>
    </row>
    <row r="85" spans="1:14" ht="46.5" customHeight="1" x14ac:dyDescent="0.35">
      <c r="A85" s="133" t="s">
        <v>46</v>
      </c>
      <c r="B85" s="133"/>
      <c r="C85" s="133"/>
      <c r="D85" s="181" t="s">
        <v>368</v>
      </c>
      <c r="E85" s="181"/>
      <c r="F85" s="181"/>
      <c r="G85" s="181"/>
      <c r="H85" s="181"/>
      <c r="J85" s="33"/>
      <c r="K85" s="34"/>
      <c r="N85" s="34"/>
    </row>
    <row r="86" spans="1:14" ht="15.75" customHeight="1" x14ac:dyDescent="0.35">
      <c r="A86" s="133" t="s">
        <v>117</v>
      </c>
      <c r="B86" s="133"/>
      <c r="C86" s="133"/>
      <c r="D86" s="202" t="str">
        <f ca="1">(IF(G58="NA","60 Years After Completion",IF(G58&lt;&gt;"NA",""&amp;60-ROUNDDOWN((E3-G58)/360,0)&amp;" Years"," ")))</f>
        <v>59 Years</v>
      </c>
      <c r="E86" s="202"/>
      <c r="F86" s="202"/>
      <c r="G86" s="202"/>
      <c r="H86" s="202"/>
      <c r="N86" s="34"/>
    </row>
    <row r="87" spans="1:14" ht="15.75" customHeight="1" x14ac:dyDescent="0.35">
      <c r="A87" s="133" t="s">
        <v>118</v>
      </c>
      <c r="B87" s="133"/>
      <c r="C87" s="133"/>
      <c r="D87" s="181" t="s">
        <v>24</v>
      </c>
      <c r="E87" s="181"/>
      <c r="F87" s="181"/>
      <c r="G87" s="181"/>
      <c r="H87" s="181"/>
      <c r="J87" s="14"/>
      <c r="K87" s="14"/>
    </row>
    <row r="88" spans="1:14" ht="15.75" customHeight="1" thickBot="1" x14ac:dyDescent="0.4">
      <c r="A88" s="183" t="s">
        <v>116</v>
      </c>
      <c r="B88" s="183"/>
      <c r="C88" s="183"/>
      <c r="D88" s="170" t="str">
        <f ca="1">(IF(G94&gt;95%,"Nothing",IF(G94&gt;0%,"Cement, Aggregate, Steel, etc",IF(G94=0%,"Work not yet Started"))))</f>
        <v>Nothing</v>
      </c>
      <c r="E88" s="170"/>
      <c r="F88" s="170"/>
      <c r="G88" s="170"/>
      <c r="H88" s="170"/>
      <c r="J88" s="14"/>
    </row>
    <row r="89" spans="1:14" ht="50.25" customHeight="1" x14ac:dyDescent="0.35">
      <c r="A89" s="197" t="s">
        <v>319</v>
      </c>
      <c r="B89" s="198"/>
      <c r="C89" s="199" t="s">
        <v>360</v>
      </c>
      <c r="D89" s="200"/>
      <c r="E89" s="200"/>
      <c r="F89" s="200"/>
      <c r="G89" s="200"/>
      <c r="H89" s="201"/>
      <c r="I89" s="35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completed","0")))))))))))&amp;(IF(C96=(D90+F90+H90),", RCC Slab",IF(C96&gt;0,", RCC upto "&amp;C96&amp;" Slab",""))&amp;(IF(C97=H90,", Brickwork",IF(C97&gt;0,", Brickwork upto "&amp;C97&amp;" Floor",""))&amp;(IF(C98=H90,", Internal Plaster",IF(C98&gt;0,", Internal Plaster upto "&amp;C98&amp;" Floor",""))&amp;(IF(C99=H90,", External Plaster",IF(C99&gt;0,", External Plaster upto "&amp;C99&amp;" Floor",""))&amp;(IF(C100=H90,", Flooring",IF(C100&gt;0,", Flooring upto "&amp;C100&amp;" Floor",""))&amp;(IF(C101=H90,", Painting",IF(C101&gt;0,", Painting upto "&amp;C101&amp;" Floor",""))&amp;(IF(C102&gt;0,", Finishing upto "&amp;C102&amp;" Floor","")&amp;(IF(C96&gt;0.5," Completed",""))))))))))))))</f>
        <v>All work completed. Please provide OC.</v>
      </c>
      <c r="J89" s="15"/>
    </row>
    <row r="90" spans="1:14" x14ac:dyDescent="0.35">
      <c r="A90" s="54" t="s">
        <v>173</v>
      </c>
      <c r="B90" s="55">
        <v>0</v>
      </c>
      <c r="C90" s="55" t="s">
        <v>98</v>
      </c>
      <c r="D90" s="55">
        <v>1</v>
      </c>
      <c r="E90" s="55" t="s">
        <v>97</v>
      </c>
      <c r="F90" s="55">
        <v>0</v>
      </c>
      <c r="G90" s="55" t="s">
        <v>110</v>
      </c>
      <c r="H90" s="56">
        <f ca="1">--TRIM(RIGHT(SUBSTITUTE(LEFT(C89,_xlfn.AGGREGATE(16,6,FIND({0,1,2,3,4,5,6,7,8,9},C89,ROW(INDIRECT("1:"&amp;LEN(C89)))),1))," ",REPT(" ",LEN(C89))),LEN(C89)))</f>
        <v>14</v>
      </c>
      <c r="I90" s="14"/>
      <c r="J90" s="16"/>
    </row>
    <row r="91" spans="1:14" ht="20.5" customHeight="1" thickBot="1" x14ac:dyDescent="0.4">
      <c r="A91" s="241" t="s">
        <v>119</v>
      </c>
      <c r="B91" s="242"/>
      <c r="C91" s="243" t="str">
        <f>I91</f>
        <v>All work Completed. OC Received.</v>
      </c>
      <c r="D91" s="243"/>
      <c r="E91" s="243"/>
      <c r="F91" s="243"/>
      <c r="G91" s="243"/>
      <c r="H91" s="240"/>
      <c r="I91" s="14" t="s">
        <v>132</v>
      </c>
      <c r="J91" s="16"/>
    </row>
    <row r="92" spans="1:14" ht="30.65" customHeight="1" thickBot="1" x14ac:dyDescent="0.4">
      <c r="A92" s="229" t="s">
        <v>115</v>
      </c>
      <c r="B92" s="230"/>
      <c r="C92" s="231">
        <f ca="1">E94</f>
        <v>1</v>
      </c>
      <c r="D92" s="232"/>
      <c r="E92" s="233" t="s">
        <v>114</v>
      </c>
      <c r="F92" s="232"/>
      <c r="G92" s="89">
        <f ca="1">G94</f>
        <v>1</v>
      </c>
      <c r="H92" s="87"/>
      <c r="I92" s="14"/>
      <c r="J92" s="16"/>
    </row>
    <row r="93" spans="1:14" ht="15.75" hidden="1" customHeight="1" x14ac:dyDescent="0.35">
      <c r="A93" s="171" t="s">
        <v>50</v>
      </c>
      <c r="B93" s="172"/>
      <c r="C93" s="88" t="s">
        <v>171</v>
      </c>
      <c r="D93" s="88" t="s">
        <v>113</v>
      </c>
      <c r="E93" s="213" t="s">
        <v>115</v>
      </c>
      <c r="F93" s="213"/>
      <c r="G93" s="213" t="s">
        <v>114</v>
      </c>
      <c r="H93" s="120"/>
      <c r="I93" s="32" t="s">
        <v>172</v>
      </c>
      <c r="J93" s="17">
        <f ca="1">H90*25%</f>
        <v>3.5</v>
      </c>
    </row>
    <row r="94" spans="1:14" hidden="1" x14ac:dyDescent="0.35">
      <c r="A94" s="156" t="s">
        <v>160</v>
      </c>
      <c r="B94" s="157"/>
      <c r="C94" s="58">
        <f ca="1">J95</f>
        <v>14</v>
      </c>
      <c r="D94" s="59">
        <f ca="1">((100/H90)*C94)/100</f>
        <v>1</v>
      </c>
      <c r="E94" s="102">
        <f ca="1">(((C95/H90*10)+(40/(D90+F90+H90)*C96)+(7.5/(H90)*C97)+(7.5/(H90)*C98)+(10/H90*C99)+(10/H90*C100)+(5/H90*C101)+(5/H90*C102)+(5/H90*C103))/100)</f>
        <v>1</v>
      </c>
      <c r="F94" s="102"/>
      <c r="G94" s="102">
        <f ca="1">((((C94/H90)*20)+((C95/H90)*25)+(30/(H90+F90+D90)*C96)+(5/H90*C97)+(5/H90*C98)+(5/H90*C99)+(5/H90*C100)+(0/H90*C101)+(0/H90*C102)+(5/H90*C103))/100)</f>
        <v>1</v>
      </c>
      <c r="H94" s="104"/>
      <c r="I94" s="37" t="s">
        <v>127</v>
      </c>
      <c r="J94" s="38">
        <f ca="1">H90*50%</f>
        <v>7</v>
      </c>
    </row>
    <row r="95" spans="1:14" hidden="1" x14ac:dyDescent="0.35">
      <c r="A95" s="156" t="s">
        <v>51</v>
      </c>
      <c r="B95" s="157"/>
      <c r="C95" s="60">
        <f ca="1">J103</f>
        <v>14</v>
      </c>
      <c r="D95" s="59">
        <f ca="1">((100/H90)*C95)/100</f>
        <v>1</v>
      </c>
      <c r="E95" s="102"/>
      <c r="F95" s="102"/>
      <c r="G95" s="102"/>
      <c r="H95" s="104"/>
      <c r="I95" s="37" t="s">
        <v>128</v>
      </c>
      <c r="J95" s="38">
        <f ca="1">H90</f>
        <v>14</v>
      </c>
    </row>
    <row r="96" spans="1:14" ht="15.75" hidden="1" customHeight="1" x14ac:dyDescent="0.35">
      <c r="A96" s="156" t="s">
        <v>161</v>
      </c>
      <c r="B96" s="157"/>
      <c r="C96" s="60">
        <v>15</v>
      </c>
      <c r="D96" s="59">
        <f ca="1">((100/(D90+F90+H90))*C96)/100</f>
        <v>1</v>
      </c>
      <c r="E96" s="102"/>
      <c r="F96" s="102"/>
      <c r="G96" s="102"/>
      <c r="H96" s="104"/>
      <c r="I96" s="37" t="s">
        <v>129</v>
      </c>
      <c r="J96" s="39">
        <f ca="1">(IF(B90&gt;1,(H90/(B90+2)),H90/4))</f>
        <v>3.5</v>
      </c>
    </row>
    <row r="97" spans="1:10" ht="15.75" hidden="1" customHeight="1" x14ac:dyDescent="0.35">
      <c r="A97" s="156" t="s">
        <v>168</v>
      </c>
      <c r="B97" s="157" t="s">
        <v>162</v>
      </c>
      <c r="C97" s="58">
        <v>14</v>
      </c>
      <c r="D97" s="59">
        <f ca="1">((100/H90)*C97)/100</f>
        <v>1</v>
      </c>
      <c r="E97" s="102"/>
      <c r="F97" s="102"/>
      <c r="G97" s="102"/>
      <c r="H97" s="104"/>
      <c r="I97" s="37" t="s">
        <v>130</v>
      </c>
      <c r="J97" s="39">
        <f ca="1">(IF(B90&gt;1,(H90/(B90+2)+J96),H90/4+J96))</f>
        <v>7</v>
      </c>
    </row>
    <row r="98" spans="1:10" ht="15.75" hidden="1" customHeight="1" x14ac:dyDescent="0.35">
      <c r="A98" s="156" t="s">
        <v>169</v>
      </c>
      <c r="B98" s="157" t="s">
        <v>162</v>
      </c>
      <c r="C98" s="58">
        <v>14</v>
      </c>
      <c r="D98" s="59">
        <f ca="1">((100/H90)*C98)/100</f>
        <v>1</v>
      </c>
      <c r="E98" s="102"/>
      <c r="F98" s="102"/>
      <c r="G98" s="102"/>
      <c r="H98" s="104"/>
      <c r="I98" s="37" t="s">
        <v>177</v>
      </c>
      <c r="J98" s="39">
        <f>(IF(B90&gt;1,(H90/(B90+2)+J97),0))</f>
        <v>0</v>
      </c>
    </row>
    <row r="99" spans="1:10" ht="15" hidden="1" customHeight="1" x14ac:dyDescent="0.35">
      <c r="A99" s="156" t="s">
        <v>167</v>
      </c>
      <c r="B99" s="157" t="s">
        <v>164</v>
      </c>
      <c r="C99" s="58">
        <v>14</v>
      </c>
      <c r="D99" s="59">
        <f ca="1">((100/(H90))*C99)/100</f>
        <v>1</v>
      </c>
      <c r="E99" s="102"/>
      <c r="F99" s="102"/>
      <c r="G99" s="102"/>
      <c r="H99" s="104"/>
      <c r="I99" s="37" t="s">
        <v>174</v>
      </c>
      <c r="J99" s="39">
        <f>(IF(B90&gt;2,(H90/(B90+2)+J98),0))</f>
        <v>0</v>
      </c>
    </row>
    <row r="100" spans="1:10" ht="15.75" hidden="1" customHeight="1" x14ac:dyDescent="0.35">
      <c r="A100" s="156" t="s">
        <v>163</v>
      </c>
      <c r="B100" s="157" t="s">
        <v>163</v>
      </c>
      <c r="C100" s="58">
        <v>14</v>
      </c>
      <c r="D100" s="59">
        <f ca="1">((100/H90)*C100)/100</f>
        <v>1</v>
      </c>
      <c r="E100" s="102"/>
      <c r="F100" s="102"/>
      <c r="G100" s="102"/>
      <c r="H100" s="104"/>
      <c r="I100" s="37" t="s">
        <v>175</v>
      </c>
      <c r="J100" s="40">
        <f>(IF(B90&gt;3,(H90/(B90+2)+J99),0))</f>
        <v>0</v>
      </c>
    </row>
    <row r="101" spans="1:10" ht="15.75" hidden="1" customHeight="1" x14ac:dyDescent="0.35">
      <c r="A101" s="156" t="s">
        <v>170</v>
      </c>
      <c r="B101" s="157"/>
      <c r="C101" s="60">
        <v>14</v>
      </c>
      <c r="D101" s="59">
        <f ca="1">((100/H90)*C101)/100</f>
        <v>1</v>
      </c>
      <c r="E101" s="102"/>
      <c r="F101" s="102"/>
      <c r="G101" s="102"/>
      <c r="H101" s="104"/>
      <c r="I101" s="37" t="s">
        <v>176</v>
      </c>
      <c r="J101" s="39">
        <f>(IF(B90&gt;4,(H90/(B90+2)+J100),0))</f>
        <v>0</v>
      </c>
    </row>
    <row r="102" spans="1:10" ht="15.75" hidden="1" customHeight="1" x14ac:dyDescent="0.35">
      <c r="A102" s="98" t="s">
        <v>165</v>
      </c>
      <c r="B102" s="99" t="s">
        <v>165</v>
      </c>
      <c r="C102" s="58">
        <v>14</v>
      </c>
      <c r="D102" s="59">
        <f ca="1">((100/(H90))*C102)/100</f>
        <v>1</v>
      </c>
      <c r="E102" s="102"/>
      <c r="F102" s="102"/>
      <c r="G102" s="102"/>
      <c r="H102" s="104"/>
      <c r="I102" s="37" t="s">
        <v>178</v>
      </c>
      <c r="J102" s="39">
        <f ca="1">(IF(B90=1,(H90/(B90+3)+J97),IF(B90=0,(H90/4+J97),IF(B90&gt;1,0))))</f>
        <v>10.5</v>
      </c>
    </row>
    <row r="103" spans="1:10" ht="16" hidden="1" thickBot="1" x14ac:dyDescent="0.4">
      <c r="A103" s="176" t="s">
        <v>166</v>
      </c>
      <c r="B103" s="177"/>
      <c r="C103" s="61">
        <v>14</v>
      </c>
      <c r="D103" s="62">
        <f ca="1">((100/(H90))*C103)/100</f>
        <v>1</v>
      </c>
      <c r="E103" s="103"/>
      <c r="F103" s="103"/>
      <c r="G103" s="103"/>
      <c r="H103" s="105"/>
      <c r="I103" s="41" t="s">
        <v>131</v>
      </c>
      <c r="J103" s="42">
        <f ca="1">(IF(B90&gt;1.5,(H90/(B90+2)+J97+MAX(0,J98-J97)+MAX(0,J99-J98)+MAX(0,J100-J99)+MAX(0,J101-J100)+MAX(0,J102-J101)),IF(B90=1,(H90/(B90+3)+J102),IF(B90=0,H90/4+J102))))</f>
        <v>14</v>
      </c>
    </row>
    <row r="104" spans="1:10" ht="64.5" customHeight="1" x14ac:dyDescent="0.35">
      <c r="A104" s="197" t="s">
        <v>317</v>
      </c>
      <c r="B104" s="198"/>
      <c r="C104" s="199" t="s">
        <v>357</v>
      </c>
      <c r="D104" s="200"/>
      <c r="E104" s="200"/>
      <c r="F104" s="200"/>
      <c r="G104" s="200"/>
      <c r="H104" s="201"/>
      <c r="I104" s="35" t="str">
        <f ca="1">(IF(E109&gt;99%,"All work completed. Please provide OC.",IF(E109&gt;89.8%,"Plinth, RCC, Brick, Plaster, Flooring, Painting work Completed. Finishing work is in process.",IF(E109&lt;94%,(IF(C109=0,"Work not yet Started.",IF(D109=25%,"Piling work in process",IF(D109=50%,"Excavation work in process",IF(D109=100%,"Excavation work Completed. ","0")))&amp;(IF(C110=0%,"",IF(C110=J111,"Footing work is process",IF(C110=J112,"Footing work Completed",IF(C110=J113,"1st Basement Completed",IF(C110=J114,"1st &amp; 2nd Basement Completed",IF(C110=J115,"1st to 3rd Basement Completed",IF(C110=J116,"1st to 4th Basement Completed",IF(C110=J117,"Plinth work is process",IF(C110=J118,"Plinth work completed","0")))))))))))&amp;(IF(C111=(D105+F105+H105),", RCC Slab",IF(C111&gt;0,", RCC upto "&amp;C111&amp;" Slab",""))&amp;(IF(C112=H105,", Brickwork",IF(C112&gt;0,", Brickwork upto "&amp;C112&amp;" Floor",""))&amp;(IF(C113=H105,", Internal Plaster",IF(C113&gt;0,", Internal Plaster upto "&amp;C113&amp;" Floor",""))&amp;(IF(C114=H105,", External Plaster",IF(C114&gt;0,", External Plaster upto "&amp;C114&amp;" Floor",""))&amp;(IF(C115=H105,", Flooring",IF(C115&gt;0,", Flooring upto "&amp;C115&amp;" Floor",""))&amp;(IF(C116=H105,", Painting",IF(C116&gt;0,", Painting upto "&amp;C116&amp;" Floor",""))&amp;(IF(C117&gt;0,", Finishing upto "&amp;C117&amp;" Floor","")&amp;(IF(C111&gt;0.5," Completed",""))))))))))))))</f>
        <v>All work completed. Please provide OC.</v>
      </c>
      <c r="J104" s="15"/>
    </row>
    <row r="105" spans="1:10" x14ac:dyDescent="0.35">
      <c r="A105" s="54" t="s">
        <v>173</v>
      </c>
      <c r="B105" s="55">
        <v>0</v>
      </c>
      <c r="C105" s="55" t="s">
        <v>98</v>
      </c>
      <c r="D105" s="55">
        <v>1</v>
      </c>
      <c r="E105" s="55" t="s">
        <v>97</v>
      </c>
      <c r="F105" s="55">
        <v>0</v>
      </c>
      <c r="G105" s="55" t="s">
        <v>110</v>
      </c>
      <c r="H105" s="56">
        <f ca="1">--TRIM(RIGHT(SUBSTITUTE(LEFT(C104,_xlfn.AGGREGATE(16,6,FIND({0,1,2,3,4,5,6,7,8,9},C104,ROW(INDIRECT("1:"&amp;LEN(C104)))),1))," ",REPT(" ",LEN(C104))),LEN(C104)))</f>
        <v>14</v>
      </c>
      <c r="I105" s="14"/>
      <c r="J105" s="16"/>
    </row>
    <row r="106" spans="1:10" ht="23" customHeight="1" thickBot="1" x14ac:dyDescent="0.4">
      <c r="A106" s="237" t="s">
        <v>119</v>
      </c>
      <c r="B106" s="238"/>
      <c r="C106" s="239" t="str">
        <f>I106</f>
        <v>All work Completed. OC Received.</v>
      </c>
      <c r="D106" s="239"/>
      <c r="E106" s="239"/>
      <c r="F106" s="239"/>
      <c r="G106" s="239"/>
      <c r="H106" s="240"/>
      <c r="I106" s="14" t="s">
        <v>132</v>
      </c>
      <c r="J106" s="16"/>
    </row>
    <row r="107" spans="1:10" ht="30.65" customHeight="1" thickBot="1" x14ac:dyDescent="0.4">
      <c r="A107" s="229" t="s">
        <v>115</v>
      </c>
      <c r="B107" s="230"/>
      <c r="C107" s="231">
        <f ca="1">E109</f>
        <v>1</v>
      </c>
      <c r="D107" s="232"/>
      <c r="E107" s="233" t="s">
        <v>114</v>
      </c>
      <c r="F107" s="232"/>
      <c r="G107" s="89">
        <f ca="1">G109</f>
        <v>1</v>
      </c>
      <c r="H107" s="87"/>
      <c r="I107" s="14"/>
      <c r="J107" s="16"/>
    </row>
    <row r="108" spans="1:10" ht="15.75" hidden="1" customHeight="1" x14ac:dyDescent="0.35">
      <c r="A108" s="156" t="s">
        <v>50</v>
      </c>
      <c r="B108" s="157"/>
      <c r="C108" s="57" t="s">
        <v>171</v>
      </c>
      <c r="D108" s="57" t="s">
        <v>113</v>
      </c>
      <c r="E108" s="99" t="s">
        <v>115</v>
      </c>
      <c r="F108" s="99"/>
      <c r="G108" s="99" t="s">
        <v>114</v>
      </c>
      <c r="H108" s="120"/>
      <c r="I108" s="32" t="s">
        <v>172</v>
      </c>
      <c r="J108" s="17">
        <f ca="1">H105*25%</f>
        <v>3.5</v>
      </c>
    </row>
    <row r="109" spans="1:10" hidden="1" x14ac:dyDescent="0.35">
      <c r="A109" s="156" t="s">
        <v>160</v>
      </c>
      <c r="B109" s="157"/>
      <c r="C109" s="58">
        <f ca="1">J110</f>
        <v>14</v>
      </c>
      <c r="D109" s="59">
        <f ca="1">((100/H105)*C109)/100</f>
        <v>1</v>
      </c>
      <c r="E109" s="102">
        <f ca="1">(((C110/H105*10)+(40/(D105+F105+H105)*C111)+(7.5/(H105)*C112)+(7.5/(H105)*C113)+(10/H105*C114)+(10/H105*C115)+(5/H105*C116)+(5/H105*C117)+(5/H105*C118))/100)</f>
        <v>1</v>
      </c>
      <c r="F109" s="102"/>
      <c r="G109" s="102">
        <f ca="1">((((C109/H105)*20)+((C110/H105)*25)+(30/(H105+F105+D105)*C111)+(5/H105*C112)+(5/H105*C113)+(5/H105*C114)+(5/H105*C115)+(0/H105*C116)+(0/H105*C117)+(5/H105*C118))/100)</f>
        <v>1</v>
      </c>
      <c r="H109" s="104"/>
      <c r="I109" s="37" t="s">
        <v>127</v>
      </c>
      <c r="J109" s="38">
        <f ca="1">H105*50%</f>
        <v>7</v>
      </c>
    </row>
    <row r="110" spans="1:10" hidden="1" x14ac:dyDescent="0.35">
      <c r="A110" s="156" t="s">
        <v>51</v>
      </c>
      <c r="B110" s="157"/>
      <c r="C110" s="60">
        <f ca="1">J118</f>
        <v>14</v>
      </c>
      <c r="D110" s="59">
        <f ca="1">((100/H105)*C110)/100</f>
        <v>1</v>
      </c>
      <c r="E110" s="102"/>
      <c r="F110" s="102"/>
      <c r="G110" s="102"/>
      <c r="H110" s="104"/>
      <c r="I110" s="37" t="s">
        <v>128</v>
      </c>
      <c r="J110" s="38">
        <f ca="1">H105</f>
        <v>14</v>
      </c>
    </row>
    <row r="111" spans="1:10" ht="15.75" hidden="1" customHeight="1" x14ac:dyDescent="0.35">
      <c r="A111" s="156" t="s">
        <v>161</v>
      </c>
      <c r="B111" s="157"/>
      <c r="C111" s="60">
        <v>15</v>
      </c>
      <c r="D111" s="59">
        <f ca="1">((100/(D105+F105+H105))*C111)/100</f>
        <v>1</v>
      </c>
      <c r="E111" s="102"/>
      <c r="F111" s="102"/>
      <c r="G111" s="102"/>
      <c r="H111" s="104"/>
      <c r="I111" s="37" t="s">
        <v>129</v>
      </c>
      <c r="J111" s="39">
        <f ca="1">(IF(B105&gt;1,(H105/(B105+2)),H105/4))</f>
        <v>3.5</v>
      </c>
    </row>
    <row r="112" spans="1:10" ht="15.75" hidden="1" customHeight="1" x14ac:dyDescent="0.35">
      <c r="A112" s="156" t="s">
        <v>168</v>
      </c>
      <c r="B112" s="157" t="s">
        <v>162</v>
      </c>
      <c r="C112" s="58">
        <v>14</v>
      </c>
      <c r="D112" s="59">
        <f ca="1">((100/H105)*C112)/100</f>
        <v>1</v>
      </c>
      <c r="E112" s="102"/>
      <c r="F112" s="102"/>
      <c r="G112" s="102"/>
      <c r="H112" s="104"/>
      <c r="I112" s="37" t="s">
        <v>130</v>
      </c>
      <c r="J112" s="39">
        <f ca="1">(IF(B105&gt;1,(H105/(B105+2)+J111),H105/4+J111))</f>
        <v>7</v>
      </c>
    </row>
    <row r="113" spans="1:10" ht="15.75" hidden="1" customHeight="1" x14ac:dyDescent="0.35">
      <c r="A113" s="156" t="s">
        <v>169</v>
      </c>
      <c r="B113" s="157" t="s">
        <v>162</v>
      </c>
      <c r="C113" s="58">
        <v>14</v>
      </c>
      <c r="D113" s="59">
        <f ca="1">((100/H105)*C113)/100</f>
        <v>1</v>
      </c>
      <c r="E113" s="102"/>
      <c r="F113" s="102"/>
      <c r="G113" s="102"/>
      <c r="H113" s="104"/>
      <c r="I113" s="37" t="s">
        <v>177</v>
      </c>
      <c r="J113" s="39">
        <f>(IF(B105&gt;1,(H105/(B105+2)+J112),0))</f>
        <v>0</v>
      </c>
    </row>
    <row r="114" spans="1:10" ht="15" hidden="1" customHeight="1" x14ac:dyDescent="0.35">
      <c r="A114" s="156" t="s">
        <v>167</v>
      </c>
      <c r="B114" s="157" t="s">
        <v>164</v>
      </c>
      <c r="C114" s="58">
        <v>14</v>
      </c>
      <c r="D114" s="59">
        <f ca="1">((100/(H105))*C114)/100</f>
        <v>1</v>
      </c>
      <c r="E114" s="102"/>
      <c r="F114" s="102"/>
      <c r="G114" s="102"/>
      <c r="H114" s="104"/>
      <c r="I114" s="37" t="s">
        <v>174</v>
      </c>
      <c r="J114" s="39">
        <f>(IF(B105&gt;2,(H105/(B105+2)+J113),0))</f>
        <v>0</v>
      </c>
    </row>
    <row r="115" spans="1:10" ht="15.75" hidden="1" customHeight="1" x14ac:dyDescent="0.35">
      <c r="A115" s="156" t="s">
        <v>163</v>
      </c>
      <c r="B115" s="157" t="s">
        <v>163</v>
      </c>
      <c r="C115" s="58">
        <v>14</v>
      </c>
      <c r="D115" s="59">
        <f ca="1">((100/H105)*C115)/100</f>
        <v>1</v>
      </c>
      <c r="E115" s="102"/>
      <c r="F115" s="102"/>
      <c r="G115" s="102"/>
      <c r="H115" s="104"/>
      <c r="I115" s="37" t="s">
        <v>175</v>
      </c>
      <c r="J115" s="40">
        <f>(IF(B105&gt;3,(H105/(B105+2)+J114),0))</f>
        <v>0</v>
      </c>
    </row>
    <row r="116" spans="1:10" ht="15.75" hidden="1" customHeight="1" x14ac:dyDescent="0.35">
      <c r="A116" s="156" t="s">
        <v>170</v>
      </c>
      <c r="B116" s="157"/>
      <c r="C116" s="58">
        <v>14</v>
      </c>
      <c r="D116" s="59">
        <f ca="1">((100/H105)*C116)/100</f>
        <v>1</v>
      </c>
      <c r="E116" s="102"/>
      <c r="F116" s="102"/>
      <c r="G116" s="102"/>
      <c r="H116" s="104"/>
      <c r="I116" s="37" t="s">
        <v>176</v>
      </c>
      <c r="J116" s="39">
        <f>(IF(B105&gt;4,(H105/(B105+2)+J115),0))</f>
        <v>0</v>
      </c>
    </row>
    <row r="117" spans="1:10" ht="15.75" hidden="1" customHeight="1" x14ac:dyDescent="0.35">
      <c r="A117" s="98" t="s">
        <v>165</v>
      </c>
      <c r="B117" s="99" t="s">
        <v>165</v>
      </c>
      <c r="C117" s="58">
        <v>14</v>
      </c>
      <c r="D117" s="59">
        <f ca="1">((100/(H105))*C117)/100</f>
        <v>1</v>
      </c>
      <c r="E117" s="102"/>
      <c r="F117" s="102"/>
      <c r="G117" s="102"/>
      <c r="H117" s="104"/>
      <c r="I117" s="37" t="s">
        <v>178</v>
      </c>
      <c r="J117" s="39">
        <f ca="1">(IF(B105=1,(H105/(B105+3)+J112),IF(B105=0,(H105/4+J112),IF(B105&gt;1,0))))</f>
        <v>10.5</v>
      </c>
    </row>
    <row r="118" spans="1:10" ht="16" hidden="1" thickBot="1" x14ac:dyDescent="0.4">
      <c r="A118" s="176" t="s">
        <v>166</v>
      </c>
      <c r="B118" s="177"/>
      <c r="C118" s="61">
        <v>14</v>
      </c>
      <c r="D118" s="62">
        <f ca="1">((100/(H105))*C118)/100</f>
        <v>1</v>
      </c>
      <c r="E118" s="103"/>
      <c r="F118" s="103"/>
      <c r="G118" s="103"/>
      <c r="H118" s="105"/>
      <c r="I118" s="41" t="s">
        <v>131</v>
      </c>
      <c r="J118" s="42">
        <f ca="1">(IF(B105&gt;1.5,(H105/(B105+2)+J112+MAX(0,J113-J112)+MAX(0,J114-J113)+MAX(0,J115-J114)+MAX(0,J116-J115)+MAX(0,J117-J116)),IF(B105=1,(H105/(B105+3)+J117),IF(B105=0,H105/4+J117))))</f>
        <v>14</v>
      </c>
    </row>
    <row r="119" spans="1:10" ht="64.5" hidden="1" customHeight="1" x14ac:dyDescent="0.35">
      <c r="A119" s="110" t="s">
        <v>317</v>
      </c>
      <c r="B119" s="111"/>
      <c r="C119" s="112" t="s">
        <v>353</v>
      </c>
      <c r="D119" s="113"/>
      <c r="E119" s="113"/>
      <c r="F119" s="113"/>
      <c r="G119" s="113"/>
      <c r="H119" s="114"/>
      <c r="I119" s="35" t="str">
        <f ca="1">(IF(E123&gt;99%,"All work completed. Please provide OC.",IF(E123&gt;89.8%,"Plinth, RCC, Brick, Plaster, Flooring, Painting work Completed. Finishing work is in process.",IF(E123&lt;94%,(IF(C123=0,"Work not yet Started.",IF(D123=25%,"Piling work in process",IF(D123=50%,"Excavation work in process",IF(D123=100%,"Excavation work Completed. ","0")))&amp;(IF(C124=0%,"",IF(C124=J125,"Footing work is process",IF(C124=J126,"Footing work Completed",IF(C124=J127,"1st Basement Completed",IF(C124=J128,"1st &amp; 2nd Basement Completed",IF(C124=J129,"1st to 3rd Basement Completed",IF(C124=J130,"1st to 4th Basement Completed",IF(C124=J131,"Plinth work is process",IF(C124=J132,"Plinth work completed","0")))))))))))&amp;(IF(C125=(D120+F120+H120),", RCC Slab",IF(C125&gt;0,", RCC upto "&amp;C125&amp;" Slab",""))&amp;(IF(C126=H120,", Brickwork",IF(C126&gt;0,", Brickwork upto "&amp;C126&amp;" Floor",""))&amp;(IF(C127=H120,", Internal Plaster",IF(C127&gt;0,", Internal Plaster upto "&amp;C127&amp;" Floor",""))&amp;(IF(C128=H120,", External Plaster",IF(C128&gt;0,", External Plaster upto "&amp;C128&amp;" Floor",""))&amp;(IF(C129=H120,", Flooring",IF(C129&gt;0,", Flooring upto "&amp;C129&amp;" Floor",""))&amp;(IF(C130=H120,", Painting",IF(C130&gt;0,", Painting upto "&amp;C130&amp;" Floor",""))&amp;(IF(C131&gt;0,", Finishing upto "&amp;C131&amp;" Floor","")&amp;(IF(C125&gt;0.5," Completed",""))))))))))))))</f>
        <v>Excavation work Completed. Plinth work completed, RCC Slab, Brickwork, Internal Plaster, External Plaster, Flooring upto 11 Floor, Painting upto 9 Floor Completed</v>
      </c>
      <c r="J119" s="15"/>
    </row>
    <row r="120" spans="1:10" hidden="1" x14ac:dyDescent="0.35">
      <c r="A120" s="54" t="s">
        <v>173</v>
      </c>
      <c r="B120" s="55">
        <v>0</v>
      </c>
      <c r="C120" s="55" t="s">
        <v>98</v>
      </c>
      <c r="D120" s="55">
        <v>1</v>
      </c>
      <c r="E120" s="55" t="s">
        <v>97</v>
      </c>
      <c r="F120" s="55">
        <v>0</v>
      </c>
      <c r="G120" s="55" t="s">
        <v>110</v>
      </c>
      <c r="H120" s="56">
        <f ca="1">--TRIM(RIGHT(SUBSTITUTE(LEFT(C119,_xlfn.AGGREGATE(16,6,FIND({0,1,2,3,4,5,6,7,8,9},C119,ROW(INDIRECT("1:"&amp;LEN(C119)))),1))," ",REPT(" ",LEN(C119))),LEN(C119)))</f>
        <v>14</v>
      </c>
      <c r="I120" s="14"/>
      <c r="J120" s="16"/>
    </row>
    <row r="121" spans="1:10" ht="35.25" hidden="1" customHeight="1" x14ac:dyDescent="0.35">
      <c r="A121" s="106" t="s">
        <v>119</v>
      </c>
      <c r="B121" s="107"/>
      <c r="C121" s="108" t="str">
        <f ca="1">I119</f>
        <v>Excavation work Completed. Plinth work completed, RCC Slab, Brickwork, Internal Plaster, External Plaster, Flooring upto 11 Floor, Painting upto 9 Floor Completed</v>
      </c>
      <c r="D121" s="108"/>
      <c r="E121" s="108"/>
      <c r="F121" s="108"/>
      <c r="G121" s="108"/>
      <c r="H121" s="109"/>
      <c r="I121" s="14" t="s">
        <v>132</v>
      </c>
      <c r="J121" s="16"/>
    </row>
    <row r="122" spans="1:10" ht="15.75" hidden="1" customHeight="1" x14ac:dyDescent="0.35">
      <c r="A122" s="156" t="s">
        <v>50</v>
      </c>
      <c r="B122" s="157"/>
      <c r="C122" s="57" t="s">
        <v>171</v>
      </c>
      <c r="D122" s="57" t="s">
        <v>113</v>
      </c>
      <c r="E122" s="99" t="s">
        <v>115</v>
      </c>
      <c r="F122" s="99"/>
      <c r="G122" s="99" t="s">
        <v>114</v>
      </c>
      <c r="H122" s="120"/>
      <c r="I122" s="37" t="s">
        <v>172</v>
      </c>
      <c r="J122" s="17">
        <f ca="1">H120*25%</f>
        <v>3.5</v>
      </c>
    </row>
    <row r="123" spans="1:10" hidden="1" x14ac:dyDescent="0.35">
      <c r="A123" s="156" t="s">
        <v>160</v>
      </c>
      <c r="B123" s="157"/>
      <c r="C123" s="58">
        <f ca="1">J124</f>
        <v>14</v>
      </c>
      <c r="D123" s="59">
        <f ca="1">((100/H120)*C123)/100</f>
        <v>1</v>
      </c>
      <c r="E123" s="102">
        <f ca="1">(((C124/H120*10)+(40/(D120+F120+H120)*C125)+(7.5/(H120)*C126)+(7.5/(H120)*C127)+(10/H120*C128)+(10/H120*C129)+(5/H120*C130)+(5/H120*C131)+(5/H120*C132))/100)</f>
        <v>0.86071428571428565</v>
      </c>
      <c r="F123" s="102"/>
      <c r="G123" s="102">
        <f ca="1">((((C123/H120)*20)+((C124/H120)*25)+(30/(H120+F120+D120)*C125)+(5/H120*C126)+(5/H120*C127)+(5/H120*C128)+(5/H120*C129)+(0/H120*C130)+(0/H120*C131)+(5/H120*C132))/100)</f>
        <v>0.93928571428571428</v>
      </c>
      <c r="H123" s="104"/>
      <c r="I123" s="37" t="s">
        <v>127</v>
      </c>
      <c r="J123" s="38">
        <f ca="1">H120*50%</f>
        <v>7</v>
      </c>
    </row>
    <row r="124" spans="1:10" hidden="1" x14ac:dyDescent="0.35">
      <c r="A124" s="156" t="s">
        <v>51</v>
      </c>
      <c r="B124" s="157"/>
      <c r="C124" s="60">
        <f ca="1">J132</f>
        <v>14</v>
      </c>
      <c r="D124" s="59">
        <f ca="1">((100/H120)*C124)/100</f>
        <v>1</v>
      </c>
      <c r="E124" s="102"/>
      <c r="F124" s="102"/>
      <c r="G124" s="102"/>
      <c r="H124" s="104"/>
      <c r="I124" s="37" t="s">
        <v>128</v>
      </c>
      <c r="J124" s="38">
        <f ca="1">H120</f>
        <v>14</v>
      </c>
    </row>
    <row r="125" spans="1:10" ht="15.75" hidden="1" customHeight="1" x14ac:dyDescent="0.35">
      <c r="A125" s="156" t="s">
        <v>161</v>
      </c>
      <c r="B125" s="157"/>
      <c r="C125" s="60">
        <v>15</v>
      </c>
      <c r="D125" s="59">
        <f ca="1">((100/(D120+F120+H120))*C125)/100</f>
        <v>1</v>
      </c>
      <c r="E125" s="102"/>
      <c r="F125" s="102"/>
      <c r="G125" s="102"/>
      <c r="H125" s="104"/>
      <c r="I125" s="37" t="s">
        <v>129</v>
      </c>
      <c r="J125" s="39">
        <f ca="1">(IF(B120&gt;1,(H120/(B120+2)),H120/4))</f>
        <v>3.5</v>
      </c>
    </row>
    <row r="126" spans="1:10" ht="15.75" hidden="1" customHeight="1" x14ac:dyDescent="0.35">
      <c r="A126" s="156" t="s">
        <v>168</v>
      </c>
      <c r="B126" s="157" t="s">
        <v>162</v>
      </c>
      <c r="C126" s="58">
        <v>14</v>
      </c>
      <c r="D126" s="59">
        <f ca="1">((100/H120)*C126)/100</f>
        <v>1</v>
      </c>
      <c r="E126" s="102"/>
      <c r="F126" s="102"/>
      <c r="G126" s="102"/>
      <c r="H126" s="104"/>
      <c r="I126" s="37" t="s">
        <v>130</v>
      </c>
      <c r="J126" s="39">
        <f ca="1">(IF(B120&gt;1,(H120/(B120+2)+J125),H120/4+J125))</f>
        <v>7</v>
      </c>
    </row>
    <row r="127" spans="1:10" ht="15.75" hidden="1" customHeight="1" x14ac:dyDescent="0.35">
      <c r="A127" s="156" t="s">
        <v>169</v>
      </c>
      <c r="B127" s="157" t="s">
        <v>162</v>
      </c>
      <c r="C127" s="58">
        <v>14</v>
      </c>
      <c r="D127" s="59">
        <f ca="1">((100/H120)*C127)/100</f>
        <v>1</v>
      </c>
      <c r="E127" s="102"/>
      <c r="F127" s="102"/>
      <c r="G127" s="102"/>
      <c r="H127" s="104"/>
      <c r="I127" s="37" t="s">
        <v>177</v>
      </c>
      <c r="J127" s="39">
        <f>(IF(B120&gt;1,(H120/(B120+2)+J126),0))</f>
        <v>0</v>
      </c>
    </row>
    <row r="128" spans="1:10" ht="15" hidden="1" customHeight="1" x14ac:dyDescent="0.35">
      <c r="A128" s="156" t="s">
        <v>167</v>
      </c>
      <c r="B128" s="157" t="s">
        <v>164</v>
      </c>
      <c r="C128" s="60">
        <v>14</v>
      </c>
      <c r="D128" s="59">
        <f ca="1">((100/(H120))*C128)/100</f>
        <v>1</v>
      </c>
      <c r="E128" s="102"/>
      <c r="F128" s="102"/>
      <c r="G128" s="102"/>
      <c r="H128" s="104"/>
      <c r="I128" s="37" t="s">
        <v>174</v>
      </c>
      <c r="J128" s="39">
        <f>(IF(B120&gt;2,(H120/(B120+2)+J127),0))</f>
        <v>0</v>
      </c>
    </row>
    <row r="129" spans="1:10" ht="15.75" hidden="1" customHeight="1" x14ac:dyDescent="0.35">
      <c r="A129" s="156" t="s">
        <v>163</v>
      </c>
      <c r="B129" s="157" t="s">
        <v>163</v>
      </c>
      <c r="C129" s="58">
        <v>11</v>
      </c>
      <c r="D129" s="59">
        <f ca="1">((100/H120)*C129)/100</f>
        <v>0.7857142857142857</v>
      </c>
      <c r="E129" s="102"/>
      <c r="F129" s="102"/>
      <c r="G129" s="102"/>
      <c r="H129" s="104"/>
      <c r="I129" s="37" t="s">
        <v>175</v>
      </c>
      <c r="J129" s="40">
        <f>(IF(B120&gt;3,(H120/(B120+2)+J128),0))</f>
        <v>0</v>
      </c>
    </row>
    <row r="130" spans="1:10" ht="15.75" hidden="1" customHeight="1" x14ac:dyDescent="0.35">
      <c r="A130" s="156" t="s">
        <v>170</v>
      </c>
      <c r="B130" s="157"/>
      <c r="C130" s="58">
        <v>9</v>
      </c>
      <c r="D130" s="59">
        <f ca="1">((100/H120)*C130)/100</f>
        <v>0.6428571428571429</v>
      </c>
      <c r="E130" s="102"/>
      <c r="F130" s="102"/>
      <c r="G130" s="102"/>
      <c r="H130" s="104"/>
      <c r="I130" s="37" t="s">
        <v>176</v>
      </c>
      <c r="J130" s="39">
        <f>(IF(B120&gt;4,(H120/(B120+2)+J129),0))</f>
        <v>0</v>
      </c>
    </row>
    <row r="131" spans="1:10" ht="15.75" hidden="1" customHeight="1" x14ac:dyDescent="0.35">
      <c r="A131" s="98" t="s">
        <v>165</v>
      </c>
      <c r="B131" s="99" t="s">
        <v>165</v>
      </c>
      <c r="C131" s="58">
        <v>0</v>
      </c>
      <c r="D131" s="59">
        <f ca="1">((100/(H120))*C131)/100</f>
        <v>0</v>
      </c>
      <c r="E131" s="102"/>
      <c r="F131" s="102"/>
      <c r="G131" s="102"/>
      <c r="H131" s="104"/>
      <c r="I131" s="37" t="s">
        <v>178</v>
      </c>
      <c r="J131" s="39">
        <f ca="1">(IF(B120=1,(H120/(B120+3)+J126),IF(B120=0,(H120/4+J126),IF(B120&gt;1,0))))</f>
        <v>10.5</v>
      </c>
    </row>
    <row r="132" spans="1:10" ht="16" hidden="1" thickBot="1" x14ac:dyDescent="0.4">
      <c r="A132" s="176" t="s">
        <v>166</v>
      </c>
      <c r="B132" s="177"/>
      <c r="C132" s="61">
        <v>0</v>
      </c>
      <c r="D132" s="62">
        <f ca="1">((100/(H120))*C132)/100</f>
        <v>0</v>
      </c>
      <c r="E132" s="103"/>
      <c r="F132" s="103"/>
      <c r="G132" s="103"/>
      <c r="H132" s="105"/>
      <c r="I132" s="41" t="s">
        <v>131</v>
      </c>
      <c r="J132" s="42">
        <f ca="1">(IF(B120&gt;1.5,(H120/(B120+2)+J126+MAX(0,J127-J126)+MAX(0,J128-J127)+MAX(0,J129-J128)+MAX(0,J130-J129)+MAX(0,J131-J130)),IF(B120=1,(H120/(B120+3)+J131),IF(B120=0,H120/4+J131))))</f>
        <v>14</v>
      </c>
    </row>
    <row r="133" spans="1:10" ht="51" hidden="1" customHeight="1" x14ac:dyDescent="0.35">
      <c r="A133" s="110" t="s">
        <v>317</v>
      </c>
      <c r="B133" s="111"/>
      <c r="C133" s="112" t="s">
        <v>333</v>
      </c>
      <c r="D133" s="113"/>
      <c r="E133" s="113"/>
      <c r="F133" s="113"/>
      <c r="G133" s="113"/>
      <c r="H133" s="114"/>
      <c r="I133" s="35" t="str">
        <f ca="1">(IF(E137&gt;99%,"All work completed. Please provide OC.",IF(E137&gt;89.8%,"Plinth, RCC, Brick, Plaster, Flooring, Painting work Completed. Finishing work is in process.",IF(E137&lt;94%,(IF(C137=0,"Work not yet Started.",IF(D137=25%,"Piling work in process",IF(D137=50%,"Excavation work in process",IF(D137=100%,"Excavation work Completed. ","0")))&amp;(IF(C138=0%,"",IF(C138=J139,"Footing work is process",IF(C138=J140,"Footing work Completed",IF(C138=J141,"1st Basement Completed",IF(C138=J142,"1st &amp; 2nd Basement Completed",IF(C138=J143,"1st to 3rd Basement Completed",IF(C138=J144,"1st to 4th Basement Completed",IF(C138=J145,"Plinth work is process",IF(C138=J146,"Plinth work completed","0")))))))))))&amp;(IF(C139=(D134+F134+H134),", RCC Slab",IF(C139&gt;0,", RCC upto "&amp;C139&amp;" Slab",""))&amp;(IF(C140=H134,", Brickwork",IF(C140&gt;0,", Brickwork upto "&amp;C140&amp;" Floor",""))&amp;(IF(C141=H134,", Internal Plaster",IF(C141&gt;0,", Internal Plaster upto "&amp;C141&amp;" Floor",""))&amp;(IF(C142=H134,", External Plaster",IF(C142&gt;0,", External Plaster upto "&amp;C142&amp;" Floor",""))&amp;(IF(C143=H134,", Flooring",IF(C143&gt;0,", Flooring upto "&amp;C143&amp;" Floor",""))&amp;(IF(C144=H134,", Painting",IF(C144&gt;0,", Painting upto "&amp;C144&amp;" Floor",""))&amp;(IF(C145&gt;0,", Finishing upto "&amp;C145&amp;" Floor","")&amp;(IF(C139&gt;0.5," Completed",""))))))))))))))</f>
        <v>Excavation work Completed. Plinth work completed, RCC Slab, Brickwork, Internal Plaster, External Plaster, Flooring upto 9 Floor, Painting upto 8 Floor Completed</v>
      </c>
      <c r="J133" s="15"/>
    </row>
    <row r="134" spans="1:10" hidden="1" x14ac:dyDescent="0.35">
      <c r="A134" s="54" t="s">
        <v>173</v>
      </c>
      <c r="B134" s="55">
        <v>0</v>
      </c>
      <c r="C134" s="55" t="s">
        <v>98</v>
      </c>
      <c r="D134" s="55">
        <v>1</v>
      </c>
      <c r="E134" s="55" t="s">
        <v>97</v>
      </c>
      <c r="F134" s="55">
        <v>0</v>
      </c>
      <c r="G134" s="55" t="s">
        <v>110</v>
      </c>
      <c r="H134" s="56">
        <f ca="1">--TRIM(RIGHT(SUBSTITUTE(LEFT(C133,_xlfn.AGGREGATE(16,6,FIND({0,1,2,3,4,5,6,7,8,9},C133,ROW(INDIRECT("1:"&amp;LEN(C133)))),1))," ",REPT(" ",LEN(C133))),LEN(C133)))</f>
        <v>14</v>
      </c>
      <c r="I134" s="14"/>
      <c r="J134" s="16"/>
    </row>
    <row r="135" spans="1:10" ht="50.25" hidden="1" customHeight="1" x14ac:dyDescent="0.35">
      <c r="A135" s="106" t="s">
        <v>119</v>
      </c>
      <c r="B135" s="107"/>
      <c r="C135" s="108" t="str">
        <f ca="1">I133</f>
        <v>Excavation work Completed. Plinth work completed, RCC Slab, Brickwork, Internal Plaster, External Plaster, Flooring upto 9 Floor, Painting upto 8 Floor Completed</v>
      </c>
      <c r="D135" s="108"/>
      <c r="E135" s="108"/>
      <c r="F135" s="108"/>
      <c r="G135" s="108"/>
      <c r="H135" s="109"/>
      <c r="I135" s="14" t="s">
        <v>132</v>
      </c>
      <c r="J135" s="16"/>
    </row>
    <row r="136" spans="1:10" ht="15.75" hidden="1" customHeight="1" x14ac:dyDescent="0.35">
      <c r="A136" s="98" t="s">
        <v>50</v>
      </c>
      <c r="B136" s="99"/>
      <c r="C136" s="57" t="s">
        <v>171</v>
      </c>
      <c r="D136" s="57" t="s">
        <v>113</v>
      </c>
      <c r="E136" s="99" t="s">
        <v>115</v>
      </c>
      <c r="F136" s="99"/>
      <c r="G136" s="99" t="s">
        <v>114</v>
      </c>
      <c r="H136" s="120"/>
      <c r="I136" s="37" t="s">
        <v>172</v>
      </c>
      <c r="J136" s="17">
        <f ca="1">H134*25%</f>
        <v>3.5</v>
      </c>
    </row>
    <row r="137" spans="1:10" hidden="1" x14ac:dyDescent="0.35">
      <c r="A137" s="98" t="s">
        <v>160</v>
      </c>
      <c r="B137" s="99"/>
      <c r="C137" s="58">
        <f ca="1">J138</f>
        <v>14</v>
      </c>
      <c r="D137" s="59">
        <f ca="1">((100/H134)*C137)/100</f>
        <v>1</v>
      </c>
      <c r="E137" s="102">
        <f ca="1">(((C138/H134*10)+(40/(D134+F134+H134)*C139)+(7.5/(H134)*C140)+(7.5/(H134)*C141)+(10/H134*C142)+(10/H134*C143)+(5/H134*C144)+(5/H134*C145)+(5/H134*C146))/100)</f>
        <v>0.84285714285714297</v>
      </c>
      <c r="F137" s="102"/>
      <c r="G137" s="102">
        <f ca="1">((((C137/H134)*20)+((C138/H134)*25)+(30/(H134+F134+D134)*C139)+(5/H134*C140)+(5/H134*C141)+(5/H134*C142)+(5/H134*C143)+(0/H134*C144)+(0/H134*C145)+(5/H134*C146))/100)</f>
        <v>0.93214285714285705</v>
      </c>
      <c r="H137" s="104"/>
      <c r="I137" s="37" t="s">
        <v>127</v>
      </c>
      <c r="J137" s="38">
        <f ca="1">H134*50%</f>
        <v>7</v>
      </c>
    </row>
    <row r="138" spans="1:10" hidden="1" x14ac:dyDescent="0.35">
      <c r="A138" s="98" t="s">
        <v>51</v>
      </c>
      <c r="B138" s="99"/>
      <c r="C138" s="60">
        <f ca="1">J146</f>
        <v>14</v>
      </c>
      <c r="D138" s="59">
        <f ca="1">((100/H134)*C138)/100</f>
        <v>1</v>
      </c>
      <c r="E138" s="102"/>
      <c r="F138" s="102"/>
      <c r="G138" s="102"/>
      <c r="H138" s="104"/>
      <c r="I138" s="37" t="s">
        <v>128</v>
      </c>
      <c r="J138" s="38">
        <f ca="1">H134</f>
        <v>14</v>
      </c>
    </row>
    <row r="139" spans="1:10" ht="15.75" hidden="1" customHeight="1" x14ac:dyDescent="0.35">
      <c r="A139" s="98" t="s">
        <v>161</v>
      </c>
      <c r="B139" s="99"/>
      <c r="C139" s="60">
        <v>15</v>
      </c>
      <c r="D139" s="59">
        <f ca="1">((100/(D134+F134+H134))*C139)/100</f>
        <v>1</v>
      </c>
      <c r="E139" s="102"/>
      <c r="F139" s="102"/>
      <c r="G139" s="102"/>
      <c r="H139" s="104"/>
      <c r="I139" s="37" t="s">
        <v>129</v>
      </c>
      <c r="J139" s="39">
        <f ca="1">(IF(B134&gt;1,(H134/(B134+2)),H134/4))</f>
        <v>3.5</v>
      </c>
    </row>
    <row r="140" spans="1:10" ht="15.75" hidden="1" customHeight="1" x14ac:dyDescent="0.35">
      <c r="A140" s="98" t="s">
        <v>168</v>
      </c>
      <c r="B140" s="99" t="s">
        <v>162</v>
      </c>
      <c r="C140" s="58">
        <v>14</v>
      </c>
      <c r="D140" s="59">
        <f ca="1">((100/H134)*C140)/100</f>
        <v>1</v>
      </c>
      <c r="E140" s="102"/>
      <c r="F140" s="102"/>
      <c r="G140" s="102"/>
      <c r="H140" s="104"/>
      <c r="I140" s="37" t="s">
        <v>130</v>
      </c>
      <c r="J140" s="39">
        <f ca="1">(IF(B134&gt;1,(H134/(B134+2)+J139),H134/4+J139))</f>
        <v>7</v>
      </c>
    </row>
    <row r="141" spans="1:10" ht="15.75" hidden="1" customHeight="1" x14ac:dyDescent="0.35">
      <c r="A141" s="98" t="s">
        <v>169</v>
      </c>
      <c r="B141" s="99" t="s">
        <v>162</v>
      </c>
      <c r="C141" s="58">
        <v>14</v>
      </c>
      <c r="D141" s="59">
        <f ca="1">((100/H134)*C141)/100</f>
        <v>1</v>
      </c>
      <c r="E141" s="102"/>
      <c r="F141" s="102"/>
      <c r="G141" s="102"/>
      <c r="H141" s="104"/>
      <c r="I141" s="37" t="s">
        <v>177</v>
      </c>
      <c r="J141" s="39">
        <f>(IF(B134&gt;1,(H134/(B134+2)+J140),0))</f>
        <v>0</v>
      </c>
    </row>
    <row r="142" spans="1:10" ht="15" hidden="1" customHeight="1" x14ac:dyDescent="0.35">
      <c r="A142" s="98" t="s">
        <v>167</v>
      </c>
      <c r="B142" s="99" t="s">
        <v>164</v>
      </c>
      <c r="C142" s="58">
        <v>14</v>
      </c>
      <c r="D142" s="59">
        <f ca="1">((100/(H134))*C142)/100</f>
        <v>1</v>
      </c>
      <c r="E142" s="102"/>
      <c r="F142" s="102"/>
      <c r="G142" s="102"/>
      <c r="H142" s="104"/>
      <c r="I142" s="37" t="s">
        <v>174</v>
      </c>
      <c r="J142" s="39">
        <f>(IF(B134&gt;2,(H134/(B134+2)+J141),0))</f>
        <v>0</v>
      </c>
    </row>
    <row r="143" spans="1:10" ht="15.75" hidden="1" customHeight="1" x14ac:dyDescent="0.35">
      <c r="A143" s="98" t="s">
        <v>163</v>
      </c>
      <c r="B143" s="99" t="s">
        <v>163</v>
      </c>
      <c r="C143" s="58">
        <v>9</v>
      </c>
      <c r="D143" s="59">
        <f ca="1">((100/H134)*C143)/100</f>
        <v>0.6428571428571429</v>
      </c>
      <c r="E143" s="102"/>
      <c r="F143" s="102"/>
      <c r="G143" s="102"/>
      <c r="H143" s="104"/>
      <c r="I143" s="37" t="s">
        <v>175</v>
      </c>
      <c r="J143" s="40">
        <f>(IF(B134&gt;3,(H134/(B134+2)+J142),0))</f>
        <v>0</v>
      </c>
    </row>
    <row r="144" spans="1:10" ht="15.75" hidden="1" customHeight="1" x14ac:dyDescent="0.35">
      <c r="A144" s="98" t="s">
        <v>170</v>
      </c>
      <c r="B144" s="99"/>
      <c r="C144" s="58">
        <v>8</v>
      </c>
      <c r="D144" s="59">
        <f ca="1">((100/H134)*C144)/100</f>
        <v>0.57142857142857151</v>
      </c>
      <c r="E144" s="102"/>
      <c r="F144" s="102"/>
      <c r="G144" s="102"/>
      <c r="H144" s="104"/>
      <c r="I144" s="37" t="s">
        <v>176</v>
      </c>
      <c r="J144" s="39">
        <f>(IF(B134&gt;4,(H134/(B134+2)+J143),0))</f>
        <v>0</v>
      </c>
    </row>
    <row r="145" spans="1:10" ht="15.75" hidden="1" customHeight="1" x14ac:dyDescent="0.35">
      <c r="A145" s="98" t="s">
        <v>165</v>
      </c>
      <c r="B145" s="99" t="s">
        <v>165</v>
      </c>
      <c r="C145" s="58">
        <v>0</v>
      </c>
      <c r="D145" s="59">
        <f ca="1">((100/(H134))*C145)/100</f>
        <v>0</v>
      </c>
      <c r="E145" s="102"/>
      <c r="F145" s="102"/>
      <c r="G145" s="102"/>
      <c r="H145" s="104"/>
      <c r="I145" s="37" t="s">
        <v>178</v>
      </c>
      <c r="J145" s="39">
        <f ca="1">(IF(B134=1,(H134/(B134+3)+J140),IF(B134=0,(H134/4+J140),IF(B134&gt;1,0))))</f>
        <v>10.5</v>
      </c>
    </row>
    <row r="146" spans="1:10" ht="16" hidden="1" thickBot="1" x14ac:dyDescent="0.4">
      <c r="A146" s="100" t="s">
        <v>166</v>
      </c>
      <c r="B146" s="101"/>
      <c r="C146" s="61">
        <v>0</v>
      </c>
      <c r="D146" s="62">
        <f ca="1">((100/(H134))*C146)/100</f>
        <v>0</v>
      </c>
      <c r="E146" s="103"/>
      <c r="F146" s="103"/>
      <c r="G146" s="103"/>
      <c r="H146" s="105"/>
      <c r="I146" s="41" t="s">
        <v>131</v>
      </c>
      <c r="J146" s="42">
        <f ca="1">(IF(B134&gt;1.5,(H134/(B134+2)+J140+MAX(0,J141-J140)+MAX(0,J142-J141)+MAX(0,J143-J142)+MAX(0,J144-J143)+MAX(0,J145-J144)),IF(B134=1,(H134/(B134+3)+J145),IF(B134=0,H134/4+J145))))</f>
        <v>14</v>
      </c>
    </row>
    <row r="147" spans="1:10" ht="33.75" hidden="1" customHeight="1" x14ac:dyDescent="0.35">
      <c r="A147" s="110" t="s">
        <v>319</v>
      </c>
      <c r="B147" s="111"/>
      <c r="C147" s="112" t="s">
        <v>337</v>
      </c>
      <c r="D147" s="113"/>
      <c r="E147" s="113"/>
      <c r="F147" s="113"/>
      <c r="G147" s="113"/>
      <c r="H147" s="114"/>
      <c r="I147" s="35" t="str">
        <f ca="1">(IF(E151&gt;99%,"All work completed. Please provide OC.",IF(E151&gt;89.8%,"Plinth, RCC, Brick, Plaster, Flooring, Painting work Completed. Finishing work is in process.",IF(E151&lt;94%,(IF(C151=0,"Work not yet Started.",IF(D151=25%,"Piling work in process",IF(D151=50%,"Excavation work in process",IF(D151=100%,"Excavation work Completed. ","0")))&amp;(IF(C152=0%,"",IF(C152=J153,"Footing work is process",IF(C152=J154,"Footing work Completed",IF(C152=J155,"1st Basement Completed",IF(C152=J156,"1st &amp; 2nd Basement Completed",IF(C152=J157,"1st to 3rd Basement Completed",IF(C152=J158,"1st to 4th Basement Completed",IF(C152=J159,"Plinth work is process",IF(C152=J160,"Plinth work completed","0")))))))))))&amp;(IF(C153=(D148+F148+H148),", RCC Slab",IF(C153&gt;0,", RCC upto "&amp;C153&amp;" Slab",""))&amp;(IF(C154=H148,", Brickwork",IF(C154&gt;0,", Brickwork upto "&amp;C154&amp;" Floor",""))&amp;(IF(C155=H148,", Internal Plaster",IF(C155&gt;0,", Internal Plaster upto "&amp;C155&amp;" Floor",""))&amp;(IF(C156=H148,", External Plaster",IF(C156&gt;0,", External Plaster upto "&amp;C156&amp;" Floor",""))&amp;(IF(C157=H148,", Flooring",IF(C157&gt;0,", Flooring upto "&amp;C157&amp;" Floor",""))&amp;(IF(C158=H148,", Painting",IF(C158&gt;0,", Painting upto "&amp;C158&amp;" Floor",""))&amp;(IF(C159&gt;0,", Finishing upto "&amp;C159&amp;" Floor","")&amp;(IF(C153&gt;0.5," Completed",""))))))))))))))</f>
        <v>Excavation work Completed. Plinth work completed, RCC Slab, Brickwork, Internal Plaster, External Plaster, Flooring upto 13 Floor, Painting upto 11 Floor Completed</v>
      </c>
      <c r="J147" s="15"/>
    </row>
    <row r="148" spans="1:10" hidden="1" x14ac:dyDescent="0.35">
      <c r="A148" s="54" t="s">
        <v>173</v>
      </c>
      <c r="B148" s="55">
        <v>0</v>
      </c>
      <c r="C148" s="55" t="s">
        <v>98</v>
      </c>
      <c r="D148" s="55">
        <v>1</v>
      </c>
      <c r="E148" s="55" t="s">
        <v>97</v>
      </c>
      <c r="F148" s="55">
        <v>0</v>
      </c>
      <c r="G148" s="55" t="s">
        <v>110</v>
      </c>
      <c r="H148" s="56">
        <f ca="1">--TRIM(RIGHT(SUBSTITUTE(LEFT(C147,_xlfn.AGGREGATE(16,6,FIND({0,1,2,3,4,5,6,7,8,9},C147,ROW(INDIRECT("1:"&amp;LEN(C147)))),1))," ",REPT(" ",LEN(C147))),LEN(C147)))</f>
        <v>14</v>
      </c>
      <c r="I148" s="14"/>
      <c r="J148" s="16"/>
    </row>
    <row r="149" spans="1:10" ht="36.75" hidden="1" customHeight="1" x14ac:dyDescent="0.35">
      <c r="A149" s="106" t="s">
        <v>119</v>
      </c>
      <c r="B149" s="107"/>
      <c r="C149" s="108" t="str">
        <f ca="1">I147</f>
        <v>Excavation work Completed. Plinth work completed, RCC Slab, Brickwork, Internal Plaster, External Plaster, Flooring upto 13 Floor, Painting upto 11 Floor Completed</v>
      </c>
      <c r="D149" s="108"/>
      <c r="E149" s="108"/>
      <c r="F149" s="108"/>
      <c r="G149" s="108"/>
      <c r="H149" s="109"/>
      <c r="I149" s="14" t="s">
        <v>132</v>
      </c>
      <c r="J149" s="16"/>
    </row>
    <row r="150" spans="1:10" ht="15.75" hidden="1" customHeight="1" x14ac:dyDescent="0.35">
      <c r="A150" s="98" t="s">
        <v>50</v>
      </c>
      <c r="B150" s="99"/>
      <c r="C150" s="57" t="s">
        <v>171</v>
      </c>
      <c r="D150" s="57" t="s">
        <v>113</v>
      </c>
      <c r="E150" s="99" t="s">
        <v>115</v>
      </c>
      <c r="F150" s="99"/>
      <c r="G150" s="99" t="s">
        <v>114</v>
      </c>
      <c r="H150" s="120"/>
      <c r="I150" s="37" t="s">
        <v>172</v>
      </c>
      <c r="J150" s="17">
        <f ca="1">H148*25%</f>
        <v>3.5</v>
      </c>
    </row>
    <row r="151" spans="1:10" hidden="1" x14ac:dyDescent="0.35">
      <c r="A151" s="98" t="s">
        <v>160</v>
      </c>
      <c r="B151" s="99"/>
      <c r="C151" s="58">
        <f ca="1">J152</f>
        <v>14</v>
      </c>
      <c r="D151" s="59">
        <f ca="1">((100/H148)*C151)/100</f>
        <v>1</v>
      </c>
      <c r="E151" s="102">
        <f ca="1">(((C152/H148*10)+(40/(D148+F148+H148)*C153)+(7.5/(H148)*C154)+(7.5/(H148)*C155)+(10/H148*C156)+(10/H148*C157)+(5/H148*C158)+(5/H148*C159)+(5/H148*C160))/100)</f>
        <v>0.88214285714285723</v>
      </c>
      <c r="F151" s="102"/>
      <c r="G151" s="102">
        <f ca="1">((((C151/H148)*20)+((C152/H148)*25)+(30/(H148+F148+D148)*C153)+(5/H148*C154)+(5/H148*C155)+(5/H148*C156)+(5/H148*C157)+(0/H148*C158)+(0/H148*C159)+(5/H148*C160))/100)</f>
        <v>0.9464285714285714</v>
      </c>
      <c r="H151" s="104"/>
      <c r="I151" s="37" t="s">
        <v>127</v>
      </c>
      <c r="J151" s="38">
        <f ca="1">H148*50%</f>
        <v>7</v>
      </c>
    </row>
    <row r="152" spans="1:10" hidden="1" x14ac:dyDescent="0.35">
      <c r="A152" s="98" t="s">
        <v>51</v>
      </c>
      <c r="B152" s="99"/>
      <c r="C152" s="60">
        <f ca="1">J160</f>
        <v>14</v>
      </c>
      <c r="D152" s="59">
        <f ca="1">((100/H148)*C152)/100</f>
        <v>1</v>
      </c>
      <c r="E152" s="102"/>
      <c r="F152" s="102"/>
      <c r="G152" s="102"/>
      <c r="H152" s="104"/>
      <c r="I152" s="37" t="s">
        <v>128</v>
      </c>
      <c r="J152" s="38">
        <f ca="1">H148</f>
        <v>14</v>
      </c>
    </row>
    <row r="153" spans="1:10" ht="15.75" hidden="1" customHeight="1" x14ac:dyDescent="0.35">
      <c r="A153" s="98" t="s">
        <v>161</v>
      </c>
      <c r="B153" s="99"/>
      <c r="C153" s="60">
        <v>15</v>
      </c>
      <c r="D153" s="59">
        <f ca="1">((100/(D148+F148+H148))*C153)/100</f>
        <v>1</v>
      </c>
      <c r="E153" s="102"/>
      <c r="F153" s="102"/>
      <c r="G153" s="102"/>
      <c r="H153" s="104"/>
      <c r="I153" s="37" t="s">
        <v>129</v>
      </c>
      <c r="J153" s="39">
        <f ca="1">(IF(B148&gt;1,(H148/(B148+2)),H148/4))</f>
        <v>3.5</v>
      </c>
    </row>
    <row r="154" spans="1:10" ht="15.75" hidden="1" customHeight="1" x14ac:dyDescent="0.35">
      <c r="A154" s="98" t="s">
        <v>168</v>
      </c>
      <c r="B154" s="99" t="s">
        <v>162</v>
      </c>
      <c r="C154" s="58">
        <v>14</v>
      </c>
      <c r="D154" s="59">
        <f ca="1">((100/H148)*C154)/100</f>
        <v>1</v>
      </c>
      <c r="E154" s="102"/>
      <c r="F154" s="102"/>
      <c r="G154" s="102"/>
      <c r="H154" s="104"/>
      <c r="I154" s="37" t="s">
        <v>130</v>
      </c>
      <c r="J154" s="39">
        <f ca="1">(IF(B148&gt;1,(H148/(B148+2)+J153),H148/4+J153))</f>
        <v>7</v>
      </c>
    </row>
    <row r="155" spans="1:10" ht="15.75" hidden="1" customHeight="1" x14ac:dyDescent="0.35">
      <c r="A155" s="98" t="s">
        <v>169</v>
      </c>
      <c r="B155" s="99" t="s">
        <v>162</v>
      </c>
      <c r="C155" s="58">
        <v>14</v>
      </c>
      <c r="D155" s="59">
        <f ca="1">((100/H148)*C155)/100</f>
        <v>1</v>
      </c>
      <c r="E155" s="102"/>
      <c r="F155" s="102"/>
      <c r="G155" s="102"/>
      <c r="H155" s="104"/>
      <c r="I155" s="37" t="s">
        <v>177</v>
      </c>
      <c r="J155" s="39">
        <f>(IF(B148&gt;1,(H148/(B148+2)+J154),0))</f>
        <v>0</v>
      </c>
    </row>
    <row r="156" spans="1:10" ht="15" hidden="1" customHeight="1" x14ac:dyDescent="0.35">
      <c r="A156" s="98" t="s">
        <v>167</v>
      </c>
      <c r="B156" s="99" t="s">
        <v>164</v>
      </c>
      <c r="C156" s="58">
        <v>14</v>
      </c>
      <c r="D156" s="59">
        <f ca="1">((100/(H148))*C156)/100</f>
        <v>1</v>
      </c>
      <c r="E156" s="102"/>
      <c r="F156" s="102"/>
      <c r="G156" s="102"/>
      <c r="H156" s="104"/>
      <c r="I156" s="37" t="s">
        <v>174</v>
      </c>
      <c r="J156" s="39">
        <f>(IF(B148&gt;2,(H148/(B148+2)+J155),0))</f>
        <v>0</v>
      </c>
    </row>
    <row r="157" spans="1:10" ht="15.75" hidden="1" customHeight="1" x14ac:dyDescent="0.35">
      <c r="A157" s="98" t="s">
        <v>163</v>
      </c>
      <c r="B157" s="99" t="s">
        <v>163</v>
      </c>
      <c r="C157" s="58">
        <v>13</v>
      </c>
      <c r="D157" s="59">
        <f ca="1">((100/H148)*C157)/100</f>
        <v>0.9285714285714286</v>
      </c>
      <c r="E157" s="102"/>
      <c r="F157" s="102"/>
      <c r="G157" s="102"/>
      <c r="H157" s="104"/>
      <c r="I157" s="37" t="s">
        <v>175</v>
      </c>
      <c r="J157" s="40">
        <f>(IF(B148&gt;3,(H148/(B148+2)+J156),0))</f>
        <v>0</v>
      </c>
    </row>
    <row r="158" spans="1:10" ht="15.75" hidden="1" customHeight="1" x14ac:dyDescent="0.35">
      <c r="A158" s="98" t="s">
        <v>170</v>
      </c>
      <c r="B158" s="99"/>
      <c r="C158" s="58">
        <v>11</v>
      </c>
      <c r="D158" s="59">
        <f ca="1">((100/H148)*C158)/100</f>
        <v>0.7857142857142857</v>
      </c>
      <c r="E158" s="102"/>
      <c r="F158" s="102"/>
      <c r="G158" s="102"/>
      <c r="H158" s="104"/>
      <c r="I158" s="37" t="s">
        <v>176</v>
      </c>
      <c r="J158" s="39">
        <f>(IF(B148&gt;4,(H148/(B148+2)+J157),0))</f>
        <v>0</v>
      </c>
    </row>
    <row r="159" spans="1:10" ht="15.75" hidden="1" customHeight="1" x14ac:dyDescent="0.35">
      <c r="A159" s="98" t="s">
        <v>165</v>
      </c>
      <c r="B159" s="99" t="s">
        <v>165</v>
      </c>
      <c r="C159" s="58">
        <v>0</v>
      </c>
      <c r="D159" s="59">
        <f ca="1">((100/(H148))*C159)/100</f>
        <v>0</v>
      </c>
      <c r="E159" s="102"/>
      <c r="F159" s="102"/>
      <c r="G159" s="102"/>
      <c r="H159" s="104"/>
      <c r="I159" s="37" t="s">
        <v>178</v>
      </c>
      <c r="J159" s="39">
        <f ca="1">(IF(B148=1,(H148/(B148+3)+J154),IF(B148=0,(H148/4+J154),IF(B148&gt;1,0))))</f>
        <v>10.5</v>
      </c>
    </row>
    <row r="160" spans="1:10" ht="16" hidden="1" thickBot="1" x14ac:dyDescent="0.4">
      <c r="A160" s="100" t="s">
        <v>166</v>
      </c>
      <c r="B160" s="101"/>
      <c r="C160" s="61">
        <v>0</v>
      </c>
      <c r="D160" s="62">
        <f ca="1">((100/(H148))*C160)/100</f>
        <v>0</v>
      </c>
      <c r="E160" s="103"/>
      <c r="F160" s="103"/>
      <c r="G160" s="103"/>
      <c r="H160" s="105"/>
      <c r="I160" s="41" t="s">
        <v>131</v>
      </c>
      <c r="J160" s="42">
        <f ca="1">(IF(B148&gt;1.5,(H148/(B148+2)+J154+MAX(0,J155-J154)+MAX(0,J156-J155)+MAX(0,J157-J156)+MAX(0,J158-J157)+MAX(0,J159-J158)),IF(B148=1,(H148/(B148+3)+J159),IF(B148=0,H148/4+J159))))</f>
        <v>14</v>
      </c>
    </row>
    <row r="161" spans="1:10" ht="33.75" hidden="1" customHeight="1" x14ac:dyDescent="0.35">
      <c r="A161" s="110" t="s">
        <v>319</v>
      </c>
      <c r="B161" s="111"/>
      <c r="C161" s="112" t="s">
        <v>336</v>
      </c>
      <c r="D161" s="113"/>
      <c r="E161" s="113"/>
      <c r="F161" s="113"/>
      <c r="G161" s="113"/>
      <c r="H161" s="114"/>
      <c r="I161" s="35" t="str">
        <f ca="1">(IF(E165&gt;99%,"All work completed. Please provide OC.",IF(E165&gt;89.8%,"Plinth, RCC, Brick, Plaster, Flooring, Painting work Completed. Finishing work is in process.",IF(E165&lt;94%,(IF(C165=0,"Work not yet Started.",IF(D165=25%,"Piling work in process",IF(D165=50%,"Excavation work in process",IF(D165=100%,"Excavation work Completed. ","0")))&amp;(IF(C166=0%,"",IF(C166=J167,"Footing work is process",IF(C166=J168,"Footing work Completed",IF(C166=J169,"1st Basement Completed",IF(C166=J170,"1st &amp; 2nd Basement Completed",IF(C166=J171,"1st to 3rd Basement Completed",IF(C166=J172,"1st to 4th Basement Completed",IF(C166=J173,"Plinth work is process",IF(C166=J174,"Plinth work completed","0")))))))))))&amp;(IF(C167=(D162+F162+H162),", RCC Slab",IF(C167&gt;0,", RCC upto "&amp;C167&amp;" Slab",""))&amp;(IF(C168=H162,", Brickwork",IF(C168&gt;0,", Brickwork upto "&amp;C168&amp;" Floor",""))&amp;(IF(C169=H162,", Internal Plaster",IF(C169&gt;0,", Internal Plaster upto "&amp;C169&amp;" Floor",""))&amp;(IF(C170=H162,", External Plaster",IF(C170&gt;0,", External Plaster upto "&amp;C170&amp;" Floor",""))&amp;(IF(C171=H162,", Flooring",IF(C171&gt;0,", Flooring upto "&amp;C171&amp;" Floor",""))&amp;(IF(C172=H162,", Painting",IF(C172&gt;0,", Painting upto "&amp;C172&amp;" Floor",""))&amp;(IF(C173&gt;0,", Finishing upto "&amp;C173&amp;" Floor","")&amp;(IF(C167&gt;0.5," Completed",""))))))))))))))</f>
        <v>Excavation work Completed. Plinth work completed, RCC Slab, Brickwork, Internal Plaster, External Plaster, Flooring upto 13 Floor, Painting upto 12 Floor Completed</v>
      </c>
      <c r="J161" s="15"/>
    </row>
    <row r="162" spans="1:10" hidden="1" x14ac:dyDescent="0.35">
      <c r="A162" s="54" t="s">
        <v>173</v>
      </c>
      <c r="B162" s="55">
        <v>0</v>
      </c>
      <c r="C162" s="55" t="s">
        <v>98</v>
      </c>
      <c r="D162" s="55">
        <v>1</v>
      </c>
      <c r="E162" s="55" t="s">
        <v>97</v>
      </c>
      <c r="F162" s="55">
        <v>0</v>
      </c>
      <c r="G162" s="55" t="s">
        <v>110</v>
      </c>
      <c r="H162" s="56">
        <f ca="1">--TRIM(RIGHT(SUBSTITUTE(LEFT(C161,_xlfn.AGGREGATE(16,6,FIND({0,1,2,3,4,5,6,7,8,9},C161,ROW(INDIRECT("1:"&amp;LEN(C161)))),1))," ",REPT(" ",LEN(C161))),LEN(C161)))</f>
        <v>14</v>
      </c>
      <c r="I162" s="14"/>
      <c r="J162" s="16"/>
    </row>
    <row r="163" spans="1:10" ht="33.75" hidden="1" customHeight="1" x14ac:dyDescent="0.35">
      <c r="A163" s="106" t="s">
        <v>119</v>
      </c>
      <c r="B163" s="107"/>
      <c r="C163" s="108" t="str">
        <f ca="1">I161</f>
        <v>Excavation work Completed. Plinth work completed, RCC Slab, Brickwork, Internal Plaster, External Plaster, Flooring upto 13 Floor, Painting upto 12 Floor Completed</v>
      </c>
      <c r="D163" s="108"/>
      <c r="E163" s="108"/>
      <c r="F163" s="108"/>
      <c r="G163" s="108"/>
      <c r="H163" s="109"/>
      <c r="I163" s="14" t="s">
        <v>132</v>
      </c>
      <c r="J163" s="16"/>
    </row>
    <row r="164" spans="1:10" ht="15.75" hidden="1" customHeight="1" x14ac:dyDescent="0.35">
      <c r="A164" s="98" t="s">
        <v>50</v>
      </c>
      <c r="B164" s="99"/>
      <c r="C164" s="57" t="s">
        <v>171</v>
      </c>
      <c r="D164" s="57" t="s">
        <v>113</v>
      </c>
      <c r="E164" s="99" t="s">
        <v>115</v>
      </c>
      <c r="F164" s="99"/>
      <c r="G164" s="99" t="s">
        <v>114</v>
      </c>
      <c r="H164" s="120"/>
      <c r="I164" s="37" t="s">
        <v>172</v>
      </c>
      <c r="J164" s="17">
        <f ca="1">H162*25%</f>
        <v>3.5</v>
      </c>
    </row>
    <row r="165" spans="1:10" hidden="1" x14ac:dyDescent="0.35">
      <c r="A165" s="98" t="s">
        <v>160</v>
      </c>
      <c r="B165" s="99"/>
      <c r="C165" s="58">
        <f ca="1">J166</f>
        <v>14</v>
      </c>
      <c r="D165" s="59">
        <f ca="1">((100/H162)*C165)/100</f>
        <v>1</v>
      </c>
      <c r="E165" s="102">
        <f ca="1">(((C166/H162*10)+(40/(D162+F162+H162)*C167)+(7.5/(H162)*C168)+(7.5/(H162)*C169)+(10/H162*C170)+(10/H162*C171)+(5/H162*C172)+(5/H162*C173)+(5/H162*C174))/100)</f>
        <v>0.88571428571428579</v>
      </c>
      <c r="F165" s="102"/>
      <c r="G165" s="102">
        <f ca="1">((((C165/H162)*20)+((C166/H162)*25)+(30/(H162+F162+D162)*C167)+(5/H162*C168)+(5/H162*C169)+(5/H162*C170)+(5/H162*C171)+(0/H162*C172)+(0/H162*C173)+(5/H162*C174))/100)</f>
        <v>0.9464285714285714</v>
      </c>
      <c r="H165" s="104"/>
      <c r="I165" s="37" t="s">
        <v>127</v>
      </c>
      <c r="J165" s="38">
        <f ca="1">H162*50%</f>
        <v>7</v>
      </c>
    </row>
    <row r="166" spans="1:10" hidden="1" x14ac:dyDescent="0.35">
      <c r="A166" s="98" t="s">
        <v>51</v>
      </c>
      <c r="B166" s="99"/>
      <c r="C166" s="60">
        <f ca="1">J174</f>
        <v>14</v>
      </c>
      <c r="D166" s="59">
        <f ca="1">((100/H162)*C166)/100</f>
        <v>1</v>
      </c>
      <c r="E166" s="102"/>
      <c r="F166" s="102"/>
      <c r="G166" s="102"/>
      <c r="H166" s="104"/>
      <c r="I166" s="37" t="s">
        <v>128</v>
      </c>
      <c r="J166" s="38">
        <f ca="1">H162</f>
        <v>14</v>
      </c>
    </row>
    <row r="167" spans="1:10" ht="15.75" hidden="1" customHeight="1" x14ac:dyDescent="0.35">
      <c r="A167" s="98" t="s">
        <v>161</v>
      </c>
      <c r="B167" s="99"/>
      <c r="C167" s="60">
        <v>15</v>
      </c>
      <c r="D167" s="59">
        <f ca="1">((100/(D162+F162+H162))*C167)/100</f>
        <v>1</v>
      </c>
      <c r="E167" s="102"/>
      <c r="F167" s="102"/>
      <c r="G167" s="102"/>
      <c r="H167" s="104"/>
      <c r="I167" s="37" t="s">
        <v>129</v>
      </c>
      <c r="J167" s="39">
        <f ca="1">(IF(B162&gt;1,(H162/(B162+2)),H162/4))</f>
        <v>3.5</v>
      </c>
    </row>
    <row r="168" spans="1:10" ht="15.75" hidden="1" customHeight="1" x14ac:dyDescent="0.35">
      <c r="A168" s="98" t="s">
        <v>168</v>
      </c>
      <c r="B168" s="99" t="s">
        <v>162</v>
      </c>
      <c r="C168" s="58">
        <v>14</v>
      </c>
      <c r="D168" s="59">
        <f ca="1">((100/H162)*C168)/100</f>
        <v>1</v>
      </c>
      <c r="E168" s="102"/>
      <c r="F168" s="102"/>
      <c r="G168" s="102"/>
      <c r="H168" s="104"/>
      <c r="I168" s="37" t="s">
        <v>130</v>
      </c>
      <c r="J168" s="39">
        <f ca="1">(IF(B162&gt;1,(H162/(B162+2)+J167),H162/4+J167))</f>
        <v>7</v>
      </c>
    </row>
    <row r="169" spans="1:10" ht="15.75" hidden="1" customHeight="1" x14ac:dyDescent="0.35">
      <c r="A169" s="98" t="s">
        <v>169</v>
      </c>
      <c r="B169" s="99" t="s">
        <v>162</v>
      </c>
      <c r="C169" s="58">
        <v>14</v>
      </c>
      <c r="D169" s="59">
        <f ca="1">((100/H162)*C169)/100</f>
        <v>1</v>
      </c>
      <c r="E169" s="102"/>
      <c r="F169" s="102"/>
      <c r="G169" s="102"/>
      <c r="H169" s="104"/>
      <c r="I169" s="37" t="s">
        <v>177</v>
      </c>
      <c r="J169" s="39">
        <f>(IF(B162&gt;1,(H162/(B162+2)+J168),0))</f>
        <v>0</v>
      </c>
    </row>
    <row r="170" spans="1:10" ht="15" hidden="1" customHeight="1" x14ac:dyDescent="0.35">
      <c r="A170" s="98" t="s">
        <v>167</v>
      </c>
      <c r="B170" s="99" t="s">
        <v>164</v>
      </c>
      <c r="C170" s="58">
        <v>14</v>
      </c>
      <c r="D170" s="59">
        <f ca="1">((100/(H162))*C170)/100</f>
        <v>1</v>
      </c>
      <c r="E170" s="102"/>
      <c r="F170" s="102"/>
      <c r="G170" s="102"/>
      <c r="H170" s="104"/>
      <c r="I170" s="37" t="s">
        <v>174</v>
      </c>
      <c r="J170" s="39">
        <f>(IF(B162&gt;2,(H162/(B162+2)+J169),0))</f>
        <v>0</v>
      </c>
    </row>
    <row r="171" spans="1:10" ht="15.75" hidden="1" customHeight="1" x14ac:dyDescent="0.35">
      <c r="A171" s="98" t="s">
        <v>163</v>
      </c>
      <c r="B171" s="99" t="s">
        <v>163</v>
      </c>
      <c r="C171" s="58">
        <v>13</v>
      </c>
      <c r="D171" s="59">
        <f ca="1">((100/H162)*C171)/100</f>
        <v>0.9285714285714286</v>
      </c>
      <c r="E171" s="102"/>
      <c r="F171" s="102"/>
      <c r="G171" s="102"/>
      <c r="H171" s="104"/>
      <c r="I171" s="37" t="s">
        <v>175</v>
      </c>
      <c r="J171" s="40">
        <f>(IF(B162&gt;3,(H162/(B162+2)+J170),0))</f>
        <v>0</v>
      </c>
    </row>
    <row r="172" spans="1:10" ht="15.75" hidden="1" customHeight="1" x14ac:dyDescent="0.35">
      <c r="A172" s="98" t="s">
        <v>170</v>
      </c>
      <c r="B172" s="99"/>
      <c r="C172" s="58">
        <v>12</v>
      </c>
      <c r="D172" s="59">
        <f ca="1">((100/H162)*C172)/100</f>
        <v>0.85714285714285721</v>
      </c>
      <c r="E172" s="102"/>
      <c r="F172" s="102"/>
      <c r="G172" s="102"/>
      <c r="H172" s="104"/>
      <c r="I172" s="37" t="s">
        <v>176</v>
      </c>
      <c r="J172" s="39">
        <f>(IF(B162&gt;4,(H162/(B162+2)+J171),0))</f>
        <v>0</v>
      </c>
    </row>
    <row r="173" spans="1:10" ht="15.75" hidden="1" customHeight="1" x14ac:dyDescent="0.35">
      <c r="A173" s="98" t="s">
        <v>165</v>
      </c>
      <c r="B173" s="99" t="s">
        <v>165</v>
      </c>
      <c r="C173" s="58">
        <v>0</v>
      </c>
      <c r="D173" s="59">
        <f ca="1">((100/(H162))*C173)/100</f>
        <v>0</v>
      </c>
      <c r="E173" s="102"/>
      <c r="F173" s="102"/>
      <c r="G173" s="102"/>
      <c r="H173" s="104"/>
      <c r="I173" s="37" t="s">
        <v>178</v>
      </c>
      <c r="J173" s="39">
        <f ca="1">(IF(B162=1,(H162/(B162+3)+J168),IF(B162=0,(H162/4+J168),IF(B162&gt;1,0))))</f>
        <v>10.5</v>
      </c>
    </row>
    <row r="174" spans="1:10" ht="16" hidden="1" thickBot="1" x14ac:dyDescent="0.4">
      <c r="A174" s="100" t="s">
        <v>166</v>
      </c>
      <c r="B174" s="101"/>
      <c r="C174" s="61">
        <v>0</v>
      </c>
      <c r="D174" s="62">
        <f ca="1">((100/(H162))*C174)/100</f>
        <v>0</v>
      </c>
      <c r="E174" s="103"/>
      <c r="F174" s="103"/>
      <c r="G174" s="103"/>
      <c r="H174" s="105"/>
      <c r="I174" s="41" t="s">
        <v>131</v>
      </c>
      <c r="J174" s="42">
        <f ca="1">(IF(B162&gt;1.5,(H162/(B162+2)+J168+MAX(0,J169-J168)+MAX(0,J170-J169)+MAX(0,J171-J170)+MAX(0,J172-J171)+MAX(0,J173-J172)),IF(B162=1,(H162/(B162+3)+J173),IF(B162=0,H162/4+J173))))</f>
        <v>14</v>
      </c>
    </row>
    <row r="175" spans="1:10" ht="48.75" hidden="1" customHeight="1" x14ac:dyDescent="0.35">
      <c r="A175" s="110" t="s">
        <v>319</v>
      </c>
      <c r="B175" s="111"/>
      <c r="C175" s="112" t="s">
        <v>352</v>
      </c>
      <c r="D175" s="113"/>
      <c r="E175" s="113"/>
      <c r="F175" s="113"/>
      <c r="G175" s="113"/>
      <c r="H175" s="114"/>
      <c r="I175" s="35" t="str">
        <f ca="1">(IF(E179&gt;99%,"All work completed. Please provide OC.",IF(E179&gt;89.8%,"Plinth, RCC, Brick, Plaster, Flooring, Painting work Completed. Finishing work is in process.",IF(E179&lt;94%,(IF(C179=0,"Work not yet Started.",IF(D179=25%,"Piling work in process",IF(D179=50%,"Excavation work in process",IF(D179=100%,"Excavation work Completed. ","0")))&amp;(IF(C180=0%,"",IF(C180=J181,"Footing work is process",IF(C180=J182,"Footing work Completed",IF(C180=J183,"1st Basement Completed",IF(C180=J184,"1st &amp; 2nd Basement Completed",IF(C180=J185,"1st to 3rd Basement Completed",IF(C180=J186,"1st to 4th Basement Completed",IF(C180=J187,"Plinth work is process",IF(C180=J188,"Plinth work completed","0")))))))))))&amp;(IF(C181=(D176+F176+H176),", RCC Slab",IF(C181&gt;0,", RCC upto "&amp;C181&amp;" Slab",""))&amp;(IF(C182=H176,", Brickwork",IF(C182&gt;0,", Brickwork upto "&amp;C182&amp;" Floor",""))&amp;(IF(C183=H176,", Internal Plaster",IF(C183&gt;0,", Internal Plaster upto "&amp;C183&amp;" Floor",""))&amp;(IF(C184=H176,", External Plaster",IF(C184&gt;0,", External Plaster upto "&amp;C184&amp;" Floor",""))&amp;(IF(C185=H176,", Flooring",IF(C185&gt;0,", Flooring upto "&amp;C185&amp;" Floor",""))&amp;(IF(C186=H176,", Painting",IF(C186&gt;0,", Painting upto "&amp;C186&amp;" Floor",""))&amp;(IF(C187&gt;0,", Finishing upto "&amp;C187&amp;" Floor","")&amp;(IF(C181&gt;0.5," Completed",""))))))))))))))</f>
        <v>Plinth, RCC, Brick, Plaster, Flooring, Painting work Completed. Finishing work is in process.</v>
      </c>
      <c r="J175" s="15"/>
    </row>
    <row r="176" spans="1:10" hidden="1" x14ac:dyDescent="0.35">
      <c r="A176" s="54" t="s">
        <v>173</v>
      </c>
      <c r="B176" s="55">
        <v>0</v>
      </c>
      <c r="C176" s="55" t="s">
        <v>98</v>
      </c>
      <c r="D176" s="55">
        <v>1</v>
      </c>
      <c r="E176" s="55" t="s">
        <v>97</v>
      </c>
      <c r="F176" s="55">
        <v>0</v>
      </c>
      <c r="G176" s="55" t="s">
        <v>110</v>
      </c>
      <c r="H176" s="56">
        <f ca="1">--TRIM(RIGHT(SUBSTITUTE(LEFT(C175,_xlfn.AGGREGATE(16,6,FIND({0,1,2,3,4,5,6,7,8,9},C175,ROW(INDIRECT("1:"&amp;LEN(C175)))),1))," ",REPT(" ",LEN(C175))),LEN(C175)))</f>
        <v>14</v>
      </c>
      <c r="I176" s="14"/>
      <c r="J176" s="16"/>
    </row>
    <row r="177" spans="1:10" ht="34.5" hidden="1" customHeight="1" x14ac:dyDescent="0.35">
      <c r="A177" s="106" t="s">
        <v>119</v>
      </c>
      <c r="B177" s="107"/>
      <c r="C177" s="108" t="str">
        <f ca="1">I175</f>
        <v>Plinth, RCC, Brick, Plaster, Flooring, Painting work Completed. Finishing work is in process.</v>
      </c>
      <c r="D177" s="108"/>
      <c r="E177" s="108"/>
      <c r="F177" s="108"/>
      <c r="G177" s="108"/>
      <c r="H177" s="109"/>
      <c r="I177" s="14" t="s">
        <v>132</v>
      </c>
      <c r="J177" s="16"/>
    </row>
    <row r="178" spans="1:10" ht="15.75" hidden="1" customHeight="1" x14ac:dyDescent="0.35">
      <c r="A178" s="98" t="s">
        <v>50</v>
      </c>
      <c r="B178" s="99"/>
      <c r="C178" s="57" t="s">
        <v>171</v>
      </c>
      <c r="D178" s="57" t="s">
        <v>113</v>
      </c>
      <c r="E178" s="99" t="s">
        <v>115</v>
      </c>
      <c r="F178" s="99"/>
      <c r="G178" s="99" t="s">
        <v>114</v>
      </c>
      <c r="H178" s="120"/>
      <c r="I178" s="37" t="s">
        <v>172</v>
      </c>
      <c r="J178" s="17">
        <f ca="1">H176*25%</f>
        <v>3.5</v>
      </c>
    </row>
    <row r="179" spans="1:10" hidden="1" x14ac:dyDescent="0.35">
      <c r="A179" s="98" t="s">
        <v>160</v>
      </c>
      <c r="B179" s="99"/>
      <c r="C179" s="58">
        <f ca="1">J180</f>
        <v>14</v>
      </c>
      <c r="D179" s="59">
        <f ca="1">((100/H176)*C179)/100</f>
        <v>1</v>
      </c>
      <c r="E179" s="102">
        <f ca="1">(((C180/H176*10)+(40/(D176+F176+H176)*C181)+(7.5/(H176)*C182)+(7.5/(H176)*C183)+(10/H176*C184)+(10/H176*C185)+(5/H176*C186)+(5/H176*C187)+(5/H176*C188))/100)</f>
        <v>0.93571428571428572</v>
      </c>
      <c r="F179" s="102"/>
      <c r="G179" s="102">
        <f ca="1">((((C179/H176)*20)+((C180/H176)*25)+(30/(H176+F176+D176)*C181)+(5/H176*C182)+(5/H176*C183)+(5/H176*C184)+(5/H176*C185)+(0/H176*C186)+(0/H176*C187)+(5/H176*C188))/100)</f>
        <v>0.95</v>
      </c>
      <c r="H179" s="104"/>
      <c r="I179" s="37" t="s">
        <v>127</v>
      </c>
      <c r="J179" s="38">
        <f ca="1">H176*50%</f>
        <v>7</v>
      </c>
    </row>
    <row r="180" spans="1:10" hidden="1" x14ac:dyDescent="0.35">
      <c r="A180" s="98" t="s">
        <v>51</v>
      </c>
      <c r="B180" s="99"/>
      <c r="C180" s="60">
        <f ca="1">J188</f>
        <v>14</v>
      </c>
      <c r="D180" s="59">
        <f ca="1">((100/H176)*C180)/100</f>
        <v>1</v>
      </c>
      <c r="E180" s="102"/>
      <c r="F180" s="102"/>
      <c r="G180" s="102"/>
      <c r="H180" s="104"/>
      <c r="I180" s="37" t="s">
        <v>128</v>
      </c>
      <c r="J180" s="38">
        <f ca="1">H176</f>
        <v>14</v>
      </c>
    </row>
    <row r="181" spans="1:10" ht="15.75" hidden="1" customHeight="1" x14ac:dyDescent="0.35">
      <c r="A181" s="98" t="s">
        <v>161</v>
      </c>
      <c r="B181" s="99"/>
      <c r="C181" s="60">
        <v>15</v>
      </c>
      <c r="D181" s="59">
        <f ca="1">((100/(D176+F176+H176))*C181)/100</f>
        <v>1</v>
      </c>
      <c r="E181" s="102"/>
      <c r="F181" s="102"/>
      <c r="G181" s="102"/>
      <c r="H181" s="104"/>
      <c r="I181" s="37" t="s">
        <v>129</v>
      </c>
      <c r="J181" s="39">
        <f ca="1">(IF(B176&gt;1,(H176/(B176+2)),H176/4))</f>
        <v>3.5</v>
      </c>
    </row>
    <row r="182" spans="1:10" ht="15.75" hidden="1" customHeight="1" x14ac:dyDescent="0.35">
      <c r="A182" s="98" t="s">
        <v>168</v>
      </c>
      <c r="B182" s="99" t="s">
        <v>162</v>
      </c>
      <c r="C182" s="58">
        <v>14</v>
      </c>
      <c r="D182" s="59">
        <f ca="1">((100/H176)*C182)/100</f>
        <v>1</v>
      </c>
      <c r="E182" s="102"/>
      <c r="F182" s="102"/>
      <c r="G182" s="102"/>
      <c r="H182" s="104"/>
      <c r="I182" s="37" t="s">
        <v>130</v>
      </c>
      <c r="J182" s="39">
        <f ca="1">(IF(B176&gt;1,(H176/(B176+2)+J181),H176/4+J181))</f>
        <v>7</v>
      </c>
    </row>
    <row r="183" spans="1:10" ht="15.75" hidden="1" customHeight="1" x14ac:dyDescent="0.35">
      <c r="A183" s="98" t="s">
        <v>169</v>
      </c>
      <c r="B183" s="99" t="s">
        <v>162</v>
      </c>
      <c r="C183" s="58">
        <v>14</v>
      </c>
      <c r="D183" s="59">
        <f ca="1">((100/H176)*C183)/100</f>
        <v>1</v>
      </c>
      <c r="E183" s="102"/>
      <c r="F183" s="102"/>
      <c r="G183" s="102"/>
      <c r="H183" s="104"/>
      <c r="I183" s="37" t="s">
        <v>177</v>
      </c>
      <c r="J183" s="39">
        <f>(IF(B176&gt;1,(H176/(B176+2)+J182),0))</f>
        <v>0</v>
      </c>
    </row>
    <row r="184" spans="1:10" ht="15" hidden="1" customHeight="1" x14ac:dyDescent="0.35">
      <c r="A184" s="98" t="s">
        <v>167</v>
      </c>
      <c r="B184" s="99" t="s">
        <v>164</v>
      </c>
      <c r="C184" s="58">
        <v>14</v>
      </c>
      <c r="D184" s="59">
        <f ca="1">((100/(H176))*C184)/100</f>
        <v>1</v>
      </c>
      <c r="E184" s="102"/>
      <c r="F184" s="102"/>
      <c r="G184" s="102"/>
      <c r="H184" s="104"/>
      <c r="I184" s="37" t="s">
        <v>174</v>
      </c>
      <c r="J184" s="39">
        <f>(IF(B176&gt;2,(H176/(B176+2)+J183),0))</f>
        <v>0</v>
      </c>
    </row>
    <row r="185" spans="1:10" ht="15.75" hidden="1" customHeight="1" x14ac:dyDescent="0.35">
      <c r="A185" s="98" t="s">
        <v>163</v>
      </c>
      <c r="B185" s="99" t="s">
        <v>163</v>
      </c>
      <c r="C185" s="58">
        <v>14</v>
      </c>
      <c r="D185" s="59">
        <f ca="1">((100/H176)*C185)/100</f>
        <v>1</v>
      </c>
      <c r="E185" s="102"/>
      <c r="F185" s="102"/>
      <c r="G185" s="102"/>
      <c r="H185" s="104"/>
      <c r="I185" s="37" t="s">
        <v>175</v>
      </c>
      <c r="J185" s="40">
        <f>(IF(B176&gt;3,(H176/(B176+2)+J184),0))</f>
        <v>0</v>
      </c>
    </row>
    <row r="186" spans="1:10" ht="15.75" hidden="1" customHeight="1" x14ac:dyDescent="0.35">
      <c r="A186" s="98" t="s">
        <v>170</v>
      </c>
      <c r="B186" s="99"/>
      <c r="C186" s="58">
        <v>14</v>
      </c>
      <c r="D186" s="59">
        <f ca="1">((100/H176)*C186)/100</f>
        <v>1</v>
      </c>
      <c r="E186" s="102"/>
      <c r="F186" s="102"/>
      <c r="G186" s="102"/>
      <c r="H186" s="104"/>
      <c r="I186" s="37" t="s">
        <v>176</v>
      </c>
      <c r="J186" s="39">
        <f>(IF(B176&gt;4,(H176/(B176+2)+J185),0))</f>
        <v>0</v>
      </c>
    </row>
    <row r="187" spans="1:10" ht="15.75" hidden="1" customHeight="1" x14ac:dyDescent="0.35">
      <c r="A187" s="98" t="s">
        <v>165</v>
      </c>
      <c r="B187" s="99" t="s">
        <v>165</v>
      </c>
      <c r="C187" s="58">
        <v>10</v>
      </c>
      <c r="D187" s="59">
        <f ca="1">((100/(H176))*C187)/100</f>
        <v>0.7142857142857143</v>
      </c>
      <c r="E187" s="102"/>
      <c r="F187" s="102"/>
      <c r="G187" s="102"/>
      <c r="H187" s="104"/>
      <c r="I187" s="37" t="s">
        <v>178</v>
      </c>
      <c r="J187" s="39">
        <f ca="1">(IF(B176=1,(H176/(B176+3)+J182),IF(B176=0,(H176/4+J182),IF(B176&gt;1,0))))</f>
        <v>10.5</v>
      </c>
    </row>
    <row r="188" spans="1:10" ht="16" hidden="1" thickBot="1" x14ac:dyDescent="0.4">
      <c r="A188" s="100" t="s">
        <v>166</v>
      </c>
      <c r="B188" s="101"/>
      <c r="C188" s="61">
        <v>0</v>
      </c>
      <c r="D188" s="62">
        <f ca="1">((100/(H176))*C188)/100</f>
        <v>0</v>
      </c>
      <c r="E188" s="103"/>
      <c r="F188" s="103"/>
      <c r="G188" s="103"/>
      <c r="H188" s="105"/>
      <c r="I188" s="41" t="s">
        <v>131</v>
      </c>
      <c r="J188" s="42">
        <f ca="1">(IF(B176&gt;1.5,(H176/(B176+2)+J182+MAX(0,J183-J182)+MAX(0,J184-J183)+MAX(0,J185-J184)+MAX(0,J186-J185)+MAX(0,J187-J186)),IF(B176=1,(H176/(B176+3)+J187),IF(B176=0,H176/4+J187))))</f>
        <v>14</v>
      </c>
    </row>
    <row r="189" spans="1:10" ht="33.75" customHeight="1" x14ac:dyDescent="0.35">
      <c r="A189" s="110" t="s">
        <v>318</v>
      </c>
      <c r="B189" s="111"/>
      <c r="C189" s="112" t="s">
        <v>354</v>
      </c>
      <c r="D189" s="113"/>
      <c r="E189" s="113"/>
      <c r="F189" s="113"/>
      <c r="G189" s="113"/>
      <c r="H189" s="114"/>
      <c r="I189" s="35" t="str">
        <f ca="1">(IF(E193&gt;99%,"All work completed. Please provide OC.",IF(E193&gt;89.8%,"Plinth, RCC, Brick, Plaster, Flooring, Painting work Completed. Finishing work is in process.",IF(E193&lt;94%,(IF(C193=0,"Work not yet Started.",IF(D193=25%,"Piling work in process",IF(D193=50%,"Excavation work in process",IF(D193=100%,"Excavation work Completed. ","0")))&amp;(IF(C194=0%,"",IF(C194=J195,"Footing work is process",IF(C194=J196,"Footing work Completed",IF(C194=J197,"1st Basement Completed",IF(C194=J198,"1st &amp; 2nd Basement Completed",IF(C194=J199,"1st to 3rd Basement Completed",IF(C194=J200,"1st to 4th Basement Completed",IF(C194=J201,"Plinth work is process",IF(C194=J202,"Plinth work completed","0")))))))))))&amp;(IF(C195=(D190+F190+H190),", RCC Slab",IF(C195&gt;0,", RCC upto "&amp;C195&amp;" Slab",""))&amp;(IF(C196=H190,", Brickwork",IF(C196&gt;0,", Brickwork upto "&amp;C196&amp;" Floor",""))&amp;(IF(C197=H190,", Internal Plaster",IF(C197&gt;0,", Internal Plaster upto "&amp;C197&amp;" Floor",""))&amp;(IF(C198=H190,", External Plaster",IF(C198&gt;0,", External Plaster upto "&amp;C198&amp;" Floor",""))&amp;(IF(C199=H190,", Flooring",IF(C199&gt;0,", Flooring upto "&amp;C199&amp;" Floor",""))&amp;(IF(C200=H190,", Painting",IF(C200&gt;0,", Painting upto "&amp;C200&amp;" Floor",""))&amp;(IF(C201&gt;0,", Finishing upto "&amp;C201&amp;" Floor","")&amp;(IF(C195&gt;0.5," Completed",""))))))))))))))</f>
        <v>Excavation work Completed. Plinth work completed, RCC Slab, Brickwork, Internal Plaster, External Plaster, Flooring upto 10 Floor, Painting upto 7 Floor Completed</v>
      </c>
      <c r="J189" s="15"/>
    </row>
    <row r="190" spans="1:10" x14ac:dyDescent="0.35">
      <c r="A190" s="54" t="s">
        <v>173</v>
      </c>
      <c r="B190" s="55">
        <v>0</v>
      </c>
      <c r="C190" s="55" t="s">
        <v>98</v>
      </c>
      <c r="D190" s="55">
        <v>1</v>
      </c>
      <c r="E190" s="55" t="s">
        <v>97</v>
      </c>
      <c r="F190" s="55">
        <v>0</v>
      </c>
      <c r="G190" s="55" t="s">
        <v>110</v>
      </c>
      <c r="H190" s="56">
        <f ca="1">--TRIM(RIGHT(SUBSTITUTE(LEFT(C189,_xlfn.AGGREGATE(16,6,FIND({0,1,2,3,4,5,6,7,8,9},C189,ROW(INDIRECT("1:"&amp;LEN(C189)))),1))," ",REPT(" ",LEN(C189))),LEN(C189)))</f>
        <v>14</v>
      </c>
      <c r="I190" s="14"/>
      <c r="J190" s="16"/>
    </row>
    <row r="191" spans="1:10" ht="34.5" customHeight="1" x14ac:dyDescent="0.35">
      <c r="A191" s="106" t="s">
        <v>119</v>
      </c>
      <c r="B191" s="107"/>
      <c r="C191" s="108" t="str">
        <f ca="1">I189</f>
        <v>Excavation work Completed. Plinth work completed, RCC Slab, Brickwork, Internal Plaster, External Plaster, Flooring upto 10 Floor, Painting upto 7 Floor Completed</v>
      </c>
      <c r="D191" s="108"/>
      <c r="E191" s="108"/>
      <c r="F191" s="108"/>
      <c r="G191" s="108"/>
      <c r="H191" s="109"/>
      <c r="I191" s="14" t="s">
        <v>132</v>
      </c>
      <c r="J191" s="16"/>
    </row>
    <row r="192" spans="1:10" ht="15.75" customHeight="1" x14ac:dyDescent="0.35">
      <c r="A192" s="98" t="s">
        <v>50</v>
      </c>
      <c r="B192" s="99"/>
      <c r="C192" s="57" t="s">
        <v>171</v>
      </c>
      <c r="D192" s="57" t="s">
        <v>113</v>
      </c>
      <c r="E192" s="99" t="s">
        <v>115</v>
      </c>
      <c r="F192" s="99"/>
      <c r="G192" s="99" t="s">
        <v>114</v>
      </c>
      <c r="H192" s="120"/>
      <c r="I192" s="37" t="s">
        <v>172</v>
      </c>
      <c r="J192" s="17">
        <f ca="1">H190*25%</f>
        <v>3.5</v>
      </c>
    </row>
    <row r="193" spans="1:15" x14ac:dyDescent="0.35">
      <c r="A193" s="99" t="s">
        <v>160</v>
      </c>
      <c r="B193" s="99"/>
      <c r="C193" s="58">
        <v>14</v>
      </c>
      <c r="D193" s="84">
        <f ca="1">((100/H190)*C193)/100</f>
        <v>1</v>
      </c>
      <c r="E193" s="102">
        <f ca="1">(((C194/H190*10)+(40/(D190+F190+H190)*C195)+(7.5/(H190)*C196)+(7.5/(H190)*C197)+(10/H190*C198)+(10/H190*C199)+(5/H190*C200)+(5/H190*C201)+(5/H190*C202))/100)</f>
        <v>0.84642857142857142</v>
      </c>
      <c r="F193" s="102"/>
      <c r="G193" s="102">
        <f ca="1">((((C193/H190)*20)+((C194/H190)*25)+(30/(H190+F190+D190)*C195)+(5/H190*C196)+(5/H190*C197)+(5/H190*C198)+(5/H190*C199)+(0/H190*C200)+(0/H190*C201)+(5/H190*C202))/100)</f>
        <v>0.93571428571428572</v>
      </c>
      <c r="H193" s="102"/>
      <c r="I193" s="37" t="s">
        <v>127</v>
      </c>
      <c r="J193" s="38">
        <f ca="1">H190*50%</f>
        <v>7</v>
      </c>
      <c r="K193" s="97" t="s">
        <v>279</v>
      </c>
      <c r="L193" s="97"/>
      <c r="M193" s="97"/>
      <c r="N193" s="97"/>
      <c r="O193" s="97"/>
    </row>
    <row r="194" spans="1:15" x14ac:dyDescent="0.35">
      <c r="A194" s="99" t="s">
        <v>51</v>
      </c>
      <c r="B194" s="99"/>
      <c r="C194" s="60">
        <v>14</v>
      </c>
      <c r="D194" s="84">
        <f ca="1">((100/H190)*C194)/100</f>
        <v>1</v>
      </c>
      <c r="E194" s="102"/>
      <c r="F194" s="102"/>
      <c r="G194" s="102"/>
      <c r="H194" s="102"/>
      <c r="I194" s="37" t="s">
        <v>128</v>
      </c>
      <c r="J194" s="38">
        <f ca="1">H190</f>
        <v>14</v>
      </c>
      <c r="K194" s="97" t="s">
        <v>280</v>
      </c>
      <c r="L194" s="97"/>
      <c r="M194" s="97"/>
      <c r="N194" s="97"/>
      <c r="O194" s="97"/>
    </row>
    <row r="195" spans="1:15" ht="15.75" customHeight="1" x14ac:dyDescent="0.35">
      <c r="A195" s="99" t="s">
        <v>161</v>
      </c>
      <c r="B195" s="99"/>
      <c r="C195" s="60">
        <v>15</v>
      </c>
      <c r="D195" s="84">
        <f ca="1">((100/(D190+F190+H190))*C195)/100</f>
        <v>1</v>
      </c>
      <c r="E195" s="102"/>
      <c r="F195" s="102"/>
      <c r="G195" s="102"/>
      <c r="H195" s="102"/>
      <c r="I195" s="37" t="s">
        <v>129</v>
      </c>
      <c r="J195" s="39">
        <f ca="1">(IF(B190&gt;1,(H190/(B190+2)),H190/4))</f>
        <v>3.5</v>
      </c>
      <c r="K195" s="97" t="s">
        <v>281</v>
      </c>
      <c r="L195" s="97"/>
      <c r="M195" s="97"/>
      <c r="N195" s="97"/>
      <c r="O195" s="97"/>
    </row>
    <row r="196" spans="1:15" ht="15.75" customHeight="1" x14ac:dyDescent="0.35">
      <c r="A196" s="99" t="s">
        <v>168</v>
      </c>
      <c r="B196" s="99" t="s">
        <v>162</v>
      </c>
      <c r="C196" s="58">
        <v>14</v>
      </c>
      <c r="D196" s="84">
        <f ca="1">((100/H190)*C196)/100</f>
        <v>1</v>
      </c>
      <c r="E196" s="102"/>
      <c r="F196" s="102"/>
      <c r="G196" s="102"/>
      <c r="H196" s="102"/>
      <c r="I196" s="37" t="s">
        <v>130</v>
      </c>
      <c r="J196" s="39">
        <f ca="1">(IF(B190&gt;1,(H190/(B190+2)+J195),H190/4+J195))</f>
        <v>7</v>
      </c>
      <c r="K196" s="97" t="s">
        <v>282</v>
      </c>
      <c r="L196" s="97"/>
      <c r="M196" s="97"/>
      <c r="N196" s="97"/>
      <c r="O196" s="97"/>
    </row>
    <row r="197" spans="1:15" ht="15.75" customHeight="1" x14ac:dyDescent="0.35">
      <c r="A197" s="99" t="s">
        <v>169</v>
      </c>
      <c r="B197" s="99" t="s">
        <v>162</v>
      </c>
      <c r="C197" s="58">
        <v>14</v>
      </c>
      <c r="D197" s="84">
        <f ca="1">((100/H190)*C197)/100</f>
        <v>1</v>
      </c>
      <c r="E197" s="102"/>
      <c r="F197" s="102"/>
      <c r="G197" s="102"/>
      <c r="H197" s="102"/>
      <c r="I197" s="37" t="s">
        <v>177</v>
      </c>
      <c r="J197" s="39">
        <f>(IF(B190&gt;1,(H190/(B190+2)+J196),0))</f>
        <v>0</v>
      </c>
      <c r="K197" s="97" t="s">
        <v>283</v>
      </c>
      <c r="L197" s="97"/>
      <c r="M197" s="97"/>
      <c r="N197" s="97"/>
      <c r="O197" s="97"/>
    </row>
    <row r="198" spans="1:15" ht="15" customHeight="1" x14ac:dyDescent="0.35">
      <c r="A198" s="99" t="s">
        <v>167</v>
      </c>
      <c r="B198" s="99" t="s">
        <v>164</v>
      </c>
      <c r="C198" s="58">
        <v>14</v>
      </c>
      <c r="D198" s="84">
        <f ca="1">((100/(H190))*C198)/100</f>
        <v>1</v>
      </c>
      <c r="E198" s="102"/>
      <c r="F198" s="102"/>
      <c r="G198" s="102"/>
      <c r="H198" s="102"/>
      <c r="I198" s="37" t="s">
        <v>174</v>
      </c>
      <c r="J198" s="39">
        <f>(IF(B190&gt;2,(H190/(B190+2)+J197),0))</f>
        <v>0</v>
      </c>
      <c r="K198" s="97" t="s">
        <v>284</v>
      </c>
      <c r="L198" s="97"/>
      <c r="M198" s="97"/>
      <c r="N198" s="97"/>
      <c r="O198" s="97"/>
    </row>
    <row r="199" spans="1:15" ht="15.75" customHeight="1" x14ac:dyDescent="0.35">
      <c r="A199" s="99" t="s">
        <v>163</v>
      </c>
      <c r="B199" s="99" t="s">
        <v>163</v>
      </c>
      <c r="C199" s="58">
        <v>10</v>
      </c>
      <c r="D199" s="84">
        <f ca="1">((100/H190)*C199)/100</f>
        <v>0.7142857142857143</v>
      </c>
      <c r="E199" s="102"/>
      <c r="F199" s="102"/>
      <c r="G199" s="102"/>
      <c r="H199" s="102"/>
      <c r="I199" s="37" t="s">
        <v>175</v>
      </c>
      <c r="J199" s="40">
        <f>(IF(B190&gt;3,(H190/(B190+2)+J198),0))</f>
        <v>0</v>
      </c>
      <c r="K199" s="97" t="s">
        <v>285</v>
      </c>
      <c r="L199" s="97"/>
      <c r="M199" s="97"/>
      <c r="N199" s="97"/>
      <c r="O199" s="97"/>
    </row>
    <row r="200" spans="1:15" ht="15.75" customHeight="1" x14ac:dyDescent="0.35">
      <c r="A200" s="99" t="s">
        <v>170</v>
      </c>
      <c r="B200" s="99"/>
      <c r="C200" s="58">
        <v>7</v>
      </c>
      <c r="D200" s="84">
        <f ca="1">((100/H190)*C200)/100</f>
        <v>0.5</v>
      </c>
      <c r="E200" s="102"/>
      <c r="F200" s="102"/>
      <c r="G200" s="102"/>
      <c r="H200" s="102"/>
      <c r="I200" s="37" t="s">
        <v>176</v>
      </c>
      <c r="J200" s="39">
        <f>(IF(B190&gt;4,(H190/(B190+2)+J199),0))</f>
        <v>0</v>
      </c>
    </row>
    <row r="201" spans="1:15" ht="15.75" customHeight="1" x14ac:dyDescent="0.35">
      <c r="A201" s="99" t="s">
        <v>165</v>
      </c>
      <c r="B201" s="99" t="s">
        <v>165</v>
      </c>
      <c r="C201" s="58">
        <v>0</v>
      </c>
      <c r="D201" s="84">
        <f ca="1">((100/(H190))*C201)/100</f>
        <v>0</v>
      </c>
      <c r="E201" s="102"/>
      <c r="F201" s="102"/>
      <c r="G201" s="102"/>
      <c r="H201" s="102"/>
      <c r="I201" s="37" t="s">
        <v>178</v>
      </c>
      <c r="J201" s="39">
        <f ca="1">(IF(B190=1,(H190/(B190+3)+J196),IF(B190=0,(H190/4+J196),IF(B190&gt;1,0))))</f>
        <v>10.5</v>
      </c>
    </row>
    <row r="202" spans="1:15" ht="16" thickBot="1" x14ac:dyDescent="0.4">
      <c r="A202" s="99" t="s">
        <v>166</v>
      </c>
      <c r="B202" s="99"/>
      <c r="C202" s="58">
        <v>0</v>
      </c>
      <c r="D202" s="84">
        <f ca="1">((100/(H190))*C202)/100</f>
        <v>0</v>
      </c>
      <c r="E202" s="102"/>
      <c r="F202" s="102"/>
      <c r="G202" s="102"/>
      <c r="H202" s="102"/>
      <c r="I202" s="41" t="s">
        <v>131</v>
      </c>
      <c r="J202" s="42">
        <f ca="1">(IF(B190&gt;1.5,(H190/(B190+2)+J196+MAX(0,J197-J196)+MAX(0,J198-J197)+MAX(0,J199-J198)+MAX(0,J200-J199)+MAX(0,J201-J200)),IF(B190=1,(H190/(B190+3)+J201),IF(B190=0,H190/4+J201))))</f>
        <v>14</v>
      </c>
    </row>
    <row r="203" spans="1:15" ht="33.75" hidden="1" customHeight="1" x14ac:dyDescent="0.35">
      <c r="A203" s="108" t="s">
        <v>318</v>
      </c>
      <c r="B203" s="108"/>
      <c r="C203" s="108" t="s">
        <v>327</v>
      </c>
      <c r="D203" s="108"/>
      <c r="E203" s="108"/>
      <c r="F203" s="108"/>
      <c r="G203" s="108"/>
      <c r="H203" s="108"/>
      <c r="I203" s="35" t="str">
        <f ca="1">(IF(E207&gt;99%,"All work completed. Please provide OC.",IF(E207&gt;89.8%,"Plinth, RCC, Brick, Plaster, Flooring, Painting work Completed. Finishing work is in process.",IF(E207&lt;94%,(IF(C207=0,"Work not yet Started.",IF(D207=25%,"Piling work in process",IF(D207=50%,"Excavation work in process",IF(D207=100%,"Excavation work Completed. ","0")))&amp;(IF(C208=0%,"",IF(C208=J209,"Footing work is process",IF(C208=J210,"Footing work Completed",IF(C208=J211,"1st Basement Completed",IF(C208=J212,"1st &amp; 2nd Basement Completed",IF(C208=J213,"1st to 3rd Basement Completed",IF(C208=J214,"1st to 4th Basement Completed",IF(C208=J215,"Plinth work is process",IF(C208=J216,"Plinth work completed","0")))))))))))&amp;(IF(C209=(D204+F204+H204),", RCC Slab",IF(C209&gt;0,", RCC upto "&amp;C209&amp;" Slab",""))&amp;(IF(C210=H204,", Brickwork",IF(C210&gt;0,", Brickwork upto "&amp;C210&amp;" Floor",""))&amp;(IF(C211=H204,", Internal Plaster",IF(C211&gt;0,", Internal Plaster upto "&amp;C211&amp;" Floor",""))&amp;(IF(C212=H204,", External Plaster",IF(C212&gt;0,", External Plaster upto "&amp;C212&amp;" Floor",""))&amp;(IF(C213=H204,", Flooring",IF(C213&gt;0,", Flooring upto "&amp;C213&amp;" Floor",""))&amp;(IF(C214=H204,", Painting",IF(C214&gt;0,", Painting upto "&amp;C214&amp;" Floor",""))&amp;(IF(C215&gt;0,", Finishing upto "&amp;C215&amp;" Floor","")&amp;(IF(C209&gt;0.5," Completed",""))))))))))))))</f>
        <v>Excavation work Completed. Plinth work completed, RCC Slab, Brickwork, Internal Plaster, External Plaster upto 13 Floor, Flooring upto 2 Floor Completed</v>
      </c>
      <c r="J203" s="15"/>
    </row>
    <row r="204" spans="1:15" ht="16" hidden="1" thickBot="1" x14ac:dyDescent="0.4">
      <c r="A204" s="85" t="s">
        <v>173</v>
      </c>
      <c r="B204" s="85">
        <v>0</v>
      </c>
      <c r="C204" s="85" t="s">
        <v>98</v>
      </c>
      <c r="D204" s="85">
        <v>1</v>
      </c>
      <c r="E204" s="85" t="s">
        <v>97</v>
      </c>
      <c r="F204" s="85">
        <v>0</v>
      </c>
      <c r="G204" s="85" t="s">
        <v>110</v>
      </c>
      <c r="H204" s="85">
        <f ca="1">--TRIM(RIGHT(SUBSTITUTE(LEFT(C203,_xlfn.AGGREGATE(16,6,FIND({0,1,2,3,4,5,6,7,8,9},C203,ROW(INDIRECT("1:"&amp;LEN(C203)))),1))," ",REPT(" ",LEN(C203))),LEN(C203)))</f>
        <v>14</v>
      </c>
      <c r="I204" s="14"/>
      <c r="J204" s="16"/>
    </row>
    <row r="205" spans="1:15" ht="33" hidden="1" customHeight="1" x14ac:dyDescent="0.35">
      <c r="A205" s="107" t="s">
        <v>119</v>
      </c>
      <c r="B205" s="107"/>
      <c r="C205" s="108" t="str">
        <f ca="1">I203</f>
        <v>Excavation work Completed. Plinth work completed, RCC Slab, Brickwork, Internal Plaster, External Plaster upto 13 Floor, Flooring upto 2 Floor Completed</v>
      </c>
      <c r="D205" s="108"/>
      <c r="E205" s="108"/>
      <c r="F205" s="108"/>
      <c r="G205" s="108"/>
      <c r="H205" s="108"/>
      <c r="I205" s="14" t="s">
        <v>132</v>
      </c>
      <c r="J205" s="16"/>
    </row>
    <row r="206" spans="1:15" ht="15.75" hidden="1" customHeight="1" x14ac:dyDescent="0.35">
      <c r="A206" s="99" t="s">
        <v>50</v>
      </c>
      <c r="B206" s="99"/>
      <c r="C206" s="83" t="s">
        <v>171</v>
      </c>
      <c r="D206" s="83" t="s">
        <v>113</v>
      </c>
      <c r="E206" s="99" t="s">
        <v>115</v>
      </c>
      <c r="F206" s="99"/>
      <c r="G206" s="99" t="s">
        <v>114</v>
      </c>
      <c r="H206" s="99"/>
      <c r="I206" s="37" t="s">
        <v>172</v>
      </c>
      <c r="J206" s="17">
        <f ca="1">H204*25%</f>
        <v>3.5</v>
      </c>
    </row>
    <row r="207" spans="1:15" ht="16" hidden="1" thickBot="1" x14ac:dyDescent="0.4">
      <c r="A207" s="99" t="s">
        <v>160</v>
      </c>
      <c r="B207" s="99"/>
      <c r="C207" s="58">
        <v>14</v>
      </c>
      <c r="D207" s="84">
        <f ca="1">((100/H204)*C207)/100</f>
        <v>1</v>
      </c>
      <c r="E207" s="102">
        <f ca="1">(((C208/H204*10)+(40/(D204+F204+H204)*C209)+(7.5/(H204)*C210)+(7.5/(H204)*C211)+(10/H204*C212)+(10/H204*C213)+(5/H204*C214)+(5/H204*C215)+(5/H204*C216))/100)</f>
        <v>0.75714285714285723</v>
      </c>
      <c r="F207" s="102"/>
      <c r="G207" s="102">
        <f ca="1">((((C207/H204)*20)+((C208/H204)*25)+(30/(H204+F204+D204)*C209)+(5/H204*C210)+(5/H204*C211)+(5/H204*C212)+(5/H204*C213)+(0/H204*C214)+(0/H204*C215)+(5/H204*C216))/100)</f>
        <v>0.90357142857142847</v>
      </c>
      <c r="H207" s="102"/>
      <c r="I207" s="37" t="s">
        <v>127</v>
      </c>
      <c r="J207" s="38">
        <f ca="1">H204*50%</f>
        <v>7</v>
      </c>
      <c r="K207" s="97" t="s">
        <v>279</v>
      </c>
      <c r="L207" s="97"/>
      <c r="M207" s="97"/>
      <c r="N207" s="97"/>
      <c r="O207" s="97"/>
    </row>
    <row r="208" spans="1:15" ht="16" hidden="1" thickBot="1" x14ac:dyDescent="0.4">
      <c r="A208" s="99" t="s">
        <v>51</v>
      </c>
      <c r="B208" s="99"/>
      <c r="C208" s="60">
        <v>14</v>
      </c>
      <c r="D208" s="84">
        <f ca="1">((100/H204)*C208)/100</f>
        <v>1</v>
      </c>
      <c r="E208" s="102"/>
      <c r="F208" s="102"/>
      <c r="G208" s="102"/>
      <c r="H208" s="102"/>
      <c r="I208" s="37" t="s">
        <v>128</v>
      </c>
      <c r="J208" s="38">
        <f ca="1">H204</f>
        <v>14</v>
      </c>
      <c r="K208" s="97" t="s">
        <v>280</v>
      </c>
      <c r="L208" s="97"/>
      <c r="M208" s="97"/>
      <c r="N208" s="97"/>
      <c r="O208" s="97"/>
    </row>
    <row r="209" spans="1:15" ht="15.75" hidden="1" customHeight="1" x14ac:dyDescent="0.35">
      <c r="A209" s="99" t="s">
        <v>161</v>
      </c>
      <c r="B209" s="99"/>
      <c r="C209" s="60">
        <v>15</v>
      </c>
      <c r="D209" s="84">
        <f ca="1">((100/(D204+F204+H204))*C209)/100</f>
        <v>1</v>
      </c>
      <c r="E209" s="102"/>
      <c r="F209" s="102"/>
      <c r="G209" s="102"/>
      <c r="H209" s="102"/>
      <c r="I209" s="37" t="s">
        <v>129</v>
      </c>
      <c r="J209" s="39">
        <f ca="1">(IF(B204&gt;1,(H204/(B204+2)),H204/4))</f>
        <v>3.5</v>
      </c>
      <c r="K209" s="97" t="s">
        <v>281</v>
      </c>
      <c r="L209" s="97"/>
      <c r="M209" s="97"/>
      <c r="N209" s="97"/>
      <c r="O209" s="97"/>
    </row>
    <row r="210" spans="1:15" ht="15.75" hidden="1" customHeight="1" x14ac:dyDescent="0.35">
      <c r="A210" s="99" t="s">
        <v>168</v>
      </c>
      <c r="B210" s="99" t="s">
        <v>162</v>
      </c>
      <c r="C210" s="58">
        <v>14</v>
      </c>
      <c r="D210" s="84">
        <f ca="1">((100/H204)*C210)/100</f>
        <v>1</v>
      </c>
      <c r="E210" s="102"/>
      <c r="F210" s="102"/>
      <c r="G210" s="102"/>
      <c r="H210" s="102"/>
      <c r="I210" s="37" t="s">
        <v>130</v>
      </c>
      <c r="J210" s="39">
        <f ca="1">(IF(B204&gt;1,(H204/(B204+2)+J209),H204/4+J209))</f>
        <v>7</v>
      </c>
      <c r="K210" s="97" t="s">
        <v>282</v>
      </c>
      <c r="L210" s="97"/>
      <c r="M210" s="97"/>
      <c r="N210" s="97"/>
      <c r="O210" s="97"/>
    </row>
    <row r="211" spans="1:15" ht="15.75" hidden="1" customHeight="1" x14ac:dyDescent="0.35">
      <c r="A211" s="99" t="s">
        <v>169</v>
      </c>
      <c r="B211" s="99" t="s">
        <v>162</v>
      </c>
      <c r="C211" s="58">
        <v>14</v>
      </c>
      <c r="D211" s="84">
        <f ca="1">((100/H204)*C211)/100</f>
        <v>1</v>
      </c>
      <c r="E211" s="102"/>
      <c r="F211" s="102"/>
      <c r="G211" s="102"/>
      <c r="H211" s="102"/>
      <c r="I211" s="37" t="s">
        <v>177</v>
      </c>
      <c r="J211" s="39">
        <f>(IF(B204&gt;1,(H204/(B204+2)+J210),0))</f>
        <v>0</v>
      </c>
      <c r="K211" s="97" t="s">
        <v>283</v>
      </c>
      <c r="L211" s="97"/>
      <c r="M211" s="97"/>
      <c r="N211" s="97"/>
      <c r="O211" s="97"/>
    </row>
    <row r="212" spans="1:15" ht="15" hidden="1" customHeight="1" x14ac:dyDescent="0.35">
      <c r="A212" s="99" t="s">
        <v>167</v>
      </c>
      <c r="B212" s="99" t="s">
        <v>164</v>
      </c>
      <c r="C212" s="58">
        <v>13</v>
      </c>
      <c r="D212" s="84">
        <f ca="1">((100/(H204))*C212)/100</f>
        <v>0.9285714285714286</v>
      </c>
      <c r="E212" s="102"/>
      <c r="F212" s="102"/>
      <c r="G212" s="102"/>
      <c r="H212" s="102"/>
      <c r="I212" s="37" t="s">
        <v>174</v>
      </c>
      <c r="J212" s="39">
        <f>(IF(B204&gt;2,(H204/(B204+2)+J211),0))</f>
        <v>0</v>
      </c>
      <c r="K212" s="97" t="s">
        <v>284</v>
      </c>
      <c r="L212" s="97"/>
      <c r="M212" s="97"/>
      <c r="N212" s="97"/>
      <c r="O212" s="97"/>
    </row>
    <row r="213" spans="1:15" ht="15.75" hidden="1" customHeight="1" x14ac:dyDescent="0.35">
      <c r="A213" s="99" t="s">
        <v>163</v>
      </c>
      <c r="B213" s="99" t="s">
        <v>163</v>
      </c>
      <c r="C213" s="58">
        <v>2</v>
      </c>
      <c r="D213" s="84">
        <f ca="1">((100/H204)*C213)/100</f>
        <v>0.14285714285714288</v>
      </c>
      <c r="E213" s="102"/>
      <c r="F213" s="102"/>
      <c r="G213" s="102"/>
      <c r="H213" s="102"/>
      <c r="I213" s="37" t="s">
        <v>175</v>
      </c>
      <c r="J213" s="40">
        <f>(IF(B204&gt;3,(H204/(B204+2)+J212),0))</f>
        <v>0</v>
      </c>
      <c r="K213" s="97" t="s">
        <v>285</v>
      </c>
      <c r="L213" s="97"/>
      <c r="M213" s="97"/>
      <c r="N213" s="97"/>
      <c r="O213" s="97"/>
    </row>
    <row r="214" spans="1:15" ht="15.75" hidden="1" customHeight="1" x14ac:dyDescent="0.35">
      <c r="A214" s="99" t="s">
        <v>170</v>
      </c>
      <c r="B214" s="99"/>
      <c r="C214" s="58">
        <v>0</v>
      </c>
      <c r="D214" s="84">
        <f ca="1">((100/H204)*C214)/100</f>
        <v>0</v>
      </c>
      <c r="E214" s="102"/>
      <c r="F214" s="102"/>
      <c r="G214" s="102"/>
      <c r="H214" s="102"/>
      <c r="I214" s="37" t="s">
        <v>176</v>
      </c>
      <c r="J214" s="39">
        <f>(IF(B204&gt;4,(H204/(B204+2)+J213),0))</f>
        <v>0</v>
      </c>
    </row>
    <row r="215" spans="1:15" ht="15.75" hidden="1" customHeight="1" x14ac:dyDescent="0.35">
      <c r="A215" s="99" t="s">
        <v>165</v>
      </c>
      <c r="B215" s="99" t="s">
        <v>165</v>
      </c>
      <c r="C215" s="58">
        <v>0</v>
      </c>
      <c r="D215" s="84">
        <f ca="1">((100/(H204))*C215)/100</f>
        <v>0</v>
      </c>
      <c r="E215" s="102"/>
      <c r="F215" s="102"/>
      <c r="G215" s="102"/>
      <c r="H215" s="102"/>
      <c r="I215" s="37" t="s">
        <v>178</v>
      </c>
      <c r="J215" s="39">
        <f ca="1">(IF(B204=1,(H204/(B204+3)+J210),IF(B204=0,(H204/4+J210),IF(B204&gt;1,0))))</f>
        <v>10.5</v>
      </c>
    </row>
    <row r="216" spans="1:15" ht="16" hidden="1" thickBot="1" x14ac:dyDescent="0.4">
      <c r="A216" s="99" t="s">
        <v>166</v>
      </c>
      <c r="B216" s="99"/>
      <c r="C216" s="58">
        <v>0</v>
      </c>
      <c r="D216" s="84">
        <f ca="1">((100/(H204))*C216)/100</f>
        <v>0</v>
      </c>
      <c r="E216" s="102"/>
      <c r="F216" s="102"/>
      <c r="G216" s="102"/>
      <c r="H216" s="102"/>
      <c r="I216" s="41" t="s">
        <v>131</v>
      </c>
      <c r="J216" s="42">
        <f ca="1">(IF(B204&gt;1.5,(H204/(B204+2)+J210+MAX(0,J211-J210)+MAX(0,J212-J211)+MAX(0,J213-J212)+MAX(0,J214-J213)+MAX(0,J215-J214)),IF(B204=1,(H204/(B204+3)+J215),IF(B204=0,H204/4+J215))))</f>
        <v>14</v>
      </c>
    </row>
    <row r="217" spans="1:15" ht="30.75" customHeight="1" x14ac:dyDescent="0.35">
      <c r="A217" s="108" t="s">
        <v>318</v>
      </c>
      <c r="B217" s="108"/>
      <c r="C217" s="108" t="s">
        <v>281</v>
      </c>
      <c r="D217" s="108"/>
      <c r="E217" s="108"/>
      <c r="F217" s="108"/>
      <c r="G217" s="108"/>
      <c r="H217" s="108"/>
      <c r="I217" s="35" t="str">
        <f ca="1">(IF(E221&gt;99%,"All work completed. Please provide OC.",IF(E221&gt;89.8%,"Plinth, RCC, Brick, Plaster, Flooring, Painting work Completed. Finishing work is in process.",IF(E221&lt;94%,(IF(C221=0,"Work not yet Started.",IF(D221=25%,"Piling work in process",IF(D221=50%,"Excavation work in process",IF(D221=100%,"Excavation work Completed. ","0")))&amp;(IF(C222=0%,"",IF(C222=J223,"Footing work is process",IF(C222=J224,"Footing work Completed",IF(C222=J225,"1st Basement Completed",IF(C222=J226,"1st &amp; 2nd Basement Completed",IF(C222=J227,"1st to 3rd Basement Completed",IF(C222=J228,"1st to 4th Basement Completed",IF(C222=J229,"Plinth work is process",IF(C222=J230,"Plinth work completed","0")))))))))))&amp;(IF(C223=(D218+F218+H218),", RCC Slab",IF(C223&gt;0,", RCC upto "&amp;C223&amp;" Slab",""))&amp;(IF(C224=H218,", Brickwork",IF(C224&gt;0,", Brickwork upto "&amp;C224&amp;" Floor",""))&amp;(IF(C225=H218,", Internal Plaster",IF(C225&gt;0,", Internal Plaster upto "&amp;C225&amp;" Floor",""))&amp;(IF(C226=H218,", External Plaster",IF(C226&gt;0,", External Plaster upto "&amp;C226&amp;" Floor",""))&amp;(IF(C227=H218,", Flooring",IF(C227&gt;0,", Flooring upto "&amp;C227&amp;" Floor",""))&amp;(IF(C228=H218,", Painting",IF(C228&gt;0,", Painting upto "&amp;C228&amp;" Floor",""))&amp;(IF(C229&gt;0,", Finishing upto "&amp;C229&amp;" Floor","")&amp;(IF(C223&gt;0.5," Completed",""))))))))))))))</f>
        <v>Excavation work Completed. Plinth work completed, RCC Slab, Brickwork, Internal Plaster, External Plaster, Flooring upto 10 Floor, Painting upto 7 Floor Completed</v>
      </c>
      <c r="J217" s="15"/>
    </row>
    <row r="218" spans="1:15" x14ac:dyDescent="0.35">
      <c r="A218" s="85" t="s">
        <v>173</v>
      </c>
      <c r="B218" s="85">
        <v>0</v>
      </c>
      <c r="C218" s="85" t="s">
        <v>98</v>
      </c>
      <c r="D218" s="85">
        <v>1</v>
      </c>
      <c r="E218" s="85" t="s">
        <v>97</v>
      </c>
      <c r="F218" s="85">
        <v>0</v>
      </c>
      <c r="G218" s="85" t="s">
        <v>110</v>
      </c>
      <c r="H218" s="85">
        <f ca="1">--TRIM(RIGHT(SUBSTITUTE(LEFT(C217,_xlfn.AGGREGATE(16,6,FIND({0,1,2,3,4,5,6,7,8,9},C217,ROW(INDIRECT("1:"&amp;LEN(C217)))),1))," ",REPT(" ",LEN(C217))),LEN(C217)))</f>
        <v>14</v>
      </c>
      <c r="I218" s="14"/>
      <c r="J218" s="16"/>
    </row>
    <row r="219" spans="1:15" ht="36" customHeight="1" x14ac:dyDescent="0.35">
      <c r="A219" s="107" t="s">
        <v>119</v>
      </c>
      <c r="B219" s="107"/>
      <c r="C219" s="108" t="str">
        <f ca="1">I217</f>
        <v>Excavation work Completed. Plinth work completed, RCC Slab, Brickwork, Internal Plaster, External Plaster, Flooring upto 10 Floor, Painting upto 7 Floor Completed</v>
      </c>
      <c r="D219" s="108"/>
      <c r="E219" s="108"/>
      <c r="F219" s="108"/>
      <c r="G219" s="108"/>
      <c r="H219" s="108"/>
      <c r="I219" s="14" t="s">
        <v>132</v>
      </c>
      <c r="J219" s="16"/>
    </row>
    <row r="220" spans="1:15" ht="15.75" customHeight="1" x14ac:dyDescent="0.35">
      <c r="A220" s="99" t="s">
        <v>50</v>
      </c>
      <c r="B220" s="99"/>
      <c r="C220" s="83" t="s">
        <v>171</v>
      </c>
      <c r="D220" s="83" t="s">
        <v>113</v>
      </c>
      <c r="E220" s="99" t="s">
        <v>115</v>
      </c>
      <c r="F220" s="99"/>
      <c r="G220" s="99" t="s">
        <v>114</v>
      </c>
      <c r="H220" s="99"/>
      <c r="I220" s="37" t="s">
        <v>172</v>
      </c>
      <c r="J220" s="17">
        <f ca="1">H218*25%</f>
        <v>3.5</v>
      </c>
    </row>
    <row r="221" spans="1:15" x14ac:dyDescent="0.35">
      <c r="A221" s="98" t="s">
        <v>160</v>
      </c>
      <c r="B221" s="99"/>
      <c r="C221" s="58">
        <v>14</v>
      </c>
      <c r="D221" s="59">
        <f ca="1">((100/H218)*C221)/100</f>
        <v>1</v>
      </c>
      <c r="E221" s="102">
        <f ca="1">(((C222/H218*10)+(40/(D218+F218+H218)*C223)+(7.5/(H218)*C224)+(7.5/(H218)*C225)+(10/H218*C226)+(10/H218*C227)+(5/H218*C228)+(5/H218*C229)+(5/H218*C230))/100)</f>
        <v>0.84642857142857142</v>
      </c>
      <c r="F221" s="102"/>
      <c r="G221" s="102">
        <f ca="1">((((C221/H218)*20)+((C222/H218)*25)+(30/(H218+F218+D218)*C223)+(5/H218*C224)+(5/H218*C225)+(5/H218*C226)+(5/H218*C227)+(0/H218*C228)+(0/H218*C229)+(5/H218*C230))/100)</f>
        <v>0.93571428571428572</v>
      </c>
      <c r="H221" s="104"/>
      <c r="I221" s="37" t="s">
        <v>127</v>
      </c>
      <c r="J221" s="38">
        <f ca="1">H218*50%</f>
        <v>7</v>
      </c>
      <c r="K221" s="97" t="s">
        <v>279</v>
      </c>
      <c r="L221" s="97"/>
      <c r="M221" s="97"/>
      <c r="N221" s="97"/>
      <c r="O221" s="97"/>
    </row>
    <row r="222" spans="1:15" x14ac:dyDescent="0.35">
      <c r="A222" s="98" t="s">
        <v>51</v>
      </c>
      <c r="B222" s="99"/>
      <c r="C222" s="60">
        <v>14</v>
      </c>
      <c r="D222" s="59">
        <f ca="1">((100/H218)*C222)/100</f>
        <v>1</v>
      </c>
      <c r="E222" s="102"/>
      <c r="F222" s="102"/>
      <c r="G222" s="102"/>
      <c r="H222" s="104"/>
      <c r="I222" s="37" t="s">
        <v>128</v>
      </c>
      <c r="J222" s="38">
        <f ca="1">H218</f>
        <v>14</v>
      </c>
      <c r="K222" s="97" t="s">
        <v>280</v>
      </c>
      <c r="L222" s="97"/>
      <c r="M222" s="97"/>
      <c r="N222" s="97"/>
      <c r="O222" s="97"/>
    </row>
    <row r="223" spans="1:15" ht="15.75" customHeight="1" x14ac:dyDescent="0.35">
      <c r="A223" s="98" t="s">
        <v>161</v>
      </c>
      <c r="B223" s="99"/>
      <c r="C223" s="60">
        <v>15</v>
      </c>
      <c r="D223" s="59">
        <f ca="1">((100/(D218+F218+H218))*C223)/100</f>
        <v>1</v>
      </c>
      <c r="E223" s="102"/>
      <c r="F223" s="102"/>
      <c r="G223" s="102"/>
      <c r="H223" s="104"/>
      <c r="I223" s="37" t="s">
        <v>129</v>
      </c>
      <c r="J223" s="39">
        <f ca="1">(IF(B218&gt;1,(H218/(B218+2)),H218/4))</f>
        <v>3.5</v>
      </c>
      <c r="K223" s="97" t="s">
        <v>281</v>
      </c>
      <c r="L223" s="97"/>
      <c r="M223" s="97"/>
      <c r="N223" s="97"/>
      <c r="O223" s="97"/>
    </row>
    <row r="224" spans="1:15" ht="15.75" customHeight="1" x14ac:dyDescent="0.35">
      <c r="A224" s="98" t="s">
        <v>168</v>
      </c>
      <c r="B224" s="99" t="s">
        <v>162</v>
      </c>
      <c r="C224" s="58">
        <v>14</v>
      </c>
      <c r="D224" s="59">
        <f ca="1">((100/H218)*C224)/100</f>
        <v>1</v>
      </c>
      <c r="E224" s="102"/>
      <c r="F224" s="102"/>
      <c r="G224" s="102"/>
      <c r="H224" s="104"/>
      <c r="I224" s="37" t="s">
        <v>130</v>
      </c>
      <c r="J224" s="39">
        <f ca="1">(IF(B218&gt;1,(H218/(B218+2)+J223),H218/4+J223))</f>
        <v>7</v>
      </c>
      <c r="K224" s="97" t="s">
        <v>282</v>
      </c>
      <c r="L224" s="97"/>
      <c r="M224" s="97"/>
      <c r="N224" s="97"/>
      <c r="O224" s="97"/>
    </row>
    <row r="225" spans="1:15" ht="15.75" customHeight="1" x14ac:dyDescent="0.35">
      <c r="A225" s="98" t="s">
        <v>169</v>
      </c>
      <c r="B225" s="99" t="s">
        <v>162</v>
      </c>
      <c r="C225" s="58">
        <v>14</v>
      </c>
      <c r="D225" s="59">
        <f ca="1">((100/H218)*C225)/100</f>
        <v>1</v>
      </c>
      <c r="E225" s="102"/>
      <c r="F225" s="102"/>
      <c r="G225" s="102"/>
      <c r="H225" s="104"/>
      <c r="I225" s="37" t="s">
        <v>177</v>
      </c>
      <c r="J225" s="39">
        <f>(IF(B218&gt;1,(H218/(B218+2)+J224),0))</f>
        <v>0</v>
      </c>
      <c r="K225" s="97" t="s">
        <v>283</v>
      </c>
      <c r="L225" s="97"/>
      <c r="M225" s="97"/>
      <c r="N225" s="97"/>
      <c r="O225" s="97"/>
    </row>
    <row r="226" spans="1:15" ht="15" customHeight="1" x14ac:dyDescent="0.35">
      <c r="A226" s="98" t="s">
        <v>167</v>
      </c>
      <c r="B226" s="99" t="s">
        <v>164</v>
      </c>
      <c r="C226" s="58">
        <v>14</v>
      </c>
      <c r="D226" s="59">
        <f ca="1">((100/(H218))*C226)/100</f>
        <v>1</v>
      </c>
      <c r="E226" s="102"/>
      <c r="F226" s="102"/>
      <c r="G226" s="102"/>
      <c r="H226" s="104"/>
      <c r="I226" s="37" t="s">
        <v>174</v>
      </c>
      <c r="J226" s="39">
        <f>(IF(B218&gt;2,(H218/(B218+2)+J225),0))</f>
        <v>0</v>
      </c>
      <c r="K226" s="97" t="s">
        <v>284</v>
      </c>
      <c r="L226" s="97"/>
      <c r="M226" s="97"/>
      <c r="N226" s="97"/>
      <c r="O226" s="97"/>
    </row>
    <row r="227" spans="1:15" ht="15.75" customHeight="1" x14ac:dyDescent="0.35">
      <c r="A227" s="98" t="s">
        <v>163</v>
      </c>
      <c r="B227" s="99" t="s">
        <v>163</v>
      </c>
      <c r="C227" s="58">
        <v>10</v>
      </c>
      <c r="D227" s="59">
        <f ca="1">((100/H218)*C227)/100</f>
        <v>0.7142857142857143</v>
      </c>
      <c r="E227" s="102"/>
      <c r="F227" s="102"/>
      <c r="G227" s="102"/>
      <c r="H227" s="104"/>
      <c r="I227" s="37" t="s">
        <v>175</v>
      </c>
      <c r="J227" s="40">
        <f>(IF(B218&gt;3,(H218/(B218+2)+J226),0))</f>
        <v>0</v>
      </c>
      <c r="K227" s="97" t="s">
        <v>285</v>
      </c>
      <c r="L227" s="97"/>
      <c r="M227" s="97"/>
      <c r="N227" s="97"/>
      <c r="O227" s="97"/>
    </row>
    <row r="228" spans="1:15" ht="15.75" customHeight="1" x14ac:dyDescent="0.35">
      <c r="A228" s="98" t="s">
        <v>170</v>
      </c>
      <c r="B228" s="99"/>
      <c r="C228" s="58">
        <v>7</v>
      </c>
      <c r="D228" s="59">
        <f ca="1">((100/H218)*C228)/100</f>
        <v>0.5</v>
      </c>
      <c r="E228" s="102"/>
      <c r="F228" s="102"/>
      <c r="G228" s="102"/>
      <c r="H228" s="104"/>
      <c r="I228" s="37" t="s">
        <v>176</v>
      </c>
      <c r="J228" s="39">
        <f>(IF(B218&gt;4,(H218/(B218+2)+J227),0))</f>
        <v>0</v>
      </c>
    </row>
    <row r="229" spans="1:15" ht="15.75" customHeight="1" x14ac:dyDescent="0.35">
      <c r="A229" s="98" t="s">
        <v>165</v>
      </c>
      <c r="B229" s="99" t="s">
        <v>165</v>
      </c>
      <c r="C229" s="58">
        <v>0</v>
      </c>
      <c r="D229" s="59">
        <f ca="1">((100/(H218))*C229)/100</f>
        <v>0</v>
      </c>
      <c r="E229" s="102"/>
      <c r="F229" s="102"/>
      <c r="G229" s="102"/>
      <c r="H229" s="104"/>
      <c r="I229" s="37" t="s">
        <v>178</v>
      </c>
      <c r="J229" s="39">
        <f ca="1">(IF(B218=1,(H218/(B218+3)+J224),IF(B218=0,(H218/4+J224),IF(B218&gt;1,0))))</f>
        <v>10.5</v>
      </c>
    </row>
    <row r="230" spans="1:15" ht="16" thickBot="1" x14ac:dyDescent="0.4">
      <c r="A230" s="100" t="s">
        <v>166</v>
      </c>
      <c r="B230" s="101"/>
      <c r="C230" s="61">
        <v>0</v>
      </c>
      <c r="D230" s="62">
        <f ca="1">((100/(H218))*C230)/100</f>
        <v>0</v>
      </c>
      <c r="E230" s="103"/>
      <c r="F230" s="103"/>
      <c r="G230" s="103"/>
      <c r="H230" s="105"/>
      <c r="I230" s="41" t="s">
        <v>131</v>
      </c>
      <c r="J230" s="42">
        <f ca="1">(IF(B218&gt;1.5,(H218/(B218+2)+J224+MAX(0,J225-J224)+MAX(0,J226-J225)+MAX(0,J227-J226)+MAX(0,J228-J227)+MAX(0,J229-J228)),IF(B218=1,(H218/(B218+3)+J229),IF(B218=0,H218/4+J229))))</f>
        <v>14</v>
      </c>
    </row>
    <row r="231" spans="1:15" ht="30.75" customHeight="1" x14ac:dyDescent="0.35">
      <c r="A231" s="110" t="s">
        <v>318</v>
      </c>
      <c r="B231" s="111"/>
      <c r="C231" s="112" t="s">
        <v>282</v>
      </c>
      <c r="D231" s="113"/>
      <c r="E231" s="113"/>
      <c r="F231" s="113"/>
      <c r="G231" s="113"/>
      <c r="H231" s="114"/>
      <c r="I231" s="35" t="str">
        <f ca="1">(IF(E235&gt;99%,"All work completed. Please provide OC.",IF(E235&gt;89.8%,"Plinth, RCC, Brick, Plaster, Flooring, Painting work Completed. Finishing work is in process.",IF(E235&lt;94%,(IF(C235=0,"Work not yet Started.",IF(D235=25%,"Piling work in process",IF(D235=50%,"Excavation work in process",IF(D235=100%,"Excavation work Completed. ","0")))&amp;(IF(C236=0%,"",IF(C236=J237,"Footing work is process",IF(C236=J238,"Footing work Completed",IF(C236=J239,"1st Basement Completed",IF(C236=J240,"1st &amp; 2nd Basement Completed",IF(C236=J241,"1st to 3rd Basement Completed",IF(C236=J242,"1st to 4th Basement Completed",IF(C236=J243,"Plinth work is process",IF(C236=J244,"Plinth work completed","0")))))))))))&amp;(IF(C237=(D232+F232+H232),", RCC Slab",IF(C237&gt;0,", RCC upto "&amp;C237&amp;" Slab",""))&amp;(IF(C238=H232,", Brickwork",IF(C238&gt;0,", Brickwork upto "&amp;C238&amp;" Floor",""))&amp;(IF(C239=H232,", Internal Plaster",IF(C239&gt;0,", Internal Plaster upto "&amp;C239&amp;" Floor",""))&amp;(IF(C240=H232,", External Plaster",IF(C240&gt;0,", External Plaster upto "&amp;C240&amp;" Floor",""))&amp;(IF(C241=H232,", Flooring",IF(C241&gt;0,", Flooring upto "&amp;C241&amp;" Floor",""))&amp;(IF(C242=H232,", Painting",IF(C242&gt;0,", Painting upto "&amp;C242&amp;" Floor",""))&amp;(IF(C243&gt;0,", Finishing upto "&amp;C243&amp;" Floor","")&amp;(IF(C237&gt;0.5," Completed",""))))))))))))))</f>
        <v>Plinth, RCC, Brick, Plaster, Flooring, Painting work Completed. Finishing work is in process.</v>
      </c>
      <c r="J231" s="15"/>
    </row>
    <row r="232" spans="1:15" x14ac:dyDescent="0.35">
      <c r="A232" s="54" t="s">
        <v>173</v>
      </c>
      <c r="B232" s="55">
        <v>0</v>
      </c>
      <c r="C232" s="55" t="s">
        <v>98</v>
      </c>
      <c r="D232" s="55">
        <v>1</v>
      </c>
      <c r="E232" s="55" t="s">
        <v>97</v>
      </c>
      <c r="F232" s="55">
        <v>0</v>
      </c>
      <c r="G232" s="55" t="s">
        <v>110</v>
      </c>
      <c r="H232" s="56">
        <f ca="1">--TRIM(RIGHT(SUBSTITUTE(LEFT(C231,_xlfn.AGGREGATE(16,6,FIND({0,1,2,3,4,5,6,7,8,9},C231,ROW(INDIRECT("1:"&amp;LEN(C231)))),1))," ",REPT(" ",LEN(C231))),LEN(C231)))</f>
        <v>14</v>
      </c>
      <c r="I232" s="14"/>
      <c r="J232" s="16"/>
    </row>
    <row r="233" spans="1:15" ht="33.65" customHeight="1" x14ac:dyDescent="0.35">
      <c r="A233" s="106" t="s">
        <v>119</v>
      </c>
      <c r="B233" s="107"/>
      <c r="C233" s="108" t="str">
        <f ca="1">I231</f>
        <v>Plinth, RCC, Brick, Plaster, Flooring, Painting work Completed. Finishing work is in process.</v>
      </c>
      <c r="D233" s="108"/>
      <c r="E233" s="108"/>
      <c r="F233" s="108"/>
      <c r="G233" s="108"/>
      <c r="H233" s="109"/>
      <c r="I233" s="14" t="s">
        <v>132</v>
      </c>
      <c r="J233" s="16"/>
    </row>
    <row r="234" spans="1:15" ht="15.75" customHeight="1" x14ac:dyDescent="0.35">
      <c r="A234" s="98" t="s">
        <v>50</v>
      </c>
      <c r="B234" s="99"/>
      <c r="C234" s="57" t="s">
        <v>171</v>
      </c>
      <c r="D234" s="57" t="s">
        <v>113</v>
      </c>
      <c r="E234" s="99" t="s">
        <v>115</v>
      </c>
      <c r="F234" s="99"/>
      <c r="G234" s="99" t="s">
        <v>114</v>
      </c>
      <c r="H234" s="120"/>
      <c r="I234" s="37" t="s">
        <v>172</v>
      </c>
      <c r="J234" s="17">
        <f ca="1">H232*25%</f>
        <v>3.5</v>
      </c>
    </row>
    <row r="235" spans="1:15" x14ac:dyDescent="0.35">
      <c r="A235" s="98" t="s">
        <v>160</v>
      </c>
      <c r="B235" s="99"/>
      <c r="C235" s="58">
        <f ca="1">J236</f>
        <v>14</v>
      </c>
      <c r="D235" s="59">
        <f ca="1">((100/H232)*C235)/100</f>
        <v>1</v>
      </c>
      <c r="E235" s="102">
        <f ca="1">(((C236/H232*10)+(40/(D232+F232+H232)*C237)+(7.5/(H232)*C238)+(7.5/(H232)*C239)+(10/H232*C240)+(10/H232*C241)+(5/H232*C242)+(5/H232*C243)+(5/H232*C244))/100)</f>
        <v>0.90714285714285725</v>
      </c>
      <c r="F235" s="102"/>
      <c r="G235" s="102">
        <f ca="1">((((C235/H232)*20)+((C236/H232)*25)+(30/(H232+F232+D232)*C237)+(5/H232*C238)+(5/H232*C239)+(5/H232*C240)+(5/H232*C241)+(0/H232*C242)+(0/H232*C243)+(5/H232*C244))/100)</f>
        <v>0.9464285714285714</v>
      </c>
      <c r="H235" s="104"/>
      <c r="I235" s="37" t="s">
        <v>127</v>
      </c>
      <c r="J235" s="38">
        <f ca="1">H232*50%</f>
        <v>7</v>
      </c>
      <c r="K235" s="97" t="s">
        <v>279</v>
      </c>
      <c r="L235" s="97"/>
      <c r="M235" s="97"/>
      <c r="N235" s="97"/>
      <c r="O235" s="97"/>
    </row>
    <row r="236" spans="1:15" x14ac:dyDescent="0.35">
      <c r="A236" s="98" t="s">
        <v>51</v>
      </c>
      <c r="B236" s="99"/>
      <c r="C236" s="60">
        <f ca="1">J244</f>
        <v>14</v>
      </c>
      <c r="D236" s="59">
        <f ca="1">((100/H232)*C236)/100</f>
        <v>1</v>
      </c>
      <c r="E236" s="102"/>
      <c r="F236" s="102"/>
      <c r="G236" s="102"/>
      <c r="H236" s="104"/>
      <c r="I236" s="37" t="s">
        <v>128</v>
      </c>
      <c r="J236" s="38">
        <f ca="1">H232</f>
        <v>14</v>
      </c>
      <c r="K236" s="97" t="s">
        <v>280</v>
      </c>
      <c r="L236" s="97"/>
      <c r="M236" s="97"/>
      <c r="N236" s="97"/>
      <c r="O236" s="97"/>
    </row>
    <row r="237" spans="1:15" ht="15.75" customHeight="1" x14ac:dyDescent="0.35">
      <c r="A237" s="98" t="s">
        <v>161</v>
      </c>
      <c r="B237" s="99"/>
      <c r="C237" s="60">
        <v>15</v>
      </c>
      <c r="D237" s="59">
        <f ca="1">((100/(D232+F232+H232))*C237)/100</f>
        <v>1</v>
      </c>
      <c r="E237" s="102"/>
      <c r="F237" s="102"/>
      <c r="G237" s="102"/>
      <c r="H237" s="104"/>
      <c r="I237" s="37" t="s">
        <v>129</v>
      </c>
      <c r="J237" s="39">
        <f ca="1">(IF(B232&gt;1,(H232/(B232+2)),H232/4))</f>
        <v>3.5</v>
      </c>
      <c r="K237" s="97" t="s">
        <v>281</v>
      </c>
      <c r="L237" s="97"/>
      <c r="M237" s="97"/>
      <c r="N237" s="97"/>
      <c r="O237" s="97"/>
    </row>
    <row r="238" spans="1:15" ht="15.75" customHeight="1" x14ac:dyDescent="0.35">
      <c r="A238" s="98" t="s">
        <v>168</v>
      </c>
      <c r="B238" s="99" t="s">
        <v>162</v>
      </c>
      <c r="C238" s="58">
        <v>14</v>
      </c>
      <c r="D238" s="59">
        <f ca="1">((100/H232)*C238)/100</f>
        <v>1</v>
      </c>
      <c r="E238" s="102"/>
      <c r="F238" s="102"/>
      <c r="G238" s="102"/>
      <c r="H238" s="104"/>
      <c r="I238" s="37" t="s">
        <v>130</v>
      </c>
      <c r="J238" s="39">
        <f ca="1">(IF(B232&gt;1,(H232/(B232+2)+J237),H232/4+J237))</f>
        <v>7</v>
      </c>
      <c r="K238" s="97" t="s">
        <v>282</v>
      </c>
      <c r="L238" s="97"/>
      <c r="M238" s="97"/>
      <c r="N238" s="97"/>
      <c r="O238" s="97"/>
    </row>
    <row r="239" spans="1:15" ht="15.75" customHeight="1" x14ac:dyDescent="0.35">
      <c r="A239" s="98" t="s">
        <v>169</v>
      </c>
      <c r="B239" s="99" t="s">
        <v>162</v>
      </c>
      <c r="C239" s="58">
        <v>14</v>
      </c>
      <c r="D239" s="59">
        <f ca="1">((100/H232)*C239)/100</f>
        <v>1</v>
      </c>
      <c r="E239" s="102"/>
      <c r="F239" s="102"/>
      <c r="G239" s="102"/>
      <c r="H239" s="104"/>
      <c r="I239" s="37" t="s">
        <v>177</v>
      </c>
      <c r="J239" s="39">
        <f>(IF(B232&gt;1,(H232/(B232+2)+J238),0))</f>
        <v>0</v>
      </c>
      <c r="K239" s="97" t="s">
        <v>283</v>
      </c>
      <c r="L239" s="97"/>
      <c r="M239" s="97"/>
      <c r="N239" s="97"/>
      <c r="O239" s="97"/>
    </row>
    <row r="240" spans="1:15" ht="15" customHeight="1" x14ac:dyDescent="0.35">
      <c r="A240" s="98" t="s">
        <v>167</v>
      </c>
      <c r="B240" s="99" t="s">
        <v>164</v>
      </c>
      <c r="C240" s="58">
        <v>14</v>
      </c>
      <c r="D240" s="59">
        <f ca="1">((100/(H232))*C240)/100</f>
        <v>1</v>
      </c>
      <c r="E240" s="102"/>
      <c r="F240" s="102"/>
      <c r="G240" s="102"/>
      <c r="H240" s="104"/>
      <c r="I240" s="37" t="s">
        <v>174</v>
      </c>
      <c r="J240" s="39">
        <f>(IF(B232&gt;2,(H232/(B232+2)+J239),0))</f>
        <v>0</v>
      </c>
      <c r="K240" s="97" t="s">
        <v>284</v>
      </c>
      <c r="L240" s="97"/>
      <c r="M240" s="97"/>
      <c r="N240" s="97"/>
      <c r="O240" s="97"/>
    </row>
    <row r="241" spans="1:15" ht="15.75" customHeight="1" x14ac:dyDescent="0.35">
      <c r="A241" s="98" t="s">
        <v>163</v>
      </c>
      <c r="B241" s="99" t="s">
        <v>163</v>
      </c>
      <c r="C241" s="58">
        <v>13</v>
      </c>
      <c r="D241" s="59">
        <f ca="1">((100/H232)*C241)/100</f>
        <v>0.9285714285714286</v>
      </c>
      <c r="E241" s="102"/>
      <c r="F241" s="102"/>
      <c r="G241" s="102"/>
      <c r="H241" s="104"/>
      <c r="I241" s="37" t="s">
        <v>175</v>
      </c>
      <c r="J241" s="40">
        <f>(IF(B232&gt;3,(H232/(B232+2)+J240),0))</f>
        <v>0</v>
      </c>
      <c r="K241" s="97" t="s">
        <v>285</v>
      </c>
      <c r="L241" s="97"/>
      <c r="M241" s="97"/>
      <c r="N241" s="97"/>
      <c r="O241" s="97"/>
    </row>
    <row r="242" spans="1:15" ht="15.75" customHeight="1" x14ac:dyDescent="0.35">
      <c r="A242" s="98" t="s">
        <v>170</v>
      </c>
      <c r="B242" s="99"/>
      <c r="C242" s="58">
        <v>13</v>
      </c>
      <c r="D242" s="59">
        <f ca="1">((100/H232)*C242)/100</f>
        <v>0.9285714285714286</v>
      </c>
      <c r="E242" s="102"/>
      <c r="F242" s="102"/>
      <c r="G242" s="102"/>
      <c r="H242" s="104"/>
      <c r="I242" s="37" t="s">
        <v>176</v>
      </c>
      <c r="J242" s="39">
        <f>(IF(B232&gt;4,(H232/(B232+2)+J241),0))</f>
        <v>0</v>
      </c>
    </row>
    <row r="243" spans="1:15" ht="15.75" customHeight="1" x14ac:dyDescent="0.35">
      <c r="A243" s="98" t="s">
        <v>165</v>
      </c>
      <c r="B243" s="99" t="s">
        <v>165</v>
      </c>
      <c r="C243" s="58">
        <v>5</v>
      </c>
      <c r="D243" s="59">
        <f ca="1">((100/(H232))*C243)/100</f>
        <v>0.35714285714285715</v>
      </c>
      <c r="E243" s="102"/>
      <c r="F243" s="102"/>
      <c r="G243" s="102"/>
      <c r="H243" s="104"/>
      <c r="I243" s="37" t="s">
        <v>178</v>
      </c>
      <c r="J243" s="39">
        <f ca="1">(IF(B232=1,(H232/(B232+3)+J238),IF(B232=0,(H232/4+J238),IF(B232&gt;1,0))))</f>
        <v>10.5</v>
      </c>
    </row>
    <row r="244" spans="1:15" ht="16" thickBot="1" x14ac:dyDescent="0.4">
      <c r="A244" s="100" t="s">
        <v>166</v>
      </c>
      <c r="B244" s="101"/>
      <c r="C244" s="61">
        <v>0</v>
      </c>
      <c r="D244" s="62">
        <f ca="1">((100/(H232))*C244)/100</f>
        <v>0</v>
      </c>
      <c r="E244" s="103"/>
      <c r="F244" s="103"/>
      <c r="G244" s="103"/>
      <c r="H244" s="105"/>
      <c r="I244" s="41" t="s">
        <v>131</v>
      </c>
      <c r="J244" s="42">
        <f ca="1">(IF(B232&gt;1.5,(H232/(B232+2)+J238+MAX(0,J239-J238)+MAX(0,J240-J239)+MAX(0,J241-J240)+MAX(0,J242-J241)+MAX(0,J243-J242)),IF(B232=1,(H232/(B232+3)+J243),IF(B232=0,H232/4+J243))))</f>
        <v>14</v>
      </c>
    </row>
    <row r="245" spans="1:15" ht="33.75" customHeight="1" x14ac:dyDescent="0.35">
      <c r="A245" s="110" t="s">
        <v>318</v>
      </c>
      <c r="B245" s="111"/>
      <c r="C245" s="112" t="s">
        <v>334</v>
      </c>
      <c r="D245" s="113"/>
      <c r="E245" s="113"/>
      <c r="F245" s="113"/>
      <c r="G245" s="113"/>
      <c r="H245" s="114"/>
      <c r="I245" s="35" t="str">
        <f ca="1">(IF(E249&gt;99%,"All work completed. Please provide OC.",IF(E249&gt;89.8%,"Plinth, RCC, Brick, Plaster, Flooring, Painting work Completed. Finishing work is in process.",IF(E249&lt;94%,(IF(C249=0,"Work not yet Started.",IF(D249=25%,"Piling work in process",IF(D249=50%,"Excavation work in process",IF(D249=100%,"Excavation work Completed. ","0")))&amp;(IF(C250=0%,"",IF(C250=J251,"Footing work is process",IF(C250=J252,"Footing work Completed",IF(C250=J253,"1st Basement Completed",IF(C250=J254,"1st &amp; 2nd Basement Completed",IF(C250=J255,"1st to 3rd Basement Completed",IF(C250=J256,"1st to 4th Basement Completed",IF(C250=J257,"Plinth work is process",IF(C250=J258,"Plinth work completed","0")))))))))))&amp;(IF(C251=(D246+F246+H246),", RCC Slab",IF(C251&gt;0,", RCC upto "&amp;C251&amp;" Slab",""))&amp;(IF(C252=H246,", Brickwork",IF(C252&gt;0,", Brickwork upto "&amp;C252&amp;" Floor",""))&amp;(IF(C253=H246,", Internal Plaster",IF(C253&gt;0,", Internal Plaster upto "&amp;C253&amp;" Floor",""))&amp;(IF(C254=H246,", External Plaster",IF(C254&gt;0,", External Plaster upto "&amp;C254&amp;" Floor",""))&amp;(IF(C255=H246,", Flooring",IF(C255&gt;0,", Flooring upto "&amp;C255&amp;" Floor",""))&amp;(IF(C256=H246,", Painting",IF(C256&gt;0,", Painting upto "&amp;C256&amp;" Floor",""))&amp;(IF(C257&gt;0,", Finishing upto "&amp;C257&amp;" Floor","")&amp;(IF(C251&gt;0.5," Completed",""))))))))))))))</f>
        <v>Excavation work Completed. Plinth work completed, RCC Slab, Brickwork, Internal Plaster, External Plaster upto 12 Floor, Flooring upto 5 Floor, Painting upto 3 Floor Completed</v>
      </c>
      <c r="J245" s="15"/>
    </row>
    <row r="246" spans="1:15" x14ac:dyDescent="0.35">
      <c r="A246" s="54" t="s">
        <v>173</v>
      </c>
      <c r="B246" s="55">
        <v>0</v>
      </c>
      <c r="C246" s="55" t="s">
        <v>98</v>
      </c>
      <c r="D246" s="55">
        <v>1</v>
      </c>
      <c r="E246" s="55" t="s">
        <v>97</v>
      </c>
      <c r="F246" s="55">
        <v>0</v>
      </c>
      <c r="G246" s="55" t="s">
        <v>110</v>
      </c>
      <c r="H246" s="56">
        <f ca="1">--TRIM(RIGHT(SUBSTITUTE(LEFT(C245,_xlfn.AGGREGATE(16,6,FIND({0,1,2,3,4,5,6,7,8,9},C245,ROW(INDIRECT("1:"&amp;LEN(C245)))),1))," ",REPT(" ",LEN(C245))),LEN(C245)))</f>
        <v>14</v>
      </c>
      <c r="I246" s="14"/>
      <c r="J246" s="16"/>
    </row>
    <row r="247" spans="1:15" ht="31.5" customHeight="1" x14ac:dyDescent="0.35">
      <c r="A247" s="106" t="s">
        <v>119</v>
      </c>
      <c r="B247" s="107"/>
      <c r="C247" s="108" t="str">
        <f ca="1">I245</f>
        <v>Excavation work Completed. Plinth work completed, RCC Slab, Brickwork, Internal Plaster, External Plaster upto 12 Floor, Flooring upto 5 Floor, Painting upto 3 Floor Completed</v>
      </c>
      <c r="D247" s="108"/>
      <c r="E247" s="108"/>
      <c r="F247" s="108"/>
      <c r="G247" s="108"/>
      <c r="H247" s="109"/>
      <c r="I247" s="14" t="s">
        <v>132</v>
      </c>
      <c r="J247" s="16"/>
    </row>
    <row r="248" spans="1:15" ht="15.75" customHeight="1" x14ac:dyDescent="0.35">
      <c r="A248" s="98" t="s">
        <v>50</v>
      </c>
      <c r="B248" s="99"/>
      <c r="C248" s="57" t="s">
        <v>171</v>
      </c>
      <c r="D248" s="57" t="s">
        <v>113</v>
      </c>
      <c r="E248" s="99" t="s">
        <v>115</v>
      </c>
      <c r="F248" s="99"/>
      <c r="G248" s="99" t="s">
        <v>114</v>
      </c>
      <c r="H248" s="120"/>
      <c r="I248" s="37" t="s">
        <v>172</v>
      </c>
      <c r="J248" s="17">
        <f ca="1">H246*25%</f>
        <v>3.5</v>
      </c>
    </row>
    <row r="249" spans="1:15" x14ac:dyDescent="0.35">
      <c r="A249" s="99" t="s">
        <v>160</v>
      </c>
      <c r="B249" s="99"/>
      <c r="C249" s="58">
        <v>14</v>
      </c>
      <c r="D249" s="84">
        <f ca="1">((100/H246)*C249)/100</f>
        <v>1</v>
      </c>
      <c r="E249" s="102">
        <f ca="1">(((C250/H246*10)+(40/(D246+F246+H246)*C251)+(7.5/(H246)*C252)+(7.5/(H246)*C253)+(10/H246*C254)+(10/H246*C255)+(5/H246*C256)+(5/H246*C257)+(5/H246*C258))/100)</f>
        <v>0.78214285714285703</v>
      </c>
      <c r="F249" s="102"/>
      <c r="G249" s="102">
        <f ca="1">((((C249/H246)*20)+((C250/H246)*25)+(30/(H246+F246+D246)*C251)+(5/H246*C252)+(5/H246*C253)+(5/H246*C254)+(5/H246*C255)+(0/H246*C256)+(0/H246*C257)+(5/H246*C258))/100)</f>
        <v>0.91071428571428581</v>
      </c>
      <c r="H249" s="102"/>
      <c r="I249" s="37" t="s">
        <v>127</v>
      </c>
      <c r="J249" s="38">
        <f ca="1">H246*50%</f>
        <v>7</v>
      </c>
      <c r="K249" s="97" t="s">
        <v>279</v>
      </c>
      <c r="L249" s="97"/>
      <c r="M249" s="97"/>
      <c r="N249" s="97"/>
      <c r="O249" s="97"/>
    </row>
    <row r="250" spans="1:15" x14ac:dyDescent="0.35">
      <c r="A250" s="99" t="s">
        <v>51</v>
      </c>
      <c r="B250" s="99"/>
      <c r="C250" s="60">
        <v>14</v>
      </c>
      <c r="D250" s="84">
        <f ca="1">((100/H246)*C250)/100</f>
        <v>1</v>
      </c>
      <c r="E250" s="102"/>
      <c r="F250" s="102"/>
      <c r="G250" s="102"/>
      <c r="H250" s="102"/>
      <c r="I250" s="37" t="s">
        <v>128</v>
      </c>
      <c r="J250" s="38">
        <f ca="1">H246</f>
        <v>14</v>
      </c>
      <c r="K250" s="97" t="s">
        <v>280</v>
      </c>
      <c r="L250" s="97"/>
      <c r="M250" s="97"/>
      <c r="N250" s="97"/>
      <c r="O250" s="97"/>
    </row>
    <row r="251" spans="1:15" ht="15.75" customHeight="1" x14ac:dyDescent="0.35">
      <c r="A251" s="99" t="s">
        <v>161</v>
      </c>
      <c r="B251" s="99"/>
      <c r="C251" s="60">
        <v>15</v>
      </c>
      <c r="D251" s="84">
        <f ca="1">((100/(D246+F246+H246))*C251)/100</f>
        <v>1</v>
      </c>
      <c r="E251" s="102"/>
      <c r="F251" s="102"/>
      <c r="G251" s="102"/>
      <c r="H251" s="102"/>
      <c r="I251" s="37" t="s">
        <v>129</v>
      </c>
      <c r="J251" s="39">
        <f ca="1">(IF(B246&gt;1,(H246/(B246+2)),H246/4))</f>
        <v>3.5</v>
      </c>
      <c r="K251" s="97" t="s">
        <v>281</v>
      </c>
      <c r="L251" s="97"/>
      <c r="M251" s="97"/>
      <c r="N251" s="97"/>
      <c r="O251" s="97"/>
    </row>
    <row r="252" spans="1:15" ht="15.75" customHeight="1" x14ac:dyDescent="0.35">
      <c r="A252" s="99" t="s">
        <v>168</v>
      </c>
      <c r="B252" s="99" t="s">
        <v>162</v>
      </c>
      <c r="C252" s="58">
        <v>14</v>
      </c>
      <c r="D252" s="84">
        <f ca="1">((100/H246)*C252)/100</f>
        <v>1</v>
      </c>
      <c r="E252" s="102"/>
      <c r="F252" s="102"/>
      <c r="G252" s="102"/>
      <c r="H252" s="102"/>
      <c r="I252" s="37" t="s">
        <v>130</v>
      </c>
      <c r="J252" s="39">
        <f ca="1">(IF(B246&gt;1,(H246/(B246+2)+J251),H246/4+J251))</f>
        <v>7</v>
      </c>
      <c r="K252" s="97" t="s">
        <v>282</v>
      </c>
      <c r="L252" s="97"/>
      <c r="M252" s="97"/>
      <c r="N252" s="97"/>
      <c r="O252" s="97"/>
    </row>
    <row r="253" spans="1:15" ht="15.75" customHeight="1" x14ac:dyDescent="0.35">
      <c r="A253" s="99" t="s">
        <v>169</v>
      </c>
      <c r="B253" s="99" t="s">
        <v>162</v>
      </c>
      <c r="C253" s="58">
        <v>14</v>
      </c>
      <c r="D253" s="84">
        <f ca="1">((100/H246)*C253)/100</f>
        <v>1</v>
      </c>
      <c r="E253" s="102"/>
      <c r="F253" s="102"/>
      <c r="G253" s="102"/>
      <c r="H253" s="102"/>
      <c r="I253" s="37" t="s">
        <v>177</v>
      </c>
      <c r="J253" s="39">
        <f>(IF(B246&gt;1,(H246/(B246+2)+J252),0))</f>
        <v>0</v>
      </c>
      <c r="K253" s="97" t="s">
        <v>283</v>
      </c>
      <c r="L253" s="97"/>
      <c r="M253" s="97"/>
      <c r="N253" s="97"/>
      <c r="O253" s="97"/>
    </row>
    <row r="254" spans="1:15" ht="15" customHeight="1" x14ac:dyDescent="0.35">
      <c r="A254" s="99" t="s">
        <v>167</v>
      </c>
      <c r="B254" s="99" t="s">
        <v>164</v>
      </c>
      <c r="C254" s="58">
        <v>12</v>
      </c>
      <c r="D254" s="84">
        <f ca="1">((100/(H246))*C254)/100</f>
        <v>0.85714285714285721</v>
      </c>
      <c r="E254" s="102"/>
      <c r="F254" s="102"/>
      <c r="G254" s="102"/>
      <c r="H254" s="102"/>
      <c r="I254" s="37" t="s">
        <v>174</v>
      </c>
      <c r="J254" s="39">
        <f>(IF(B246&gt;2,(H246/(B246+2)+J253),0))</f>
        <v>0</v>
      </c>
      <c r="K254" s="97" t="s">
        <v>284</v>
      </c>
      <c r="L254" s="97"/>
      <c r="M254" s="97"/>
      <c r="N254" s="97"/>
      <c r="O254" s="97"/>
    </row>
    <row r="255" spans="1:15" ht="15.75" customHeight="1" x14ac:dyDescent="0.35">
      <c r="A255" s="99" t="s">
        <v>163</v>
      </c>
      <c r="B255" s="99" t="s">
        <v>163</v>
      </c>
      <c r="C255" s="58">
        <v>5</v>
      </c>
      <c r="D255" s="84">
        <f ca="1">((100/H246)*C255)/100</f>
        <v>0.35714285714285715</v>
      </c>
      <c r="E255" s="102"/>
      <c r="F255" s="102"/>
      <c r="G255" s="102"/>
      <c r="H255" s="102"/>
      <c r="I255" s="37" t="s">
        <v>175</v>
      </c>
      <c r="J255" s="40">
        <f>(IF(B246&gt;3,(H246/(B246+2)+J254),0))</f>
        <v>0</v>
      </c>
      <c r="K255" s="97" t="s">
        <v>285</v>
      </c>
      <c r="L255" s="97"/>
      <c r="M255" s="97"/>
      <c r="N255" s="97"/>
      <c r="O255" s="97"/>
    </row>
    <row r="256" spans="1:15" ht="15.75" customHeight="1" x14ac:dyDescent="0.35">
      <c r="A256" s="99" t="s">
        <v>170</v>
      </c>
      <c r="B256" s="99"/>
      <c r="C256" s="58">
        <v>3</v>
      </c>
      <c r="D256" s="84">
        <f ca="1">((100/H246)*C256)/100</f>
        <v>0.2142857142857143</v>
      </c>
      <c r="E256" s="102"/>
      <c r="F256" s="102"/>
      <c r="G256" s="102"/>
      <c r="H256" s="102"/>
      <c r="I256" s="37" t="s">
        <v>176</v>
      </c>
      <c r="J256" s="39">
        <f>(IF(B246&gt;4,(H246/(B246+2)+J255),0))</f>
        <v>0</v>
      </c>
    </row>
    <row r="257" spans="1:15" ht="15.75" customHeight="1" x14ac:dyDescent="0.35">
      <c r="A257" s="99" t="s">
        <v>165</v>
      </c>
      <c r="B257" s="99" t="s">
        <v>165</v>
      </c>
      <c r="C257" s="58">
        <v>0</v>
      </c>
      <c r="D257" s="84">
        <f ca="1">((100/(H246))*C257)/100</f>
        <v>0</v>
      </c>
      <c r="E257" s="102"/>
      <c r="F257" s="102"/>
      <c r="G257" s="102"/>
      <c r="H257" s="102"/>
      <c r="I257" s="37" t="s">
        <v>178</v>
      </c>
      <c r="J257" s="39">
        <f ca="1">(IF(B246=1,(H246/(B246+3)+J252),IF(B246=0,(H246/4+J252),IF(B246&gt;1,0))))</f>
        <v>10.5</v>
      </c>
    </row>
    <row r="258" spans="1:15" ht="16" thickBot="1" x14ac:dyDescent="0.4">
      <c r="A258" s="99" t="s">
        <v>166</v>
      </c>
      <c r="B258" s="99"/>
      <c r="C258" s="58">
        <v>0</v>
      </c>
      <c r="D258" s="84">
        <f ca="1">((100/(H246))*C258)/100</f>
        <v>0</v>
      </c>
      <c r="E258" s="102"/>
      <c r="F258" s="102"/>
      <c r="G258" s="102"/>
      <c r="H258" s="102"/>
      <c r="I258" s="41" t="s">
        <v>131</v>
      </c>
      <c r="J258" s="42">
        <f ca="1">(IF(B246&gt;1.5,(H246/(B246+2)+J252+MAX(0,J253-J252)+MAX(0,J254-J253)+MAX(0,J255-J254)+MAX(0,J256-J255)+MAX(0,J257-J256)),IF(B246=1,(H246/(B246+3)+J257),IF(B246=0,H246/4+J257))))</f>
        <v>14</v>
      </c>
    </row>
    <row r="259" spans="1:15" ht="33" customHeight="1" x14ac:dyDescent="0.35">
      <c r="A259" s="108" t="s">
        <v>318</v>
      </c>
      <c r="B259" s="108"/>
      <c r="C259" s="108" t="s">
        <v>316</v>
      </c>
      <c r="D259" s="108"/>
      <c r="E259" s="108"/>
      <c r="F259" s="108"/>
      <c r="G259" s="108"/>
      <c r="H259" s="108"/>
      <c r="I259" s="35" t="str">
        <f ca="1">(IF(E263&gt;99%,"All work completed. Please provide OC.",IF(E263&gt;89.8%,"Plinth, RCC, Brick, Plaster, Flooring, Painting work Completed. Finishing work is in process.",IF(E263&lt;94%,(IF(C263=0,"Work not yet Started.",IF(D263=25%,"Piling work in process",IF(D263=50%,"Excavation work in process",IF(D263=100%,"Excavation work Completed. ","0")))&amp;(IF(C264=0%,"",IF(C264=J265,"Footing work is process",IF(C264=J266,"Footing work Completed",IF(C264=J267,"1st Basement Completed",IF(C264=J268,"1st &amp; 2nd Basement Completed",IF(C264=J269,"1st to 3rd Basement Completed",IF(C264=J270,"1st to 4th Basement Completed",IF(C264=J271,"Plinth work is process",IF(C264=J272,"Plinth work completed","0")))))))))))&amp;(IF(C265=(D260+F260+H260),", RCC Slab",IF(C265&gt;0,", RCC upto "&amp;C265&amp;" Slab",""))&amp;(IF(C266=H260,", Brickwork",IF(C266&gt;0,", Brickwork upto "&amp;C266&amp;" Floor",""))&amp;(IF(C267=H260,", Internal Plaster",IF(C267&gt;0,", Internal Plaster upto "&amp;C267&amp;" Floor",""))&amp;(IF(C268=H260,", External Plaster",IF(C268&gt;0,", External Plaster upto "&amp;C268&amp;" Floor",""))&amp;(IF(C269=H260,", Flooring",IF(C269&gt;0,", Flooring upto "&amp;C269&amp;" Floor",""))&amp;(IF(C270=H260,", Painting",IF(C270&gt;0,", Painting upto "&amp;C270&amp;" Floor",""))&amp;(IF(C271&gt;0,", Finishing upto "&amp;C271&amp;" Floor","")&amp;(IF(C265&gt;0.5," Completed",""))))))))))))))</f>
        <v>Excavation work Completed. Plinth work completed, RCC Slab, Brickwork, Internal Plaster, External Plaster upto 12 Floor, Flooring upto 7 Floor, Painting upto 3 Floor Completed</v>
      </c>
      <c r="J259" s="15"/>
    </row>
    <row r="260" spans="1:15" x14ac:dyDescent="0.35">
      <c r="A260" s="85" t="s">
        <v>173</v>
      </c>
      <c r="B260" s="85">
        <v>0</v>
      </c>
      <c r="C260" s="85" t="s">
        <v>98</v>
      </c>
      <c r="D260" s="85">
        <v>1</v>
      </c>
      <c r="E260" s="85" t="s">
        <v>97</v>
      </c>
      <c r="F260" s="85">
        <v>0</v>
      </c>
      <c r="G260" s="85" t="s">
        <v>110</v>
      </c>
      <c r="H260" s="85">
        <f ca="1">--TRIM(RIGHT(SUBSTITUTE(LEFT(C259,_xlfn.AGGREGATE(16,6,FIND({0,1,2,3,4,5,6,7,8,9},C259,ROW(INDIRECT("1:"&amp;LEN(C259)))),1))," ",REPT(" ",LEN(C259))),LEN(C259)))</f>
        <v>14</v>
      </c>
      <c r="I260" s="14"/>
      <c r="J260" s="16"/>
    </row>
    <row r="261" spans="1:15" ht="47.15" customHeight="1" x14ac:dyDescent="0.35">
      <c r="A261" s="107" t="s">
        <v>119</v>
      </c>
      <c r="B261" s="107"/>
      <c r="C261" s="108" t="str">
        <f ca="1">I259</f>
        <v>Excavation work Completed. Plinth work completed, RCC Slab, Brickwork, Internal Plaster, External Plaster upto 12 Floor, Flooring upto 7 Floor, Painting upto 3 Floor Completed</v>
      </c>
      <c r="D261" s="108"/>
      <c r="E261" s="108"/>
      <c r="F261" s="108"/>
      <c r="G261" s="108"/>
      <c r="H261" s="108"/>
      <c r="I261" s="14" t="s">
        <v>132</v>
      </c>
      <c r="J261" s="16"/>
    </row>
    <row r="262" spans="1:15" ht="15.75" customHeight="1" x14ac:dyDescent="0.35">
      <c r="A262" s="99" t="s">
        <v>50</v>
      </c>
      <c r="B262" s="99"/>
      <c r="C262" s="83" t="s">
        <v>171</v>
      </c>
      <c r="D262" s="83" t="s">
        <v>113</v>
      </c>
      <c r="E262" s="99" t="s">
        <v>115</v>
      </c>
      <c r="F262" s="99"/>
      <c r="G262" s="99" t="s">
        <v>114</v>
      </c>
      <c r="H262" s="99"/>
      <c r="I262" s="37" t="s">
        <v>172</v>
      </c>
      <c r="J262" s="17">
        <f ca="1">H260*25%</f>
        <v>3.5</v>
      </c>
    </row>
    <row r="263" spans="1:15" x14ac:dyDescent="0.35">
      <c r="A263" s="98" t="s">
        <v>160</v>
      </c>
      <c r="B263" s="99"/>
      <c r="C263" s="58">
        <v>14</v>
      </c>
      <c r="D263" s="59">
        <f ca="1">((100/H260)*C263)/100</f>
        <v>1</v>
      </c>
      <c r="E263" s="102">
        <f ca="1">(((C264/H260*10)+(40/(D260+F260+H260)*C265)+(7.5/(H260)*C266)+(7.5/(H260)*C267)+(10/H260*C268)+(10/H260*C269)+(5/H260*C270)+(5/H260*C271)+(5/H260*C272))/100)</f>
        <v>0.79642857142857137</v>
      </c>
      <c r="F263" s="102"/>
      <c r="G263" s="102">
        <f ca="1">((((C263/H260)*20)+((C264/H260)*25)+(30/(H260+F260+D260)*C265)+(5/H260*C266)+(5/H260*C267)+(5/H260*C268)+(5/H260*C269)+(0/H260*C270)+(0/H260*C271)+(5/H260*C272))/100)</f>
        <v>0.91785714285714293</v>
      </c>
      <c r="H263" s="104"/>
      <c r="I263" s="37" t="s">
        <v>127</v>
      </c>
      <c r="J263" s="38">
        <f ca="1">H260*50%</f>
        <v>7</v>
      </c>
      <c r="K263" s="97" t="s">
        <v>279</v>
      </c>
      <c r="L263" s="97"/>
      <c r="M263" s="97"/>
      <c r="N263" s="97"/>
      <c r="O263" s="97"/>
    </row>
    <row r="264" spans="1:15" x14ac:dyDescent="0.35">
      <c r="A264" s="98" t="s">
        <v>51</v>
      </c>
      <c r="B264" s="99"/>
      <c r="C264" s="60">
        <v>14</v>
      </c>
      <c r="D264" s="59">
        <f ca="1">((100/H260)*C264)/100</f>
        <v>1</v>
      </c>
      <c r="E264" s="102"/>
      <c r="F264" s="102"/>
      <c r="G264" s="102"/>
      <c r="H264" s="104"/>
      <c r="I264" s="37" t="s">
        <v>128</v>
      </c>
      <c r="J264" s="38">
        <f ca="1">H260</f>
        <v>14</v>
      </c>
      <c r="K264" s="97" t="s">
        <v>280</v>
      </c>
      <c r="L264" s="97"/>
      <c r="M264" s="97"/>
      <c r="N264" s="97"/>
      <c r="O264" s="97"/>
    </row>
    <row r="265" spans="1:15" ht="15.75" customHeight="1" x14ac:dyDescent="0.35">
      <c r="A265" s="98" t="s">
        <v>161</v>
      </c>
      <c r="B265" s="99"/>
      <c r="C265" s="60">
        <v>15</v>
      </c>
      <c r="D265" s="59">
        <f ca="1">((100/(D260+F260+H260))*C265)/100</f>
        <v>1</v>
      </c>
      <c r="E265" s="102"/>
      <c r="F265" s="102"/>
      <c r="G265" s="102"/>
      <c r="H265" s="104"/>
      <c r="I265" s="37" t="s">
        <v>129</v>
      </c>
      <c r="J265" s="39">
        <f ca="1">(IF(B260&gt;1,(H260/(B260+2)),H260/4))</f>
        <v>3.5</v>
      </c>
      <c r="K265" s="97" t="s">
        <v>281</v>
      </c>
      <c r="L265" s="97"/>
      <c r="M265" s="97"/>
      <c r="N265" s="97"/>
      <c r="O265" s="97"/>
    </row>
    <row r="266" spans="1:15" ht="15.75" customHeight="1" x14ac:dyDescent="0.35">
      <c r="A266" s="98" t="s">
        <v>168</v>
      </c>
      <c r="B266" s="99" t="s">
        <v>162</v>
      </c>
      <c r="C266" s="58">
        <v>14</v>
      </c>
      <c r="D266" s="59">
        <f ca="1">((100/H260)*C266)/100</f>
        <v>1</v>
      </c>
      <c r="E266" s="102"/>
      <c r="F266" s="102"/>
      <c r="G266" s="102"/>
      <c r="H266" s="104"/>
      <c r="I266" s="37" t="s">
        <v>130</v>
      </c>
      <c r="J266" s="39">
        <f ca="1">(IF(B260&gt;1,(H260/(B260+2)+J265),H260/4+J265))</f>
        <v>7</v>
      </c>
      <c r="K266" s="97" t="s">
        <v>282</v>
      </c>
      <c r="L266" s="97"/>
      <c r="M266" s="97"/>
      <c r="N266" s="97"/>
      <c r="O266" s="97"/>
    </row>
    <row r="267" spans="1:15" ht="15.75" customHeight="1" x14ac:dyDescent="0.35">
      <c r="A267" s="98" t="s">
        <v>169</v>
      </c>
      <c r="B267" s="99" t="s">
        <v>162</v>
      </c>
      <c r="C267" s="58">
        <v>14</v>
      </c>
      <c r="D267" s="59">
        <f ca="1">((100/H260)*C267)/100</f>
        <v>1</v>
      </c>
      <c r="E267" s="102"/>
      <c r="F267" s="102"/>
      <c r="G267" s="102"/>
      <c r="H267" s="104"/>
      <c r="I267" s="37" t="s">
        <v>177</v>
      </c>
      <c r="J267" s="39">
        <f>(IF(B260&gt;1,(H260/(B260+2)+J266),0))</f>
        <v>0</v>
      </c>
      <c r="K267" s="97" t="s">
        <v>283</v>
      </c>
      <c r="L267" s="97"/>
      <c r="M267" s="97"/>
      <c r="N267" s="97"/>
      <c r="O267" s="97"/>
    </row>
    <row r="268" spans="1:15" ht="15" customHeight="1" x14ac:dyDescent="0.35">
      <c r="A268" s="98" t="s">
        <v>167</v>
      </c>
      <c r="B268" s="99" t="s">
        <v>164</v>
      </c>
      <c r="C268" s="58">
        <v>12</v>
      </c>
      <c r="D268" s="59">
        <f ca="1">((100/(H260))*C268)/100</f>
        <v>0.85714285714285721</v>
      </c>
      <c r="E268" s="102"/>
      <c r="F268" s="102"/>
      <c r="G268" s="102"/>
      <c r="H268" s="104"/>
      <c r="I268" s="37" t="s">
        <v>174</v>
      </c>
      <c r="J268" s="39">
        <f>(IF(B260&gt;2,(H260/(B260+2)+J267),0))</f>
        <v>0</v>
      </c>
      <c r="K268" s="97" t="s">
        <v>284</v>
      </c>
      <c r="L268" s="97"/>
      <c r="M268" s="97"/>
      <c r="N268" s="97"/>
      <c r="O268" s="97"/>
    </row>
    <row r="269" spans="1:15" ht="15.75" customHeight="1" x14ac:dyDescent="0.35">
      <c r="A269" s="98" t="s">
        <v>163</v>
      </c>
      <c r="B269" s="99" t="s">
        <v>163</v>
      </c>
      <c r="C269" s="58">
        <v>7</v>
      </c>
      <c r="D269" s="59">
        <f ca="1">((100/H260)*C269)/100</f>
        <v>0.5</v>
      </c>
      <c r="E269" s="102"/>
      <c r="F269" s="102"/>
      <c r="G269" s="102"/>
      <c r="H269" s="104"/>
      <c r="I269" s="37" t="s">
        <v>175</v>
      </c>
      <c r="J269" s="40">
        <f>(IF(B260&gt;3,(H260/(B260+2)+J268),0))</f>
        <v>0</v>
      </c>
      <c r="K269" s="97" t="s">
        <v>285</v>
      </c>
      <c r="L269" s="97"/>
      <c r="M269" s="97"/>
      <c r="N269" s="97"/>
      <c r="O269" s="97"/>
    </row>
    <row r="270" spans="1:15" ht="15.75" customHeight="1" x14ac:dyDescent="0.35">
      <c r="A270" s="98" t="s">
        <v>170</v>
      </c>
      <c r="B270" s="99"/>
      <c r="C270" s="58">
        <v>3</v>
      </c>
      <c r="D270" s="59">
        <f ca="1">((100/H260)*C270)/100</f>
        <v>0.2142857142857143</v>
      </c>
      <c r="E270" s="102"/>
      <c r="F270" s="102"/>
      <c r="G270" s="102"/>
      <c r="H270" s="104"/>
      <c r="I270" s="37" t="s">
        <v>176</v>
      </c>
      <c r="J270" s="39">
        <f>(IF(B260&gt;4,(H260/(B260+2)+J269),0))</f>
        <v>0</v>
      </c>
    </row>
    <row r="271" spans="1:15" ht="15.75" customHeight="1" x14ac:dyDescent="0.35">
      <c r="A271" s="98" t="s">
        <v>165</v>
      </c>
      <c r="B271" s="99" t="s">
        <v>165</v>
      </c>
      <c r="C271" s="58">
        <v>0</v>
      </c>
      <c r="D271" s="59">
        <f ca="1">((100/(H260))*C271)/100</f>
        <v>0</v>
      </c>
      <c r="E271" s="102"/>
      <c r="F271" s="102"/>
      <c r="G271" s="102"/>
      <c r="H271" s="104"/>
      <c r="I271" s="37" t="s">
        <v>178</v>
      </c>
      <c r="J271" s="39">
        <f ca="1">(IF(B260=1,(H260/(B260+3)+J266),IF(B260=0,(H260/4+J266),IF(B260&gt;1,0))))</f>
        <v>10.5</v>
      </c>
    </row>
    <row r="272" spans="1:15" ht="16" thickBot="1" x14ac:dyDescent="0.4">
      <c r="A272" s="100" t="s">
        <v>166</v>
      </c>
      <c r="B272" s="101"/>
      <c r="C272" s="61">
        <v>0</v>
      </c>
      <c r="D272" s="62">
        <f ca="1">((100/(H260))*C272)/100</f>
        <v>0</v>
      </c>
      <c r="E272" s="103"/>
      <c r="F272" s="103"/>
      <c r="G272" s="103"/>
      <c r="H272" s="105"/>
      <c r="I272" s="41" t="s">
        <v>131</v>
      </c>
      <c r="J272" s="42">
        <f ca="1">(IF(B260&gt;1.5,(H260/(B260+2)+J266+MAX(0,J267-J266)+MAX(0,J268-J267)+MAX(0,J269-J268)+MAX(0,J270-J269)+MAX(0,J271-J270)),IF(B260=1,(H260/(B260+3)+J271),IF(B260=0,H260/4+J271))))</f>
        <v>14</v>
      </c>
    </row>
    <row r="273" spans="1:15" ht="33.75" customHeight="1" x14ac:dyDescent="0.35">
      <c r="A273" s="110" t="s">
        <v>318</v>
      </c>
      <c r="B273" s="111"/>
      <c r="C273" s="112" t="s">
        <v>335</v>
      </c>
      <c r="D273" s="113"/>
      <c r="E273" s="113"/>
      <c r="F273" s="113"/>
      <c r="G273" s="113"/>
      <c r="H273" s="114"/>
      <c r="I273" s="35" t="str">
        <f ca="1">(IF(E277&gt;99%,"All work completed. Please provide OC.",IF(E277&gt;89.8%,"Plinth, RCC, Brick, Plaster, Flooring, Painting work Completed. Finishing work is in process.",IF(E277&lt;94%,(IF(C277=0,"Work not yet Started.",IF(D277=25%,"Piling work in process",IF(D277=50%,"Excavation work in process",IF(D277=100%,"Excavation work Completed. ","0")))&amp;(IF(C278=0%,"",IF(C278=J279,"Footing work is process",IF(C278=J280,"Footing work Completed",IF(C278=J281,"1st Basement Completed",IF(C278=J282,"1st &amp; 2nd Basement Completed",IF(C278=J283,"1st to 3rd Basement Completed",IF(C278=J284,"1st to 4th Basement Completed",IF(C278=J285,"Plinth work is process",IF(C278=J286,"Plinth work completed","0")))))))))))&amp;(IF(C279=(D274+F274+H274),", RCC Slab",IF(C279&gt;0,", RCC upto "&amp;C279&amp;" Slab",""))&amp;(IF(C280=H274,", Brickwork",IF(C280&gt;0,", Brickwork upto "&amp;C280&amp;" Floor",""))&amp;(IF(C281=H274,", Internal Plaster",IF(C281&gt;0,", Internal Plaster upto "&amp;C281&amp;" Floor",""))&amp;(IF(C282=H274,", External Plaster",IF(C282&gt;0,", External Plaster upto "&amp;C282&amp;" Floor",""))&amp;(IF(C283=H274,", Flooring",IF(C283&gt;0,", Flooring upto "&amp;C283&amp;" Floor",""))&amp;(IF(C284=H274,", Painting",IF(C284&gt;0,", Painting upto "&amp;C284&amp;" Floor",""))&amp;(IF(C285&gt;0,", Finishing upto "&amp;C285&amp;" Floor","")&amp;(IF(C279&gt;0.5," Completed",""))))))))))))))</f>
        <v>Excavation work Completed. Plinth work completed, RCC Slab, Brickwork, Internal Plaster, External Plaster upto 13 Floor, Flooring upto 7 Floor, Painting upto 3 Floor Completed</v>
      </c>
      <c r="J273" s="15"/>
    </row>
    <row r="274" spans="1:15" x14ac:dyDescent="0.35">
      <c r="A274" s="54" t="s">
        <v>173</v>
      </c>
      <c r="B274" s="55">
        <v>0</v>
      </c>
      <c r="C274" s="55" t="s">
        <v>98</v>
      </c>
      <c r="D274" s="55">
        <v>1</v>
      </c>
      <c r="E274" s="55" t="s">
        <v>97</v>
      </c>
      <c r="F274" s="55">
        <v>0</v>
      </c>
      <c r="G274" s="55" t="s">
        <v>110</v>
      </c>
      <c r="H274" s="56">
        <f ca="1">--TRIM(RIGHT(SUBSTITUTE(LEFT(C273,_xlfn.AGGREGATE(16,6,FIND({0,1,2,3,4,5,6,7,8,9},C273,ROW(INDIRECT("1:"&amp;LEN(C273)))),1))," ",REPT(" ",LEN(C273))),LEN(C273)))</f>
        <v>14</v>
      </c>
      <c r="I274" s="14"/>
      <c r="J274" s="16"/>
    </row>
    <row r="275" spans="1:15" ht="47.15" customHeight="1" x14ac:dyDescent="0.35">
      <c r="A275" s="106" t="s">
        <v>119</v>
      </c>
      <c r="B275" s="107"/>
      <c r="C275" s="108" t="str">
        <f ca="1">I273</f>
        <v>Excavation work Completed. Plinth work completed, RCC Slab, Brickwork, Internal Plaster, External Plaster upto 13 Floor, Flooring upto 7 Floor, Painting upto 3 Floor Completed</v>
      </c>
      <c r="D275" s="108"/>
      <c r="E275" s="108"/>
      <c r="F275" s="108"/>
      <c r="G275" s="108"/>
      <c r="H275" s="109"/>
      <c r="I275" s="14" t="s">
        <v>132</v>
      </c>
      <c r="J275" s="16"/>
    </row>
    <row r="276" spans="1:15" ht="15.75" customHeight="1" x14ac:dyDescent="0.35">
      <c r="A276" s="98" t="s">
        <v>50</v>
      </c>
      <c r="B276" s="99"/>
      <c r="C276" s="57" t="s">
        <v>171</v>
      </c>
      <c r="D276" s="57" t="s">
        <v>113</v>
      </c>
      <c r="E276" s="99" t="s">
        <v>115</v>
      </c>
      <c r="F276" s="99"/>
      <c r="G276" s="99" t="s">
        <v>114</v>
      </c>
      <c r="H276" s="120"/>
      <c r="I276" s="37" t="s">
        <v>172</v>
      </c>
      <c r="J276" s="17">
        <f ca="1">H274*25%</f>
        <v>3.5</v>
      </c>
    </row>
    <row r="277" spans="1:15" x14ac:dyDescent="0.35">
      <c r="A277" s="98" t="s">
        <v>160</v>
      </c>
      <c r="B277" s="99"/>
      <c r="C277" s="58">
        <v>14</v>
      </c>
      <c r="D277" s="59">
        <f ca="1">((100/H274)*C277)/100</f>
        <v>1</v>
      </c>
      <c r="E277" s="102">
        <f ca="1">(((C278/H274*10)+(40/(D274+F274+H274)*C279)+(7.5/(H274)*C280)+(7.5/(H274)*C281)+(10/H274*C282)+(10/H274*C283)+(5/H274*C284)+(5/H274*C285)+(5/H274*C286))/100)</f>
        <v>0.8035714285714286</v>
      </c>
      <c r="F277" s="102"/>
      <c r="G277" s="102">
        <f ca="1">((((C277/H274)*20)+((C278/H274)*25)+(30/(H274+F274+D274)*C279)+(5/H274*C280)+(5/H274*C281)+(5/H274*C282)+(5/H274*C283)+(0/H274*C284)+(0/H274*C285)+(5/H274*C286))/100)</f>
        <v>0.92142857142857137</v>
      </c>
      <c r="H277" s="104"/>
      <c r="I277" s="37" t="s">
        <v>127</v>
      </c>
      <c r="J277" s="38">
        <f ca="1">H274*50%</f>
        <v>7</v>
      </c>
      <c r="K277" s="97" t="s">
        <v>279</v>
      </c>
      <c r="L277" s="97"/>
      <c r="M277" s="97"/>
      <c r="N277" s="97"/>
      <c r="O277" s="97"/>
    </row>
    <row r="278" spans="1:15" x14ac:dyDescent="0.35">
      <c r="A278" s="98" t="s">
        <v>51</v>
      </c>
      <c r="B278" s="99"/>
      <c r="C278" s="60">
        <v>14</v>
      </c>
      <c r="D278" s="59">
        <f ca="1">((100/H274)*C278)/100</f>
        <v>1</v>
      </c>
      <c r="E278" s="102"/>
      <c r="F278" s="102"/>
      <c r="G278" s="102"/>
      <c r="H278" s="104"/>
      <c r="I278" s="37" t="s">
        <v>128</v>
      </c>
      <c r="J278" s="38">
        <f ca="1">H274</f>
        <v>14</v>
      </c>
      <c r="K278" s="97" t="s">
        <v>280</v>
      </c>
      <c r="L278" s="97"/>
      <c r="M278" s="97"/>
      <c r="N278" s="97"/>
      <c r="O278" s="97"/>
    </row>
    <row r="279" spans="1:15" ht="15.75" customHeight="1" x14ac:dyDescent="0.35">
      <c r="A279" s="98" t="s">
        <v>161</v>
      </c>
      <c r="B279" s="99"/>
      <c r="C279" s="60">
        <v>15</v>
      </c>
      <c r="D279" s="59">
        <f ca="1">((100/(D274+F274+H274))*C279)/100</f>
        <v>1</v>
      </c>
      <c r="E279" s="102"/>
      <c r="F279" s="102"/>
      <c r="G279" s="102"/>
      <c r="H279" s="104"/>
      <c r="I279" s="37" t="s">
        <v>129</v>
      </c>
      <c r="J279" s="39">
        <f ca="1">(IF(B274&gt;1,(H274/(B274+2)),H274/4))</f>
        <v>3.5</v>
      </c>
      <c r="K279" s="97" t="s">
        <v>281</v>
      </c>
      <c r="L279" s="97"/>
      <c r="M279" s="97"/>
      <c r="N279" s="97"/>
      <c r="O279" s="97"/>
    </row>
    <row r="280" spans="1:15" ht="15.75" customHeight="1" x14ac:dyDescent="0.35">
      <c r="A280" s="98" t="s">
        <v>168</v>
      </c>
      <c r="B280" s="99" t="s">
        <v>162</v>
      </c>
      <c r="C280" s="58">
        <v>14</v>
      </c>
      <c r="D280" s="59">
        <f ca="1">((100/H274)*C280)/100</f>
        <v>1</v>
      </c>
      <c r="E280" s="102"/>
      <c r="F280" s="102"/>
      <c r="G280" s="102"/>
      <c r="H280" s="104"/>
      <c r="I280" s="37" t="s">
        <v>130</v>
      </c>
      <c r="J280" s="39">
        <f ca="1">(IF(B274&gt;1,(H274/(B274+2)+J279),H274/4+J279))</f>
        <v>7</v>
      </c>
      <c r="K280" s="97" t="s">
        <v>282</v>
      </c>
      <c r="L280" s="97"/>
      <c r="M280" s="97"/>
      <c r="N280" s="97"/>
      <c r="O280" s="97"/>
    </row>
    <row r="281" spans="1:15" ht="15.75" customHeight="1" x14ac:dyDescent="0.35">
      <c r="A281" s="98" t="s">
        <v>169</v>
      </c>
      <c r="B281" s="99" t="s">
        <v>162</v>
      </c>
      <c r="C281" s="58">
        <v>14</v>
      </c>
      <c r="D281" s="59">
        <f ca="1">((100/H274)*C281)/100</f>
        <v>1</v>
      </c>
      <c r="E281" s="102"/>
      <c r="F281" s="102"/>
      <c r="G281" s="102"/>
      <c r="H281" s="104"/>
      <c r="I281" s="37" t="s">
        <v>177</v>
      </c>
      <c r="J281" s="39">
        <f>(IF(B274&gt;1,(H274/(B274+2)+J280),0))</f>
        <v>0</v>
      </c>
      <c r="K281" s="97" t="s">
        <v>283</v>
      </c>
      <c r="L281" s="97"/>
      <c r="M281" s="97"/>
      <c r="N281" s="97"/>
      <c r="O281" s="97"/>
    </row>
    <row r="282" spans="1:15" ht="15" customHeight="1" x14ac:dyDescent="0.35">
      <c r="A282" s="98" t="s">
        <v>167</v>
      </c>
      <c r="B282" s="99" t="s">
        <v>164</v>
      </c>
      <c r="C282" s="58">
        <v>13</v>
      </c>
      <c r="D282" s="59">
        <f ca="1">((100/(H274))*C282)/100</f>
        <v>0.9285714285714286</v>
      </c>
      <c r="E282" s="102"/>
      <c r="F282" s="102"/>
      <c r="G282" s="102"/>
      <c r="H282" s="104"/>
      <c r="I282" s="37" t="s">
        <v>174</v>
      </c>
      <c r="J282" s="39">
        <f>(IF(B274&gt;2,(H274/(B274+2)+J281),0))</f>
        <v>0</v>
      </c>
      <c r="K282" s="97" t="s">
        <v>284</v>
      </c>
      <c r="L282" s="97"/>
      <c r="M282" s="97"/>
      <c r="N282" s="97"/>
      <c r="O282" s="97"/>
    </row>
    <row r="283" spans="1:15" ht="15.75" customHeight="1" x14ac:dyDescent="0.35">
      <c r="A283" s="98" t="s">
        <v>163</v>
      </c>
      <c r="B283" s="99" t="s">
        <v>163</v>
      </c>
      <c r="C283" s="58">
        <v>7</v>
      </c>
      <c r="D283" s="59">
        <f ca="1">((100/H274)*C283)/100</f>
        <v>0.5</v>
      </c>
      <c r="E283" s="102"/>
      <c r="F283" s="102"/>
      <c r="G283" s="102"/>
      <c r="H283" s="104"/>
      <c r="I283" s="37" t="s">
        <v>175</v>
      </c>
      <c r="J283" s="40">
        <f>(IF(B274&gt;3,(H274/(B274+2)+J282),0))</f>
        <v>0</v>
      </c>
      <c r="K283" s="97" t="s">
        <v>285</v>
      </c>
      <c r="L283" s="97"/>
      <c r="M283" s="97"/>
      <c r="N283" s="97"/>
      <c r="O283" s="97"/>
    </row>
    <row r="284" spans="1:15" ht="15.75" customHeight="1" x14ac:dyDescent="0.35">
      <c r="A284" s="98" t="s">
        <v>170</v>
      </c>
      <c r="B284" s="99"/>
      <c r="C284" s="58">
        <v>3</v>
      </c>
      <c r="D284" s="59">
        <f ca="1">((100/H274)*C284)/100</f>
        <v>0.2142857142857143</v>
      </c>
      <c r="E284" s="102"/>
      <c r="F284" s="102"/>
      <c r="G284" s="102"/>
      <c r="H284" s="104"/>
      <c r="I284" s="37" t="s">
        <v>176</v>
      </c>
      <c r="J284" s="39">
        <f>(IF(B274&gt;4,(H274/(B274+2)+J283),0))</f>
        <v>0</v>
      </c>
    </row>
    <row r="285" spans="1:15" ht="15.75" customHeight="1" x14ac:dyDescent="0.35">
      <c r="A285" s="98" t="s">
        <v>165</v>
      </c>
      <c r="B285" s="99" t="s">
        <v>165</v>
      </c>
      <c r="C285" s="58">
        <v>0</v>
      </c>
      <c r="D285" s="59">
        <f ca="1">((100/(H274))*C285)/100</f>
        <v>0</v>
      </c>
      <c r="E285" s="102"/>
      <c r="F285" s="102"/>
      <c r="G285" s="102"/>
      <c r="H285" s="104"/>
      <c r="I285" s="37" t="s">
        <v>178</v>
      </c>
      <c r="J285" s="39">
        <f ca="1">(IF(B274=1,(H274/(B274+3)+J280),IF(B274=0,(H274/4+J280),IF(B274&gt;1,0))))</f>
        <v>10.5</v>
      </c>
    </row>
    <row r="286" spans="1:15" ht="16" thickBot="1" x14ac:dyDescent="0.4">
      <c r="A286" s="100" t="s">
        <v>166</v>
      </c>
      <c r="B286" s="101"/>
      <c r="C286" s="61">
        <v>0</v>
      </c>
      <c r="D286" s="62">
        <f ca="1">((100/(H274))*C286)/100</f>
        <v>0</v>
      </c>
      <c r="E286" s="103"/>
      <c r="F286" s="103"/>
      <c r="G286" s="103"/>
      <c r="H286" s="105"/>
      <c r="I286" s="41" t="s">
        <v>131</v>
      </c>
      <c r="J286" s="42">
        <f ca="1">(IF(B274&gt;1.5,(H274/(B274+2)+J280+MAX(0,J281-J280)+MAX(0,J282-J281)+MAX(0,J283-J282)+MAX(0,J284-J283)+MAX(0,J285-J284)),IF(B274=1,(H274/(B274+3)+J285),IF(B274=0,H274/4+J285))))</f>
        <v>14</v>
      </c>
    </row>
    <row r="287" spans="1:15" x14ac:dyDescent="0.35">
      <c r="A287" s="121" t="s">
        <v>145</v>
      </c>
      <c r="B287" s="122"/>
      <c r="C287" s="122"/>
      <c r="D287" s="122"/>
      <c r="E287" s="123"/>
      <c r="F287" s="121" t="str">
        <f ca="1">(IF(D88="Nothing","Yes",IF(D88="Cement, Aggregate, Steel, etc","Under Construction",IF(D88="Work not yet Started","Work not yet Started"))))</f>
        <v>Yes</v>
      </c>
      <c r="G287" s="122"/>
      <c r="H287" s="123"/>
    </row>
    <row r="288" spans="1:15" x14ac:dyDescent="0.35">
      <c r="A288" s="133" t="s">
        <v>52</v>
      </c>
      <c r="B288" s="133"/>
      <c r="C288" s="133"/>
      <c r="D288" s="133"/>
      <c r="E288" s="133"/>
      <c r="F288" s="133"/>
      <c r="G288" s="133"/>
      <c r="H288" s="133"/>
    </row>
    <row r="289" spans="1:13" ht="15" customHeight="1" x14ac:dyDescent="0.35">
      <c r="A289" s="151" t="s">
        <v>101</v>
      </c>
      <c r="B289" s="151"/>
      <c r="C289" s="173" t="s">
        <v>102</v>
      </c>
      <c r="D289" s="173"/>
      <c r="E289" s="173"/>
      <c r="F289" s="173"/>
      <c r="G289" s="173"/>
      <c r="H289" s="173"/>
    </row>
    <row r="290" spans="1:13" x14ac:dyDescent="0.35">
      <c r="A290" s="155" t="s">
        <v>53</v>
      </c>
      <c r="B290" s="155"/>
      <c r="C290" s="155"/>
      <c r="D290" s="155"/>
      <c r="E290" s="155"/>
      <c r="F290" s="155"/>
      <c r="G290" s="155"/>
      <c r="H290" s="155"/>
    </row>
    <row r="291" spans="1:13" x14ac:dyDescent="0.35">
      <c r="A291" s="133" t="s">
        <v>103</v>
      </c>
      <c r="B291" s="133"/>
      <c r="C291" s="133"/>
      <c r="D291" s="133"/>
      <c r="E291" s="133"/>
      <c r="F291" s="151">
        <v>6900</v>
      </c>
      <c r="G291" s="151"/>
      <c r="H291" s="151"/>
      <c r="I291" s="49" t="s">
        <v>329</v>
      </c>
      <c r="J291" s="50" t="s">
        <v>330</v>
      </c>
      <c r="K291" s="50" t="s">
        <v>331</v>
      </c>
      <c r="L291" s="51">
        <v>44781</v>
      </c>
      <c r="M291" s="48"/>
    </row>
    <row r="292" spans="1:13" x14ac:dyDescent="0.35">
      <c r="A292" s="133" t="s">
        <v>109</v>
      </c>
      <c r="B292" s="133"/>
      <c r="C292" s="133"/>
      <c r="D292" s="133"/>
      <c r="E292" s="133"/>
      <c r="F292" s="132">
        <v>9000</v>
      </c>
      <c r="G292" s="132"/>
      <c r="H292" s="132"/>
      <c r="I292" s="75" t="s">
        <v>339</v>
      </c>
      <c r="J292" s="76" t="s">
        <v>340</v>
      </c>
      <c r="K292" s="76" t="s">
        <v>331</v>
      </c>
      <c r="L292" s="77">
        <v>44977</v>
      </c>
      <c r="M292" s="48"/>
    </row>
    <row r="293" spans="1:13" s="12" customFormat="1" ht="15.75" hidden="1" customHeight="1" x14ac:dyDescent="0.3">
      <c r="A293" s="133" t="s">
        <v>124</v>
      </c>
      <c r="B293" s="133"/>
      <c r="C293" s="133"/>
      <c r="D293" s="133"/>
      <c r="E293" s="133"/>
      <c r="F293" s="132" t="s">
        <v>30</v>
      </c>
      <c r="G293" s="132"/>
      <c r="H293" s="132"/>
      <c r="I293" s="48"/>
      <c r="J293" s="48"/>
      <c r="K293" s="48"/>
      <c r="L293" s="48"/>
      <c r="M293" s="48"/>
    </row>
    <row r="294" spans="1:13" s="12" customFormat="1" x14ac:dyDescent="0.3">
      <c r="A294" s="133" t="s">
        <v>312</v>
      </c>
      <c r="B294" s="133"/>
      <c r="C294" s="133"/>
      <c r="D294" s="133"/>
      <c r="E294" s="133"/>
      <c r="F294" s="132" t="s">
        <v>239</v>
      </c>
      <c r="G294" s="132"/>
      <c r="H294" s="132"/>
      <c r="I294" s="48" t="s">
        <v>363</v>
      </c>
      <c r="J294" s="48" t="s">
        <v>364</v>
      </c>
      <c r="K294" s="48" t="s">
        <v>365</v>
      </c>
      <c r="L294" s="80">
        <v>45372</v>
      </c>
      <c r="M294" s="48"/>
    </row>
    <row r="295" spans="1:13" s="12" customFormat="1" x14ac:dyDescent="0.3">
      <c r="A295" s="133" t="s">
        <v>125</v>
      </c>
      <c r="B295" s="133"/>
      <c r="C295" s="133"/>
      <c r="D295" s="133"/>
      <c r="E295" s="133"/>
      <c r="F295" s="132" t="s">
        <v>234</v>
      </c>
      <c r="G295" s="132"/>
      <c r="H295" s="132"/>
      <c r="I295" s="12" t="s">
        <v>369</v>
      </c>
    </row>
    <row r="296" spans="1:13" s="12" customFormat="1" x14ac:dyDescent="0.3">
      <c r="A296" s="133" t="s">
        <v>209</v>
      </c>
      <c r="B296" s="133"/>
      <c r="C296" s="133"/>
      <c r="D296" s="133"/>
      <c r="E296" s="133"/>
      <c r="F296" s="132" t="s">
        <v>235</v>
      </c>
      <c r="G296" s="132"/>
      <c r="H296" s="132"/>
      <c r="I296" s="12" t="s">
        <v>370</v>
      </c>
    </row>
    <row r="297" spans="1:13" s="12" customFormat="1" x14ac:dyDescent="0.3">
      <c r="A297" s="133" t="s">
        <v>210</v>
      </c>
      <c r="B297" s="133"/>
      <c r="C297" s="133"/>
      <c r="D297" s="133"/>
      <c r="E297" s="133"/>
      <c r="F297" s="132" t="s">
        <v>236</v>
      </c>
      <c r="G297" s="132"/>
      <c r="H297" s="132"/>
    </row>
    <row r="298" spans="1:13" s="12" customFormat="1" x14ac:dyDescent="0.3">
      <c r="A298" s="133" t="s">
        <v>126</v>
      </c>
      <c r="B298" s="133"/>
      <c r="C298" s="133"/>
      <c r="D298" s="133"/>
      <c r="E298" s="133"/>
      <c r="F298" s="132" t="s">
        <v>237</v>
      </c>
      <c r="G298" s="132"/>
      <c r="H298" s="132"/>
    </row>
    <row r="299" spans="1:13" s="12" customFormat="1" x14ac:dyDescent="0.3">
      <c r="A299" s="133" t="s">
        <v>238</v>
      </c>
      <c r="B299" s="133"/>
      <c r="C299" s="133"/>
      <c r="D299" s="133"/>
      <c r="E299" s="133"/>
      <c r="F299" s="132" t="s">
        <v>313</v>
      </c>
      <c r="G299" s="132"/>
      <c r="H299" s="132"/>
    </row>
    <row r="300" spans="1:13" x14ac:dyDescent="0.35">
      <c r="A300" s="133" t="s">
        <v>54</v>
      </c>
      <c r="B300" s="133"/>
      <c r="C300" s="133"/>
      <c r="D300" s="133"/>
      <c r="E300" s="133"/>
      <c r="F300" s="154" t="s">
        <v>362</v>
      </c>
      <c r="G300" s="154"/>
      <c r="H300" s="154"/>
    </row>
    <row r="301" spans="1:13" s="9" customFormat="1" x14ac:dyDescent="0.35">
      <c r="A301" s="155" t="s">
        <v>55</v>
      </c>
      <c r="B301" s="155"/>
      <c r="C301" s="155"/>
      <c r="D301" s="155"/>
      <c r="E301" s="155"/>
      <c r="F301" s="132">
        <f>F291*0.8</f>
        <v>5520</v>
      </c>
      <c r="G301" s="132"/>
      <c r="H301" s="132"/>
    </row>
    <row r="302" spans="1:13" s="1" customFormat="1" ht="15.75" customHeight="1" x14ac:dyDescent="0.35">
      <c r="A302" s="135" t="s">
        <v>256</v>
      </c>
      <c r="B302" s="135"/>
      <c r="C302" s="135"/>
      <c r="D302" s="135"/>
      <c r="E302" s="135"/>
      <c r="F302" s="135"/>
      <c r="G302" s="135"/>
      <c r="H302" s="135"/>
    </row>
    <row r="303" spans="1:13" s="1" customFormat="1" ht="15.75" customHeight="1" x14ac:dyDescent="0.35">
      <c r="A303" s="134" t="s">
        <v>56</v>
      </c>
      <c r="B303" s="134"/>
      <c r="C303" s="125" t="s">
        <v>106</v>
      </c>
      <c r="D303" s="125"/>
      <c r="E303" s="160" t="s">
        <v>57</v>
      </c>
      <c r="F303" s="160"/>
      <c r="G303" s="134" t="s">
        <v>58</v>
      </c>
      <c r="H303" s="134"/>
    </row>
    <row r="304" spans="1:13" s="1" customFormat="1" x14ac:dyDescent="0.35">
      <c r="A304" s="131" t="s">
        <v>214</v>
      </c>
      <c r="B304" s="131"/>
      <c r="C304" s="129">
        <f>COUNT(D362:D366)</f>
        <v>5</v>
      </c>
      <c r="D304" s="130"/>
      <c r="E304" s="129">
        <f>SUM(D362:D366)</f>
        <v>1350.6667199999999</v>
      </c>
      <c r="F304" s="130"/>
      <c r="G304" s="129">
        <f>SUM(F362:F366)</f>
        <v>2161.0667519999997</v>
      </c>
      <c r="H304" s="130"/>
    </row>
    <row r="305" spans="1:8" s="1" customFormat="1" x14ac:dyDescent="0.35">
      <c r="A305" s="131" t="s">
        <v>215</v>
      </c>
      <c r="B305" s="131"/>
      <c r="C305" s="129">
        <f>COUNT(D369:D372)</f>
        <v>4</v>
      </c>
      <c r="D305" s="130"/>
      <c r="E305" s="129">
        <f>SUM(D369:D372)</f>
        <v>1000.4061599999999</v>
      </c>
      <c r="F305" s="130"/>
      <c r="G305" s="129">
        <f>SUM(F369:F372)</f>
        <v>1600.6498559999998</v>
      </c>
      <c r="H305" s="130"/>
    </row>
    <row r="306" spans="1:8" s="1" customFormat="1" x14ac:dyDescent="0.35">
      <c r="A306" s="131" t="s">
        <v>216</v>
      </c>
      <c r="B306" s="131"/>
      <c r="C306" s="129">
        <f>COUNT(D375:D379)</f>
        <v>5</v>
      </c>
      <c r="D306" s="130"/>
      <c r="E306" s="129">
        <f>SUM(D375:D379)</f>
        <v>1347.2222399999998</v>
      </c>
      <c r="F306" s="130"/>
      <c r="G306" s="129">
        <f>SUM(F375:F379)</f>
        <v>2155.5555839999997</v>
      </c>
      <c r="H306" s="130"/>
    </row>
    <row r="307" spans="1:8" s="1" customFormat="1" x14ac:dyDescent="0.35">
      <c r="A307" s="131" t="s">
        <v>201</v>
      </c>
      <c r="B307" s="131"/>
      <c r="C307" s="129">
        <f>COUNT(D382:D388)</f>
        <v>7</v>
      </c>
      <c r="D307" s="130"/>
      <c r="E307" s="129">
        <f>SUM(D382:D388)</f>
        <v>1535.8075199999998</v>
      </c>
      <c r="F307" s="130"/>
      <c r="G307" s="129">
        <f>SUM(F382:F388)</f>
        <v>2457.2920320000003</v>
      </c>
      <c r="H307" s="130"/>
    </row>
    <row r="308" spans="1:8" s="1" customFormat="1" x14ac:dyDescent="0.35">
      <c r="A308" s="131" t="s">
        <v>202</v>
      </c>
      <c r="B308" s="131"/>
      <c r="C308" s="129">
        <f>COUNT(D391:D396)</f>
        <v>6</v>
      </c>
      <c r="D308" s="130"/>
      <c r="E308" s="129">
        <f>SUM(D391:D396)</f>
        <v>1211.59584</v>
      </c>
      <c r="F308" s="130"/>
      <c r="G308" s="129">
        <f>SUM(F391:F396)</f>
        <v>1938.5533439999999</v>
      </c>
      <c r="H308" s="130"/>
    </row>
    <row r="309" spans="1:8" s="1" customFormat="1" x14ac:dyDescent="0.35">
      <c r="A309" s="135" t="s">
        <v>60</v>
      </c>
      <c r="B309" s="135"/>
      <c r="C309" s="124">
        <f>SUM(C304:D308)</f>
        <v>27</v>
      </c>
      <c r="D309" s="125"/>
      <c r="E309" s="124">
        <f>SUM(E304:F308)</f>
        <v>6445.6984799999991</v>
      </c>
      <c r="F309" s="125"/>
      <c r="G309" s="124">
        <f>SUM(G304:H308)</f>
        <v>10313.117568</v>
      </c>
      <c r="H309" s="125"/>
    </row>
    <row r="310" spans="1:8" s="1" customFormat="1" x14ac:dyDescent="0.35">
      <c r="A310" s="135" t="s">
        <v>295</v>
      </c>
      <c r="B310" s="135"/>
      <c r="C310" s="135"/>
      <c r="D310" s="135"/>
      <c r="E310" s="135"/>
      <c r="F310" s="135"/>
      <c r="G310" s="135"/>
      <c r="H310" s="135"/>
    </row>
    <row r="311" spans="1:8" s="1" customFormat="1" ht="15.75" customHeight="1" x14ac:dyDescent="0.35">
      <c r="A311" s="134" t="s">
        <v>56</v>
      </c>
      <c r="B311" s="134"/>
      <c r="C311" s="125" t="s">
        <v>106</v>
      </c>
      <c r="D311" s="125"/>
      <c r="E311" s="160" t="s">
        <v>57</v>
      </c>
      <c r="F311" s="160"/>
      <c r="G311" s="134" t="s">
        <v>58</v>
      </c>
      <c r="H311" s="134"/>
    </row>
    <row r="312" spans="1:8" s="1" customFormat="1" x14ac:dyDescent="0.35">
      <c r="A312" s="131" t="s">
        <v>291</v>
      </c>
      <c r="B312" s="131"/>
      <c r="C312" s="130">
        <f>COUNT(D400:D406)</f>
        <v>7</v>
      </c>
      <c r="D312" s="130"/>
      <c r="E312" s="136">
        <f>SUM(D400:D406)</f>
        <v>1535.8075199999998</v>
      </c>
      <c r="F312" s="136"/>
      <c r="G312" s="136">
        <f>SUM(F400:F406)</f>
        <v>2457.2920320000003</v>
      </c>
      <c r="H312" s="136"/>
    </row>
    <row r="313" spans="1:8" s="1" customFormat="1" x14ac:dyDescent="0.35">
      <c r="A313" s="131" t="s">
        <v>292</v>
      </c>
      <c r="B313" s="131"/>
      <c r="C313" s="130">
        <f>COUNT(D409:D414)</f>
        <v>6</v>
      </c>
      <c r="D313" s="130"/>
      <c r="E313" s="136">
        <f>SUM(D409:D414)</f>
        <v>1211.59584</v>
      </c>
      <c r="F313" s="136"/>
      <c r="G313" s="136">
        <f>SUM(F409:F414)</f>
        <v>1938.5533439999999</v>
      </c>
      <c r="H313" s="136"/>
    </row>
    <row r="314" spans="1:8" s="1" customFormat="1" x14ac:dyDescent="0.35">
      <c r="A314" s="131" t="s">
        <v>293</v>
      </c>
      <c r="B314" s="131"/>
      <c r="C314" s="130">
        <f>COUNT(D417:D426)</f>
        <v>10</v>
      </c>
      <c r="D314" s="130"/>
      <c r="E314" s="136">
        <f>SUM(D417:D426)</f>
        <v>2264.9608799999996</v>
      </c>
      <c r="F314" s="136"/>
      <c r="G314" s="136">
        <f>SUM(F417:F426)</f>
        <v>3623.9374080000002</v>
      </c>
      <c r="H314" s="136"/>
    </row>
    <row r="315" spans="1:8" s="1" customFormat="1" x14ac:dyDescent="0.35">
      <c r="A315" s="131" t="s">
        <v>294</v>
      </c>
      <c r="B315" s="131"/>
      <c r="C315" s="130">
        <f>COUNT(D429:D434)</f>
        <v>6</v>
      </c>
      <c r="D315" s="130"/>
      <c r="E315" s="136">
        <f>SUM(D429:D434)</f>
        <v>1346.1458399999999</v>
      </c>
      <c r="F315" s="136"/>
      <c r="G315" s="136">
        <f>SUM(F429:F434)</f>
        <v>2153.8333439999997</v>
      </c>
      <c r="H315" s="136"/>
    </row>
    <row r="316" spans="1:8" s="1" customFormat="1" x14ac:dyDescent="0.35">
      <c r="A316" s="135" t="s">
        <v>60</v>
      </c>
      <c r="B316" s="135"/>
      <c r="C316" s="125">
        <f>SUM(C312:D315)</f>
        <v>29</v>
      </c>
      <c r="D316" s="125"/>
      <c r="E316" s="141">
        <f>SUM(E312:F315)</f>
        <v>6358.5100799999991</v>
      </c>
      <c r="F316" s="141"/>
      <c r="G316" s="141">
        <f>SUM(G312:H315)</f>
        <v>10173.616128000001</v>
      </c>
      <c r="H316" s="141"/>
    </row>
    <row r="317" spans="1:8" s="1" customFormat="1" x14ac:dyDescent="0.35">
      <c r="A317" s="135" t="s">
        <v>296</v>
      </c>
      <c r="B317" s="135"/>
      <c r="C317" s="135"/>
      <c r="D317" s="135"/>
      <c r="E317" s="135"/>
      <c r="F317" s="135"/>
      <c r="G317" s="135"/>
      <c r="H317" s="135"/>
    </row>
    <row r="318" spans="1:8" s="1" customFormat="1" ht="15.75" customHeight="1" x14ac:dyDescent="0.35">
      <c r="A318" s="134" t="s">
        <v>56</v>
      </c>
      <c r="B318" s="134"/>
      <c r="C318" s="125" t="s">
        <v>106</v>
      </c>
      <c r="D318" s="125"/>
      <c r="E318" s="160" t="s">
        <v>57</v>
      </c>
      <c r="F318" s="160"/>
      <c r="G318" s="134" t="s">
        <v>58</v>
      </c>
      <c r="H318" s="134"/>
    </row>
    <row r="319" spans="1:8" s="1" customFormat="1" x14ac:dyDescent="0.35">
      <c r="A319" s="131" t="s">
        <v>297</v>
      </c>
      <c r="B319" s="131"/>
      <c r="C319" s="130">
        <f>COUNT(D438:D441)</f>
        <v>4</v>
      </c>
      <c r="D319" s="130"/>
      <c r="E319" s="136">
        <f>SUM(D438:D441)</f>
        <v>1225.4813999999999</v>
      </c>
      <c r="F319" s="136"/>
      <c r="G319" s="136">
        <f>SUM(F438:F441)</f>
        <v>1960.7702400000001</v>
      </c>
      <c r="H319" s="136"/>
    </row>
    <row r="320" spans="1:8" s="1" customFormat="1" x14ac:dyDescent="0.35">
      <c r="A320" s="131" t="s">
        <v>298</v>
      </c>
      <c r="B320" s="131"/>
      <c r="C320" s="130">
        <f>COUNT(D444:D457)</f>
        <v>14</v>
      </c>
      <c r="D320" s="130"/>
      <c r="E320" s="136">
        <f>SUM(D444:D457)</f>
        <v>2764.8410399999998</v>
      </c>
      <c r="F320" s="136"/>
      <c r="G320" s="136">
        <f>SUM(F444:F457)</f>
        <v>4423.7456639999991</v>
      </c>
      <c r="H320" s="136"/>
    </row>
    <row r="321" spans="1:9" s="1" customFormat="1" x14ac:dyDescent="0.35">
      <c r="A321" s="131" t="s">
        <v>299</v>
      </c>
      <c r="B321" s="131"/>
      <c r="C321" s="130">
        <f>COUNT(D460:D463)</f>
        <v>4</v>
      </c>
      <c r="D321" s="130"/>
      <c r="E321" s="136">
        <f>SUM(D460:D463)</f>
        <v>1225.4813999999999</v>
      </c>
      <c r="F321" s="136"/>
      <c r="G321" s="136">
        <f>SUM(F460:F463)</f>
        <v>1960.7702400000001</v>
      </c>
      <c r="H321" s="136"/>
    </row>
    <row r="322" spans="1:9" s="1" customFormat="1" x14ac:dyDescent="0.35">
      <c r="A322" s="131" t="s">
        <v>300</v>
      </c>
      <c r="B322" s="131"/>
      <c r="C322" s="130">
        <f>COUNT(D466:D469)</f>
        <v>4</v>
      </c>
      <c r="D322" s="130"/>
      <c r="E322" s="136">
        <f>SUM(D466:D469)</f>
        <v>1225.4813999999999</v>
      </c>
      <c r="F322" s="136"/>
      <c r="G322" s="136">
        <f>SUM(F466:F469)</f>
        <v>1960.7702400000001</v>
      </c>
      <c r="H322" s="136"/>
    </row>
    <row r="323" spans="1:9" s="1" customFormat="1" x14ac:dyDescent="0.35">
      <c r="A323" s="135" t="s">
        <v>60</v>
      </c>
      <c r="B323" s="135"/>
      <c r="C323" s="125">
        <f>SUM(C319:D322)</f>
        <v>26</v>
      </c>
      <c r="D323" s="125"/>
      <c r="E323" s="141">
        <f>SUM(E319:F322)</f>
        <v>6441.2852399999992</v>
      </c>
      <c r="F323" s="141"/>
      <c r="G323" s="141">
        <f>SUM(G319:H322)</f>
        <v>10306.056384</v>
      </c>
      <c r="H323" s="141"/>
    </row>
    <row r="324" spans="1:9" s="1" customFormat="1" x14ac:dyDescent="0.35">
      <c r="A324" s="135" t="s">
        <v>257</v>
      </c>
      <c r="B324" s="135"/>
      <c r="C324" s="135"/>
      <c r="D324" s="135"/>
      <c r="E324" s="135"/>
      <c r="F324" s="135"/>
      <c r="G324" s="135"/>
      <c r="H324" s="135"/>
    </row>
    <row r="325" spans="1:9" s="1" customFormat="1" ht="15.75" customHeight="1" x14ac:dyDescent="0.35">
      <c r="A325" s="134" t="s">
        <v>56</v>
      </c>
      <c r="B325" s="134"/>
      <c r="C325" s="125" t="s">
        <v>106</v>
      </c>
      <c r="D325" s="125"/>
      <c r="E325" s="160" t="s">
        <v>57</v>
      </c>
      <c r="F325" s="160"/>
      <c r="G325" s="134" t="s">
        <v>58</v>
      </c>
      <c r="H325" s="134"/>
    </row>
    <row r="326" spans="1:9" s="1" customFormat="1" x14ac:dyDescent="0.35">
      <c r="A326" s="131" t="s">
        <v>213</v>
      </c>
      <c r="B326" s="131"/>
      <c r="C326" s="130">
        <f>COUNT(D476:D479)+COUNT(D481:D484)*5+COUNT(D486:D489)*6+COUNT(D491:D493)*2</f>
        <v>54</v>
      </c>
      <c r="D326" s="130"/>
      <c r="E326" s="136">
        <f>SUM(D476:D479)+SUM(D481:D484)*5+SUM(D486:D489)*6+SUM(D491:D493)*2</f>
        <v>31827.727151999996</v>
      </c>
      <c r="F326" s="136"/>
      <c r="G326" s="136">
        <f>SUM(F476:F479)+SUM(F481:F484)*5+SUM(F486:F489)*6+SUM(F491:F493)*2</f>
        <v>50286.09268799999</v>
      </c>
      <c r="H326" s="136"/>
    </row>
    <row r="327" spans="1:9" s="1" customFormat="1" x14ac:dyDescent="0.35">
      <c r="A327" s="131" t="s">
        <v>215</v>
      </c>
      <c r="B327" s="131"/>
      <c r="C327" s="130">
        <f>COUNT(D496:D499)+COUNT(D501:D504)*5+COUNT(D506:D509)*6+COUNT(D511:D513)*2</f>
        <v>54</v>
      </c>
      <c r="D327" s="130"/>
      <c r="E327" s="136">
        <f>SUM(D496:D499)+SUM(D501:D504)*5+SUM(D506:D509)*6+SUM(D511:D513)*2</f>
        <v>31827.727151999996</v>
      </c>
      <c r="F327" s="136"/>
      <c r="G327" s="136">
        <f>SUM(F496:F499)+SUM(F501:F504)*5+SUM(F506:F509)*6+SUM(F511:F513)*2</f>
        <v>50286.09268799999</v>
      </c>
      <c r="H327" s="136"/>
    </row>
    <row r="328" spans="1:9" s="1" customFormat="1" x14ac:dyDescent="0.35">
      <c r="A328" s="131" t="s">
        <v>216</v>
      </c>
      <c r="B328" s="131"/>
      <c r="C328" s="130">
        <f>COUNT(D516:D519)+COUNT(D521:D524)*5+COUNT(D526:D529)*6+COUNT(D531:D533)*2</f>
        <v>54</v>
      </c>
      <c r="D328" s="130"/>
      <c r="E328" s="136">
        <f>SUM(D516:D519)+SUM(D521:D524)*5+SUM(D526:D529)*6+SUM(D531:D533)*2</f>
        <v>31827.727151999996</v>
      </c>
      <c r="F328" s="136"/>
      <c r="G328" s="136">
        <f>SUM(F516:F519)+SUM(F521:F524)*5+SUM(F526:F529)*6+SUM(F531:F533)*2</f>
        <v>50286.09268799999</v>
      </c>
      <c r="H328" s="136"/>
    </row>
    <row r="329" spans="1:9" s="1" customFormat="1" x14ac:dyDescent="0.35">
      <c r="A329" s="131" t="s">
        <v>201</v>
      </c>
      <c r="B329" s="131"/>
      <c r="C329" s="130">
        <f>COUNT(D536:D539)+COUNT(D541:D544)*4+COUNT(D546:D549)*6+COUNT(D551:D553)*2+COUNT(D555,D557:D558)</f>
        <v>53</v>
      </c>
      <c r="D329" s="130"/>
      <c r="E329" s="136">
        <f>SUM(D536:D539)+SUM(D541:D544)*4+SUM(D546:D549)*6+SUM(D551:D553)*2+SUM(D555,D557:D558)</f>
        <v>32619.661541999994</v>
      </c>
      <c r="F329" s="136"/>
      <c r="G329" s="136">
        <f>SUM(F536:F539)+SUM(F541:F544)*4+SUM(F546:F549)*6+SUM(F551:F553)*2+SUM(F555,F557:F558)</f>
        <v>51301.93173299999</v>
      </c>
      <c r="H329" s="136"/>
      <c r="I329" s="1">
        <f>53+53</f>
        <v>106</v>
      </c>
    </row>
    <row r="330" spans="1:9" s="1" customFormat="1" x14ac:dyDescent="0.35">
      <c r="A330" s="131" t="s">
        <v>202</v>
      </c>
      <c r="B330" s="131"/>
      <c r="C330" s="130">
        <f>COUNT(D561:D564)+COUNT(D566:D569)*4+COUNT(D571:D574)*6+COUNT(D576:D578)*2+COUNT(D580,D582:D583)</f>
        <v>53</v>
      </c>
      <c r="D330" s="130"/>
      <c r="E330" s="136">
        <f>SUM(D561:D564)+SUM(D566:D569)*4+SUM(D571:D574)*6+SUM(D576:D578)*2+SUM(D580,D582:D583)</f>
        <v>32324.189741999999</v>
      </c>
      <c r="F330" s="136"/>
      <c r="G330" s="136">
        <f>SUM(F561:F564)+SUM(F566:F569)*4+SUM(F571:F574)*6+SUM(F576:F578)*2+SUM(F580,F582:F583)</f>
        <v>50858.724032999991</v>
      </c>
      <c r="H330" s="136"/>
    </row>
    <row r="331" spans="1:9" s="1" customFormat="1" x14ac:dyDescent="0.35">
      <c r="A331" s="131" t="s">
        <v>240</v>
      </c>
      <c r="B331" s="131"/>
      <c r="C331" s="130">
        <f>COUNT(D588:D589)+COUNT(D591:D594)+COUNT(D596:D599)*4+COUNT(D601:D604)*6+COUNT(D606:D608)*2+COUNT(D610,D612:D613)</f>
        <v>55</v>
      </c>
      <c r="D331" s="130"/>
      <c r="E331" s="136">
        <f>SUM(D588:D589)+SUM(D591:D594)+SUM(D596:D599)*4+SUM(D601:D604)*6+SUM(D606:D608)*2+SUM(D610,D612:D613)</f>
        <v>36032.624549999993</v>
      </c>
      <c r="F331" s="136"/>
      <c r="G331" s="136">
        <f>SUM(F588:F589)+SUM(F591:F594)+SUM(F596:F599)*4+SUM(F601:F604)*6+SUM(F606:F608)*2+SUM(F610,F612:F613)</f>
        <v>56429.664525</v>
      </c>
      <c r="H331" s="136"/>
      <c r="I331" s="1">
        <v>56</v>
      </c>
    </row>
    <row r="332" spans="1:9" s="1" customFormat="1" x14ac:dyDescent="0.35">
      <c r="A332" s="131" t="s">
        <v>241</v>
      </c>
      <c r="B332" s="131"/>
      <c r="C332" s="130">
        <f>COUNT(D618:D619)+COUNT(D621:D624)+COUNT(D626:D629)*4+COUNT(D631:D634)*6+COUNT(D636:D638)*2+COUNT(D640,D642:D643)</f>
        <v>55</v>
      </c>
      <c r="D332" s="130"/>
      <c r="E332" s="136">
        <f>SUM(D618:D619)+SUM(D621:D624)+SUM(D626:D629)*4+SUM(D631:D634)*6+SUM(D636:D638)*2+SUM(D640,D642:D643)</f>
        <v>36032.624549999993</v>
      </c>
      <c r="F332" s="136"/>
      <c r="G332" s="136">
        <f>SUM(F618:F619)+SUM(F621:F624)+SUM(F626:F629)*4+SUM(F631:F634)*6+SUM(F636:F638)*2+SUM(F640,F642:F643)</f>
        <v>56429.664525</v>
      </c>
      <c r="H332" s="136"/>
      <c r="I332" s="1">
        <v>56</v>
      </c>
    </row>
    <row r="333" spans="1:9" s="1" customFormat="1" x14ac:dyDescent="0.35">
      <c r="A333" s="131" t="s">
        <v>245</v>
      </c>
      <c r="B333" s="131"/>
      <c r="C333" s="130">
        <f>COUNT(D647:D654)*7+COUNT(D656:D663)*5+COUNT(D665:D669,D671:D672)*2</f>
        <v>110</v>
      </c>
      <c r="D333" s="130"/>
      <c r="E333" s="158">
        <f t="shared" ref="E333" si="0">SUM(D647:D654)*7+SUM(D656:D663)*5+SUM(D665:D669,D671:D672)*2</f>
        <v>51210.106739999988</v>
      </c>
      <c r="F333" s="159"/>
      <c r="G333" s="158">
        <f>SUM(F647:F654)*7+SUM(F656:F663)*5+SUM(F665:F669,F671:F672)*2</f>
        <v>82232.143110000005</v>
      </c>
      <c r="H333" s="159"/>
    </row>
    <row r="334" spans="1:9" s="1" customFormat="1" x14ac:dyDescent="0.35">
      <c r="A334" s="131" t="s">
        <v>246</v>
      </c>
      <c r="B334" s="131"/>
      <c r="C334" s="130">
        <f>COUNT(D676:D683)*7+COUNT(D685:D692)*5+COUNT(D694,D696:D701)*2</f>
        <v>110</v>
      </c>
      <c r="D334" s="130"/>
      <c r="E334" s="136">
        <f t="shared" ref="E334" si="1">SUM(D676:D683)*7+SUM(D685:D692)*5+SUM(D694,D696:D701)*2</f>
        <v>51109.786259999986</v>
      </c>
      <c r="F334" s="136"/>
      <c r="G334" s="136">
        <f>SUM(F676:F683)*7+SUM(F685:F692)*5+SUM(F694,F696:F701)*2</f>
        <v>81359.397990000012</v>
      </c>
      <c r="H334" s="136"/>
      <c r="I334" s="1">
        <f>440/4</f>
        <v>110</v>
      </c>
    </row>
    <row r="335" spans="1:9" s="1" customFormat="1" x14ac:dyDescent="0.35">
      <c r="A335" s="131" t="s">
        <v>247</v>
      </c>
      <c r="B335" s="131"/>
      <c r="C335" s="130">
        <f>COUNT(D705:D712)*7+COUNT(D714:D721)*5+COUNT(D723:D727,D729:D730)*2</f>
        <v>110</v>
      </c>
      <c r="D335" s="130"/>
      <c r="E335" s="136">
        <f>SUM(D705:D712)*7+SUM(D714:D721)*5+SUM(D723:D727,D729:D730)*2</f>
        <v>51210.106739999988</v>
      </c>
      <c r="F335" s="136"/>
      <c r="G335" s="136">
        <f>SUM(F705:F712)*7+SUM(F714:F721)*5+SUM(F723:F727,F729:F730)*2</f>
        <v>82232.143110000005</v>
      </c>
      <c r="H335" s="136"/>
    </row>
    <row r="336" spans="1:9" s="1" customFormat="1" x14ac:dyDescent="0.35">
      <c r="A336" s="135" t="s">
        <v>60</v>
      </c>
      <c r="B336" s="135"/>
      <c r="C336" s="125">
        <f>SUM(C326:D335)</f>
        <v>708</v>
      </c>
      <c r="D336" s="125"/>
      <c r="E336" s="141">
        <f>SUM(E326:F335)</f>
        <v>386022.28157999984</v>
      </c>
      <c r="F336" s="141"/>
      <c r="G336" s="141">
        <f>SUM(G326:H335)</f>
        <v>611701.94708999991</v>
      </c>
      <c r="H336" s="141"/>
    </row>
    <row r="337" spans="1:9" s="1" customFormat="1" x14ac:dyDescent="0.35">
      <c r="A337" s="135" t="s">
        <v>290</v>
      </c>
      <c r="B337" s="135"/>
      <c r="C337" s="135"/>
      <c r="D337" s="135"/>
      <c r="E337" s="135"/>
      <c r="F337" s="135"/>
      <c r="G337" s="135"/>
      <c r="H337" s="135"/>
    </row>
    <row r="338" spans="1:9" s="1" customFormat="1" ht="15.75" customHeight="1" x14ac:dyDescent="0.35">
      <c r="A338" s="134" t="s">
        <v>56</v>
      </c>
      <c r="B338" s="134"/>
      <c r="C338" s="125" t="s">
        <v>106</v>
      </c>
      <c r="D338" s="125"/>
      <c r="E338" s="160" t="s">
        <v>57</v>
      </c>
      <c r="F338" s="160"/>
      <c r="G338" s="134" t="s">
        <v>58</v>
      </c>
      <c r="H338" s="134"/>
    </row>
    <row r="339" spans="1:9" s="1" customFormat="1" x14ac:dyDescent="0.35">
      <c r="A339" s="131" t="s">
        <v>291</v>
      </c>
      <c r="B339" s="131"/>
      <c r="C339" s="130">
        <f>COUNT(D734:D737)+COUNT(D739:D742)*4+COUNT(D744:D747)*6+COUNT(D749:D751)*2+COUNT(D753,D755:D756)</f>
        <v>53</v>
      </c>
      <c r="D339" s="130"/>
      <c r="E339" s="136">
        <f>SUM(D734:D737)+SUM(D739:D742)*4+SUM(D744:D747)*6+SUM(D749:D751)*2+SUM(D753,D755:D756)</f>
        <v>32285.008781999994</v>
      </c>
      <c r="F339" s="136"/>
      <c r="G339" s="136">
        <f>SUM(F734:F737)+SUM(F739:F742)*4+SUM(F744:F747)*6+SUM(F749:F751)*2+SUM(F753,F755:F756)</f>
        <v>50995.749752999996</v>
      </c>
      <c r="H339" s="136"/>
      <c r="I339" s="1">
        <f>53+53</f>
        <v>106</v>
      </c>
    </row>
    <row r="340" spans="1:9" s="1" customFormat="1" x14ac:dyDescent="0.35">
      <c r="A340" s="131" t="s">
        <v>292</v>
      </c>
      <c r="B340" s="131"/>
      <c r="C340" s="130">
        <f>COUNT(D759:D762)+COUNT(D764:D767)*4+COUNT(D769:D772)*6+COUNT(D774:D776)*2+COUNT(D778,D780:D781)</f>
        <v>53</v>
      </c>
      <c r="D340" s="130"/>
      <c r="E340" s="136">
        <f>SUM(D759:D762)+SUM(D764:D767)*4+SUM(D769:D772)*6+SUM(D774:D776)*2+SUM(D778,D780:D781)</f>
        <v>32324.189741999999</v>
      </c>
      <c r="F340" s="136"/>
      <c r="G340" s="136">
        <f>SUM(F759:F762)+SUM(F764:F767)*4+SUM(F769:F772)*6+SUM(F774:F776)*2+SUM(F778,F780:F781)</f>
        <v>51054.521192999993</v>
      </c>
      <c r="H340" s="136"/>
    </row>
    <row r="341" spans="1:9" s="1" customFormat="1" x14ac:dyDescent="0.35">
      <c r="A341" s="131" t="s">
        <v>293</v>
      </c>
      <c r="B341" s="131"/>
      <c r="C341" s="130">
        <f>COUNT(D784:D787)+COUNT(D789:D792)*5+COUNT(D794:D797)*6+COUNT(D799:D801)*2</f>
        <v>54</v>
      </c>
      <c r="D341" s="130"/>
      <c r="E341" s="136">
        <f>SUM(D784:D787)+SUM(D789:D792)*5+SUM(D794:D797)*6+SUM(D799:D801)*2</f>
        <v>33684.264197999997</v>
      </c>
      <c r="F341" s="136"/>
      <c r="G341" s="136">
        <f>SUM(F784:F787)+SUM(F789:F792)*5+SUM(F794:F797)*6+SUM(F799:F801)*2</f>
        <v>53792.280009000002</v>
      </c>
      <c r="H341" s="136"/>
    </row>
    <row r="342" spans="1:9" s="1" customFormat="1" x14ac:dyDescent="0.35">
      <c r="A342" s="131" t="s">
        <v>294</v>
      </c>
      <c r="B342" s="131"/>
      <c r="C342" s="130">
        <f>COUNT(D804:D807)+COUNT(D809:D812)*4+COUNT(D814:D817)*6+COUNT(D819:D821)*2+COUNT(D823,D825:D826)</f>
        <v>53</v>
      </c>
      <c r="D342" s="130"/>
      <c r="E342" s="136">
        <f>SUM(D804:D807)+SUM(D809:D812)*4+SUM(D814:D817)*6+SUM(D819:D821)*2+SUM(D823,D825:D826)</f>
        <v>35321.371721999996</v>
      </c>
      <c r="F342" s="136"/>
      <c r="G342" s="136">
        <f>SUM(F804:F807)+SUM(F809:F812)*4+SUM(F814:F817)*6+SUM(F819:F821)*2+SUM(F823,F825:F826)</f>
        <v>55566.870722999985</v>
      </c>
      <c r="H342" s="136"/>
    </row>
    <row r="343" spans="1:9" s="1" customFormat="1" x14ac:dyDescent="0.35">
      <c r="A343" s="135" t="s">
        <v>60</v>
      </c>
      <c r="B343" s="135"/>
      <c r="C343" s="125">
        <f>SUM(C339:D342)</f>
        <v>213</v>
      </c>
      <c r="D343" s="125"/>
      <c r="E343" s="141">
        <f>SUM(E339:F342)</f>
        <v>133614.83444399998</v>
      </c>
      <c r="F343" s="141"/>
      <c r="G343" s="141">
        <f>SUM(G339:H342)</f>
        <v>211409.42167799996</v>
      </c>
      <c r="H343" s="141"/>
    </row>
    <row r="344" spans="1:9" s="1" customFormat="1" x14ac:dyDescent="0.35">
      <c r="A344" s="135" t="s">
        <v>301</v>
      </c>
      <c r="B344" s="135"/>
      <c r="C344" s="135"/>
      <c r="D344" s="135"/>
      <c r="E344" s="135"/>
      <c r="F344" s="135"/>
      <c r="G344" s="135"/>
      <c r="H344" s="135"/>
    </row>
    <row r="345" spans="1:9" s="1" customFormat="1" ht="15.75" customHeight="1" x14ac:dyDescent="0.35">
      <c r="A345" s="134" t="s">
        <v>56</v>
      </c>
      <c r="B345" s="134"/>
      <c r="C345" s="125" t="s">
        <v>106</v>
      </c>
      <c r="D345" s="125"/>
      <c r="E345" s="160" t="s">
        <v>57</v>
      </c>
      <c r="F345" s="160"/>
      <c r="G345" s="134" t="s">
        <v>58</v>
      </c>
      <c r="H345" s="134"/>
    </row>
    <row r="346" spans="1:9" s="1" customFormat="1" x14ac:dyDescent="0.35">
      <c r="A346" s="131" t="s">
        <v>297</v>
      </c>
      <c r="B346" s="131"/>
      <c r="C346" s="129">
        <f>COUNT(D831:D834)+COUNT(D836:D839)*5+COUNT(D841:D844)*6+COUNT(D846:D848)*2</f>
        <v>54</v>
      </c>
      <c r="D346" s="130"/>
      <c r="E346" s="136">
        <f>SUM(D831:D834)+SUM(D836:D839)*5+SUM(D841:D844)*6+SUM(D846:D848)*2</f>
        <v>31280.313167999997</v>
      </c>
      <c r="F346" s="136"/>
      <c r="G346" s="136">
        <f>SUM(F831:F834)+SUM(F836:F839)*5+SUM(F841:F844)*6+SUM(F846:F848)*2</f>
        <v>49329.452951999992</v>
      </c>
      <c r="H346" s="136"/>
    </row>
    <row r="347" spans="1:9" s="1" customFormat="1" x14ac:dyDescent="0.35">
      <c r="A347" s="131" t="s">
        <v>298</v>
      </c>
      <c r="B347" s="131"/>
      <c r="C347" s="130">
        <f>COUNT(D852:D855)+COUNT(D857:D860)*5+COUNT(D862:D865)*6+COUNT(D867:D868,D870)*2</f>
        <v>54</v>
      </c>
      <c r="D347" s="130"/>
      <c r="E347" s="136">
        <f>SUM(D852:D855)+SUM(D857:D860)*5+SUM(D862:D865)*6+SUM(D867:D868,D870)*2</f>
        <v>31041.804455999998</v>
      </c>
      <c r="F347" s="136"/>
      <c r="G347" s="136">
        <f>SUM(F852:F855)+SUM(F857:F860)*5+SUM(F862:F865)*6+SUM(F867:F868,F870)*2</f>
        <v>49725.600443999996</v>
      </c>
      <c r="H347" s="136"/>
    </row>
    <row r="348" spans="1:9" s="1" customFormat="1" x14ac:dyDescent="0.35">
      <c r="A348" s="131" t="s">
        <v>299</v>
      </c>
      <c r="B348" s="131"/>
      <c r="C348" s="130">
        <f>COUNT(D874:D877)+COUNT(D879:D882)*5+COUNT(D884:D887)*6+COUNT(D889:D891)*2</f>
        <v>54</v>
      </c>
      <c r="D348" s="130"/>
      <c r="E348" s="136">
        <f>SUM(D874:D877)+SUM(D879:D882)*5+SUM(D884:D887)*6+SUM(D889:D891)*2</f>
        <v>31280.313167999997</v>
      </c>
      <c r="F348" s="136"/>
      <c r="G348" s="136">
        <f>SUM(F874:F877)+SUM(F879:F882)*5+SUM(F884:F887)*6+SUM(F889:F891)*2</f>
        <v>49329.452951999992</v>
      </c>
      <c r="H348" s="136"/>
    </row>
    <row r="349" spans="1:9" s="1" customFormat="1" x14ac:dyDescent="0.35">
      <c r="A349" s="131" t="s">
        <v>300</v>
      </c>
      <c r="B349" s="131"/>
      <c r="C349" s="130">
        <f>COUNT(D895:D898)+COUNT(D900:D903)*5+COUNT(D905:D908)*6+COUNT(D910:D912)*2</f>
        <v>54</v>
      </c>
      <c r="D349" s="130"/>
      <c r="E349" s="136">
        <f>SUM(D895:D898)+SUM(D900:D903)*5+SUM(D905:D908)*6+SUM(D910:D912)*2</f>
        <v>31280.313167999997</v>
      </c>
      <c r="F349" s="136"/>
      <c r="G349" s="136">
        <f>SUM(F895:F898)+SUM(F900:F903)*5+SUM(F905:F908)*6+SUM(F910:F912)*2</f>
        <v>49329.452951999992</v>
      </c>
      <c r="H349" s="136"/>
    </row>
    <row r="350" spans="1:9" s="1" customFormat="1" x14ac:dyDescent="0.35">
      <c r="A350" s="131" t="s">
        <v>304</v>
      </c>
      <c r="B350" s="131"/>
      <c r="C350" s="130">
        <f>COUNT(D916:D923)*7+COUNT(D925:D932)*5+COUNT(D934,D936:D941)*2</f>
        <v>110</v>
      </c>
      <c r="D350" s="130"/>
      <c r="E350" s="136">
        <f>SUM(D916:D923)*7+SUM(D925:D932)*5+SUM(D934,D936:D941)*2</f>
        <v>51109.786259999986</v>
      </c>
      <c r="F350" s="136"/>
      <c r="G350" s="136">
        <f>SUM(F916:F923)*7+SUM(F925:F932)*5+SUM(F934,F936:F941)*2</f>
        <v>76664.679390000005</v>
      </c>
      <c r="H350" s="136"/>
    </row>
    <row r="351" spans="1:9" s="1" customFormat="1" ht="15.75" customHeight="1" x14ac:dyDescent="0.35">
      <c r="A351" s="131" t="s">
        <v>302</v>
      </c>
      <c r="B351" s="131"/>
      <c r="C351" s="130">
        <f>COUNT(D945:D952)*7+COUNT(D954:D961)*5+COUNT(D963:D967,D969:D970)*2</f>
        <v>110</v>
      </c>
      <c r="D351" s="130"/>
      <c r="E351" s="136">
        <f t="shared" ref="E351" si="2">SUM(D945:D952)*7+SUM(D954:D961)*5+SUM(D963:D967,D969:D970)*2</f>
        <v>51210.106739999988</v>
      </c>
      <c r="F351" s="136"/>
      <c r="G351" s="136">
        <f>SUM(F945:F952)*7+SUM(F954:F961)*5+SUM(F963:F967,F969:F970)*2</f>
        <v>82232.143110000005</v>
      </c>
      <c r="H351" s="136"/>
    </row>
    <row r="352" spans="1:9" s="1" customFormat="1" ht="15.75" customHeight="1" x14ac:dyDescent="0.35">
      <c r="A352" s="131" t="s">
        <v>303</v>
      </c>
      <c r="B352" s="131"/>
      <c r="C352" s="130">
        <f>COUNT(D974:D981)*7+COUNT(D983:D990)*5+COUNT(D992:D996,D998:D999)*2</f>
        <v>110</v>
      </c>
      <c r="D352" s="130"/>
      <c r="E352" s="136">
        <f t="shared" ref="E352" si="3">SUM(D974:D981)*7+SUM(D983:D990)*5+SUM(D992:D996,D998:D999)*2</f>
        <v>51210.106739999988</v>
      </c>
      <c r="F352" s="136"/>
      <c r="G352" s="136">
        <f>SUM(F974:F981)*7+SUM(F983:F990)*5+SUM(F992:F996,F998:F999)*2</f>
        <v>82232.143110000005</v>
      </c>
      <c r="H352" s="136"/>
    </row>
    <row r="353" spans="1:14" s="1" customFormat="1" x14ac:dyDescent="0.35">
      <c r="A353" s="135" t="s">
        <v>60</v>
      </c>
      <c r="B353" s="135"/>
      <c r="C353" s="124">
        <f>SUM(C346:D352)</f>
        <v>546</v>
      </c>
      <c r="D353" s="125"/>
      <c r="E353" s="141">
        <f>SUM(E346:F352)</f>
        <v>278412.74369999993</v>
      </c>
      <c r="F353" s="141"/>
      <c r="G353" s="141">
        <f>SUM(G346:H352)</f>
        <v>438842.92490999994</v>
      </c>
      <c r="H353" s="141"/>
    </row>
    <row r="354" spans="1:14" s="1" customFormat="1" x14ac:dyDescent="0.35">
      <c r="A354" s="135" t="s">
        <v>346</v>
      </c>
      <c r="B354" s="135"/>
      <c r="C354" s="124">
        <f>C309+C316+C323+C336+C343+C353</f>
        <v>1549</v>
      </c>
      <c r="D354" s="125"/>
      <c r="E354" s="141">
        <f>E309+E316+E323+E336+E343+E353</f>
        <v>817295.35352399969</v>
      </c>
      <c r="F354" s="141"/>
      <c r="G354" s="141">
        <f>G309+G316+G323+G336+G343+G353</f>
        <v>1292747.0837579998</v>
      </c>
      <c r="H354" s="141"/>
    </row>
    <row r="355" spans="1:14" s="9" customFormat="1" x14ac:dyDescent="0.35">
      <c r="A355" s="140" t="s">
        <v>61</v>
      </c>
      <c r="B355" s="140"/>
      <c r="C355" s="140"/>
      <c r="D355" s="140"/>
      <c r="E355" s="140"/>
      <c r="F355" s="140"/>
      <c r="G355" s="140"/>
      <c r="H355" s="140"/>
    </row>
    <row r="356" spans="1:14" x14ac:dyDescent="0.35">
      <c r="A356" s="140" t="s">
        <v>62</v>
      </c>
      <c r="B356" s="140"/>
      <c r="C356" s="140"/>
      <c r="D356" s="140"/>
      <c r="E356" s="140"/>
      <c r="F356" s="140"/>
      <c r="G356" s="140"/>
      <c r="H356" s="140"/>
    </row>
    <row r="357" spans="1:14" ht="47.25" customHeight="1" x14ac:dyDescent="0.35">
      <c r="A357" s="142" t="s">
        <v>149</v>
      </c>
      <c r="B357" s="142" t="s">
        <v>148</v>
      </c>
      <c r="C357" s="142" t="s">
        <v>63</v>
      </c>
      <c r="D357" s="142" t="s">
        <v>64</v>
      </c>
      <c r="E357" s="206" t="s">
        <v>65</v>
      </c>
      <c r="F357" s="63" t="s">
        <v>146</v>
      </c>
      <c r="G357" s="152" t="s">
        <v>66</v>
      </c>
      <c r="H357" s="208"/>
    </row>
    <row r="358" spans="1:14" s="2" customFormat="1" x14ac:dyDescent="0.35">
      <c r="A358" s="143"/>
      <c r="B358" s="143"/>
      <c r="C358" s="143"/>
      <c r="D358" s="143"/>
      <c r="E358" s="207"/>
      <c r="F358" s="30">
        <v>0.6</v>
      </c>
      <c r="G358" s="153"/>
      <c r="H358" s="209"/>
    </row>
    <row r="359" spans="1:14" s="2" customFormat="1" x14ac:dyDescent="0.35">
      <c r="A359" s="126" t="s">
        <v>255</v>
      </c>
      <c r="B359" s="127"/>
      <c r="C359" s="127"/>
      <c r="D359" s="127"/>
      <c r="E359" s="127"/>
      <c r="F359" s="127"/>
      <c r="G359" s="127"/>
      <c r="H359" s="128"/>
    </row>
    <row r="360" spans="1:14" s="2" customFormat="1" x14ac:dyDescent="0.35">
      <c r="A360" s="126" t="s">
        <v>147</v>
      </c>
      <c r="B360" s="127"/>
      <c r="C360" s="127"/>
      <c r="D360" s="127"/>
      <c r="E360" s="127"/>
      <c r="F360" s="127"/>
      <c r="G360" s="127"/>
      <c r="H360" s="128"/>
    </row>
    <row r="361" spans="1:14" s="1" customFormat="1" ht="15.75" customHeight="1" x14ac:dyDescent="0.35">
      <c r="A361" s="137" t="s">
        <v>227</v>
      </c>
      <c r="B361" s="138"/>
      <c r="C361" s="138"/>
      <c r="D361" s="138"/>
      <c r="E361" s="138"/>
      <c r="F361" s="138"/>
      <c r="G361" s="138"/>
      <c r="H361" s="139"/>
    </row>
    <row r="362" spans="1:14" s="2" customFormat="1" ht="15.75" customHeight="1" x14ac:dyDescent="0.35">
      <c r="A362" s="116">
        <v>1</v>
      </c>
      <c r="B362" s="117"/>
      <c r="C362" s="64" t="s">
        <v>196</v>
      </c>
      <c r="D362" s="64">
        <f>35.03*10.764</f>
        <v>377.06291999999996</v>
      </c>
      <c r="E362" s="64">
        <v>0</v>
      </c>
      <c r="F362" s="64">
        <f>D362*(($F$358)+1)+E362</f>
        <v>603.30067199999996</v>
      </c>
      <c r="G362" s="116" t="str">
        <f>G371</f>
        <v>Ground Floor</v>
      </c>
      <c r="H362" s="117"/>
      <c r="I362" s="31"/>
      <c r="L362" s="115"/>
      <c r="M362" s="115"/>
      <c r="N362" s="31"/>
    </row>
    <row r="363" spans="1:14" s="2" customFormat="1" ht="15.75" customHeight="1" x14ac:dyDescent="0.35">
      <c r="A363" s="116">
        <v>2</v>
      </c>
      <c r="B363" s="117"/>
      <c r="C363" s="64" t="s">
        <v>196</v>
      </c>
      <c r="D363" s="64">
        <f>22.29*10.764</f>
        <v>239.92955999999998</v>
      </c>
      <c r="E363" s="64">
        <v>0</v>
      </c>
      <c r="F363" s="64">
        <f>D363*(($F$358)+1)+E363</f>
        <v>383.88729599999999</v>
      </c>
      <c r="G363" s="116" t="str">
        <f>G372</f>
        <v>Ground Floor</v>
      </c>
      <c r="H363" s="117"/>
      <c r="I363" s="31"/>
      <c r="L363" s="115"/>
      <c r="M363" s="115"/>
      <c r="N363" s="31"/>
    </row>
    <row r="364" spans="1:14" s="2" customFormat="1" ht="15.75" customHeight="1" x14ac:dyDescent="0.35">
      <c r="A364" s="116">
        <f>A363+1</f>
        <v>3</v>
      </c>
      <c r="B364" s="117"/>
      <c r="C364" s="64" t="s">
        <v>196</v>
      </c>
      <c r="D364" s="64">
        <f>22.29*10.764</f>
        <v>239.92955999999998</v>
      </c>
      <c r="E364" s="64">
        <v>0</v>
      </c>
      <c r="F364" s="64">
        <f>D364*(($F$358)+1)+E364</f>
        <v>383.88729599999999</v>
      </c>
      <c r="G364" s="116" t="str">
        <f>G363</f>
        <v>Ground Floor</v>
      </c>
      <c r="H364" s="117"/>
      <c r="I364" s="31"/>
      <c r="L364" s="115"/>
      <c r="M364" s="115"/>
      <c r="N364" s="31"/>
    </row>
    <row r="365" spans="1:14" s="2" customFormat="1" ht="15.75" customHeight="1" x14ac:dyDescent="0.35">
      <c r="A365" s="116">
        <f>A364+1</f>
        <v>4</v>
      </c>
      <c r="B365" s="117"/>
      <c r="C365" s="64" t="s">
        <v>196</v>
      </c>
      <c r="D365" s="64">
        <f>24.18*10.764</f>
        <v>260.27351999999996</v>
      </c>
      <c r="E365" s="64">
        <v>0</v>
      </c>
      <c r="F365" s="64">
        <f>D365*(($F$358)+1)+E365</f>
        <v>416.43763199999995</v>
      </c>
      <c r="G365" s="116" t="str">
        <f>G364</f>
        <v>Ground Floor</v>
      </c>
      <c r="H365" s="117"/>
      <c r="I365" s="31"/>
      <c r="L365" s="115"/>
      <c r="M365" s="115"/>
      <c r="N365" s="31"/>
    </row>
    <row r="366" spans="1:14" s="2" customFormat="1" ht="15.75" customHeight="1" x14ac:dyDescent="0.35">
      <c r="A366" s="116">
        <f>A365+1</f>
        <v>5</v>
      </c>
      <c r="B366" s="117"/>
      <c r="C366" s="64" t="s">
        <v>196</v>
      </c>
      <c r="D366" s="64">
        <f>21.69*10.764</f>
        <v>233.47116</v>
      </c>
      <c r="E366" s="64">
        <v>0</v>
      </c>
      <c r="F366" s="64">
        <f>D366*(($F$358)+1)+E366</f>
        <v>373.553856</v>
      </c>
      <c r="G366" s="116" t="str">
        <f>G365</f>
        <v>Ground Floor</v>
      </c>
      <c r="H366" s="117"/>
      <c r="I366" s="31"/>
      <c r="L366" s="115"/>
      <c r="M366" s="115"/>
      <c r="N366" s="31"/>
    </row>
    <row r="367" spans="1:14" s="1" customFormat="1" x14ac:dyDescent="0.35">
      <c r="A367" s="134" t="s">
        <v>228</v>
      </c>
      <c r="B367" s="134"/>
      <c r="C367" s="134"/>
      <c r="D367" s="134"/>
      <c r="E367" s="134"/>
      <c r="F367" s="134"/>
      <c r="G367" s="134"/>
      <c r="H367" s="134"/>
    </row>
    <row r="368" spans="1:14" s="2" customFormat="1" x14ac:dyDescent="0.35">
      <c r="A368" s="126" t="s">
        <v>147</v>
      </c>
      <c r="B368" s="127"/>
      <c r="C368" s="127"/>
      <c r="D368" s="127"/>
      <c r="E368" s="127"/>
      <c r="F368" s="127"/>
      <c r="G368" s="127"/>
      <c r="H368" s="128"/>
    </row>
    <row r="369" spans="1:14" s="2" customFormat="1" x14ac:dyDescent="0.35">
      <c r="A369" s="116">
        <v>1</v>
      </c>
      <c r="B369" s="117"/>
      <c r="C369" s="64" t="s">
        <v>196</v>
      </c>
      <c r="D369" s="64">
        <f>24.18*10.764</f>
        <v>260.27351999999996</v>
      </c>
      <c r="E369" s="64">
        <v>0</v>
      </c>
      <c r="F369" s="64">
        <f>D369*(($F$358)+1)+E369</f>
        <v>416.43763199999995</v>
      </c>
      <c r="G369" s="116" t="str">
        <f>G379</f>
        <v>Ground Floor</v>
      </c>
      <c r="H369" s="117"/>
      <c r="I369" s="31"/>
      <c r="L369" s="115"/>
      <c r="M369" s="115"/>
      <c r="N369" s="31"/>
    </row>
    <row r="370" spans="1:14" s="2" customFormat="1" x14ac:dyDescent="0.35">
      <c r="A370" s="116">
        <f>A369+1</f>
        <v>2</v>
      </c>
      <c r="B370" s="117"/>
      <c r="C370" s="64" t="s">
        <v>196</v>
      </c>
      <c r="D370" s="64">
        <f>22.29*10.764</f>
        <v>239.92955999999998</v>
      </c>
      <c r="E370" s="64">
        <v>0</v>
      </c>
      <c r="F370" s="64">
        <f>D370*(($F$358)+1)+E370</f>
        <v>383.88729599999999</v>
      </c>
      <c r="G370" s="116" t="str">
        <f>G369</f>
        <v>Ground Floor</v>
      </c>
      <c r="H370" s="117"/>
      <c r="I370" s="31"/>
      <c r="L370" s="115"/>
      <c r="M370" s="115"/>
      <c r="N370" s="31"/>
    </row>
    <row r="371" spans="1:14" s="2" customFormat="1" x14ac:dyDescent="0.35">
      <c r="A371" s="116">
        <f>A370+1</f>
        <v>3</v>
      </c>
      <c r="B371" s="117"/>
      <c r="C371" s="64" t="s">
        <v>196</v>
      </c>
      <c r="D371" s="64">
        <f>22.29*10.764</f>
        <v>239.92955999999998</v>
      </c>
      <c r="E371" s="64">
        <v>0</v>
      </c>
      <c r="F371" s="64">
        <f>D371*(($F$358)+1)+E371</f>
        <v>383.88729599999999</v>
      </c>
      <c r="G371" s="116" t="str">
        <f>G370</f>
        <v>Ground Floor</v>
      </c>
      <c r="H371" s="117"/>
      <c r="I371" s="31"/>
      <c r="L371" s="115"/>
      <c r="M371" s="115"/>
      <c r="N371" s="31"/>
    </row>
    <row r="372" spans="1:14" s="2" customFormat="1" x14ac:dyDescent="0.35">
      <c r="A372" s="116">
        <f>A371+1</f>
        <v>4</v>
      </c>
      <c r="B372" s="117"/>
      <c r="C372" s="64" t="s">
        <v>196</v>
      </c>
      <c r="D372" s="64">
        <f>24.18*10.764</f>
        <v>260.27351999999996</v>
      </c>
      <c r="E372" s="64">
        <v>0</v>
      </c>
      <c r="F372" s="64">
        <f>D372*(($F$358)+1)+E372</f>
        <v>416.43763199999995</v>
      </c>
      <c r="G372" s="116" t="str">
        <f>G371</f>
        <v>Ground Floor</v>
      </c>
      <c r="H372" s="117"/>
      <c r="I372" s="31"/>
      <c r="L372" s="115"/>
      <c r="M372" s="115"/>
      <c r="N372" s="31"/>
    </row>
    <row r="373" spans="1:14" s="1" customFormat="1" ht="15.75" customHeight="1" x14ac:dyDescent="0.35">
      <c r="A373" s="137" t="s">
        <v>229</v>
      </c>
      <c r="B373" s="138"/>
      <c r="C373" s="138"/>
      <c r="D373" s="138"/>
      <c r="E373" s="138"/>
      <c r="F373" s="138"/>
      <c r="G373" s="138"/>
      <c r="H373" s="139"/>
    </row>
    <row r="374" spans="1:14" s="2" customFormat="1" x14ac:dyDescent="0.35">
      <c r="A374" s="126" t="s">
        <v>147</v>
      </c>
      <c r="B374" s="127"/>
      <c r="C374" s="127"/>
      <c r="D374" s="127"/>
      <c r="E374" s="127"/>
      <c r="F374" s="127"/>
      <c r="G374" s="127"/>
      <c r="H374" s="128"/>
    </row>
    <row r="375" spans="1:14" s="2" customFormat="1" ht="15.75" customHeight="1" x14ac:dyDescent="0.35">
      <c r="A375" s="116">
        <v>1</v>
      </c>
      <c r="B375" s="117"/>
      <c r="C375" s="64" t="s">
        <v>196</v>
      </c>
      <c r="D375" s="64">
        <f>21.69*10.764</f>
        <v>233.47116</v>
      </c>
      <c r="E375" s="64">
        <v>0</v>
      </c>
      <c r="F375" s="64">
        <f>D375*(($F$358)+1)+E375</f>
        <v>373.553856</v>
      </c>
      <c r="G375" s="116" t="s">
        <v>147</v>
      </c>
      <c r="H375" s="117"/>
      <c r="I375" s="31"/>
      <c r="L375" s="115"/>
      <c r="M375" s="115"/>
      <c r="N375" s="31"/>
    </row>
    <row r="376" spans="1:14" s="2" customFormat="1" ht="15.75" customHeight="1" x14ac:dyDescent="0.35">
      <c r="A376" s="116">
        <v>2</v>
      </c>
      <c r="B376" s="117"/>
      <c r="C376" s="64" t="s">
        <v>196</v>
      </c>
      <c r="D376" s="64">
        <f>23.96*10.764</f>
        <v>257.90544</v>
      </c>
      <c r="E376" s="64">
        <v>0</v>
      </c>
      <c r="F376" s="64">
        <f>D376*(($F$358)+1)+E376</f>
        <v>412.64870400000001</v>
      </c>
      <c r="G376" s="116" t="str">
        <f>A360</f>
        <v>Ground Floor</v>
      </c>
      <c r="H376" s="117"/>
      <c r="I376" s="31"/>
      <c r="L376" s="115"/>
      <c r="M376" s="115"/>
      <c r="N376" s="31"/>
    </row>
    <row r="377" spans="1:14" s="2" customFormat="1" ht="15.75" customHeight="1" x14ac:dyDescent="0.35">
      <c r="A377" s="116">
        <f>A376+1</f>
        <v>3</v>
      </c>
      <c r="B377" s="117"/>
      <c r="C377" s="64" t="s">
        <v>196</v>
      </c>
      <c r="D377" s="64">
        <f>22.29*10.764</f>
        <v>239.92955999999998</v>
      </c>
      <c r="E377" s="64">
        <v>0</v>
      </c>
      <c r="F377" s="64">
        <f>D377*(($F$358)+1)+E377</f>
        <v>383.88729599999999</v>
      </c>
      <c r="G377" s="116" t="str">
        <f>G376</f>
        <v>Ground Floor</v>
      </c>
      <c r="H377" s="117"/>
      <c r="I377" s="31"/>
      <c r="L377" s="115"/>
      <c r="M377" s="115"/>
      <c r="N377" s="31"/>
    </row>
    <row r="378" spans="1:14" s="2" customFormat="1" ht="15.75" customHeight="1" x14ac:dyDescent="0.35">
      <c r="A378" s="116">
        <f>A377+1</f>
        <v>4</v>
      </c>
      <c r="B378" s="117"/>
      <c r="C378" s="64" t="s">
        <v>196</v>
      </c>
      <c r="D378" s="64">
        <f>22.29*10.764</f>
        <v>239.92955999999998</v>
      </c>
      <c r="E378" s="64">
        <v>0</v>
      </c>
      <c r="F378" s="64">
        <f>D378*(($F$358)+1)+E378</f>
        <v>383.88729599999999</v>
      </c>
      <c r="G378" s="116" t="str">
        <f>G377</f>
        <v>Ground Floor</v>
      </c>
      <c r="H378" s="117"/>
      <c r="I378" s="31"/>
      <c r="L378" s="115"/>
      <c r="M378" s="115"/>
      <c r="N378" s="31"/>
    </row>
    <row r="379" spans="1:14" s="2" customFormat="1" ht="15.75" customHeight="1" x14ac:dyDescent="0.35">
      <c r="A379" s="116">
        <f>A378+1</f>
        <v>5</v>
      </c>
      <c r="B379" s="117"/>
      <c r="C379" s="64" t="s">
        <v>196</v>
      </c>
      <c r="D379" s="64">
        <f>34.93*10.764</f>
        <v>375.98651999999998</v>
      </c>
      <c r="E379" s="64">
        <v>0</v>
      </c>
      <c r="F379" s="64">
        <f>D379*(($F$358)+1)+E379</f>
        <v>601.57843200000002</v>
      </c>
      <c r="G379" s="116" t="str">
        <f>G378</f>
        <v>Ground Floor</v>
      </c>
      <c r="H379" s="117"/>
      <c r="I379" s="31"/>
      <c r="L379" s="115"/>
      <c r="M379" s="115"/>
      <c r="N379" s="31"/>
    </row>
    <row r="380" spans="1:14" s="1" customFormat="1" ht="15.75" customHeight="1" x14ac:dyDescent="0.35">
      <c r="A380" s="137" t="s">
        <v>230</v>
      </c>
      <c r="B380" s="138"/>
      <c r="C380" s="138"/>
      <c r="D380" s="138"/>
      <c r="E380" s="138"/>
      <c r="F380" s="138"/>
      <c r="G380" s="138"/>
      <c r="H380" s="139"/>
    </row>
    <row r="381" spans="1:14" s="2" customFormat="1" x14ac:dyDescent="0.35">
      <c r="A381" s="126" t="s">
        <v>147</v>
      </c>
      <c r="B381" s="127"/>
      <c r="C381" s="127"/>
      <c r="D381" s="127"/>
      <c r="E381" s="127"/>
      <c r="F381" s="127"/>
      <c r="G381" s="127"/>
      <c r="H381" s="128"/>
    </row>
    <row r="382" spans="1:14" s="2" customFormat="1" ht="15.75" customHeight="1" x14ac:dyDescent="0.35">
      <c r="A382" s="116">
        <v>1</v>
      </c>
      <c r="B382" s="117"/>
      <c r="C382" s="64" t="s">
        <v>196</v>
      </c>
      <c r="D382" s="64">
        <f>30.45*10.764</f>
        <v>327.76379999999995</v>
      </c>
      <c r="E382" s="64">
        <v>0</v>
      </c>
      <c r="F382" s="64">
        <f t="shared" ref="F382:F387" si="4">D382*(($F$358)+1)+E382</f>
        <v>524.42207999999994</v>
      </c>
      <c r="G382" s="116" t="str">
        <f>A360</f>
        <v>Ground Floor</v>
      </c>
      <c r="H382" s="117"/>
      <c r="I382" s="31"/>
      <c r="L382" s="115"/>
      <c r="M382" s="115"/>
      <c r="N382" s="31"/>
    </row>
    <row r="383" spans="1:14" s="2" customFormat="1" ht="15.75" customHeight="1" x14ac:dyDescent="0.35">
      <c r="A383" s="116">
        <f t="shared" ref="A383:A388" si="5">A382+1</f>
        <v>2</v>
      </c>
      <c r="B383" s="117"/>
      <c r="C383" s="64" t="s">
        <v>196</v>
      </c>
      <c r="D383" s="64">
        <f>18.67*10.764</f>
        <v>200.96388000000002</v>
      </c>
      <c r="E383" s="64">
        <v>0</v>
      </c>
      <c r="F383" s="64">
        <f t="shared" si="4"/>
        <v>321.54220800000007</v>
      </c>
      <c r="G383" s="116" t="str">
        <f>G382</f>
        <v>Ground Floor</v>
      </c>
      <c r="H383" s="117"/>
      <c r="I383" s="31"/>
      <c r="L383" s="115"/>
      <c r="M383" s="115"/>
      <c r="N383" s="31"/>
    </row>
    <row r="384" spans="1:14" s="2" customFormat="1" ht="15.75" customHeight="1" x14ac:dyDescent="0.35">
      <c r="A384" s="116">
        <f t="shared" si="5"/>
        <v>3</v>
      </c>
      <c r="B384" s="117"/>
      <c r="C384" s="64" t="s">
        <v>196</v>
      </c>
      <c r="D384" s="64">
        <f>18.67*10.764</f>
        <v>200.96388000000002</v>
      </c>
      <c r="E384" s="64">
        <v>0</v>
      </c>
      <c r="F384" s="64">
        <f t="shared" si="4"/>
        <v>321.54220800000007</v>
      </c>
      <c r="G384" s="116" t="str">
        <f>G383</f>
        <v>Ground Floor</v>
      </c>
      <c r="H384" s="117"/>
      <c r="I384" s="31"/>
      <c r="L384" s="115"/>
      <c r="M384" s="115"/>
      <c r="N384" s="31"/>
    </row>
    <row r="385" spans="1:14" s="2" customFormat="1" ht="15.75" customHeight="1" x14ac:dyDescent="0.35">
      <c r="A385" s="116">
        <f t="shared" si="5"/>
        <v>4</v>
      </c>
      <c r="B385" s="117"/>
      <c r="C385" s="64" t="s">
        <v>196</v>
      </c>
      <c r="D385" s="64">
        <f>18.67*10.764</f>
        <v>200.96388000000002</v>
      </c>
      <c r="E385" s="64">
        <v>0</v>
      </c>
      <c r="F385" s="64">
        <f t="shared" si="4"/>
        <v>321.54220800000007</v>
      </c>
      <c r="G385" s="116" t="str">
        <f>G383</f>
        <v>Ground Floor</v>
      </c>
      <c r="H385" s="117"/>
      <c r="I385" s="31"/>
      <c r="L385" s="115"/>
      <c r="M385" s="115"/>
      <c r="N385" s="31"/>
    </row>
    <row r="386" spans="1:14" s="2" customFormat="1" ht="15.75" customHeight="1" x14ac:dyDescent="0.35">
      <c r="A386" s="116">
        <f t="shared" si="5"/>
        <v>5</v>
      </c>
      <c r="B386" s="117"/>
      <c r="C386" s="64" t="s">
        <v>196</v>
      </c>
      <c r="D386" s="64">
        <f>13.37*10.764</f>
        <v>143.91467999999998</v>
      </c>
      <c r="E386" s="64">
        <v>0</v>
      </c>
      <c r="F386" s="64">
        <f t="shared" si="4"/>
        <v>230.26348799999997</v>
      </c>
      <c r="G386" s="116" t="str">
        <f>G384</f>
        <v>Ground Floor</v>
      </c>
      <c r="H386" s="117"/>
      <c r="I386" s="31"/>
      <c r="L386" s="115"/>
      <c r="M386" s="115"/>
      <c r="N386" s="31"/>
    </row>
    <row r="387" spans="1:14" s="2" customFormat="1" ht="15.75" customHeight="1" x14ac:dyDescent="0.35">
      <c r="A387" s="116">
        <f t="shared" si="5"/>
        <v>6</v>
      </c>
      <c r="B387" s="117"/>
      <c r="C387" s="64" t="s">
        <v>196</v>
      </c>
      <c r="D387" s="64">
        <f>18.11*10.764</f>
        <v>194.93603999999999</v>
      </c>
      <c r="E387" s="64">
        <v>0</v>
      </c>
      <c r="F387" s="64">
        <f t="shared" si="4"/>
        <v>311.89766400000002</v>
      </c>
      <c r="G387" s="116" t="str">
        <f>G384</f>
        <v>Ground Floor</v>
      </c>
      <c r="H387" s="117"/>
      <c r="I387" s="31"/>
      <c r="L387" s="115"/>
      <c r="M387" s="115"/>
      <c r="N387" s="31"/>
    </row>
    <row r="388" spans="1:14" s="2" customFormat="1" ht="15.75" customHeight="1" x14ac:dyDescent="0.35">
      <c r="A388" s="116">
        <f t="shared" si="5"/>
        <v>7</v>
      </c>
      <c r="B388" s="117"/>
      <c r="C388" s="64" t="s">
        <v>196</v>
      </c>
      <c r="D388" s="64">
        <f>24.74*10.764</f>
        <v>266.30135999999999</v>
      </c>
      <c r="E388" s="64">
        <v>0</v>
      </c>
      <c r="F388" s="64">
        <f>D388*(($F$358)+1)+E388</f>
        <v>426.082176</v>
      </c>
      <c r="G388" s="116" t="str">
        <f>G385</f>
        <v>Ground Floor</v>
      </c>
      <c r="H388" s="117"/>
      <c r="I388" s="31"/>
      <c r="N388" s="31"/>
    </row>
    <row r="389" spans="1:14" s="1" customFormat="1" ht="15.75" customHeight="1" x14ac:dyDescent="0.35">
      <c r="A389" s="134" t="s">
        <v>231</v>
      </c>
      <c r="B389" s="134"/>
      <c r="C389" s="134"/>
      <c r="D389" s="134"/>
      <c r="E389" s="134"/>
      <c r="F389" s="134"/>
      <c r="G389" s="134"/>
      <c r="H389" s="134"/>
    </row>
    <row r="390" spans="1:14" s="2" customFormat="1" x14ac:dyDescent="0.35">
      <c r="A390" s="119" t="s">
        <v>147</v>
      </c>
      <c r="B390" s="119"/>
      <c r="C390" s="119"/>
      <c r="D390" s="119"/>
      <c r="E390" s="119"/>
      <c r="F390" s="119"/>
      <c r="G390" s="119"/>
      <c r="H390" s="119"/>
    </row>
    <row r="391" spans="1:14" s="2" customFormat="1" ht="15.75" customHeight="1" x14ac:dyDescent="0.35">
      <c r="A391" s="118">
        <v>1</v>
      </c>
      <c r="B391" s="118"/>
      <c r="C391" s="82" t="s">
        <v>196</v>
      </c>
      <c r="D391" s="82">
        <f>18.11*10.764</f>
        <v>194.93603999999999</v>
      </c>
      <c r="E391" s="82">
        <v>0</v>
      </c>
      <c r="F391" s="82">
        <f t="shared" ref="F391:F396" si="6">D391*(($F$358)+1)+E391</f>
        <v>311.89766400000002</v>
      </c>
      <c r="G391" s="118" t="str">
        <f>A360</f>
        <v>Ground Floor</v>
      </c>
      <c r="H391" s="118"/>
      <c r="I391" s="31"/>
      <c r="L391" s="115"/>
      <c r="M391" s="115"/>
      <c r="N391" s="31"/>
    </row>
    <row r="392" spans="1:14" s="2" customFormat="1" ht="15.75" customHeight="1" x14ac:dyDescent="0.35">
      <c r="A392" s="118">
        <f>A391+1</f>
        <v>2</v>
      </c>
      <c r="B392" s="118"/>
      <c r="C392" s="82" t="s">
        <v>196</v>
      </c>
      <c r="D392" s="82">
        <f>13.37*10.764</f>
        <v>143.91467999999998</v>
      </c>
      <c r="E392" s="82">
        <v>0</v>
      </c>
      <c r="F392" s="82">
        <f t="shared" si="6"/>
        <v>230.26348799999997</v>
      </c>
      <c r="G392" s="118" t="str">
        <f>G391</f>
        <v>Ground Floor</v>
      </c>
      <c r="H392" s="118"/>
      <c r="I392" s="31"/>
      <c r="L392" s="115"/>
      <c r="M392" s="115"/>
      <c r="N392" s="31"/>
    </row>
    <row r="393" spans="1:14" s="2" customFormat="1" ht="15.75" customHeight="1" x14ac:dyDescent="0.35">
      <c r="A393" s="118">
        <f>A392+1</f>
        <v>3</v>
      </c>
      <c r="B393" s="118"/>
      <c r="C393" s="82" t="s">
        <v>196</v>
      </c>
      <c r="D393" s="82">
        <f>18.57*10.764</f>
        <v>199.88747999999998</v>
      </c>
      <c r="E393" s="82">
        <v>0</v>
      </c>
      <c r="F393" s="82">
        <f t="shared" si="6"/>
        <v>319.81996800000002</v>
      </c>
      <c r="G393" s="118" t="str">
        <f>G392</f>
        <v>Ground Floor</v>
      </c>
      <c r="H393" s="118"/>
      <c r="I393" s="31"/>
      <c r="L393" s="115"/>
      <c r="M393" s="115"/>
      <c r="N393" s="31"/>
    </row>
    <row r="394" spans="1:14" s="2" customFormat="1" ht="15.75" customHeight="1" x14ac:dyDescent="0.35">
      <c r="A394" s="118">
        <f>A393+1</f>
        <v>4</v>
      </c>
      <c r="B394" s="118"/>
      <c r="C394" s="82" t="s">
        <v>196</v>
      </c>
      <c r="D394" s="82">
        <f>18.69*10.764</f>
        <v>201.17916</v>
      </c>
      <c r="E394" s="82">
        <v>0</v>
      </c>
      <c r="F394" s="82">
        <f t="shared" si="6"/>
        <v>321.88665600000002</v>
      </c>
      <c r="G394" s="118" t="str">
        <f>G392</f>
        <v>Ground Floor</v>
      </c>
      <c r="H394" s="118"/>
      <c r="I394" s="31"/>
      <c r="L394" s="115"/>
      <c r="M394" s="115"/>
      <c r="N394" s="31"/>
    </row>
    <row r="395" spans="1:14" s="2" customFormat="1" ht="15.75" customHeight="1" x14ac:dyDescent="0.35">
      <c r="A395" s="118">
        <f>A394+1</f>
        <v>5</v>
      </c>
      <c r="B395" s="118"/>
      <c r="C395" s="82" t="s">
        <v>196</v>
      </c>
      <c r="D395" s="82">
        <f>13.36*10.764</f>
        <v>143.80703999999997</v>
      </c>
      <c r="E395" s="82">
        <v>0</v>
      </c>
      <c r="F395" s="82">
        <f t="shared" si="6"/>
        <v>230.09126399999997</v>
      </c>
      <c r="G395" s="118" t="str">
        <f>G393</f>
        <v>Ground Floor</v>
      </c>
      <c r="H395" s="118"/>
      <c r="I395" s="31"/>
      <c r="L395" s="115"/>
      <c r="M395" s="115"/>
      <c r="N395" s="31"/>
    </row>
    <row r="396" spans="1:14" s="2" customFormat="1" ht="15.75" customHeight="1" x14ac:dyDescent="0.35">
      <c r="A396" s="118">
        <f>A395+1</f>
        <v>6</v>
      </c>
      <c r="B396" s="118"/>
      <c r="C396" s="82" t="s">
        <v>196</v>
      </c>
      <c r="D396" s="82">
        <f>30.46*10.764</f>
        <v>327.87144000000001</v>
      </c>
      <c r="E396" s="82">
        <v>0</v>
      </c>
      <c r="F396" s="82">
        <f t="shared" si="6"/>
        <v>524.59430400000008</v>
      </c>
      <c r="G396" s="118" t="str">
        <f>G393</f>
        <v>Ground Floor</v>
      </c>
      <c r="H396" s="118"/>
      <c r="I396" s="31"/>
      <c r="L396" s="115"/>
      <c r="M396" s="115"/>
      <c r="N396" s="31"/>
    </row>
    <row r="397" spans="1:14" s="2" customFormat="1" ht="15.75" customHeight="1" x14ac:dyDescent="0.35">
      <c r="A397" s="134" t="s">
        <v>258</v>
      </c>
      <c r="B397" s="134"/>
      <c r="C397" s="134"/>
      <c r="D397" s="134"/>
      <c r="E397" s="134"/>
      <c r="F397" s="134"/>
      <c r="G397" s="134"/>
      <c r="H397" s="134"/>
      <c r="I397" s="31"/>
      <c r="N397" s="31"/>
    </row>
    <row r="398" spans="1:14" s="1" customFormat="1" ht="15.75" customHeight="1" x14ac:dyDescent="0.35">
      <c r="A398" s="134" t="s">
        <v>259</v>
      </c>
      <c r="B398" s="134"/>
      <c r="C398" s="134"/>
      <c r="D398" s="134"/>
      <c r="E398" s="134"/>
      <c r="F398" s="134"/>
      <c r="G398" s="134"/>
      <c r="H398" s="134"/>
    </row>
    <row r="399" spans="1:14" s="1" customFormat="1" ht="15.75" customHeight="1" x14ac:dyDescent="0.35">
      <c r="A399" s="134" t="s">
        <v>289</v>
      </c>
      <c r="B399" s="134"/>
      <c r="C399" s="134"/>
      <c r="D399" s="134"/>
      <c r="E399" s="134"/>
      <c r="F399" s="134"/>
      <c r="G399" s="134"/>
      <c r="H399" s="134"/>
    </row>
    <row r="400" spans="1:14" s="2" customFormat="1" ht="15.75" customHeight="1" x14ac:dyDescent="0.35">
      <c r="A400" s="118">
        <v>1</v>
      </c>
      <c r="B400" s="118"/>
      <c r="C400" s="82" t="s">
        <v>196</v>
      </c>
      <c r="D400" s="82">
        <f>30.45*10.764</f>
        <v>327.76379999999995</v>
      </c>
      <c r="E400" s="82">
        <v>0</v>
      </c>
      <c r="F400" s="82">
        <f>D400*(($F$358)+1)+E400</f>
        <v>524.42207999999994</v>
      </c>
      <c r="G400" s="118" t="str">
        <f>A399</f>
        <v xml:space="preserve">Ground Floor </v>
      </c>
      <c r="H400" s="118"/>
      <c r="I400" s="31"/>
      <c r="L400" s="115"/>
      <c r="M400" s="115"/>
      <c r="N400" s="31"/>
    </row>
    <row r="401" spans="1:14" s="2" customFormat="1" ht="15.75" customHeight="1" x14ac:dyDescent="0.35">
      <c r="A401" s="118">
        <f t="shared" ref="A401:A406" si="7">A400+1</f>
        <v>2</v>
      </c>
      <c r="B401" s="118"/>
      <c r="C401" s="82" t="s">
        <v>196</v>
      </c>
      <c r="D401" s="82">
        <f>18.67*10.764</f>
        <v>200.96388000000002</v>
      </c>
      <c r="E401" s="82">
        <v>0</v>
      </c>
      <c r="F401" s="82">
        <f t="shared" ref="F401:F406" si="8">D401*(($F$358)+1)+E401</f>
        <v>321.54220800000007</v>
      </c>
      <c r="G401" s="118" t="str">
        <f>G400</f>
        <v xml:space="preserve">Ground Floor </v>
      </c>
      <c r="H401" s="118"/>
      <c r="I401" s="31"/>
      <c r="L401" s="115"/>
      <c r="M401" s="115"/>
      <c r="N401" s="31"/>
    </row>
    <row r="402" spans="1:14" s="2" customFormat="1" ht="15.75" customHeight="1" x14ac:dyDescent="0.35">
      <c r="A402" s="118">
        <f t="shared" si="7"/>
        <v>3</v>
      </c>
      <c r="B402" s="118"/>
      <c r="C402" s="82" t="s">
        <v>196</v>
      </c>
      <c r="D402" s="82">
        <f>18.67*10.764</f>
        <v>200.96388000000002</v>
      </c>
      <c r="E402" s="82">
        <v>0</v>
      </c>
      <c r="F402" s="82">
        <f t="shared" si="8"/>
        <v>321.54220800000007</v>
      </c>
      <c r="G402" s="118" t="str">
        <f>G401</f>
        <v xml:space="preserve">Ground Floor </v>
      </c>
      <c r="H402" s="118"/>
      <c r="I402" s="31"/>
      <c r="L402" s="115"/>
      <c r="M402" s="115"/>
      <c r="N402" s="31"/>
    </row>
    <row r="403" spans="1:14" s="2" customFormat="1" ht="15.75" customHeight="1" x14ac:dyDescent="0.35">
      <c r="A403" s="116">
        <f t="shared" si="7"/>
        <v>4</v>
      </c>
      <c r="B403" s="117"/>
      <c r="C403" s="64" t="s">
        <v>196</v>
      </c>
      <c r="D403" s="64">
        <f>18.67*10.764</f>
        <v>200.96388000000002</v>
      </c>
      <c r="E403" s="64">
        <v>0</v>
      </c>
      <c r="F403" s="64">
        <f t="shared" si="8"/>
        <v>321.54220800000007</v>
      </c>
      <c r="G403" s="116" t="str">
        <f>G401</f>
        <v xml:space="preserve">Ground Floor </v>
      </c>
      <c r="H403" s="117"/>
      <c r="I403" s="31"/>
      <c r="L403" s="115"/>
      <c r="M403" s="115"/>
      <c r="N403" s="31"/>
    </row>
    <row r="404" spans="1:14" s="2" customFormat="1" ht="15.75" customHeight="1" x14ac:dyDescent="0.35">
      <c r="A404" s="116">
        <f t="shared" si="7"/>
        <v>5</v>
      </c>
      <c r="B404" s="117"/>
      <c r="C404" s="64" t="s">
        <v>196</v>
      </c>
      <c r="D404" s="64">
        <f>13.37*10.764</f>
        <v>143.91467999999998</v>
      </c>
      <c r="E404" s="64">
        <v>0</v>
      </c>
      <c r="F404" s="64">
        <f t="shared" si="8"/>
        <v>230.26348799999997</v>
      </c>
      <c r="G404" s="116" t="str">
        <f>G402</f>
        <v xml:space="preserve">Ground Floor </v>
      </c>
      <c r="H404" s="117"/>
      <c r="I404" s="31"/>
      <c r="L404" s="115"/>
      <c r="M404" s="115"/>
      <c r="N404" s="31"/>
    </row>
    <row r="405" spans="1:14" s="2" customFormat="1" ht="15.75" customHeight="1" x14ac:dyDescent="0.35">
      <c r="A405" s="116">
        <f t="shared" si="7"/>
        <v>6</v>
      </c>
      <c r="B405" s="117"/>
      <c r="C405" s="64" t="s">
        <v>196</v>
      </c>
      <c r="D405" s="64">
        <f>18.11*10.764</f>
        <v>194.93603999999999</v>
      </c>
      <c r="E405" s="64">
        <v>0</v>
      </c>
      <c r="F405" s="64">
        <f t="shared" si="8"/>
        <v>311.89766400000002</v>
      </c>
      <c r="G405" s="116" t="str">
        <f>G402</f>
        <v xml:space="preserve">Ground Floor </v>
      </c>
      <c r="H405" s="117"/>
      <c r="I405" s="31"/>
      <c r="L405" s="115"/>
      <c r="M405" s="115"/>
      <c r="N405" s="31"/>
    </row>
    <row r="406" spans="1:14" s="2" customFormat="1" ht="15.75" customHeight="1" x14ac:dyDescent="0.35">
      <c r="A406" s="116">
        <f t="shared" si="7"/>
        <v>7</v>
      </c>
      <c r="B406" s="117"/>
      <c r="C406" s="64" t="s">
        <v>196</v>
      </c>
      <c r="D406" s="64">
        <f>24.74*10.764</f>
        <v>266.30135999999999</v>
      </c>
      <c r="E406" s="64">
        <v>0</v>
      </c>
      <c r="F406" s="64">
        <f t="shared" si="8"/>
        <v>426.082176</v>
      </c>
      <c r="G406" s="116" t="str">
        <f>G403</f>
        <v xml:space="preserve">Ground Floor </v>
      </c>
      <c r="H406" s="117"/>
      <c r="I406" s="31"/>
      <c r="L406" s="115"/>
      <c r="M406" s="115"/>
      <c r="N406" s="31"/>
    </row>
    <row r="407" spans="1:14" s="1" customFormat="1" ht="15.75" customHeight="1" x14ac:dyDescent="0.35">
      <c r="A407" s="137" t="s">
        <v>260</v>
      </c>
      <c r="B407" s="138"/>
      <c r="C407" s="138"/>
      <c r="D407" s="138"/>
      <c r="E407" s="138"/>
      <c r="F407" s="138"/>
      <c r="G407" s="138"/>
      <c r="H407" s="139"/>
    </row>
    <row r="408" spans="1:14" s="1" customFormat="1" ht="15.75" customHeight="1" x14ac:dyDescent="0.35">
      <c r="A408" s="137" t="s">
        <v>289</v>
      </c>
      <c r="B408" s="138"/>
      <c r="C408" s="138"/>
      <c r="D408" s="138"/>
      <c r="E408" s="138"/>
      <c r="F408" s="138"/>
      <c r="G408" s="138"/>
      <c r="H408" s="139"/>
    </row>
    <row r="409" spans="1:14" s="2" customFormat="1" ht="15.75" customHeight="1" x14ac:dyDescent="0.35">
      <c r="A409" s="116">
        <v>1</v>
      </c>
      <c r="B409" s="117"/>
      <c r="C409" s="64" t="s">
        <v>196</v>
      </c>
      <c r="D409" s="64">
        <f>18.11*10.764</f>
        <v>194.93603999999999</v>
      </c>
      <c r="E409" s="64">
        <v>0</v>
      </c>
      <c r="F409" s="64">
        <f t="shared" ref="F409:F414" si="9">D409*(($F$358)+1)+E409</f>
        <v>311.89766400000002</v>
      </c>
      <c r="G409" s="116" t="str">
        <f>A399</f>
        <v xml:space="preserve">Ground Floor </v>
      </c>
      <c r="H409" s="117"/>
      <c r="I409" s="31"/>
      <c r="L409" s="115"/>
      <c r="M409" s="115"/>
      <c r="N409" s="31"/>
    </row>
    <row r="410" spans="1:14" s="2" customFormat="1" ht="15.75" customHeight="1" x14ac:dyDescent="0.35">
      <c r="A410" s="116">
        <f>A409+1</f>
        <v>2</v>
      </c>
      <c r="B410" s="117"/>
      <c r="C410" s="64" t="s">
        <v>196</v>
      </c>
      <c r="D410" s="64">
        <f>13.37*10.764</f>
        <v>143.91467999999998</v>
      </c>
      <c r="E410" s="64">
        <v>0</v>
      </c>
      <c r="F410" s="64">
        <f t="shared" si="9"/>
        <v>230.26348799999997</v>
      </c>
      <c r="G410" s="116" t="str">
        <f>G409</f>
        <v xml:space="preserve">Ground Floor </v>
      </c>
      <c r="H410" s="117"/>
      <c r="I410" s="31"/>
      <c r="L410" s="115"/>
      <c r="M410" s="115"/>
      <c r="N410" s="31"/>
    </row>
    <row r="411" spans="1:14" s="2" customFormat="1" ht="15.75" customHeight="1" x14ac:dyDescent="0.35">
      <c r="A411" s="116">
        <f>A410+1</f>
        <v>3</v>
      </c>
      <c r="B411" s="117"/>
      <c r="C411" s="64" t="s">
        <v>196</v>
      </c>
      <c r="D411" s="64">
        <f>18.57*10.764</f>
        <v>199.88747999999998</v>
      </c>
      <c r="E411" s="64">
        <v>0</v>
      </c>
      <c r="F411" s="64">
        <f t="shared" si="9"/>
        <v>319.81996800000002</v>
      </c>
      <c r="G411" s="116" t="str">
        <f>G410</f>
        <v xml:space="preserve">Ground Floor </v>
      </c>
      <c r="H411" s="117"/>
      <c r="I411" s="31"/>
      <c r="L411" s="115"/>
      <c r="M411" s="115"/>
      <c r="N411" s="31"/>
    </row>
    <row r="412" spans="1:14" s="2" customFormat="1" ht="15.75" customHeight="1" x14ac:dyDescent="0.35">
      <c r="A412" s="116">
        <f>A411+1</f>
        <v>4</v>
      </c>
      <c r="B412" s="117"/>
      <c r="C412" s="64" t="s">
        <v>196</v>
      </c>
      <c r="D412" s="64">
        <f>18.69*10.764</f>
        <v>201.17916</v>
      </c>
      <c r="E412" s="64">
        <v>0</v>
      </c>
      <c r="F412" s="64">
        <f t="shared" si="9"/>
        <v>321.88665600000002</v>
      </c>
      <c r="G412" s="116" t="str">
        <f>G410</f>
        <v xml:space="preserve">Ground Floor </v>
      </c>
      <c r="H412" s="117"/>
      <c r="I412" s="31"/>
      <c r="L412" s="115"/>
      <c r="M412" s="115"/>
      <c r="N412" s="31"/>
    </row>
    <row r="413" spans="1:14" s="2" customFormat="1" ht="15.75" customHeight="1" x14ac:dyDescent="0.35">
      <c r="A413" s="116">
        <f>A412+1</f>
        <v>5</v>
      </c>
      <c r="B413" s="117"/>
      <c r="C413" s="64" t="s">
        <v>196</v>
      </c>
      <c r="D413" s="64">
        <f>13.36*10.764</f>
        <v>143.80703999999997</v>
      </c>
      <c r="E413" s="64">
        <v>0</v>
      </c>
      <c r="F413" s="64">
        <f t="shared" si="9"/>
        <v>230.09126399999997</v>
      </c>
      <c r="G413" s="116" t="str">
        <f>G411</f>
        <v xml:space="preserve">Ground Floor </v>
      </c>
      <c r="H413" s="117"/>
      <c r="I413" s="31"/>
      <c r="L413" s="115"/>
      <c r="M413" s="115"/>
      <c r="N413" s="31"/>
    </row>
    <row r="414" spans="1:14" s="2" customFormat="1" ht="15.75" customHeight="1" x14ac:dyDescent="0.35">
      <c r="A414" s="116">
        <f>A413+1</f>
        <v>6</v>
      </c>
      <c r="B414" s="117"/>
      <c r="C414" s="64" t="s">
        <v>196</v>
      </c>
      <c r="D414" s="64">
        <f>30.46*10.764</f>
        <v>327.87144000000001</v>
      </c>
      <c r="E414" s="64">
        <v>0</v>
      </c>
      <c r="F414" s="64">
        <f t="shared" si="9"/>
        <v>524.59430400000008</v>
      </c>
      <c r="G414" s="116" t="str">
        <f>G411</f>
        <v xml:space="preserve">Ground Floor </v>
      </c>
      <c r="H414" s="117"/>
      <c r="I414" s="31"/>
      <c r="L414" s="115"/>
      <c r="M414" s="115"/>
      <c r="N414" s="31"/>
    </row>
    <row r="415" spans="1:14" s="1" customFormat="1" ht="15.75" customHeight="1" x14ac:dyDescent="0.35">
      <c r="A415" s="137" t="s">
        <v>261</v>
      </c>
      <c r="B415" s="138"/>
      <c r="C415" s="138"/>
      <c r="D415" s="138"/>
      <c r="E415" s="138"/>
      <c r="F415" s="138"/>
      <c r="G415" s="138"/>
      <c r="H415" s="139"/>
    </row>
    <row r="416" spans="1:14" s="1" customFormat="1" ht="15.75" customHeight="1" x14ac:dyDescent="0.35">
      <c r="A416" s="137" t="s">
        <v>289</v>
      </c>
      <c r="B416" s="138"/>
      <c r="C416" s="138"/>
      <c r="D416" s="138"/>
      <c r="E416" s="138"/>
      <c r="F416" s="138"/>
      <c r="G416" s="138"/>
      <c r="H416" s="139"/>
    </row>
    <row r="417" spans="1:14" s="2" customFormat="1" ht="15.75" customHeight="1" x14ac:dyDescent="0.35">
      <c r="A417" s="116">
        <v>1</v>
      </c>
      <c r="B417" s="117"/>
      <c r="C417" s="64" t="s">
        <v>196</v>
      </c>
      <c r="D417" s="64">
        <f>31.41*10.764</f>
        <v>338.09724</v>
      </c>
      <c r="E417" s="64">
        <v>0</v>
      </c>
      <c r="F417" s="64">
        <f>D417*(($F$358)+1)+E417</f>
        <v>540.95558400000004</v>
      </c>
      <c r="G417" s="116" t="str">
        <f>A399</f>
        <v xml:space="preserve">Ground Floor </v>
      </c>
      <c r="H417" s="117"/>
      <c r="I417" s="31"/>
      <c r="L417" s="115"/>
      <c r="M417" s="115"/>
      <c r="N417" s="31"/>
    </row>
    <row r="418" spans="1:14" s="2" customFormat="1" ht="15.75" customHeight="1" x14ac:dyDescent="0.35">
      <c r="A418" s="116">
        <f t="shared" ref="A418:A426" si="10">A417+1</f>
        <v>2</v>
      </c>
      <c r="B418" s="117"/>
      <c r="C418" s="64" t="s">
        <v>196</v>
      </c>
      <c r="D418" s="64">
        <f>16.62*10.764</f>
        <v>178.89768000000001</v>
      </c>
      <c r="E418" s="64">
        <v>0</v>
      </c>
      <c r="F418" s="64">
        <f t="shared" ref="F418:F426" si="11">D418*(($F$358)+1)+E418</f>
        <v>286.236288</v>
      </c>
      <c r="G418" s="116" t="str">
        <f>G417</f>
        <v xml:space="preserve">Ground Floor </v>
      </c>
      <c r="H418" s="117"/>
      <c r="I418" s="31"/>
      <c r="L418" s="115"/>
      <c r="M418" s="115"/>
      <c r="N418" s="31"/>
    </row>
    <row r="419" spans="1:14" s="2" customFormat="1" ht="15.75" customHeight="1" x14ac:dyDescent="0.35">
      <c r="A419" s="116">
        <f t="shared" si="10"/>
        <v>3</v>
      </c>
      <c r="B419" s="117"/>
      <c r="C419" s="64" t="s">
        <v>196</v>
      </c>
      <c r="D419" s="64">
        <f>20.34*10.764</f>
        <v>218.93975999999998</v>
      </c>
      <c r="E419" s="64">
        <v>0</v>
      </c>
      <c r="F419" s="64">
        <f t="shared" si="11"/>
        <v>350.30361599999998</v>
      </c>
      <c r="G419" s="116" t="str">
        <f>G418</f>
        <v xml:space="preserve">Ground Floor </v>
      </c>
      <c r="H419" s="117"/>
      <c r="I419" s="31"/>
      <c r="L419" s="115"/>
      <c r="M419" s="115"/>
      <c r="N419" s="31"/>
    </row>
    <row r="420" spans="1:14" s="2" customFormat="1" ht="15.75" customHeight="1" x14ac:dyDescent="0.35">
      <c r="A420" s="116">
        <f t="shared" si="10"/>
        <v>4</v>
      </c>
      <c r="B420" s="117"/>
      <c r="C420" s="64" t="s">
        <v>196</v>
      </c>
      <c r="D420" s="64">
        <f>19.43*10.764</f>
        <v>209.14451999999997</v>
      </c>
      <c r="E420" s="64">
        <v>0</v>
      </c>
      <c r="F420" s="64">
        <f t="shared" si="11"/>
        <v>334.63123199999995</v>
      </c>
      <c r="G420" s="116" t="str">
        <f>G418</f>
        <v xml:space="preserve">Ground Floor </v>
      </c>
      <c r="H420" s="117"/>
      <c r="I420" s="31"/>
      <c r="L420" s="115"/>
      <c r="M420" s="115"/>
      <c r="N420" s="31"/>
    </row>
    <row r="421" spans="1:14" s="2" customFormat="1" ht="15.75" customHeight="1" x14ac:dyDescent="0.35">
      <c r="A421" s="116">
        <f t="shared" si="10"/>
        <v>5</v>
      </c>
      <c r="B421" s="117"/>
      <c r="C421" s="64" t="s">
        <v>196</v>
      </c>
      <c r="D421" s="64">
        <f>13.62*10.764</f>
        <v>146.60567999999998</v>
      </c>
      <c r="E421" s="64">
        <v>0</v>
      </c>
      <c r="F421" s="64">
        <f t="shared" si="11"/>
        <v>234.56908799999997</v>
      </c>
      <c r="G421" s="116" t="str">
        <f>G419</f>
        <v xml:space="preserve">Ground Floor </v>
      </c>
      <c r="H421" s="117"/>
      <c r="I421" s="31"/>
      <c r="L421" s="115"/>
      <c r="M421" s="115"/>
      <c r="N421" s="31"/>
    </row>
    <row r="422" spans="1:14" s="2" customFormat="1" ht="15.75" customHeight="1" x14ac:dyDescent="0.35">
      <c r="A422" s="116">
        <f t="shared" si="10"/>
        <v>6</v>
      </c>
      <c r="B422" s="117"/>
      <c r="C422" s="64" t="s">
        <v>196</v>
      </c>
      <c r="D422" s="64">
        <f>27.42*10.764</f>
        <v>295.14888000000002</v>
      </c>
      <c r="E422" s="64">
        <v>0</v>
      </c>
      <c r="F422" s="64">
        <f t="shared" si="11"/>
        <v>472.23820800000004</v>
      </c>
      <c r="G422" s="116" t="str">
        <f>G419</f>
        <v xml:space="preserve">Ground Floor </v>
      </c>
      <c r="H422" s="117"/>
      <c r="I422" s="31"/>
      <c r="L422" s="115"/>
      <c r="M422" s="115"/>
      <c r="N422" s="31"/>
    </row>
    <row r="423" spans="1:14" s="2" customFormat="1" ht="15.75" customHeight="1" x14ac:dyDescent="0.35">
      <c r="A423" s="116">
        <f t="shared" si="10"/>
        <v>7</v>
      </c>
      <c r="B423" s="117"/>
      <c r="C423" s="64" t="s">
        <v>196</v>
      </c>
      <c r="D423" s="64">
        <f>13.34*10.764</f>
        <v>143.59175999999999</v>
      </c>
      <c r="E423" s="64">
        <v>0</v>
      </c>
      <c r="F423" s="64">
        <f t="shared" si="11"/>
        <v>229.746816</v>
      </c>
      <c r="G423" s="116" t="str">
        <f>G422</f>
        <v xml:space="preserve">Ground Floor </v>
      </c>
      <c r="H423" s="117"/>
      <c r="I423" s="31"/>
      <c r="L423" s="115"/>
      <c r="M423" s="115"/>
      <c r="N423" s="31"/>
    </row>
    <row r="424" spans="1:14" s="2" customFormat="1" ht="15.75" customHeight="1" x14ac:dyDescent="0.35">
      <c r="A424" s="116">
        <f t="shared" si="10"/>
        <v>8</v>
      </c>
      <c r="B424" s="117"/>
      <c r="C424" s="64" t="s">
        <v>196</v>
      </c>
      <c r="D424" s="64">
        <f>20.73*10.764</f>
        <v>223.13772</v>
      </c>
      <c r="E424" s="64">
        <v>0</v>
      </c>
      <c r="F424" s="64">
        <f t="shared" si="11"/>
        <v>357.020352</v>
      </c>
      <c r="G424" s="116" t="str">
        <f>G423</f>
        <v xml:space="preserve">Ground Floor </v>
      </c>
      <c r="H424" s="117"/>
      <c r="I424" s="31"/>
      <c r="L424" s="115"/>
      <c r="M424" s="115"/>
      <c r="N424" s="31"/>
    </row>
    <row r="425" spans="1:14" s="2" customFormat="1" ht="15.75" customHeight="1" x14ac:dyDescent="0.35">
      <c r="A425" s="116">
        <f t="shared" si="10"/>
        <v>9</v>
      </c>
      <c r="B425" s="117"/>
      <c r="C425" s="64" t="s">
        <v>196</v>
      </c>
      <c r="D425" s="64">
        <f>14.31*10.764</f>
        <v>154.03283999999999</v>
      </c>
      <c r="E425" s="64">
        <v>0</v>
      </c>
      <c r="F425" s="64">
        <f t="shared" si="11"/>
        <v>246.45254399999999</v>
      </c>
      <c r="G425" s="116" t="str">
        <f>G423</f>
        <v xml:space="preserve">Ground Floor </v>
      </c>
      <c r="H425" s="117"/>
      <c r="I425" s="31"/>
      <c r="L425" s="115"/>
      <c r="M425" s="115"/>
      <c r="N425" s="31"/>
    </row>
    <row r="426" spans="1:14" s="2" customFormat="1" ht="15.75" customHeight="1" x14ac:dyDescent="0.35">
      <c r="A426" s="116">
        <f t="shared" si="10"/>
        <v>10</v>
      </c>
      <c r="B426" s="117"/>
      <c r="C426" s="64" t="s">
        <v>196</v>
      </c>
      <c r="D426" s="64">
        <f>33.2*10.764</f>
        <v>357.3648</v>
      </c>
      <c r="E426" s="64">
        <v>0</v>
      </c>
      <c r="F426" s="64">
        <f t="shared" si="11"/>
        <v>571.78368</v>
      </c>
      <c r="G426" s="116" t="str">
        <f>G424</f>
        <v xml:space="preserve">Ground Floor </v>
      </c>
      <c r="H426" s="117"/>
      <c r="I426" s="31"/>
      <c r="L426" s="115"/>
      <c r="M426" s="115"/>
      <c r="N426" s="31"/>
    </row>
    <row r="427" spans="1:14" s="1" customFormat="1" ht="15.75" customHeight="1" x14ac:dyDescent="0.35">
      <c r="A427" s="137" t="s">
        <v>262</v>
      </c>
      <c r="B427" s="138"/>
      <c r="C427" s="138"/>
      <c r="D427" s="138"/>
      <c r="E427" s="138"/>
      <c r="F427" s="138"/>
      <c r="G427" s="138"/>
      <c r="H427" s="139"/>
    </row>
    <row r="428" spans="1:14" s="1" customFormat="1" ht="15.75" customHeight="1" x14ac:dyDescent="0.35">
      <c r="A428" s="137" t="s">
        <v>289</v>
      </c>
      <c r="B428" s="138"/>
      <c r="C428" s="138"/>
      <c r="D428" s="138"/>
      <c r="E428" s="138"/>
      <c r="F428" s="138"/>
      <c r="G428" s="138"/>
      <c r="H428" s="139"/>
    </row>
    <row r="429" spans="1:14" s="2" customFormat="1" ht="15.75" customHeight="1" x14ac:dyDescent="0.35">
      <c r="A429" s="116">
        <v>1</v>
      </c>
      <c r="B429" s="117"/>
      <c r="C429" s="64" t="s">
        <v>196</v>
      </c>
      <c r="D429" s="64">
        <f>30.49*10.764</f>
        <v>328.19435999999996</v>
      </c>
      <c r="E429" s="64">
        <v>0</v>
      </c>
      <c r="F429" s="64">
        <f t="shared" ref="F429:F434" si="12">D429*(($F$358)+1)+E429</f>
        <v>525.11097599999994</v>
      </c>
      <c r="G429" s="116" t="str">
        <f>A399</f>
        <v xml:space="preserve">Ground Floor </v>
      </c>
      <c r="H429" s="117"/>
      <c r="I429" s="31"/>
      <c r="L429" s="115"/>
      <c r="M429" s="115"/>
      <c r="N429" s="31"/>
    </row>
    <row r="430" spans="1:14" s="2" customFormat="1" ht="15.75" customHeight="1" x14ac:dyDescent="0.35">
      <c r="A430" s="116">
        <f>A429+1</f>
        <v>2</v>
      </c>
      <c r="B430" s="117"/>
      <c r="C430" s="64" t="s">
        <v>196</v>
      </c>
      <c r="D430" s="64">
        <f>13.35*10.764</f>
        <v>143.6994</v>
      </c>
      <c r="E430" s="64">
        <v>0</v>
      </c>
      <c r="F430" s="64">
        <f t="shared" si="12"/>
        <v>229.91904</v>
      </c>
      <c r="G430" s="116" t="str">
        <f>G429</f>
        <v xml:space="preserve">Ground Floor </v>
      </c>
      <c r="H430" s="117"/>
      <c r="I430" s="31"/>
      <c r="L430" s="115"/>
      <c r="M430" s="115"/>
      <c r="N430" s="31"/>
    </row>
    <row r="431" spans="1:14" s="2" customFormat="1" ht="15.75" customHeight="1" x14ac:dyDescent="0.35">
      <c r="A431" s="116">
        <f>A430+1</f>
        <v>3</v>
      </c>
      <c r="B431" s="117"/>
      <c r="C431" s="64" t="s">
        <v>196</v>
      </c>
      <c r="D431" s="64">
        <f>18.69*10.764</f>
        <v>201.17916</v>
      </c>
      <c r="E431" s="64">
        <v>0</v>
      </c>
      <c r="F431" s="64">
        <f t="shared" si="12"/>
        <v>321.88665600000002</v>
      </c>
      <c r="G431" s="116" t="str">
        <f>G430</f>
        <v xml:space="preserve">Ground Floor </v>
      </c>
      <c r="H431" s="117"/>
      <c r="I431" s="31"/>
      <c r="L431" s="115"/>
      <c r="M431" s="115"/>
      <c r="N431" s="31"/>
    </row>
    <row r="432" spans="1:14" s="2" customFormat="1" ht="15.75" customHeight="1" x14ac:dyDescent="0.35">
      <c r="A432" s="116">
        <f>A431+1</f>
        <v>4</v>
      </c>
      <c r="B432" s="117"/>
      <c r="C432" s="64" t="s">
        <v>196</v>
      </c>
      <c r="D432" s="64">
        <f>18.69*10.764</f>
        <v>201.17916</v>
      </c>
      <c r="E432" s="64">
        <v>0</v>
      </c>
      <c r="F432" s="64">
        <f t="shared" si="12"/>
        <v>321.88665600000002</v>
      </c>
      <c r="G432" s="116" t="str">
        <f>G430</f>
        <v xml:space="preserve">Ground Floor </v>
      </c>
      <c r="H432" s="117"/>
      <c r="I432" s="31"/>
      <c r="L432" s="115"/>
      <c r="M432" s="115"/>
      <c r="N432" s="31"/>
    </row>
    <row r="433" spans="1:14" s="2" customFormat="1" ht="15.75" customHeight="1" x14ac:dyDescent="0.35">
      <c r="A433" s="116">
        <f>A432+1</f>
        <v>5</v>
      </c>
      <c r="B433" s="117"/>
      <c r="C433" s="64" t="s">
        <v>196</v>
      </c>
      <c r="D433" s="64">
        <f>13.35*10.764</f>
        <v>143.6994</v>
      </c>
      <c r="E433" s="64">
        <v>0</v>
      </c>
      <c r="F433" s="64">
        <f t="shared" si="12"/>
        <v>229.91904</v>
      </c>
      <c r="G433" s="116" t="str">
        <f>G431</f>
        <v xml:space="preserve">Ground Floor </v>
      </c>
      <c r="H433" s="117"/>
      <c r="I433" s="31"/>
      <c r="L433" s="115"/>
      <c r="M433" s="115"/>
      <c r="N433" s="31"/>
    </row>
    <row r="434" spans="1:14" s="2" customFormat="1" ht="15.75" customHeight="1" x14ac:dyDescent="0.35">
      <c r="A434" s="116">
        <f>A433+1</f>
        <v>6</v>
      </c>
      <c r="B434" s="117"/>
      <c r="C434" s="64" t="s">
        <v>196</v>
      </c>
      <c r="D434" s="64">
        <f>30.49*10.764</f>
        <v>328.19435999999996</v>
      </c>
      <c r="E434" s="64">
        <v>0</v>
      </c>
      <c r="F434" s="64">
        <f t="shared" si="12"/>
        <v>525.11097599999994</v>
      </c>
      <c r="G434" s="116" t="str">
        <f>G431</f>
        <v xml:space="preserve">Ground Floor </v>
      </c>
      <c r="H434" s="117"/>
      <c r="I434" s="31"/>
      <c r="L434" s="115"/>
      <c r="M434" s="115"/>
      <c r="N434" s="31"/>
    </row>
    <row r="435" spans="1:14" s="2" customFormat="1" ht="15.75" customHeight="1" x14ac:dyDescent="0.35">
      <c r="A435" s="119" t="s">
        <v>263</v>
      </c>
      <c r="B435" s="119"/>
      <c r="C435" s="119"/>
      <c r="D435" s="119"/>
      <c r="E435" s="119"/>
      <c r="F435" s="119"/>
      <c r="G435" s="119"/>
      <c r="H435" s="119"/>
      <c r="I435" s="31"/>
      <c r="N435" s="31"/>
    </row>
    <row r="436" spans="1:14" s="2" customFormat="1" x14ac:dyDescent="0.35">
      <c r="A436" s="119" t="s">
        <v>264</v>
      </c>
      <c r="B436" s="119"/>
      <c r="C436" s="119"/>
      <c r="D436" s="119"/>
      <c r="E436" s="119"/>
      <c r="F436" s="119"/>
      <c r="G436" s="119"/>
      <c r="H436" s="119"/>
    </row>
    <row r="437" spans="1:14" s="2" customFormat="1" ht="15.75" customHeight="1" x14ac:dyDescent="0.35">
      <c r="A437" s="119" t="s">
        <v>147</v>
      </c>
      <c r="B437" s="119"/>
      <c r="C437" s="119"/>
      <c r="D437" s="119"/>
      <c r="E437" s="119"/>
      <c r="F437" s="119"/>
      <c r="G437" s="119"/>
      <c r="H437" s="119"/>
      <c r="I437" s="31"/>
      <c r="N437" s="31"/>
    </row>
    <row r="438" spans="1:14" s="2" customFormat="1" x14ac:dyDescent="0.35">
      <c r="A438" s="118">
        <v>1</v>
      </c>
      <c r="B438" s="118"/>
      <c r="C438" s="82" t="s">
        <v>196</v>
      </c>
      <c r="D438" s="82">
        <f>34.83*10.764</f>
        <v>374.91011999999995</v>
      </c>
      <c r="E438" s="82">
        <v>0</v>
      </c>
      <c r="F438" s="82">
        <f>D438*(($F$358)+1)+E438</f>
        <v>599.85619199999996</v>
      </c>
      <c r="G438" s="118" t="str">
        <f>A437</f>
        <v>Ground Floor</v>
      </c>
      <c r="H438" s="118"/>
      <c r="I438" s="31"/>
      <c r="L438" s="115"/>
      <c r="M438" s="115"/>
      <c r="N438" s="31"/>
    </row>
    <row r="439" spans="1:14" s="2" customFormat="1" x14ac:dyDescent="0.35">
      <c r="A439" s="118">
        <f>A438+1</f>
        <v>2</v>
      </c>
      <c r="B439" s="118"/>
      <c r="C439" s="82" t="s">
        <v>196</v>
      </c>
      <c r="D439" s="82">
        <f>22.11*10.764</f>
        <v>237.99203999999997</v>
      </c>
      <c r="E439" s="82">
        <v>0</v>
      </c>
      <c r="F439" s="82">
        <f>D439*(($F$358)+1)+E439</f>
        <v>380.78726399999999</v>
      </c>
      <c r="G439" s="118" t="str">
        <f t="shared" ref="G439:G469" si="13">G438</f>
        <v>Ground Floor</v>
      </c>
      <c r="H439" s="118"/>
      <c r="I439" s="31"/>
      <c r="L439" s="115"/>
      <c r="M439" s="115"/>
      <c r="N439" s="31"/>
    </row>
    <row r="440" spans="1:14" s="2" customFormat="1" x14ac:dyDescent="0.35">
      <c r="A440" s="118">
        <f>A439+1</f>
        <v>3</v>
      </c>
      <c r="B440" s="118"/>
      <c r="C440" s="82" t="s">
        <v>196</v>
      </c>
      <c r="D440" s="82">
        <f>22.08*10.764</f>
        <v>237.66911999999996</v>
      </c>
      <c r="E440" s="82">
        <v>0</v>
      </c>
      <c r="F440" s="82">
        <f>D440*(($F$358)+1)+E440</f>
        <v>380.27059199999997</v>
      </c>
      <c r="G440" s="118" t="str">
        <f t="shared" si="13"/>
        <v>Ground Floor</v>
      </c>
      <c r="H440" s="118"/>
      <c r="I440" s="31"/>
      <c r="L440" s="115"/>
      <c r="M440" s="115"/>
      <c r="N440" s="31"/>
    </row>
    <row r="441" spans="1:14" s="2" customFormat="1" x14ac:dyDescent="0.35">
      <c r="A441" s="118">
        <f>A440+1</f>
        <v>4</v>
      </c>
      <c r="B441" s="118"/>
      <c r="C441" s="82" t="s">
        <v>196</v>
      </c>
      <c r="D441" s="82">
        <f>34.83*10.764</f>
        <v>374.91011999999995</v>
      </c>
      <c r="E441" s="82">
        <v>0</v>
      </c>
      <c r="F441" s="82">
        <f>D441*(($F$358)+1)+E441</f>
        <v>599.85619199999996</v>
      </c>
      <c r="G441" s="118" t="str">
        <f t="shared" si="13"/>
        <v>Ground Floor</v>
      </c>
      <c r="H441" s="118"/>
      <c r="I441" s="31"/>
      <c r="L441" s="115"/>
      <c r="M441" s="115"/>
      <c r="N441" s="31"/>
    </row>
    <row r="442" spans="1:14" s="2" customFormat="1" x14ac:dyDescent="0.35">
      <c r="A442" s="119" t="s">
        <v>265</v>
      </c>
      <c r="B442" s="119"/>
      <c r="C442" s="119"/>
      <c r="D442" s="119"/>
      <c r="E442" s="119"/>
      <c r="F442" s="119"/>
      <c r="G442" s="119"/>
      <c r="H442" s="119"/>
    </row>
    <row r="443" spans="1:14" s="2" customFormat="1" ht="15.75" customHeight="1" x14ac:dyDescent="0.35">
      <c r="A443" s="119" t="s">
        <v>147</v>
      </c>
      <c r="B443" s="119"/>
      <c r="C443" s="119"/>
      <c r="D443" s="119"/>
      <c r="E443" s="119"/>
      <c r="F443" s="119"/>
      <c r="G443" s="119"/>
      <c r="H443" s="119"/>
      <c r="I443" s="31"/>
      <c r="N443" s="31"/>
    </row>
    <row r="444" spans="1:14" s="2" customFormat="1" x14ac:dyDescent="0.35">
      <c r="A444" s="118">
        <v>1</v>
      </c>
      <c r="B444" s="118"/>
      <c r="C444" s="82" t="s">
        <v>196</v>
      </c>
      <c r="D444" s="82">
        <f>28.37*10.764</f>
        <v>305.37468000000001</v>
      </c>
      <c r="E444" s="82">
        <v>0</v>
      </c>
      <c r="F444" s="82">
        <f>D444*(($F$358)+1)+E444</f>
        <v>488.59948800000006</v>
      </c>
      <c r="G444" s="118" t="str">
        <f>A437</f>
        <v>Ground Floor</v>
      </c>
      <c r="H444" s="118"/>
      <c r="I444" s="31"/>
      <c r="L444" s="115"/>
      <c r="M444" s="115"/>
      <c r="N444" s="31"/>
    </row>
    <row r="445" spans="1:14" s="2" customFormat="1" x14ac:dyDescent="0.35">
      <c r="A445" s="118">
        <f t="shared" ref="A445:A457" si="14">A444+1</f>
        <v>2</v>
      </c>
      <c r="B445" s="118"/>
      <c r="C445" s="82" t="s">
        <v>196</v>
      </c>
      <c r="D445" s="82">
        <f>11.48*10.764</f>
        <v>123.57071999999999</v>
      </c>
      <c r="E445" s="82">
        <v>0</v>
      </c>
      <c r="F445" s="82">
        <f t="shared" ref="F445:F457" si="15">D445*(($F$358)+1)+E445</f>
        <v>197.71315200000001</v>
      </c>
      <c r="G445" s="118" t="str">
        <f t="shared" si="13"/>
        <v>Ground Floor</v>
      </c>
      <c r="H445" s="118"/>
      <c r="I445" s="31"/>
      <c r="L445" s="115"/>
      <c r="M445" s="115"/>
      <c r="N445" s="31"/>
    </row>
    <row r="446" spans="1:14" s="2" customFormat="1" x14ac:dyDescent="0.35">
      <c r="A446" s="118">
        <f t="shared" si="14"/>
        <v>3</v>
      </c>
      <c r="B446" s="118"/>
      <c r="C446" s="82" t="s">
        <v>196</v>
      </c>
      <c r="D446" s="82">
        <f>19.3*10.764</f>
        <v>207.74519999999998</v>
      </c>
      <c r="E446" s="82">
        <v>0</v>
      </c>
      <c r="F446" s="82">
        <f t="shared" si="15"/>
        <v>332.39231999999998</v>
      </c>
      <c r="G446" s="118" t="str">
        <f t="shared" si="13"/>
        <v>Ground Floor</v>
      </c>
      <c r="H446" s="118"/>
      <c r="I446" s="31"/>
      <c r="L446" s="115"/>
      <c r="M446" s="115"/>
      <c r="N446" s="31"/>
    </row>
    <row r="447" spans="1:14" s="2" customFormat="1" x14ac:dyDescent="0.35">
      <c r="A447" s="118">
        <f t="shared" si="14"/>
        <v>4</v>
      </c>
      <c r="B447" s="118"/>
      <c r="C447" s="82" t="s">
        <v>196</v>
      </c>
      <c r="D447" s="82">
        <f>19.3*10.764</f>
        <v>207.74519999999998</v>
      </c>
      <c r="E447" s="82">
        <v>0</v>
      </c>
      <c r="F447" s="82">
        <f t="shared" si="15"/>
        <v>332.39231999999998</v>
      </c>
      <c r="G447" s="118" t="str">
        <f t="shared" si="13"/>
        <v>Ground Floor</v>
      </c>
      <c r="H447" s="118"/>
      <c r="I447" s="31"/>
      <c r="L447" s="115"/>
      <c r="M447" s="115"/>
      <c r="N447" s="31"/>
    </row>
    <row r="448" spans="1:14" s="2" customFormat="1" x14ac:dyDescent="0.35">
      <c r="A448" s="116">
        <f t="shared" si="14"/>
        <v>5</v>
      </c>
      <c r="B448" s="117"/>
      <c r="C448" s="64" t="s">
        <v>196</v>
      </c>
      <c r="D448" s="64">
        <f>11.48*10.764</f>
        <v>123.57071999999999</v>
      </c>
      <c r="E448" s="64">
        <v>0</v>
      </c>
      <c r="F448" s="64">
        <f t="shared" si="15"/>
        <v>197.71315200000001</v>
      </c>
      <c r="G448" s="116" t="str">
        <f t="shared" si="13"/>
        <v>Ground Floor</v>
      </c>
      <c r="H448" s="117"/>
      <c r="I448" s="31"/>
      <c r="L448" s="115"/>
      <c r="M448" s="115"/>
      <c r="N448" s="31"/>
    </row>
    <row r="449" spans="1:14" s="2" customFormat="1" x14ac:dyDescent="0.35">
      <c r="A449" s="116">
        <f t="shared" si="14"/>
        <v>6</v>
      </c>
      <c r="B449" s="117"/>
      <c r="C449" s="64" t="s">
        <v>196</v>
      </c>
      <c r="D449" s="64">
        <f>14.99*10.764</f>
        <v>161.35236</v>
      </c>
      <c r="E449" s="64">
        <v>0</v>
      </c>
      <c r="F449" s="64">
        <f t="shared" si="15"/>
        <v>258.16377600000004</v>
      </c>
      <c r="G449" s="116" t="str">
        <f t="shared" si="13"/>
        <v>Ground Floor</v>
      </c>
      <c r="H449" s="117"/>
      <c r="I449" s="31"/>
      <c r="L449" s="115"/>
      <c r="M449" s="115"/>
      <c r="N449" s="31"/>
    </row>
    <row r="450" spans="1:14" s="2" customFormat="1" x14ac:dyDescent="0.35">
      <c r="A450" s="116">
        <f t="shared" si="14"/>
        <v>7</v>
      </c>
      <c r="B450" s="117"/>
      <c r="C450" s="64" t="s">
        <v>196</v>
      </c>
      <c r="D450" s="64">
        <f>20.83*10.764</f>
        <v>224.21411999999998</v>
      </c>
      <c r="E450" s="64">
        <v>0</v>
      </c>
      <c r="F450" s="64">
        <f t="shared" si="15"/>
        <v>358.742592</v>
      </c>
      <c r="G450" s="116" t="str">
        <f t="shared" si="13"/>
        <v>Ground Floor</v>
      </c>
      <c r="H450" s="117"/>
      <c r="I450" s="31"/>
      <c r="L450" s="115"/>
      <c r="M450" s="115"/>
      <c r="N450" s="31"/>
    </row>
    <row r="451" spans="1:14" s="2" customFormat="1" x14ac:dyDescent="0.35">
      <c r="A451" s="116">
        <f t="shared" si="14"/>
        <v>8</v>
      </c>
      <c r="B451" s="117"/>
      <c r="C451" s="64" t="s">
        <v>196</v>
      </c>
      <c r="D451" s="64">
        <f>28.19*10.764</f>
        <v>303.43716000000001</v>
      </c>
      <c r="E451" s="64">
        <v>0</v>
      </c>
      <c r="F451" s="64">
        <f t="shared" si="15"/>
        <v>485.49945600000001</v>
      </c>
      <c r="G451" s="116" t="str">
        <f t="shared" si="13"/>
        <v>Ground Floor</v>
      </c>
      <c r="H451" s="117"/>
      <c r="I451" s="31"/>
      <c r="L451" s="115"/>
      <c r="M451" s="115"/>
      <c r="N451" s="31"/>
    </row>
    <row r="452" spans="1:14" s="2" customFormat="1" x14ac:dyDescent="0.35">
      <c r="A452" s="116">
        <f t="shared" si="14"/>
        <v>9</v>
      </c>
      <c r="B452" s="117"/>
      <c r="C452" s="64" t="s">
        <v>196</v>
      </c>
      <c r="D452" s="64">
        <f>14.99*10.764</f>
        <v>161.35236</v>
      </c>
      <c r="E452" s="64">
        <v>0</v>
      </c>
      <c r="F452" s="64">
        <f t="shared" si="15"/>
        <v>258.16377600000004</v>
      </c>
      <c r="G452" s="116" t="str">
        <f t="shared" si="13"/>
        <v>Ground Floor</v>
      </c>
      <c r="H452" s="117"/>
      <c r="I452" s="31"/>
      <c r="L452" s="115"/>
      <c r="M452" s="115"/>
      <c r="N452" s="31"/>
    </row>
    <row r="453" spans="1:14" s="2" customFormat="1" x14ac:dyDescent="0.35">
      <c r="A453" s="116">
        <f t="shared" si="14"/>
        <v>10</v>
      </c>
      <c r="B453" s="117"/>
      <c r="C453" s="64" t="s">
        <v>196</v>
      </c>
      <c r="D453" s="64">
        <f>11.48*10.764</f>
        <v>123.57071999999999</v>
      </c>
      <c r="E453" s="64">
        <v>0</v>
      </c>
      <c r="F453" s="64">
        <f t="shared" si="15"/>
        <v>197.71315200000001</v>
      </c>
      <c r="G453" s="116" t="str">
        <f t="shared" si="13"/>
        <v>Ground Floor</v>
      </c>
      <c r="H453" s="117"/>
      <c r="I453" s="31"/>
      <c r="L453" s="115"/>
      <c r="M453" s="115"/>
      <c r="N453" s="31"/>
    </row>
    <row r="454" spans="1:14" s="2" customFormat="1" x14ac:dyDescent="0.35">
      <c r="A454" s="116">
        <f t="shared" si="14"/>
        <v>11</v>
      </c>
      <c r="B454" s="117"/>
      <c r="C454" s="64" t="s">
        <v>196</v>
      </c>
      <c r="D454" s="64">
        <f>19.3*10.764</f>
        <v>207.74519999999998</v>
      </c>
      <c r="E454" s="64">
        <v>0</v>
      </c>
      <c r="F454" s="64">
        <f t="shared" si="15"/>
        <v>332.39231999999998</v>
      </c>
      <c r="G454" s="116" t="str">
        <f t="shared" si="13"/>
        <v>Ground Floor</v>
      </c>
      <c r="H454" s="117"/>
      <c r="I454" s="31"/>
      <c r="L454" s="115"/>
      <c r="M454" s="115"/>
      <c r="N454" s="31"/>
    </row>
    <row r="455" spans="1:14" s="2" customFormat="1" x14ac:dyDescent="0.35">
      <c r="A455" s="116">
        <f t="shared" si="14"/>
        <v>12</v>
      </c>
      <c r="B455" s="117"/>
      <c r="C455" s="64" t="s">
        <v>196</v>
      </c>
      <c r="D455" s="64">
        <f>19.3*10.764</f>
        <v>207.74519999999998</v>
      </c>
      <c r="E455" s="64">
        <v>0</v>
      </c>
      <c r="F455" s="64">
        <f t="shared" si="15"/>
        <v>332.39231999999998</v>
      </c>
      <c r="G455" s="116" t="str">
        <f t="shared" si="13"/>
        <v>Ground Floor</v>
      </c>
      <c r="H455" s="117"/>
      <c r="I455" s="31"/>
      <c r="L455" s="115"/>
      <c r="M455" s="115"/>
      <c r="N455" s="31"/>
    </row>
    <row r="456" spans="1:14" s="2" customFormat="1" x14ac:dyDescent="0.35">
      <c r="A456" s="116">
        <f t="shared" si="14"/>
        <v>13</v>
      </c>
      <c r="B456" s="117"/>
      <c r="C456" s="64" t="s">
        <v>196</v>
      </c>
      <c r="D456" s="64">
        <f>11.48*10.764</f>
        <v>123.57071999999999</v>
      </c>
      <c r="E456" s="64">
        <v>0</v>
      </c>
      <c r="F456" s="64">
        <f t="shared" si="15"/>
        <v>197.71315200000001</v>
      </c>
      <c r="G456" s="116" t="str">
        <f t="shared" si="13"/>
        <v>Ground Floor</v>
      </c>
      <c r="H456" s="117"/>
      <c r="I456" s="31"/>
      <c r="L456" s="115"/>
      <c r="M456" s="115"/>
      <c r="N456" s="31"/>
    </row>
    <row r="457" spans="1:14" s="2" customFormat="1" x14ac:dyDescent="0.35">
      <c r="A457" s="116">
        <f t="shared" si="14"/>
        <v>14</v>
      </c>
      <c r="B457" s="117"/>
      <c r="C457" s="64" t="s">
        <v>196</v>
      </c>
      <c r="D457" s="64">
        <f>26.37*10.764</f>
        <v>283.84667999999999</v>
      </c>
      <c r="E457" s="64">
        <v>0</v>
      </c>
      <c r="F457" s="64">
        <f t="shared" si="15"/>
        <v>454.15468800000002</v>
      </c>
      <c r="G457" s="116" t="str">
        <f t="shared" si="13"/>
        <v>Ground Floor</v>
      </c>
      <c r="H457" s="117"/>
      <c r="I457" s="31"/>
      <c r="L457" s="115"/>
      <c r="M457" s="115"/>
      <c r="N457" s="31"/>
    </row>
    <row r="458" spans="1:14" s="2" customFormat="1" x14ac:dyDescent="0.35">
      <c r="A458" s="126" t="s">
        <v>266</v>
      </c>
      <c r="B458" s="127"/>
      <c r="C458" s="127"/>
      <c r="D458" s="127"/>
      <c r="E458" s="127"/>
      <c r="F458" s="127"/>
      <c r="G458" s="127"/>
      <c r="H458" s="128"/>
    </row>
    <row r="459" spans="1:14" s="2" customFormat="1" ht="15.75" customHeight="1" x14ac:dyDescent="0.35">
      <c r="A459" s="126" t="s">
        <v>147</v>
      </c>
      <c r="B459" s="127"/>
      <c r="C459" s="127"/>
      <c r="D459" s="127"/>
      <c r="E459" s="127"/>
      <c r="F459" s="127"/>
      <c r="G459" s="127"/>
      <c r="H459" s="128"/>
      <c r="I459" s="31"/>
      <c r="N459" s="31"/>
    </row>
    <row r="460" spans="1:14" s="2" customFormat="1" x14ac:dyDescent="0.35">
      <c r="A460" s="116">
        <v>1</v>
      </c>
      <c r="B460" s="117"/>
      <c r="C460" s="64" t="s">
        <v>196</v>
      </c>
      <c r="D460" s="64">
        <f>34.83*10.764</f>
        <v>374.91011999999995</v>
      </c>
      <c r="E460" s="64">
        <v>0</v>
      </c>
      <c r="F460" s="64">
        <f>D460*(($F$358)+1)+E460</f>
        <v>599.85619199999996</v>
      </c>
      <c r="G460" s="116" t="str">
        <f>A829</f>
        <v>Ground Floor For Parking</v>
      </c>
      <c r="H460" s="117"/>
      <c r="I460" s="31"/>
      <c r="L460" s="115"/>
      <c r="M460" s="115"/>
      <c r="N460" s="31"/>
    </row>
    <row r="461" spans="1:14" s="2" customFormat="1" x14ac:dyDescent="0.35">
      <c r="A461" s="116">
        <f>A460+1</f>
        <v>2</v>
      </c>
      <c r="B461" s="117"/>
      <c r="C461" s="64" t="s">
        <v>196</v>
      </c>
      <c r="D461" s="64">
        <f>22.11*10.764</f>
        <v>237.99203999999997</v>
      </c>
      <c r="E461" s="64">
        <v>0</v>
      </c>
      <c r="F461" s="64">
        <f>D461*(($F$358)+1)+E461</f>
        <v>380.78726399999999</v>
      </c>
      <c r="G461" s="116" t="str">
        <f t="shared" si="13"/>
        <v>Ground Floor For Parking</v>
      </c>
      <c r="H461" s="117"/>
      <c r="I461" s="31"/>
      <c r="L461" s="115"/>
      <c r="M461" s="115"/>
      <c r="N461" s="31"/>
    </row>
    <row r="462" spans="1:14" s="2" customFormat="1" x14ac:dyDescent="0.35">
      <c r="A462" s="116">
        <f>A461+1</f>
        <v>3</v>
      </c>
      <c r="B462" s="117"/>
      <c r="C462" s="64" t="s">
        <v>196</v>
      </c>
      <c r="D462" s="64">
        <f>22.08*10.764</f>
        <v>237.66911999999996</v>
      </c>
      <c r="E462" s="64">
        <v>0</v>
      </c>
      <c r="F462" s="64">
        <f>D462*(($F$358)+1)+E462</f>
        <v>380.27059199999997</v>
      </c>
      <c r="G462" s="116" t="str">
        <f t="shared" si="13"/>
        <v>Ground Floor For Parking</v>
      </c>
      <c r="H462" s="117"/>
      <c r="I462" s="31"/>
      <c r="L462" s="115"/>
      <c r="M462" s="115"/>
      <c r="N462" s="31"/>
    </row>
    <row r="463" spans="1:14" s="2" customFormat="1" x14ac:dyDescent="0.35">
      <c r="A463" s="116">
        <f>A462+1</f>
        <v>4</v>
      </c>
      <c r="B463" s="117"/>
      <c r="C463" s="64" t="s">
        <v>196</v>
      </c>
      <c r="D463" s="64">
        <f>34.83*10.764</f>
        <v>374.91011999999995</v>
      </c>
      <c r="E463" s="64">
        <v>0</v>
      </c>
      <c r="F463" s="64">
        <f>D463*(($F$358)+1)+E463</f>
        <v>599.85619199999996</v>
      </c>
      <c r="G463" s="116" t="str">
        <f t="shared" si="13"/>
        <v>Ground Floor For Parking</v>
      </c>
      <c r="H463" s="117"/>
      <c r="I463" s="31"/>
      <c r="L463" s="115"/>
      <c r="M463" s="115"/>
      <c r="N463" s="31"/>
    </row>
    <row r="464" spans="1:14" s="2" customFormat="1" x14ac:dyDescent="0.35">
      <c r="A464" s="126" t="s">
        <v>267</v>
      </c>
      <c r="B464" s="127"/>
      <c r="C464" s="127"/>
      <c r="D464" s="127"/>
      <c r="E464" s="127"/>
      <c r="F464" s="127"/>
      <c r="G464" s="127"/>
      <c r="H464" s="128"/>
    </row>
    <row r="465" spans="1:14" s="2" customFormat="1" ht="15.75" customHeight="1" x14ac:dyDescent="0.35">
      <c r="A465" s="126" t="s">
        <v>147</v>
      </c>
      <c r="B465" s="127"/>
      <c r="C465" s="127"/>
      <c r="D465" s="127"/>
      <c r="E465" s="127"/>
      <c r="F465" s="127"/>
      <c r="G465" s="127"/>
      <c r="H465" s="128"/>
      <c r="I465" s="31"/>
      <c r="N465" s="31"/>
    </row>
    <row r="466" spans="1:14" s="2" customFormat="1" x14ac:dyDescent="0.35">
      <c r="A466" s="116">
        <v>1</v>
      </c>
      <c r="B466" s="117"/>
      <c r="C466" s="64" t="s">
        <v>196</v>
      </c>
      <c r="D466" s="64">
        <f>34.83*10.764</f>
        <v>374.91011999999995</v>
      </c>
      <c r="E466" s="64">
        <v>0</v>
      </c>
      <c r="F466" s="64">
        <f>D466*(($F$358)+1)+E466</f>
        <v>599.85619199999996</v>
      </c>
      <c r="G466" s="116" t="str">
        <f>A829</f>
        <v>Ground Floor For Parking</v>
      </c>
      <c r="H466" s="117"/>
      <c r="I466" s="31"/>
      <c r="L466" s="115"/>
      <c r="M466" s="115"/>
      <c r="N466" s="31"/>
    </row>
    <row r="467" spans="1:14" s="2" customFormat="1" x14ac:dyDescent="0.35">
      <c r="A467" s="116">
        <f>A466+1</f>
        <v>2</v>
      </c>
      <c r="B467" s="117"/>
      <c r="C467" s="64" t="s">
        <v>196</v>
      </c>
      <c r="D467" s="64">
        <f>22.11*10.764</f>
        <v>237.99203999999997</v>
      </c>
      <c r="E467" s="64">
        <v>0</v>
      </c>
      <c r="F467" s="64">
        <f>D467*(($F$358)+1)+E467</f>
        <v>380.78726399999999</v>
      </c>
      <c r="G467" s="116" t="str">
        <f t="shared" si="13"/>
        <v>Ground Floor For Parking</v>
      </c>
      <c r="H467" s="117"/>
      <c r="I467" s="31"/>
      <c r="L467" s="115"/>
      <c r="M467" s="115"/>
      <c r="N467" s="31"/>
    </row>
    <row r="468" spans="1:14" s="2" customFormat="1" x14ac:dyDescent="0.35">
      <c r="A468" s="116">
        <f>A467+1</f>
        <v>3</v>
      </c>
      <c r="B468" s="117"/>
      <c r="C468" s="64" t="s">
        <v>196</v>
      </c>
      <c r="D468" s="64">
        <f>22.08*10.764</f>
        <v>237.66911999999996</v>
      </c>
      <c r="E468" s="64">
        <v>0</v>
      </c>
      <c r="F468" s="64">
        <f>D468*(($F$358)+1)+E468</f>
        <v>380.27059199999997</v>
      </c>
      <c r="G468" s="116" t="str">
        <f t="shared" si="13"/>
        <v>Ground Floor For Parking</v>
      </c>
      <c r="H468" s="117"/>
      <c r="I468" s="31"/>
      <c r="L468" s="115"/>
      <c r="M468" s="115"/>
      <c r="N468" s="31"/>
    </row>
    <row r="469" spans="1:14" s="2" customFormat="1" x14ac:dyDescent="0.35">
      <c r="A469" s="116">
        <f>A468+1</f>
        <v>4</v>
      </c>
      <c r="B469" s="117"/>
      <c r="C469" s="64" t="s">
        <v>196</v>
      </c>
      <c r="D469" s="64">
        <f>34.83*10.764</f>
        <v>374.91011999999995</v>
      </c>
      <c r="E469" s="64">
        <v>0</v>
      </c>
      <c r="F469" s="64">
        <f>D469*(($F$358)+1)+E469</f>
        <v>599.85619199999996</v>
      </c>
      <c r="G469" s="116" t="str">
        <f t="shared" si="13"/>
        <v>Ground Floor For Parking</v>
      </c>
      <c r="H469" s="117"/>
      <c r="I469" s="31"/>
      <c r="L469" s="115"/>
      <c r="M469" s="115"/>
      <c r="N469" s="31"/>
    </row>
    <row r="470" spans="1:14" s="2" customFormat="1" ht="15.75" customHeight="1" x14ac:dyDescent="0.35">
      <c r="A470" s="116"/>
      <c r="B470" s="161"/>
      <c r="C470" s="161"/>
      <c r="D470" s="161"/>
      <c r="E470" s="161"/>
      <c r="F470" s="161"/>
      <c r="G470" s="161"/>
      <c r="H470" s="117"/>
      <c r="I470" s="31"/>
      <c r="N470" s="31"/>
    </row>
    <row r="471" spans="1:14" ht="47.25" customHeight="1" x14ac:dyDescent="0.35">
      <c r="A471" s="152" t="s">
        <v>150</v>
      </c>
      <c r="B471" s="152" t="s">
        <v>151</v>
      </c>
      <c r="C471" s="142" t="s">
        <v>63</v>
      </c>
      <c r="D471" s="142" t="s">
        <v>64</v>
      </c>
      <c r="E471" s="206" t="s">
        <v>65</v>
      </c>
      <c r="F471" s="63" t="s">
        <v>146</v>
      </c>
      <c r="G471" s="152" t="s">
        <v>66</v>
      </c>
      <c r="H471" s="208"/>
      <c r="I471" s="31"/>
    </row>
    <row r="472" spans="1:14" s="2" customFormat="1" x14ac:dyDescent="0.35">
      <c r="A472" s="153"/>
      <c r="B472" s="153"/>
      <c r="C472" s="143"/>
      <c r="D472" s="143"/>
      <c r="E472" s="207"/>
      <c r="F472" s="30">
        <v>0.5</v>
      </c>
      <c r="G472" s="153"/>
      <c r="H472" s="209"/>
      <c r="I472" s="31"/>
    </row>
    <row r="473" spans="1:14" s="2" customFormat="1" x14ac:dyDescent="0.35">
      <c r="A473" s="134" t="s">
        <v>255</v>
      </c>
      <c r="B473" s="134"/>
      <c r="C473" s="134"/>
      <c r="D473" s="134"/>
      <c r="E473" s="134"/>
      <c r="F473" s="134"/>
      <c r="G473" s="134"/>
      <c r="H473" s="134"/>
      <c r="I473" s="31"/>
    </row>
    <row r="474" spans="1:14" s="1" customFormat="1" x14ac:dyDescent="0.35">
      <c r="A474" s="134" t="s">
        <v>227</v>
      </c>
      <c r="B474" s="134"/>
      <c r="C474" s="134"/>
      <c r="D474" s="134"/>
      <c r="E474" s="134"/>
      <c r="F474" s="134"/>
      <c r="G474" s="134"/>
      <c r="H474" s="134"/>
    </row>
    <row r="475" spans="1:14" s="2" customFormat="1" x14ac:dyDescent="0.35">
      <c r="A475" s="119" t="s">
        <v>192</v>
      </c>
      <c r="B475" s="119"/>
      <c r="C475" s="119"/>
      <c r="D475" s="119"/>
      <c r="E475" s="119"/>
      <c r="F475" s="119"/>
      <c r="G475" s="119"/>
      <c r="H475" s="119"/>
      <c r="I475" s="31"/>
      <c r="L475" s="115"/>
      <c r="M475" s="115"/>
    </row>
    <row r="476" spans="1:14" s="2" customFormat="1" x14ac:dyDescent="0.35">
      <c r="A476" s="118">
        <f>LEFT(A475,SUM(LEN(A475)-LEN(SUBSTITUTE(A475,{"0","1","2","3","4","5","6","7","8","9"},""))))*100+1</f>
        <v>101</v>
      </c>
      <c r="B476" s="118"/>
      <c r="C476" s="64" t="s">
        <v>195</v>
      </c>
      <c r="D476" s="64">
        <f>(44.56+(0.6*(1.81+3.05+1.7))+2.14*0.75+3.05*1.2)*10.764</f>
        <v>578.68340399999988</v>
      </c>
      <c r="E476" s="64">
        <f>2.76*1.5*10.764</f>
        <v>44.562959999999997</v>
      </c>
      <c r="F476" s="64">
        <f>D476*(($F$472)+1)+E476</f>
        <v>912.5880659999998</v>
      </c>
      <c r="G476" s="144" t="str">
        <f>A475</f>
        <v>1st Floor</v>
      </c>
      <c r="H476" s="145"/>
      <c r="I476" s="31"/>
      <c r="N476" s="31"/>
    </row>
    <row r="477" spans="1:14" s="2" customFormat="1" x14ac:dyDescent="0.35">
      <c r="A477" s="118">
        <f>A476+1</f>
        <v>102</v>
      </c>
      <c r="B477" s="118"/>
      <c r="C477" s="64" t="s">
        <v>195</v>
      </c>
      <c r="D477" s="64">
        <f>(44.56+(0.6*(1.81+3.05+1.7))+2.14*0.75+3.05*1.2)*10.764</f>
        <v>578.68340399999988</v>
      </c>
      <c r="E477" s="64">
        <f>2.76*1.5*10.764</f>
        <v>44.562959999999997</v>
      </c>
      <c r="F477" s="64">
        <f>D477*(($F$472)+1)+E477</f>
        <v>912.5880659999998</v>
      </c>
      <c r="G477" s="146" t="str">
        <f>G476</f>
        <v>1st Floor</v>
      </c>
      <c r="H477" s="147"/>
      <c r="I477" s="36"/>
      <c r="N477" s="31"/>
    </row>
    <row r="478" spans="1:14" s="2" customFormat="1" x14ac:dyDescent="0.35">
      <c r="A478" s="118">
        <f>A477+1</f>
        <v>103</v>
      </c>
      <c r="B478" s="118"/>
      <c r="C478" s="64" t="s">
        <v>195</v>
      </c>
      <c r="D478" s="64">
        <f>47.6*10.764</f>
        <v>512.3664</v>
      </c>
      <c r="E478" s="64">
        <f>18.86*10.764</f>
        <v>203.00903999999997</v>
      </c>
      <c r="F478" s="64">
        <f>D478*(($F$472)+1)+E478/2</f>
        <v>870.05412000000001</v>
      </c>
      <c r="G478" s="146" t="str">
        <f>G477</f>
        <v>1st Floor</v>
      </c>
      <c r="H478" s="147"/>
      <c r="I478" s="31"/>
      <c r="N478" s="31"/>
    </row>
    <row r="479" spans="1:14" s="2" customFormat="1" x14ac:dyDescent="0.35">
      <c r="A479" s="118">
        <f>A478+1</f>
        <v>104</v>
      </c>
      <c r="B479" s="118"/>
      <c r="C479" s="64" t="s">
        <v>195</v>
      </c>
      <c r="D479" s="64">
        <f>47.6*10.764</f>
        <v>512.3664</v>
      </c>
      <c r="E479" s="64">
        <f>18.86*10.764</f>
        <v>203.00903999999997</v>
      </c>
      <c r="F479" s="64">
        <f>D479*(($F$472)+1)+E479/2</f>
        <v>870.05412000000001</v>
      </c>
      <c r="G479" s="148" t="str">
        <f>G478</f>
        <v>1st Floor</v>
      </c>
      <c r="H479" s="149"/>
      <c r="I479" s="31"/>
      <c r="N479" s="31"/>
    </row>
    <row r="480" spans="1:14" s="2" customFormat="1" ht="15.75" customHeight="1" x14ac:dyDescent="0.35">
      <c r="A480" s="119" t="s">
        <v>199</v>
      </c>
      <c r="B480" s="119"/>
      <c r="C480" s="119"/>
      <c r="D480" s="119"/>
      <c r="E480" s="119"/>
      <c r="F480" s="119"/>
      <c r="G480" s="119"/>
      <c r="H480" s="119"/>
      <c r="I480" s="31"/>
    </row>
    <row r="481" spans="1:16" s="2" customFormat="1" ht="15.75" customHeight="1" x14ac:dyDescent="0.35">
      <c r="A481" s="118" t="str">
        <f ca="1">N481</f>
        <v>201,..,1401</v>
      </c>
      <c r="B481" s="118"/>
      <c r="C481" s="91" t="s">
        <v>195</v>
      </c>
      <c r="D481" s="91">
        <f>(44.56+(0.6*(1.81+2.61+1.7))+2.14*0.75+3.05*1.2)*10.764</f>
        <v>575.84170799999993</v>
      </c>
      <c r="E481" s="91">
        <f>3.05*1.5*10.764</f>
        <v>49.245299999999986</v>
      </c>
      <c r="F481" s="91">
        <f>D481*(($F$472)+1)+E481</f>
        <v>913.00786199999993</v>
      </c>
      <c r="G481" s="118" t="str">
        <f>A480</f>
        <v>2nd, 4th, 6th, 10th, 14th Floor</v>
      </c>
      <c r="H481" s="118"/>
      <c r="I481" s="31"/>
      <c r="N481" s="2" t="str">
        <f ca="1">O481&amp;""&amp;",..,"&amp;""&amp;P481</f>
        <v>201,..,1401</v>
      </c>
      <c r="O481" s="2">
        <f ca="1">(SUMPRODUCT(MID(0&amp;(LEFT(A480,SUM(LEN(A480)-LEN(SUBSTITUTE(A480,{"0","1","2"},""))))), LARGE(INDEX(ISNUMBER(--MID((LEFT(A480,SUM(LEN(A480)-LEN(SUBSTITUTE(A480,{"0","1","2"},""))))), ROW(INDIRECT("1:"&amp;LEN((LEFT(A480,SUM(LEN(A480)-LEN(SUBSTITUTE(A480,{"0","1","2"},"")))))))), 1)) * ROW(INDIRECT("1:"&amp;LEN((LEFT(A480,SUM(LEN(A480)-LEN(SUBSTITUTE(A480,{"0","1","2"},"")))))))), 0), ROW(INDIRECT("1:"&amp;LEN((LEFT(A480,SUM(LEN(A480)-LEN(SUBSTITUTE(A480,{"0","1","2"},"")))))))))+1, 1) * 10^ROW(INDIRECT("1:"&amp;LEN((LEFT(A480,SUM(LEN(A480)-LEN(SUBSTITUTE(A480,{"0","1","2"},""))))))))/10))*100+1</f>
        <v>201</v>
      </c>
      <c r="P481" s="2">
        <f ca="1">(SUMPRODUCT(MID(0&amp;(--TRIM(RIGHT(SUBSTITUTE(LEFT(A480,_xlfn.AGGREGATE(16,6,FIND({0,1,2,3,4,5,6,7,8,9},A480,ROW(INDIRECT("1:"&amp;LEN(A480)))),1))," ",REPT(" ",LEN(A480))),LEN(A480)))), LARGE(INDEX(ISNUMBER(--MID((--TRIM(RIGHT(SUBSTITUTE(LEFT(A480,_xlfn.AGGREGATE(16,6,FIND({0,1,2,3,4,5,6,7,8,9},A480,ROW(INDIRECT("1:"&amp;LEN(A480)))),1))," ",REPT(" ",LEN(A480))),LEN(A480)))), ROW(INDIRECT("1:"&amp;LEN((--TRIM(RIGHT(SUBSTITUTE(LEFT(A480,_xlfn.AGGREGATE(16,6,FIND({0,1,2,3,4,5,6,7,8,9},A480,ROW(INDIRECT("1:"&amp;LEN(A480)))),1))," ",REPT(" ",LEN(A480))),LEN(A480))))))), 1)) * ROW(INDIRECT("1:"&amp;LEN((--TRIM(RIGHT(SUBSTITUTE(LEFT(A480,_xlfn.AGGREGATE(16,6,FIND({0,1,2,3,4,5,6,7,8,9},A480,ROW(INDIRECT("1:"&amp;LEN(A480)))),1))," ",REPT(" ",LEN(A480))),LEN(A480))))))), 0), ROW(INDIRECT("1:"&amp;LEN((--TRIM(RIGHT(SUBSTITUTE(LEFT(A480,_xlfn.AGGREGATE(16,6,FIND({0,1,2,3,4,5,6,7,8,9},A480,ROW(INDIRECT("1:"&amp;LEN(A480)))),1))," ",REPT(" ",LEN(A480))),LEN(A480))))))))+1, 1) * 10^ROW(INDIRECT("1:"&amp;LEN((--TRIM(RIGHT(SUBSTITUTE(LEFT(A480,_xlfn.AGGREGATE(16,6,FIND({0,1,2,3,4,5,6,7,8,9},A480,ROW(INDIRECT("1:"&amp;LEN(A480)))),1))," ",REPT(" ",LEN(A480))),LEN(A480)))))))/10))*100+1</f>
        <v>1401</v>
      </c>
    </row>
    <row r="482" spans="1:16" s="2" customFormat="1" ht="15.75" customHeight="1" x14ac:dyDescent="0.35">
      <c r="A482" s="118" t="str">
        <f ca="1">N482</f>
        <v>202,..,1402</v>
      </c>
      <c r="B482" s="118"/>
      <c r="C482" s="91" t="s">
        <v>195</v>
      </c>
      <c r="D482" s="91">
        <f>(44.56+(0.6*(1.81+2.61+1.7))+2.14*0.75+3.05*1.2)*10.764</f>
        <v>575.84170799999993</v>
      </c>
      <c r="E482" s="91">
        <f>3.05*1.5*10.764</f>
        <v>49.245299999999986</v>
      </c>
      <c r="F482" s="91">
        <f>D482*(($F$472)+1)+E482</f>
        <v>913.00786199999993</v>
      </c>
      <c r="G482" s="118"/>
      <c r="H482" s="118"/>
      <c r="I482" s="31"/>
      <c r="N482" s="2" t="str">
        <f ca="1">O482&amp;""&amp;",..,"&amp;""&amp;P482</f>
        <v>202,..,1402</v>
      </c>
      <c r="O482" s="2">
        <f t="shared" ref="O482:P484" ca="1" si="16">O481+1</f>
        <v>202</v>
      </c>
      <c r="P482" s="2">
        <f t="shared" ca="1" si="16"/>
        <v>1402</v>
      </c>
    </row>
    <row r="483" spans="1:16" s="2" customFormat="1" ht="15.75" customHeight="1" x14ac:dyDescent="0.35">
      <c r="A483" s="118" t="str">
        <f ca="1">N483</f>
        <v>203,..,1403</v>
      </c>
      <c r="B483" s="118"/>
      <c r="C483" s="91" t="s">
        <v>195</v>
      </c>
      <c r="D483" s="91">
        <f>(47.6+(0.6*(1.81+2.61+1.7))+2.14*0.75+3.05*1.2)*10.764</f>
        <v>608.56426799999986</v>
      </c>
      <c r="E483" s="91">
        <f>3.05*1.5*10.764</f>
        <v>49.245299999999986</v>
      </c>
      <c r="F483" s="91">
        <f>D483*(($F$472)+1)+E483</f>
        <v>962.09170199999971</v>
      </c>
      <c r="G483" s="118"/>
      <c r="H483" s="118"/>
      <c r="I483" s="31"/>
      <c r="N483" s="2" t="str">
        <f ca="1">O483&amp;""&amp;",..,"&amp;""&amp;P483</f>
        <v>203,..,1403</v>
      </c>
      <c r="O483" s="2">
        <f t="shared" ca="1" si="16"/>
        <v>203</v>
      </c>
      <c r="P483" s="2">
        <f t="shared" ca="1" si="16"/>
        <v>1403</v>
      </c>
    </row>
    <row r="484" spans="1:16" s="2" customFormat="1" ht="15.75" customHeight="1" x14ac:dyDescent="0.35">
      <c r="A484" s="118" t="str">
        <f ca="1">N484</f>
        <v>204,..,1404</v>
      </c>
      <c r="B484" s="118"/>
      <c r="C484" s="91" t="s">
        <v>195</v>
      </c>
      <c r="D484" s="91">
        <f>(47.6+(0.6*(1.81+2.61+1.7))+2.14*0.75+3.05*1.2)*10.764</f>
        <v>608.56426799999986</v>
      </c>
      <c r="E484" s="91">
        <f>3.05*1.5*10.764</f>
        <v>49.245299999999986</v>
      </c>
      <c r="F484" s="91">
        <f>D484*(($F$472)+1)+E484</f>
        <v>962.09170199999971</v>
      </c>
      <c r="G484" s="118"/>
      <c r="H484" s="118"/>
      <c r="I484" s="31"/>
      <c r="N484" s="2" t="str">
        <f ca="1">O484&amp;""&amp;",..,"&amp;""&amp;P484</f>
        <v>204,..,1404</v>
      </c>
      <c r="O484" s="2">
        <f t="shared" ca="1" si="16"/>
        <v>204</v>
      </c>
      <c r="P484" s="2">
        <f t="shared" ca="1" si="16"/>
        <v>1404</v>
      </c>
    </row>
    <row r="485" spans="1:16" s="2" customFormat="1" ht="15.75" customHeight="1" x14ac:dyDescent="0.35">
      <c r="A485" s="119" t="s">
        <v>193</v>
      </c>
      <c r="B485" s="119"/>
      <c r="C485" s="119"/>
      <c r="D485" s="119"/>
      <c r="E485" s="119"/>
      <c r="F485" s="119"/>
      <c r="G485" s="119"/>
      <c r="H485" s="119"/>
      <c r="I485" s="31"/>
    </row>
    <row r="486" spans="1:16" s="2" customFormat="1" ht="15.75" customHeight="1" x14ac:dyDescent="0.35">
      <c r="A486" s="118" t="str">
        <f ca="1">N486</f>
        <v>301,..,1301</v>
      </c>
      <c r="B486" s="118"/>
      <c r="C486" s="91" t="s">
        <v>195</v>
      </c>
      <c r="D486" s="91">
        <f>(44.56+(0.6*(1.81+3.05+1.7))+2.14*0.75+3.05*1.2)*10.764</f>
        <v>578.68340399999988</v>
      </c>
      <c r="E486" s="91">
        <f>2.61*1.5*10.764</f>
        <v>42.141059999999996</v>
      </c>
      <c r="F486" s="91">
        <f>D486*(($F$472)+1)+E486</f>
        <v>910.16616599999986</v>
      </c>
      <c r="G486" s="118" t="str">
        <f>A485</f>
        <v>3rd, 5th, 7th, 9th, 11th, 13th Floor</v>
      </c>
      <c r="H486" s="118"/>
      <c r="I486" s="31"/>
      <c r="N486" s="2" t="str">
        <f ca="1">O486&amp;""&amp;",..,"&amp;""&amp;P486</f>
        <v>301,..,1301</v>
      </c>
      <c r="O486" s="2">
        <f ca="1">(SUMPRODUCT(MID(0&amp;(LEFT(A485,SUM(LEN(A485)-LEN(SUBSTITUTE(A485,{"0","1","2"},""))))), LARGE(INDEX(ISNUMBER(--MID((LEFT(A485,SUM(LEN(A485)-LEN(SUBSTITUTE(A485,{"0","1","2"},""))))), ROW(INDIRECT("1:"&amp;LEN((LEFT(A485,SUM(LEN(A485)-LEN(SUBSTITUTE(A485,{"0","1","2"},"")))))))), 1)) * ROW(INDIRECT("1:"&amp;LEN((LEFT(A485,SUM(LEN(A485)-LEN(SUBSTITUTE(A485,{"0","1","2"},"")))))))), 0), ROW(INDIRECT("1:"&amp;LEN((LEFT(A485,SUM(LEN(A485)-LEN(SUBSTITUTE(A485,{"0","1","2"},"")))))))))+1, 1) * 10^ROW(INDIRECT("1:"&amp;LEN((LEFT(A485,SUM(LEN(A485)-LEN(SUBSTITUTE(A485,{"0","1","2"},""))))))))/10))*100+1</f>
        <v>301</v>
      </c>
      <c r="P486" s="2">
        <f ca="1">(SUMPRODUCT(MID(0&amp;(--TRIM(RIGHT(SUBSTITUTE(LEFT(A485,_xlfn.AGGREGATE(16,6,FIND({0,1,2,3,4,5,6,7,8,9},A485,ROW(INDIRECT("1:"&amp;LEN(A485)))),1))," ",REPT(" ",LEN(A485))),LEN(A485)))), LARGE(INDEX(ISNUMBER(--MID((--TRIM(RIGHT(SUBSTITUTE(LEFT(A485,_xlfn.AGGREGATE(16,6,FIND({0,1,2,3,4,5,6,7,8,9},A485,ROW(INDIRECT("1:"&amp;LEN(A485)))),1))," ",REPT(" ",LEN(A485))),LEN(A485)))), ROW(INDIRECT("1:"&amp;LEN((--TRIM(RIGHT(SUBSTITUTE(LEFT(A485,_xlfn.AGGREGATE(16,6,FIND({0,1,2,3,4,5,6,7,8,9},A485,ROW(INDIRECT("1:"&amp;LEN(A485)))),1))," ",REPT(" ",LEN(A485))),LEN(A485))))))), 1)) * ROW(INDIRECT("1:"&amp;LEN((--TRIM(RIGHT(SUBSTITUTE(LEFT(A485,_xlfn.AGGREGATE(16,6,FIND({0,1,2,3,4,5,6,7,8,9},A485,ROW(INDIRECT("1:"&amp;LEN(A485)))),1))," ",REPT(" ",LEN(A485))),LEN(A485))))))), 0), ROW(INDIRECT("1:"&amp;LEN((--TRIM(RIGHT(SUBSTITUTE(LEFT(A485,_xlfn.AGGREGATE(16,6,FIND({0,1,2,3,4,5,6,7,8,9},A485,ROW(INDIRECT("1:"&amp;LEN(A485)))),1))," ",REPT(" ",LEN(A485))),LEN(A485))))))))+1, 1) * 10^ROW(INDIRECT("1:"&amp;LEN((--TRIM(RIGHT(SUBSTITUTE(LEFT(A485,_xlfn.AGGREGATE(16,6,FIND({0,1,2,3,4,5,6,7,8,9},A485,ROW(INDIRECT("1:"&amp;LEN(A485)))),1))," ",REPT(" ",LEN(A485))),LEN(A485)))))))/10))*100+1</f>
        <v>1301</v>
      </c>
    </row>
    <row r="487" spans="1:16" s="2" customFormat="1" ht="15.75" customHeight="1" x14ac:dyDescent="0.35">
      <c r="A487" s="118" t="str">
        <f ca="1">N487</f>
        <v>302,..,1302</v>
      </c>
      <c r="B487" s="118"/>
      <c r="C487" s="91" t="s">
        <v>195</v>
      </c>
      <c r="D487" s="91">
        <f>(44.56+(0.6*(1.81+3.05+1.7))+2.14*0.75+3.05*1.2)*10.764</f>
        <v>578.68340399999988</v>
      </c>
      <c r="E487" s="91">
        <f>2.61*1.5*10.764</f>
        <v>42.141059999999996</v>
      </c>
      <c r="F487" s="91">
        <f>D487*(($F$472)+1)+E487</f>
        <v>910.16616599999986</v>
      </c>
      <c r="G487" s="118" t="str">
        <f>G486</f>
        <v>3rd, 5th, 7th, 9th, 11th, 13th Floor</v>
      </c>
      <c r="H487" s="118"/>
      <c r="I487" s="31"/>
      <c r="N487" s="2" t="str">
        <f ca="1">O487&amp;""&amp;",..,"&amp;""&amp;P487</f>
        <v>302,..,1302</v>
      </c>
      <c r="O487" s="2">
        <f t="shared" ref="O487:P489" ca="1" si="17">O486+1</f>
        <v>302</v>
      </c>
      <c r="P487" s="2">
        <f t="shared" ca="1" si="17"/>
        <v>1302</v>
      </c>
    </row>
    <row r="488" spans="1:16" s="2" customFormat="1" ht="15.75" customHeight="1" x14ac:dyDescent="0.35">
      <c r="A488" s="118" t="str">
        <f ca="1">N488</f>
        <v>303,..,1303</v>
      </c>
      <c r="B488" s="118"/>
      <c r="C488" s="91" t="s">
        <v>195</v>
      </c>
      <c r="D488" s="91">
        <f>(47.6+(0.6*(1.81+3.05+1.7))+2.14*0.75+1.2*3.05)*10.764</f>
        <v>611.40596399999993</v>
      </c>
      <c r="E488" s="91">
        <f>2.61*1.5*10.764</f>
        <v>42.141059999999996</v>
      </c>
      <c r="F488" s="91">
        <f>D488*(($F$472)+1)+E488</f>
        <v>959.25000599999987</v>
      </c>
      <c r="G488" s="118" t="str">
        <f>G487</f>
        <v>3rd, 5th, 7th, 9th, 11th, 13th Floor</v>
      </c>
      <c r="H488" s="118"/>
      <c r="I488" s="31"/>
      <c r="N488" s="2" t="str">
        <f ca="1">O488&amp;""&amp;",..,"&amp;""&amp;P488</f>
        <v>303,..,1303</v>
      </c>
      <c r="O488" s="2">
        <f t="shared" ca="1" si="17"/>
        <v>303</v>
      </c>
      <c r="P488" s="2">
        <f t="shared" ca="1" si="17"/>
        <v>1303</v>
      </c>
    </row>
    <row r="489" spans="1:16" s="2" customFormat="1" ht="15.75" customHeight="1" x14ac:dyDescent="0.35">
      <c r="A489" s="118" t="str">
        <f ca="1">N489</f>
        <v>304,..,1304</v>
      </c>
      <c r="B489" s="118"/>
      <c r="C489" s="91" t="s">
        <v>195</v>
      </c>
      <c r="D489" s="91">
        <f>(47.6+(0.6*(1.81+3.05+1.7))+2.14*0.75+1.2*3.05)*10.764</f>
        <v>611.40596399999993</v>
      </c>
      <c r="E489" s="91">
        <f>2.61*1.5*10.764</f>
        <v>42.141059999999996</v>
      </c>
      <c r="F489" s="91">
        <f>D489*(($F$472)+1)+E489</f>
        <v>959.25000599999987</v>
      </c>
      <c r="G489" s="118" t="str">
        <f>G488</f>
        <v>3rd, 5th, 7th, 9th, 11th, 13th Floor</v>
      </c>
      <c r="H489" s="118"/>
      <c r="I489" s="31"/>
      <c r="N489" s="2" t="str">
        <f ca="1">O489&amp;""&amp;",..,"&amp;""&amp;P489</f>
        <v>304,..,1304</v>
      </c>
      <c r="O489" s="2">
        <f t="shared" ca="1" si="17"/>
        <v>304</v>
      </c>
      <c r="P489" s="2">
        <f t="shared" ca="1" si="17"/>
        <v>1304</v>
      </c>
    </row>
    <row r="490" spans="1:16" s="2" customFormat="1" ht="15.75" customHeight="1" x14ac:dyDescent="0.35">
      <c r="A490" s="119" t="s">
        <v>219</v>
      </c>
      <c r="B490" s="119"/>
      <c r="C490" s="119"/>
      <c r="D490" s="119"/>
      <c r="E490" s="119"/>
      <c r="F490" s="119"/>
      <c r="G490" s="119"/>
      <c r="H490" s="119"/>
      <c r="I490" s="31"/>
    </row>
    <row r="491" spans="1:16" s="2" customFormat="1" ht="15.75" customHeight="1" x14ac:dyDescent="0.35">
      <c r="A491" s="118" t="str">
        <f ca="1">N491</f>
        <v>801 &amp; 1201</v>
      </c>
      <c r="B491" s="118"/>
      <c r="C491" s="82" t="s">
        <v>195</v>
      </c>
      <c r="D491" s="82">
        <f>(44.56+(0.6*(1.81+2.61+1.7))+2.14*0.75+3.05*1.2)*10.764</f>
        <v>575.84170799999993</v>
      </c>
      <c r="E491" s="82">
        <f>3.05*1.3*10.764</f>
        <v>42.679259999999999</v>
      </c>
      <c r="F491" s="82">
        <f>D491*(($F$472)+1)+E491</f>
        <v>906.44182199999989</v>
      </c>
      <c r="G491" s="118" t="str">
        <f>A490</f>
        <v>8th &amp; 12th Floor ( Part Refuge Area)</v>
      </c>
      <c r="H491" s="118"/>
      <c r="I491" s="31"/>
      <c r="N491" s="2" t="str">
        <f ca="1">O491&amp;""&amp;" &amp; "&amp;""&amp;P491</f>
        <v>801 &amp; 1201</v>
      </c>
      <c r="O491" s="2">
        <f ca="1">(SUMPRODUCT(MID(0&amp;(LEFT(A490,SUM(LEN(A490)-LEN(SUBSTITUTE(A490,{"0","1","2"},""))))), LARGE(INDEX(ISNUMBER(--MID((LEFT(A490,SUM(LEN(A490)-LEN(SUBSTITUTE(A490,{"0","1","2"},""))))), ROW(INDIRECT("1:"&amp;LEN((LEFT(A490,SUM(LEN(A490)-LEN(SUBSTITUTE(A490,{"0","1","2"},"")))))))), 1)) * ROW(INDIRECT("1:"&amp;LEN((LEFT(A490,SUM(LEN(A490)-LEN(SUBSTITUTE(A490,{"0","1","2"},"")))))))), 0), ROW(INDIRECT("1:"&amp;LEN((LEFT(A490,SUM(LEN(A490)-LEN(SUBSTITUTE(A490,{"0","1","2"},"")))))))))+1, 1) * 10^ROW(INDIRECT("1:"&amp;LEN((LEFT(A490,SUM(LEN(A490)-LEN(SUBSTITUTE(A490,{"0","1","2"},""))))))))/10))*100+1</f>
        <v>801</v>
      </c>
      <c r="P491" s="2">
        <f ca="1">(SUMPRODUCT(MID(0&amp;(--TRIM(RIGHT(SUBSTITUTE(LEFT(A490,_xlfn.AGGREGATE(16,6,FIND({0,1,2,3,4,5,6,7,8,9},A490,ROW(INDIRECT("1:"&amp;LEN(A490)))),1))," ",REPT(" ",LEN(A490))),LEN(A490)))), LARGE(INDEX(ISNUMBER(--MID((--TRIM(RIGHT(SUBSTITUTE(LEFT(A490,_xlfn.AGGREGATE(16,6,FIND({0,1,2,3,4,5,6,7,8,9},A490,ROW(INDIRECT("1:"&amp;LEN(A490)))),1))," ",REPT(" ",LEN(A490))),LEN(A490)))), ROW(INDIRECT("1:"&amp;LEN((--TRIM(RIGHT(SUBSTITUTE(LEFT(A490,_xlfn.AGGREGATE(16,6,FIND({0,1,2,3,4,5,6,7,8,9},A490,ROW(INDIRECT("1:"&amp;LEN(A490)))),1))," ",REPT(" ",LEN(A490))),LEN(A490))))))), 1)) * ROW(INDIRECT("1:"&amp;LEN((--TRIM(RIGHT(SUBSTITUTE(LEFT(A490,_xlfn.AGGREGATE(16,6,FIND({0,1,2,3,4,5,6,7,8,9},A490,ROW(INDIRECT("1:"&amp;LEN(A490)))),1))," ",REPT(" ",LEN(A490))),LEN(A490))))))), 0), ROW(INDIRECT("1:"&amp;LEN((--TRIM(RIGHT(SUBSTITUTE(LEFT(A490,_xlfn.AGGREGATE(16,6,FIND({0,1,2,3,4,5,6,7,8,9},A490,ROW(INDIRECT("1:"&amp;LEN(A490)))),1))," ",REPT(" ",LEN(A490))),LEN(A490))))))))+1, 1) * 10^ROW(INDIRECT("1:"&amp;LEN((--TRIM(RIGHT(SUBSTITUTE(LEFT(A490,_xlfn.AGGREGATE(16,6,FIND({0,1,2,3,4,5,6,7,8,9},A490,ROW(INDIRECT("1:"&amp;LEN(A490)))),1))," ",REPT(" ",LEN(A490))),LEN(A490)))))))/10))*100+1</f>
        <v>1201</v>
      </c>
    </row>
    <row r="492" spans="1:16" s="2" customFormat="1" ht="15.75" customHeight="1" x14ac:dyDescent="0.35">
      <c r="A492" s="118" t="str">
        <f ca="1">N492</f>
        <v>802 &amp; 1202</v>
      </c>
      <c r="B492" s="118"/>
      <c r="C492" s="82" t="s">
        <v>195</v>
      </c>
      <c r="D492" s="82">
        <f>(44.56+(0.6*(1.81+2.61+1.7))+2.14*0.75+3.05*1.2)*10.764</f>
        <v>575.84170799999993</v>
      </c>
      <c r="E492" s="82">
        <f>3.05*1.3*10.764</f>
        <v>42.679259999999999</v>
      </c>
      <c r="F492" s="82">
        <f>D492*(($F$472)+1)+E492</f>
        <v>906.44182199999989</v>
      </c>
      <c r="G492" s="118" t="str">
        <f>G491</f>
        <v>8th &amp; 12th Floor ( Part Refuge Area)</v>
      </c>
      <c r="H492" s="118"/>
      <c r="I492" s="31"/>
      <c r="N492" s="2" t="str">
        <f ca="1">O492&amp;""&amp;" &amp; "&amp;""&amp;P492</f>
        <v>802 &amp; 1202</v>
      </c>
      <c r="O492" s="2">
        <f ca="1">O491+1</f>
        <v>802</v>
      </c>
      <c r="P492" s="2">
        <f ca="1">P491+1</f>
        <v>1202</v>
      </c>
    </row>
    <row r="493" spans="1:16" s="2" customFormat="1" ht="15.75" customHeight="1" x14ac:dyDescent="0.35">
      <c r="A493" s="118" t="str">
        <f ca="1">N493</f>
        <v>803 &amp; 1203</v>
      </c>
      <c r="B493" s="118"/>
      <c r="C493" s="82" t="s">
        <v>195</v>
      </c>
      <c r="D493" s="82">
        <f>(47.6+(0.6*(1.81+2.61+1.7))+2.14*0.75+3.05*1.2)*10.764</f>
        <v>608.56426799999986</v>
      </c>
      <c r="E493" s="82">
        <f>3.05*1.3*10.764</f>
        <v>42.679259999999999</v>
      </c>
      <c r="F493" s="82">
        <f>D493*(($F$472)+1)+E493</f>
        <v>955.52566199999978</v>
      </c>
      <c r="G493" s="118" t="str">
        <f>G492</f>
        <v>8th &amp; 12th Floor ( Part Refuge Area)</v>
      </c>
      <c r="H493" s="118"/>
      <c r="I493" s="31"/>
      <c r="N493" s="2" t="str">
        <f ca="1">O493&amp;""&amp;" &amp; "&amp;""&amp;P493</f>
        <v>803 &amp; 1203</v>
      </c>
      <c r="O493" s="2">
        <f ca="1">O492+1</f>
        <v>803</v>
      </c>
      <c r="P493" s="2">
        <f ca="1">P492+1</f>
        <v>1203</v>
      </c>
    </row>
    <row r="494" spans="1:16" s="1" customFormat="1" x14ac:dyDescent="0.35">
      <c r="A494" s="134" t="s">
        <v>228</v>
      </c>
      <c r="B494" s="134"/>
      <c r="C494" s="134"/>
      <c r="D494" s="134"/>
      <c r="E494" s="134"/>
      <c r="F494" s="134"/>
      <c r="G494" s="134"/>
      <c r="H494" s="134"/>
    </row>
    <row r="495" spans="1:16" s="2" customFormat="1" x14ac:dyDescent="0.35">
      <c r="A495" s="119" t="s">
        <v>192</v>
      </c>
      <c r="B495" s="119"/>
      <c r="C495" s="119"/>
      <c r="D495" s="119"/>
      <c r="E495" s="119"/>
      <c r="F495" s="119"/>
      <c r="G495" s="119"/>
      <c r="H495" s="119"/>
      <c r="I495" s="31"/>
      <c r="L495" s="115"/>
      <c r="M495" s="115"/>
    </row>
    <row r="496" spans="1:16" s="2" customFormat="1" x14ac:dyDescent="0.35">
      <c r="A496" s="118">
        <f>LEFT(A495,SUM(LEN(A495)-LEN(SUBSTITUTE(A495,{"0","1","2","3","4","5","6","7","8","9"},""))))*100+1</f>
        <v>101</v>
      </c>
      <c r="B496" s="118"/>
      <c r="C496" s="64" t="s">
        <v>195</v>
      </c>
      <c r="D496" s="64">
        <f>(44.56+(0.6*(1.81+3.05+1.7))+2.14*0.75+3.05*1.2)*10.764</f>
        <v>578.68340399999988</v>
      </c>
      <c r="E496" s="64">
        <f>2.76*1.5*10.764</f>
        <v>44.562959999999997</v>
      </c>
      <c r="F496" s="64">
        <f>D496*(($F$472)+1)+E496</f>
        <v>912.5880659999998</v>
      </c>
      <c r="G496" s="144" t="str">
        <f>A495</f>
        <v>1st Floor</v>
      </c>
      <c r="H496" s="145"/>
      <c r="I496" s="31">
        <f>3.05*3.89+2.14*2.7+2.45*1.8+3.05*2.76+1.22*2.23+2.14*1.21+1.1*4+0.95*2.45</f>
        <v>42.507999999999996</v>
      </c>
      <c r="N496" s="31"/>
    </row>
    <row r="497" spans="1:16" s="2" customFormat="1" x14ac:dyDescent="0.35">
      <c r="A497" s="118">
        <f>A496+1</f>
        <v>102</v>
      </c>
      <c r="B497" s="118"/>
      <c r="C497" s="64" t="s">
        <v>195</v>
      </c>
      <c r="D497" s="64">
        <f>(44.56+(0.6*(1.81+3.05+1.7))+2.14*0.75+3.05*1.2)*10.764</f>
        <v>578.68340399999988</v>
      </c>
      <c r="E497" s="64">
        <f>2.76*1.5*10.764</f>
        <v>44.562959999999997</v>
      </c>
      <c r="F497" s="64">
        <f>D497*(($F$472)+1)+E497</f>
        <v>912.5880659999998</v>
      </c>
      <c r="G497" s="146"/>
      <c r="H497" s="147"/>
      <c r="I497" s="36"/>
      <c r="N497" s="31"/>
    </row>
    <row r="498" spans="1:16" s="2" customFormat="1" x14ac:dyDescent="0.35">
      <c r="A498" s="118">
        <f>A497+1</f>
        <v>103</v>
      </c>
      <c r="B498" s="118"/>
      <c r="C498" s="64" t="s">
        <v>195</v>
      </c>
      <c r="D498" s="64">
        <f>47.6*10.764</f>
        <v>512.3664</v>
      </c>
      <c r="E498" s="64">
        <f>18.86*10.764</f>
        <v>203.00903999999997</v>
      </c>
      <c r="F498" s="64">
        <f>D498*(($F$472)+1)+E498/2</f>
        <v>870.05412000000001</v>
      </c>
      <c r="G498" s="146"/>
      <c r="H498" s="147"/>
      <c r="I498" s="31"/>
      <c r="N498" s="31"/>
    </row>
    <row r="499" spans="1:16" s="2" customFormat="1" x14ac:dyDescent="0.35">
      <c r="A499" s="118">
        <f>A498+1</f>
        <v>104</v>
      </c>
      <c r="B499" s="118"/>
      <c r="C499" s="64" t="s">
        <v>195</v>
      </c>
      <c r="D499" s="64">
        <f>47.6*10.764</f>
        <v>512.3664</v>
      </c>
      <c r="E499" s="64">
        <f>18.86*10.764</f>
        <v>203.00903999999997</v>
      </c>
      <c r="F499" s="64">
        <f>D499*(($F$472)+1)+E499/2</f>
        <v>870.05412000000001</v>
      </c>
      <c r="G499" s="148"/>
      <c r="H499" s="149"/>
      <c r="I499" s="31"/>
      <c r="N499" s="31"/>
    </row>
    <row r="500" spans="1:16" s="2" customFormat="1" ht="15.75" customHeight="1" x14ac:dyDescent="0.35">
      <c r="A500" s="126" t="s">
        <v>199</v>
      </c>
      <c r="B500" s="127"/>
      <c r="C500" s="127"/>
      <c r="D500" s="127"/>
      <c r="E500" s="127"/>
      <c r="F500" s="127"/>
      <c r="G500" s="127"/>
      <c r="H500" s="128"/>
      <c r="I500" s="31"/>
    </row>
    <row r="501" spans="1:16" s="2" customFormat="1" ht="15.75" customHeight="1" x14ac:dyDescent="0.35">
      <c r="A501" s="116" t="str">
        <f ca="1">N501</f>
        <v>201,..,1401</v>
      </c>
      <c r="B501" s="117"/>
      <c r="C501" s="64" t="s">
        <v>195</v>
      </c>
      <c r="D501" s="64">
        <f>(44.56+(0.6*(1.81+2.61+1.7))+2.14*0.75+3.05*1.2)*10.764</f>
        <v>575.84170799999993</v>
      </c>
      <c r="E501" s="64">
        <f>3.05*1.5*10.764</f>
        <v>49.245299999999986</v>
      </c>
      <c r="F501" s="64">
        <f>D501*(($F$472)+1)+E501</f>
        <v>913.00786199999993</v>
      </c>
      <c r="G501" s="144" t="str">
        <f>A500</f>
        <v>2nd, 4th, 6th, 10th, 14th Floor</v>
      </c>
      <c r="H501" s="145"/>
      <c r="I501" s="31"/>
      <c r="N501" s="2" t="str">
        <f ca="1">O501&amp;""&amp;",..,"&amp;""&amp;P501</f>
        <v>201,..,1401</v>
      </c>
      <c r="O501" s="2">
        <f ca="1">(SUMPRODUCT(MID(0&amp;(LEFT(A500,SUM(LEN(A500)-LEN(SUBSTITUTE(A500,{"0","1","2"},""))))), LARGE(INDEX(ISNUMBER(--MID((LEFT(A500,SUM(LEN(A500)-LEN(SUBSTITUTE(A500,{"0","1","2"},""))))), ROW(INDIRECT("1:"&amp;LEN((LEFT(A500,SUM(LEN(A500)-LEN(SUBSTITUTE(A500,{"0","1","2"},"")))))))), 1)) * ROW(INDIRECT("1:"&amp;LEN((LEFT(A500,SUM(LEN(A500)-LEN(SUBSTITUTE(A500,{"0","1","2"},"")))))))), 0), ROW(INDIRECT("1:"&amp;LEN((LEFT(A500,SUM(LEN(A500)-LEN(SUBSTITUTE(A500,{"0","1","2"},"")))))))))+1, 1) * 10^ROW(INDIRECT("1:"&amp;LEN((LEFT(A500,SUM(LEN(A500)-LEN(SUBSTITUTE(A500,{"0","1","2"},""))))))))/10))*100+1</f>
        <v>201</v>
      </c>
      <c r="P501" s="2">
        <f ca="1">(SUMPRODUCT(MID(0&amp;(--TRIM(RIGHT(SUBSTITUTE(LEFT(A500,_xlfn.AGGREGATE(16,6,FIND({0,1,2,3,4,5,6,7,8,9},A500,ROW(INDIRECT("1:"&amp;LEN(A500)))),1))," ",REPT(" ",LEN(A500))),LEN(A500)))), LARGE(INDEX(ISNUMBER(--MID((--TRIM(RIGHT(SUBSTITUTE(LEFT(A500,_xlfn.AGGREGATE(16,6,FIND({0,1,2,3,4,5,6,7,8,9},A500,ROW(INDIRECT("1:"&amp;LEN(A500)))),1))," ",REPT(" ",LEN(A500))),LEN(A500)))), ROW(INDIRECT("1:"&amp;LEN((--TRIM(RIGHT(SUBSTITUTE(LEFT(A500,_xlfn.AGGREGATE(16,6,FIND({0,1,2,3,4,5,6,7,8,9},A500,ROW(INDIRECT("1:"&amp;LEN(A500)))),1))," ",REPT(" ",LEN(A500))),LEN(A500))))))), 1)) * ROW(INDIRECT("1:"&amp;LEN((--TRIM(RIGHT(SUBSTITUTE(LEFT(A500,_xlfn.AGGREGATE(16,6,FIND({0,1,2,3,4,5,6,7,8,9},A500,ROW(INDIRECT("1:"&amp;LEN(A500)))),1))," ",REPT(" ",LEN(A500))),LEN(A500))))))), 0), ROW(INDIRECT("1:"&amp;LEN((--TRIM(RIGHT(SUBSTITUTE(LEFT(A500,_xlfn.AGGREGATE(16,6,FIND({0,1,2,3,4,5,6,7,8,9},A500,ROW(INDIRECT("1:"&amp;LEN(A500)))),1))," ",REPT(" ",LEN(A500))),LEN(A500))))))))+1, 1) * 10^ROW(INDIRECT("1:"&amp;LEN((--TRIM(RIGHT(SUBSTITUTE(LEFT(A500,_xlfn.AGGREGATE(16,6,FIND({0,1,2,3,4,5,6,7,8,9},A500,ROW(INDIRECT("1:"&amp;LEN(A500)))),1))," ",REPT(" ",LEN(A500))),LEN(A500)))))))/10))*100+1</f>
        <v>1401</v>
      </c>
    </row>
    <row r="502" spans="1:16" s="2" customFormat="1" ht="15.75" customHeight="1" x14ac:dyDescent="0.35">
      <c r="A502" s="116" t="str">
        <f ca="1">N502</f>
        <v>202,..,1402</v>
      </c>
      <c r="B502" s="117"/>
      <c r="C502" s="64" t="s">
        <v>195</v>
      </c>
      <c r="D502" s="64">
        <f>(44.56+(0.6*(1.81+2.61+1.7))+2.14*0.75+3.05*1.2)*10.764</f>
        <v>575.84170799999993</v>
      </c>
      <c r="E502" s="64">
        <f>3.05*1.5*10.764</f>
        <v>49.245299999999986</v>
      </c>
      <c r="F502" s="64">
        <f>D502*(($F$472)+1)+E502</f>
        <v>913.00786199999993</v>
      </c>
      <c r="G502" s="146"/>
      <c r="H502" s="147"/>
      <c r="I502" s="31"/>
      <c r="N502" s="2" t="str">
        <f ca="1">O502&amp;""&amp;",..,"&amp;""&amp;P502</f>
        <v>202,..,1402</v>
      </c>
      <c r="O502" s="2">
        <f t="shared" ref="O502:P504" ca="1" si="18">O501+1</f>
        <v>202</v>
      </c>
      <c r="P502" s="2">
        <f t="shared" ca="1" si="18"/>
        <v>1402</v>
      </c>
    </row>
    <row r="503" spans="1:16" s="2" customFormat="1" ht="15.75" customHeight="1" x14ac:dyDescent="0.35">
      <c r="A503" s="116" t="str">
        <f ca="1">N503</f>
        <v>203,..,1403</v>
      </c>
      <c r="B503" s="117"/>
      <c r="C503" s="64" t="s">
        <v>195</v>
      </c>
      <c r="D503" s="64">
        <f>(47.6+(0.6*(1.81+2.61+1.7))+2.14*0.75+3.05*1.2)*10.764</f>
        <v>608.56426799999986</v>
      </c>
      <c r="E503" s="64">
        <f>3.05*1.5*10.764</f>
        <v>49.245299999999986</v>
      </c>
      <c r="F503" s="64">
        <f>D503*(($F$472)+1)+E503</f>
        <v>962.09170199999971</v>
      </c>
      <c r="G503" s="146"/>
      <c r="H503" s="147"/>
      <c r="I503" s="31"/>
      <c r="N503" s="2" t="str">
        <f ca="1">O503&amp;""&amp;",..,"&amp;""&amp;P503</f>
        <v>203,..,1403</v>
      </c>
      <c r="O503" s="2">
        <f t="shared" ca="1" si="18"/>
        <v>203</v>
      </c>
      <c r="P503" s="2">
        <f t="shared" ca="1" si="18"/>
        <v>1403</v>
      </c>
    </row>
    <row r="504" spans="1:16" s="2" customFormat="1" ht="15.75" customHeight="1" x14ac:dyDescent="0.35">
      <c r="A504" s="116" t="str">
        <f ca="1">N504</f>
        <v>204,..,1404</v>
      </c>
      <c r="B504" s="117"/>
      <c r="C504" s="64" t="s">
        <v>195</v>
      </c>
      <c r="D504" s="64">
        <f>(47.6+(0.6*(1.81+2.61+1.7))+2.14*0.75+3.05*1.2)*10.764</f>
        <v>608.56426799999986</v>
      </c>
      <c r="E504" s="64">
        <f>3.05*1.5*10.764</f>
        <v>49.245299999999986</v>
      </c>
      <c r="F504" s="64">
        <f>D504*(($F$472)+1)+E504</f>
        <v>962.09170199999971</v>
      </c>
      <c r="G504" s="148"/>
      <c r="H504" s="149"/>
      <c r="I504" s="31"/>
      <c r="N504" s="2" t="str">
        <f ca="1">O504&amp;""&amp;",..,"&amp;""&amp;P504</f>
        <v>204,..,1404</v>
      </c>
      <c r="O504" s="2">
        <f t="shared" ca="1" si="18"/>
        <v>204</v>
      </c>
      <c r="P504" s="2">
        <f t="shared" ca="1" si="18"/>
        <v>1404</v>
      </c>
    </row>
    <row r="505" spans="1:16" s="2" customFormat="1" ht="15.75" customHeight="1" x14ac:dyDescent="0.35">
      <c r="A505" s="126" t="s">
        <v>193</v>
      </c>
      <c r="B505" s="127"/>
      <c r="C505" s="127"/>
      <c r="D505" s="127"/>
      <c r="E505" s="127"/>
      <c r="F505" s="127"/>
      <c r="G505" s="127"/>
      <c r="H505" s="128"/>
      <c r="I505" s="31"/>
    </row>
    <row r="506" spans="1:16" s="2" customFormat="1" ht="15.75" customHeight="1" x14ac:dyDescent="0.35">
      <c r="A506" s="116" t="str">
        <f ca="1">N506</f>
        <v>301,..,1301</v>
      </c>
      <c r="B506" s="117"/>
      <c r="C506" s="64" t="s">
        <v>195</v>
      </c>
      <c r="D506" s="64">
        <f>(44.56+(0.6*(1.81+3.05+1.7))+2.14*0.75+3.05*1.2)*10.764</f>
        <v>578.68340399999988</v>
      </c>
      <c r="E506" s="64">
        <f>2.61*1.5*10.764</f>
        <v>42.141059999999996</v>
      </c>
      <c r="F506" s="64">
        <f>D506*(($F$472)+1)+E506</f>
        <v>910.16616599999986</v>
      </c>
      <c r="G506" s="144" t="str">
        <f>A505</f>
        <v>3rd, 5th, 7th, 9th, 11th, 13th Floor</v>
      </c>
      <c r="H506" s="145"/>
      <c r="I506" s="31"/>
      <c r="N506" s="2" t="str">
        <f ca="1">O506&amp;""&amp;",..,"&amp;""&amp;P506</f>
        <v>301,..,1301</v>
      </c>
      <c r="O506" s="2">
        <f ca="1">(SUMPRODUCT(MID(0&amp;(LEFT(A505,SUM(LEN(A505)-LEN(SUBSTITUTE(A505,{"0","1","2"},""))))), LARGE(INDEX(ISNUMBER(--MID((LEFT(A505,SUM(LEN(A505)-LEN(SUBSTITUTE(A505,{"0","1","2"},""))))), ROW(INDIRECT("1:"&amp;LEN((LEFT(A505,SUM(LEN(A505)-LEN(SUBSTITUTE(A505,{"0","1","2"},"")))))))), 1)) * ROW(INDIRECT("1:"&amp;LEN((LEFT(A505,SUM(LEN(A505)-LEN(SUBSTITUTE(A505,{"0","1","2"},"")))))))), 0), ROW(INDIRECT("1:"&amp;LEN((LEFT(A505,SUM(LEN(A505)-LEN(SUBSTITUTE(A505,{"0","1","2"},"")))))))))+1, 1) * 10^ROW(INDIRECT("1:"&amp;LEN((LEFT(A505,SUM(LEN(A505)-LEN(SUBSTITUTE(A505,{"0","1","2"},""))))))))/10))*100+1</f>
        <v>301</v>
      </c>
      <c r="P506" s="2">
        <f ca="1">(SUMPRODUCT(MID(0&amp;(--TRIM(RIGHT(SUBSTITUTE(LEFT(A505,_xlfn.AGGREGATE(16,6,FIND({0,1,2,3,4,5,6,7,8,9},A505,ROW(INDIRECT("1:"&amp;LEN(A505)))),1))," ",REPT(" ",LEN(A505))),LEN(A505)))), LARGE(INDEX(ISNUMBER(--MID((--TRIM(RIGHT(SUBSTITUTE(LEFT(A505,_xlfn.AGGREGATE(16,6,FIND({0,1,2,3,4,5,6,7,8,9},A505,ROW(INDIRECT("1:"&amp;LEN(A505)))),1))," ",REPT(" ",LEN(A505))),LEN(A505)))), ROW(INDIRECT("1:"&amp;LEN((--TRIM(RIGHT(SUBSTITUTE(LEFT(A505,_xlfn.AGGREGATE(16,6,FIND({0,1,2,3,4,5,6,7,8,9},A505,ROW(INDIRECT("1:"&amp;LEN(A505)))),1))," ",REPT(" ",LEN(A505))),LEN(A505))))))), 1)) * ROW(INDIRECT("1:"&amp;LEN((--TRIM(RIGHT(SUBSTITUTE(LEFT(A505,_xlfn.AGGREGATE(16,6,FIND({0,1,2,3,4,5,6,7,8,9},A505,ROW(INDIRECT("1:"&amp;LEN(A505)))),1))," ",REPT(" ",LEN(A505))),LEN(A505))))))), 0), ROW(INDIRECT("1:"&amp;LEN((--TRIM(RIGHT(SUBSTITUTE(LEFT(A505,_xlfn.AGGREGATE(16,6,FIND({0,1,2,3,4,5,6,7,8,9},A505,ROW(INDIRECT("1:"&amp;LEN(A505)))),1))," ",REPT(" ",LEN(A505))),LEN(A505))))))))+1, 1) * 10^ROW(INDIRECT("1:"&amp;LEN((--TRIM(RIGHT(SUBSTITUTE(LEFT(A505,_xlfn.AGGREGATE(16,6,FIND({0,1,2,3,4,5,6,7,8,9},A505,ROW(INDIRECT("1:"&amp;LEN(A505)))),1))," ",REPT(" ",LEN(A505))),LEN(A505)))))))/10))*100+1</f>
        <v>1301</v>
      </c>
    </row>
    <row r="507" spans="1:16" s="2" customFormat="1" ht="15.75" customHeight="1" x14ac:dyDescent="0.35">
      <c r="A507" s="116" t="str">
        <f ca="1">N507</f>
        <v>302,..,1302</v>
      </c>
      <c r="B507" s="117"/>
      <c r="C507" s="64" t="s">
        <v>195</v>
      </c>
      <c r="D507" s="64">
        <f>(44.56+(0.6*(1.81+3.05+1.7))+2.14*0.75+3.05*1.2)*10.764</f>
        <v>578.68340399999988</v>
      </c>
      <c r="E507" s="64">
        <f>2.61*1.5*10.764</f>
        <v>42.141059999999996</v>
      </c>
      <c r="F507" s="64">
        <f>D507*(($F$472)+1)+E507</f>
        <v>910.16616599999986</v>
      </c>
      <c r="G507" s="146" t="str">
        <f>G506</f>
        <v>3rd, 5th, 7th, 9th, 11th, 13th Floor</v>
      </c>
      <c r="H507" s="147"/>
      <c r="I507" s="31"/>
      <c r="N507" s="2" t="str">
        <f ca="1">O507&amp;""&amp;",..,"&amp;""&amp;P507</f>
        <v>302,..,1302</v>
      </c>
      <c r="O507" s="2">
        <f t="shared" ref="O507:P509" ca="1" si="19">O506+1</f>
        <v>302</v>
      </c>
      <c r="P507" s="2">
        <f t="shared" ca="1" si="19"/>
        <v>1302</v>
      </c>
    </row>
    <row r="508" spans="1:16" s="2" customFormat="1" ht="15.75" customHeight="1" x14ac:dyDescent="0.35">
      <c r="A508" s="116" t="str">
        <f ca="1">N508</f>
        <v>303,..,1303</v>
      </c>
      <c r="B508" s="117"/>
      <c r="C508" s="64" t="s">
        <v>195</v>
      </c>
      <c r="D508" s="64">
        <f>(47.6+(0.6*(1.81+3.05+1.7))+2.14*0.75+1.2*3.05)*10.764</f>
        <v>611.40596399999993</v>
      </c>
      <c r="E508" s="64">
        <f>2.61*1.5*10.764</f>
        <v>42.141059999999996</v>
      </c>
      <c r="F508" s="64">
        <f>D508*(($F$472)+1)+E508</f>
        <v>959.25000599999987</v>
      </c>
      <c r="G508" s="146" t="str">
        <f>G507</f>
        <v>3rd, 5th, 7th, 9th, 11th, 13th Floor</v>
      </c>
      <c r="H508" s="147"/>
      <c r="I508" s="31"/>
      <c r="N508" s="2" t="str">
        <f ca="1">O508&amp;""&amp;",..,"&amp;""&amp;P508</f>
        <v>303,..,1303</v>
      </c>
      <c r="O508" s="2">
        <f t="shared" ca="1" si="19"/>
        <v>303</v>
      </c>
      <c r="P508" s="2">
        <f t="shared" ca="1" si="19"/>
        <v>1303</v>
      </c>
    </row>
    <row r="509" spans="1:16" s="2" customFormat="1" ht="15.75" customHeight="1" x14ac:dyDescent="0.35">
      <c r="A509" s="116" t="str">
        <f ca="1">N509</f>
        <v>304,..,1304</v>
      </c>
      <c r="B509" s="117"/>
      <c r="C509" s="64" t="s">
        <v>195</v>
      </c>
      <c r="D509" s="64">
        <f>(47.6+(0.6*(1.81+3.05+1.7))+2.14*0.75+1.2*3.05)*10.764</f>
        <v>611.40596399999993</v>
      </c>
      <c r="E509" s="64">
        <f>2.61*1.5*10.764</f>
        <v>42.141059999999996</v>
      </c>
      <c r="F509" s="64">
        <f>D509*(($F$472)+1)+E509</f>
        <v>959.25000599999987</v>
      </c>
      <c r="G509" s="148" t="str">
        <f>G508</f>
        <v>3rd, 5th, 7th, 9th, 11th, 13th Floor</v>
      </c>
      <c r="H509" s="149"/>
      <c r="I509" s="31"/>
      <c r="N509" s="2" t="str">
        <f ca="1">O509&amp;""&amp;",..,"&amp;""&amp;P509</f>
        <v>304,..,1304</v>
      </c>
      <c r="O509" s="2">
        <f t="shared" ca="1" si="19"/>
        <v>304</v>
      </c>
      <c r="P509" s="2">
        <f t="shared" ca="1" si="19"/>
        <v>1304</v>
      </c>
    </row>
    <row r="510" spans="1:16" s="2" customFormat="1" ht="15.75" customHeight="1" x14ac:dyDescent="0.35">
      <c r="A510" s="126" t="s">
        <v>219</v>
      </c>
      <c r="B510" s="127"/>
      <c r="C510" s="127"/>
      <c r="D510" s="127"/>
      <c r="E510" s="127"/>
      <c r="F510" s="127"/>
      <c r="G510" s="127"/>
      <c r="H510" s="128"/>
      <c r="I510" s="31"/>
    </row>
    <row r="511" spans="1:16" s="2" customFormat="1" ht="15.75" customHeight="1" x14ac:dyDescent="0.35">
      <c r="A511" s="116" t="str">
        <f ca="1">N511</f>
        <v>801 &amp; 1201</v>
      </c>
      <c r="B511" s="117"/>
      <c r="C511" s="64" t="s">
        <v>195</v>
      </c>
      <c r="D511" s="64">
        <f>(44.56+(0.6*(1.81+2.61+1.7))+2.14*0.75+3.05*1.2)*10.764</f>
        <v>575.84170799999993</v>
      </c>
      <c r="E511" s="64">
        <f>3.05*1.3*10.764</f>
        <v>42.679259999999999</v>
      </c>
      <c r="F511" s="64">
        <f>D511*(($F$472)+1)+E511</f>
        <v>906.44182199999989</v>
      </c>
      <c r="G511" s="144" t="str">
        <f>A510</f>
        <v>8th &amp; 12th Floor ( Part Refuge Area)</v>
      </c>
      <c r="H511" s="145"/>
      <c r="I511" s="31">
        <f>162/3</f>
        <v>54</v>
      </c>
      <c r="N511" s="2" t="str">
        <f ca="1">O511&amp;""&amp;" &amp; "&amp;""&amp;P511</f>
        <v>801 &amp; 1201</v>
      </c>
      <c r="O511" s="2">
        <f ca="1">(SUMPRODUCT(MID(0&amp;(LEFT(A510,SUM(LEN(A510)-LEN(SUBSTITUTE(A510,{"0","1","2"},""))))), LARGE(INDEX(ISNUMBER(--MID((LEFT(A510,SUM(LEN(A510)-LEN(SUBSTITUTE(A510,{"0","1","2"},""))))), ROW(INDIRECT("1:"&amp;LEN((LEFT(A510,SUM(LEN(A510)-LEN(SUBSTITUTE(A510,{"0","1","2"},"")))))))), 1)) * ROW(INDIRECT("1:"&amp;LEN((LEFT(A510,SUM(LEN(A510)-LEN(SUBSTITUTE(A510,{"0","1","2"},"")))))))), 0), ROW(INDIRECT("1:"&amp;LEN((LEFT(A510,SUM(LEN(A510)-LEN(SUBSTITUTE(A510,{"0","1","2"},"")))))))))+1, 1) * 10^ROW(INDIRECT("1:"&amp;LEN((LEFT(A510,SUM(LEN(A510)-LEN(SUBSTITUTE(A510,{"0","1","2"},""))))))))/10))*100+1</f>
        <v>801</v>
      </c>
      <c r="P511" s="2">
        <f ca="1">(SUMPRODUCT(MID(0&amp;(--TRIM(RIGHT(SUBSTITUTE(LEFT(A510,_xlfn.AGGREGATE(16,6,FIND({0,1,2,3,4,5,6,7,8,9},A510,ROW(INDIRECT("1:"&amp;LEN(A510)))),1))," ",REPT(" ",LEN(A510))),LEN(A510)))), LARGE(INDEX(ISNUMBER(--MID((--TRIM(RIGHT(SUBSTITUTE(LEFT(A510,_xlfn.AGGREGATE(16,6,FIND({0,1,2,3,4,5,6,7,8,9},A510,ROW(INDIRECT("1:"&amp;LEN(A510)))),1))," ",REPT(" ",LEN(A510))),LEN(A510)))), ROW(INDIRECT("1:"&amp;LEN((--TRIM(RIGHT(SUBSTITUTE(LEFT(A510,_xlfn.AGGREGATE(16,6,FIND({0,1,2,3,4,5,6,7,8,9},A510,ROW(INDIRECT("1:"&amp;LEN(A510)))),1))," ",REPT(" ",LEN(A510))),LEN(A510))))))), 1)) * ROW(INDIRECT("1:"&amp;LEN((--TRIM(RIGHT(SUBSTITUTE(LEFT(A510,_xlfn.AGGREGATE(16,6,FIND({0,1,2,3,4,5,6,7,8,9},A510,ROW(INDIRECT("1:"&amp;LEN(A510)))),1))," ",REPT(" ",LEN(A510))),LEN(A510))))))), 0), ROW(INDIRECT("1:"&amp;LEN((--TRIM(RIGHT(SUBSTITUTE(LEFT(A510,_xlfn.AGGREGATE(16,6,FIND({0,1,2,3,4,5,6,7,8,9},A510,ROW(INDIRECT("1:"&amp;LEN(A510)))),1))," ",REPT(" ",LEN(A510))),LEN(A510))))))))+1, 1) * 10^ROW(INDIRECT("1:"&amp;LEN((--TRIM(RIGHT(SUBSTITUTE(LEFT(A510,_xlfn.AGGREGATE(16,6,FIND({0,1,2,3,4,5,6,7,8,9},A510,ROW(INDIRECT("1:"&amp;LEN(A510)))),1))," ",REPT(" ",LEN(A510))),LEN(A510)))))))/10))*100+1</f>
        <v>1201</v>
      </c>
    </row>
    <row r="512" spans="1:16" s="2" customFormat="1" ht="15.75" customHeight="1" x14ac:dyDescent="0.35">
      <c r="A512" s="116" t="str">
        <f ca="1">N512</f>
        <v>802 &amp; 1202</v>
      </c>
      <c r="B512" s="117"/>
      <c r="C512" s="64" t="s">
        <v>195</v>
      </c>
      <c r="D512" s="64">
        <f>(44.56+(0.6*(1.81+2.61+1.7))+2.14*0.75+3.05*1.2)*10.764</f>
        <v>575.84170799999993</v>
      </c>
      <c r="E512" s="64">
        <f>3.05*1.3*10.764</f>
        <v>42.679259999999999</v>
      </c>
      <c r="F512" s="64">
        <f>D512*(($F$472)+1)+E512</f>
        <v>906.44182199999989</v>
      </c>
      <c r="G512" s="146" t="str">
        <f>G511</f>
        <v>8th &amp; 12th Floor ( Part Refuge Area)</v>
      </c>
      <c r="H512" s="147"/>
      <c r="I512" s="31"/>
      <c r="N512" s="2" t="str">
        <f ca="1">O512&amp;""&amp;" &amp; "&amp;""&amp;P512</f>
        <v>802 &amp; 1202</v>
      </c>
      <c r="O512" s="2">
        <f ca="1">O511+1</f>
        <v>802</v>
      </c>
      <c r="P512" s="2">
        <f ca="1">P511+1</f>
        <v>1202</v>
      </c>
    </row>
    <row r="513" spans="1:16" s="2" customFormat="1" ht="15.75" customHeight="1" x14ac:dyDescent="0.35">
      <c r="A513" s="116" t="str">
        <f ca="1">N513</f>
        <v>803 &amp; 1203</v>
      </c>
      <c r="B513" s="117"/>
      <c r="C513" s="64" t="s">
        <v>195</v>
      </c>
      <c r="D513" s="64">
        <f>(47.6+(0.6*(1.81+2.61+1.7))+2.14*0.75+3.05*1.2)*10.764</f>
        <v>608.56426799999986</v>
      </c>
      <c r="E513" s="64">
        <f>3.05*1.3*10.764</f>
        <v>42.679259999999999</v>
      </c>
      <c r="F513" s="64">
        <f>D513*(($F$472)+1)+E513</f>
        <v>955.52566199999978</v>
      </c>
      <c r="G513" s="146" t="str">
        <f>G512</f>
        <v>8th &amp; 12th Floor ( Part Refuge Area)</v>
      </c>
      <c r="H513" s="147"/>
      <c r="I513" s="31"/>
      <c r="N513" s="2" t="str">
        <f ca="1">O513&amp;""&amp;" &amp; "&amp;""&amp;P513</f>
        <v>803 &amp; 1203</v>
      </c>
      <c r="O513" s="2">
        <f ca="1">O512+1</f>
        <v>803</v>
      </c>
      <c r="P513" s="2">
        <f ca="1">P512+1</f>
        <v>1203</v>
      </c>
    </row>
    <row r="514" spans="1:16" s="1" customFormat="1" x14ac:dyDescent="0.35">
      <c r="A514" s="134" t="s">
        <v>229</v>
      </c>
      <c r="B514" s="134"/>
      <c r="C514" s="134"/>
      <c r="D514" s="134"/>
      <c r="E514" s="134"/>
      <c r="F514" s="134"/>
      <c r="G514" s="134"/>
      <c r="H514" s="134"/>
    </row>
    <row r="515" spans="1:16" s="2" customFormat="1" x14ac:dyDescent="0.35">
      <c r="A515" s="119" t="s">
        <v>192</v>
      </c>
      <c r="B515" s="119"/>
      <c r="C515" s="119"/>
      <c r="D515" s="119"/>
      <c r="E515" s="119"/>
      <c r="F515" s="119"/>
      <c r="G515" s="119"/>
      <c r="H515" s="119"/>
      <c r="I515" s="31"/>
      <c r="L515" s="115"/>
      <c r="M515" s="115"/>
    </row>
    <row r="516" spans="1:16" s="2" customFormat="1" x14ac:dyDescent="0.35">
      <c r="A516" s="118">
        <f>LEFT(A515,SUM(LEN(A515)-LEN(SUBSTITUTE(A515,{"0","1","2","3","4","5","6","7","8","9"},""))))*100+1</f>
        <v>101</v>
      </c>
      <c r="B516" s="118"/>
      <c r="C516" s="64" t="s">
        <v>195</v>
      </c>
      <c r="D516" s="64">
        <f>(44.56+(0.6*(1.81+3.05+1.7))+2.14*0.75+3.05*1.2)*10.764</f>
        <v>578.68340399999988</v>
      </c>
      <c r="E516" s="64">
        <f>2.76*1.5*10.764</f>
        <v>44.562959999999997</v>
      </c>
      <c r="F516" s="64">
        <f>D516*(($F$472)+1)+E516</f>
        <v>912.5880659999998</v>
      </c>
      <c r="G516" s="144" t="str">
        <f>A515</f>
        <v>1st Floor</v>
      </c>
      <c r="H516" s="145"/>
      <c r="I516" s="31">
        <f>3.05*3.89+2.14*2.7+2.45*1.8+3.05*2.76+1.22*2.23+2.14*1.21+1.1*4+0.95*2.45</f>
        <v>42.507999999999996</v>
      </c>
      <c r="N516" s="31"/>
    </row>
    <row r="517" spans="1:16" s="2" customFormat="1" x14ac:dyDescent="0.35">
      <c r="A517" s="118">
        <f>A516+1</f>
        <v>102</v>
      </c>
      <c r="B517" s="118"/>
      <c r="C517" s="64" t="s">
        <v>195</v>
      </c>
      <c r="D517" s="64">
        <f>(44.56+(0.6*(1.81+3.05+1.7))+2.14*0.75+3.05*1.2)*10.764</f>
        <v>578.68340399999988</v>
      </c>
      <c r="E517" s="64">
        <f>2.76*1.5*10.764</f>
        <v>44.562959999999997</v>
      </c>
      <c r="F517" s="64">
        <f>D517*(($F$472)+1)+E517</f>
        <v>912.5880659999998</v>
      </c>
      <c r="G517" s="146" t="str">
        <f>G516</f>
        <v>1st Floor</v>
      </c>
      <c r="H517" s="147"/>
      <c r="I517" s="36"/>
      <c r="N517" s="31"/>
    </row>
    <row r="518" spans="1:16" s="2" customFormat="1" x14ac:dyDescent="0.35">
      <c r="A518" s="118">
        <f>A517+1</f>
        <v>103</v>
      </c>
      <c r="B518" s="118"/>
      <c r="C518" s="64" t="s">
        <v>195</v>
      </c>
      <c r="D518" s="64">
        <f>47.6*10.764</f>
        <v>512.3664</v>
      </c>
      <c r="E518" s="64">
        <f>18.86*10.764</f>
        <v>203.00903999999997</v>
      </c>
      <c r="F518" s="64">
        <f>D518*(($F$472)+1)+E518/2</f>
        <v>870.05412000000001</v>
      </c>
      <c r="G518" s="146" t="str">
        <f>G517</f>
        <v>1st Floor</v>
      </c>
      <c r="H518" s="147"/>
      <c r="I518" s="31"/>
      <c r="N518" s="31"/>
    </row>
    <row r="519" spans="1:16" s="2" customFormat="1" x14ac:dyDescent="0.35">
      <c r="A519" s="118">
        <f>A518+1</f>
        <v>104</v>
      </c>
      <c r="B519" s="118"/>
      <c r="C519" s="64" t="s">
        <v>195</v>
      </c>
      <c r="D519" s="64">
        <f>47.6*10.764</f>
        <v>512.3664</v>
      </c>
      <c r="E519" s="64">
        <f>18.86*10.764</f>
        <v>203.00903999999997</v>
      </c>
      <c r="F519" s="64">
        <f>D519*(($F$472)+1)+E519/2</f>
        <v>870.05412000000001</v>
      </c>
      <c r="G519" s="148" t="str">
        <f>G518</f>
        <v>1st Floor</v>
      </c>
      <c r="H519" s="149"/>
      <c r="I519" s="31"/>
      <c r="N519" s="31"/>
    </row>
    <row r="520" spans="1:16" s="2" customFormat="1" ht="15.75" customHeight="1" x14ac:dyDescent="0.35">
      <c r="A520" s="126" t="s">
        <v>199</v>
      </c>
      <c r="B520" s="127"/>
      <c r="C520" s="127"/>
      <c r="D520" s="127"/>
      <c r="E520" s="127"/>
      <c r="F520" s="127"/>
      <c r="G520" s="127"/>
      <c r="H520" s="128"/>
      <c r="I520" s="31"/>
    </row>
    <row r="521" spans="1:16" s="2" customFormat="1" ht="15.75" customHeight="1" x14ac:dyDescent="0.35">
      <c r="A521" s="116" t="str">
        <f ca="1">N521</f>
        <v>201,..,1401</v>
      </c>
      <c r="B521" s="117"/>
      <c r="C521" s="64" t="s">
        <v>195</v>
      </c>
      <c r="D521" s="64">
        <f>(44.56+(0.6*(1.81+2.61+1.7))+2.14*0.75+3.05*1.2)*10.764</f>
        <v>575.84170799999993</v>
      </c>
      <c r="E521" s="64">
        <f>3.05*1.5*10.764</f>
        <v>49.245299999999986</v>
      </c>
      <c r="F521" s="64">
        <f>D521*(($F$472)+1)+E521</f>
        <v>913.00786199999993</v>
      </c>
      <c r="G521" s="144" t="str">
        <f>A520</f>
        <v>2nd, 4th, 6th, 10th, 14th Floor</v>
      </c>
      <c r="H521" s="145"/>
      <c r="I521" s="31"/>
      <c r="N521" s="2" t="str">
        <f ca="1">O521&amp;""&amp;",..,"&amp;""&amp;P521</f>
        <v>201,..,1401</v>
      </c>
      <c r="O521" s="2">
        <f ca="1">(SUMPRODUCT(MID(0&amp;(LEFT(A520,SUM(LEN(A520)-LEN(SUBSTITUTE(A520,{"0","1","2"},""))))), LARGE(INDEX(ISNUMBER(--MID((LEFT(A520,SUM(LEN(A520)-LEN(SUBSTITUTE(A520,{"0","1","2"},""))))), ROW(INDIRECT("1:"&amp;LEN((LEFT(A520,SUM(LEN(A520)-LEN(SUBSTITUTE(A520,{"0","1","2"},"")))))))), 1)) * ROW(INDIRECT("1:"&amp;LEN((LEFT(A520,SUM(LEN(A520)-LEN(SUBSTITUTE(A520,{"0","1","2"},"")))))))), 0), ROW(INDIRECT("1:"&amp;LEN((LEFT(A520,SUM(LEN(A520)-LEN(SUBSTITUTE(A520,{"0","1","2"},"")))))))))+1, 1) * 10^ROW(INDIRECT("1:"&amp;LEN((LEFT(A520,SUM(LEN(A520)-LEN(SUBSTITUTE(A520,{"0","1","2"},""))))))))/10))*100+1</f>
        <v>201</v>
      </c>
      <c r="P521" s="2">
        <f ca="1">(SUMPRODUCT(MID(0&amp;(--TRIM(RIGHT(SUBSTITUTE(LEFT(A520,_xlfn.AGGREGATE(16,6,FIND({0,1,2,3,4,5,6,7,8,9},A520,ROW(INDIRECT("1:"&amp;LEN(A520)))),1))," ",REPT(" ",LEN(A520))),LEN(A520)))), LARGE(INDEX(ISNUMBER(--MID((--TRIM(RIGHT(SUBSTITUTE(LEFT(A520,_xlfn.AGGREGATE(16,6,FIND({0,1,2,3,4,5,6,7,8,9},A520,ROW(INDIRECT("1:"&amp;LEN(A520)))),1))," ",REPT(" ",LEN(A520))),LEN(A520)))), ROW(INDIRECT("1:"&amp;LEN((--TRIM(RIGHT(SUBSTITUTE(LEFT(A520,_xlfn.AGGREGATE(16,6,FIND({0,1,2,3,4,5,6,7,8,9},A520,ROW(INDIRECT("1:"&amp;LEN(A520)))),1))," ",REPT(" ",LEN(A520))),LEN(A520))))))), 1)) * ROW(INDIRECT("1:"&amp;LEN((--TRIM(RIGHT(SUBSTITUTE(LEFT(A520,_xlfn.AGGREGATE(16,6,FIND({0,1,2,3,4,5,6,7,8,9},A520,ROW(INDIRECT("1:"&amp;LEN(A520)))),1))," ",REPT(" ",LEN(A520))),LEN(A520))))))), 0), ROW(INDIRECT("1:"&amp;LEN((--TRIM(RIGHT(SUBSTITUTE(LEFT(A520,_xlfn.AGGREGATE(16,6,FIND({0,1,2,3,4,5,6,7,8,9},A520,ROW(INDIRECT("1:"&amp;LEN(A520)))),1))," ",REPT(" ",LEN(A520))),LEN(A520))))))))+1, 1) * 10^ROW(INDIRECT("1:"&amp;LEN((--TRIM(RIGHT(SUBSTITUTE(LEFT(A520,_xlfn.AGGREGATE(16,6,FIND({0,1,2,3,4,5,6,7,8,9},A520,ROW(INDIRECT("1:"&amp;LEN(A520)))),1))," ",REPT(" ",LEN(A520))),LEN(A520)))))))/10))*100+1</f>
        <v>1401</v>
      </c>
    </row>
    <row r="522" spans="1:16" s="2" customFormat="1" ht="15.75" customHeight="1" x14ac:dyDescent="0.35">
      <c r="A522" s="116" t="str">
        <f ca="1">N522</f>
        <v>202,..,1402</v>
      </c>
      <c r="B522" s="117"/>
      <c r="C522" s="64" t="s">
        <v>195</v>
      </c>
      <c r="D522" s="64">
        <f>(44.56+(0.6*(1.81+2.61+1.7))+2.14*0.75+3.05*1.2)*10.764</f>
        <v>575.84170799999993</v>
      </c>
      <c r="E522" s="64">
        <f>3.05*1.5*10.764</f>
        <v>49.245299999999986</v>
      </c>
      <c r="F522" s="64">
        <f>D522*(($F$472)+1)+E522</f>
        <v>913.00786199999993</v>
      </c>
      <c r="G522" s="146" t="str">
        <f>G521</f>
        <v>2nd, 4th, 6th, 10th, 14th Floor</v>
      </c>
      <c r="H522" s="147"/>
      <c r="I522" s="31"/>
      <c r="N522" s="2" t="str">
        <f ca="1">O522&amp;""&amp;",..,"&amp;""&amp;P522</f>
        <v>202,..,1402</v>
      </c>
      <c r="O522" s="2">
        <f t="shared" ref="O522:P524" ca="1" si="20">O521+1</f>
        <v>202</v>
      </c>
      <c r="P522" s="2">
        <f t="shared" ca="1" si="20"/>
        <v>1402</v>
      </c>
    </row>
    <row r="523" spans="1:16" s="2" customFormat="1" ht="15.75" customHeight="1" x14ac:dyDescent="0.35">
      <c r="A523" s="116" t="str">
        <f ca="1">N523</f>
        <v>203,..,1403</v>
      </c>
      <c r="B523" s="117"/>
      <c r="C523" s="64" t="s">
        <v>195</v>
      </c>
      <c r="D523" s="64">
        <f>(47.6+(0.6*(1.81+2.61+1.7))+2.14*0.75+3.05*1.2)*10.764</f>
        <v>608.56426799999986</v>
      </c>
      <c r="E523" s="64">
        <f>3.05*1.5*10.764</f>
        <v>49.245299999999986</v>
      </c>
      <c r="F523" s="64">
        <f>D523*(($F$472)+1)+E523</f>
        <v>962.09170199999971</v>
      </c>
      <c r="G523" s="146" t="str">
        <f>G522</f>
        <v>2nd, 4th, 6th, 10th, 14th Floor</v>
      </c>
      <c r="H523" s="147"/>
      <c r="I523" s="31"/>
      <c r="N523" s="2" t="str">
        <f ca="1">O523&amp;""&amp;",..,"&amp;""&amp;P523</f>
        <v>203,..,1403</v>
      </c>
      <c r="O523" s="2">
        <f t="shared" ca="1" si="20"/>
        <v>203</v>
      </c>
      <c r="P523" s="2">
        <f t="shared" ca="1" si="20"/>
        <v>1403</v>
      </c>
    </row>
    <row r="524" spans="1:16" s="2" customFormat="1" ht="15.75" customHeight="1" x14ac:dyDescent="0.35">
      <c r="A524" s="116" t="str">
        <f ca="1">N524</f>
        <v>204,..,1404</v>
      </c>
      <c r="B524" s="117"/>
      <c r="C524" s="64" t="s">
        <v>195</v>
      </c>
      <c r="D524" s="64">
        <f>(47.6+(0.6*(1.81+2.61+1.7))+2.14*0.75+3.05*1.2)*10.764</f>
        <v>608.56426799999986</v>
      </c>
      <c r="E524" s="64">
        <f>3.05*1.5*10.764</f>
        <v>49.245299999999986</v>
      </c>
      <c r="F524" s="64">
        <f>D524*(($F$472)+1)+E524</f>
        <v>962.09170199999971</v>
      </c>
      <c r="G524" s="148" t="str">
        <f>G523</f>
        <v>2nd, 4th, 6th, 10th, 14th Floor</v>
      </c>
      <c r="H524" s="149"/>
      <c r="I524" s="31"/>
      <c r="N524" s="2" t="str">
        <f ca="1">O524&amp;""&amp;",..,"&amp;""&amp;P524</f>
        <v>204,..,1404</v>
      </c>
      <c r="O524" s="2">
        <f t="shared" ca="1" si="20"/>
        <v>204</v>
      </c>
      <c r="P524" s="2">
        <f t="shared" ca="1" si="20"/>
        <v>1404</v>
      </c>
    </row>
    <row r="525" spans="1:16" s="2" customFormat="1" ht="15.75" customHeight="1" x14ac:dyDescent="0.35">
      <c r="A525" s="126" t="s">
        <v>193</v>
      </c>
      <c r="B525" s="127"/>
      <c r="C525" s="127"/>
      <c r="D525" s="127"/>
      <c r="E525" s="127"/>
      <c r="F525" s="127"/>
      <c r="G525" s="127"/>
      <c r="H525" s="128"/>
      <c r="I525" s="31"/>
    </row>
    <row r="526" spans="1:16" s="2" customFormat="1" ht="15.75" customHeight="1" x14ac:dyDescent="0.35">
      <c r="A526" s="116" t="str">
        <f ca="1">N526</f>
        <v>301,..,1301</v>
      </c>
      <c r="B526" s="117"/>
      <c r="C526" s="64" t="s">
        <v>195</v>
      </c>
      <c r="D526" s="64">
        <f>(44.56+(0.6*(1.81+3.05+1.7))+2.14*0.75+3.05*1.2)*10.764</f>
        <v>578.68340399999988</v>
      </c>
      <c r="E526" s="64">
        <f>2.61*1.5*10.764</f>
        <v>42.141059999999996</v>
      </c>
      <c r="F526" s="64">
        <f>D526*(($F$472)+1)+E526</f>
        <v>910.16616599999986</v>
      </c>
      <c r="G526" s="144" t="str">
        <f>A525</f>
        <v>3rd, 5th, 7th, 9th, 11th, 13th Floor</v>
      </c>
      <c r="H526" s="145"/>
      <c r="I526" s="31"/>
      <c r="N526" s="2" t="str">
        <f ca="1">O526&amp;""&amp;",..,"&amp;""&amp;P526</f>
        <v>301,..,1301</v>
      </c>
      <c r="O526" s="2">
        <f ca="1">(SUMPRODUCT(MID(0&amp;(LEFT(A525,SUM(LEN(A525)-LEN(SUBSTITUTE(A525,{"0","1","2"},""))))), LARGE(INDEX(ISNUMBER(--MID((LEFT(A525,SUM(LEN(A525)-LEN(SUBSTITUTE(A525,{"0","1","2"},""))))), ROW(INDIRECT("1:"&amp;LEN((LEFT(A525,SUM(LEN(A525)-LEN(SUBSTITUTE(A525,{"0","1","2"},"")))))))), 1)) * ROW(INDIRECT("1:"&amp;LEN((LEFT(A525,SUM(LEN(A525)-LEN(SUBSTITUTE(A525,{"0","1","2"},"")))))))), 0), ROW(INDIRECT("1:"&amp;LEN((LEFT(A525,SUM(LEN(A525)-LEN(SUBSTITUTE(A525,{"0","1","2"},"")))))))))+1, 1) * 10^ROW(INDIRECT("1:"&amp;LEN((LEFT(A525,SUM(LEN(A525)-LEN(SUBSTITUTE(A525,{"0","1","2"},""))))))))/10))*100+1</f>
        <v>301</v>
      </c>
      <c r="P526" s="2">
        <f ca="1">(SUMPRODUCT(MID(0&amp;(--TRIM(RIGHT(SUBSTITUTE(LEFT(A525,_xlfn.AGGREGATE(16,6,FIND({0,1,2,3,4,5,6,7,8,9},A525,ROW(INDIRECT("1:"&amp;LEN(A525)))),1))," ",REPT(" ",LEN(A525))),LEN(A525)))), LARGE(INDEX(ISNUMBER(--MID((--TRIM(RIGHT(SUBSTITUTE(LEFT(A525,_xlfn.AGGREGATE(16,6,FIND({0,1,2,3,4,5,6,7,8,9},A525,ROW(INDIRECT("1:"&amp;LEN(A525)))),1))," ",REPT(" ",LEN(A525))),LEN(A525)))), ROW(INDIRECT("1:"&amp;LEN((--TRIM(RIGHT(SUBSTITUTE(LEFT(A525,_xlfn.AGGREGATE(16,6,FIND({0,1,2,3,4,5,6,7,8,9},A525,ROW(INDIRECT("1:"&amp;LEN(A525)))),1))," ",REPT(" ",LEN(A525))),LEN(A525))))))), 1)) * ROW(INDIRECT("1:"&amp;LEN((--TRIM(RIGHT(SUBSTITUTE(LEFT(A525,_xlfn.AGGREGATE(16,6,FIND({0,1,2,3,4,5,6,7,8,9},A525,ROW(INDIRECT("1:"&amp;LEN(A525)))),1))," ",REPT(" ",LEN(A525))),LEN(A525))))))), 0), ROW(INDIRECT("1:"&amp;LEN((--TRIM(RIGHT(SUBSTITUTE(LEFT(A525,_xlfn.AGGREGATE(16,6,FIND({0,1,2,3,4,5,6,7,8,9},A525,ROW(INDIRECT("1:"&amp;LEN(A525)))),1))," ",REPT(" ",LEN(A525))),LEN(A525))))))))+1, 1) * 10^ROW(INDIRECT("1:"&amp;LEN((--TRIM(RIGHT(SUBSTITUTE(LEFT(A525,_xlfn.AGGREGATE(16,6,FIND({0,1,2,3,4,5,6,7,8,9},A525,ROW(INDIRECT("1:"&amp;LEN(A525)))),1))," ",REPT(" ",LEN(A525))),LEN(A525)))))))/10))*100+1</f>
        <v>1301</v>
      </c>
    </row>
    <row r="527" spans="1:16" s="2" customFormat="1" ht="15.75" customHeight="1" x14ac:dyDescent="0.35">
      <c r="A527" s="116" t="str">
        <f ca="1">N527</f>
        <v>302,..,1302</v>
      </c>
      <c r="B527" s="117"/>
      <c r="C527" s="64" t="s">
        <v>195</v>
      </c>
      <c r="D527" s="64">
        <f>(44.56+(0.6*(1.81+3.05+1.7))+2.14*0.75+3.05*1.2)*10.764</f>
        <v>578.68340399999988</v>
      </c>
      <c r="E527" s="64">
        <f>2.61*1.5*10.764</f>
        <v>42.141059999999996</v>
      </c>
      <c r="F527" s="64">
        <f>D527*(($F$472)+1)+E527</f>
        <v>910.16616599999986</v>
      </c>
      <c r="G527" s="146" t="str">
        <f>G526</f>
        <v>3rd, 5th, 7th, 9th, 11th, 13th Floor</v>
      </c>
      <c r="H527" s="147"/>
      <c r="I527" s="31"/>
      <c r="N527" s="2" t="str">
        <f ca="1">O527&amp;""&amp;",..,"&amp;""&amp;P527</f>
        <v>302,..,1302</v>
      </c>
      <c r="O527" s="2">
        <f t="shared" ref="O527:P529" ca="1" si="21">O526+1</f>
        <v>302</v>
      </c>
      <c r="P527" s="2">
        <f t="shared" ca="1" si="21"/>
        <v>1302</v>
      </c>
    </row>
    <row r="528" spans="1:16" s="2" customFormat="1" ht="15.75" customHeight="1" x14ac:dyDescent="0.35">
      <c r="A528" s="116" t="str">
        <f ca="1">N528</f>
        <v>303,..,1303</v>
      </c>
      <c r="B528" s="117"/>
      <c r="C528" s="64" t="s">
        <v>195</v>
      </c>
      <c r="D528" s="64">
        <f>(47.6+(0.6*(1.81+3.05+1.7))+2.14*0.75+1.2*3.05)*10.764</f>
        <v>611.40596399999993</v>
      </c>
      <c r="E528" s="64">
        <f>2.61*1.5*10.764</f>
        <v>42.141059999999996</v>
      </c>
      <c r="F528" s="64">
        <f>D528*(($F$472)+1)+E528</f>
        <v>959.25000599999987</v>
      </c>
      <c r="G528" s="146" t="str">
        <f>G527</f>
        <v>3rd, 5th, 7th, 9th, 11th, 13th Floor</v>
      </c>
      <c r="H528" s="147"/>
      <c r="I528" s="31"/>
      <c r="N528" s="2" t="str">
        <f ca="1">O528&amp;""&amp;",..,"&amp;""&amp;P528</f>
        <v>303,..,1303</v>
      </c>
      <c r="O528" s="2">
        <f t="shared" ca="1" si="21"/>
        <v>303</v>
      </c>
      <c r="P528" s="2">
        <f t="shared" ca="1" si="21"/>
        <v>1303</v>
      </c>
    </row>
    <row r="529" spans="1:16" s="2" customFormat="1" ht="15.75" customHeight="1" x14ac:dyDescent="0.35">
      <c r="A529" s="116" t="str">
        <f ca="1">N529</f>
        <v>304,..,1304</v>
      </c>
      <c r="B529" s="117"/>
      <c r="C529" s="64" t="s">
        <v>195</v>
      </c>
      <c r="D529" s="64">
        <f>(47.6+(0.6*(1.81+3.05+1.7))+2.14*0.75+1.2*3.05)*10.764</f>
        <v>611.40596399999993</v>
      </c>
      <c r="E529" s="64">
        <f>2.61*1.5*10.764</f>
        <v>42.141059999999996</v>
      </c>
      <c r="F529" s="64">
        <f>D529*(($F$472)+1)+E529</f>
        <v>959.25000599999987</v>
      </c>
      <c r="G529" s="148" t="str">
        <f>G528</f>
        <v>3rd, 5th, 7th, 9th, 11th, 13th Floor</v>
      </c>
      <c r="H529" s="149"/>
      <c r="I529" s="31"/>
      <c r="N529" s="2" t="str">
        <f ca="1">O529&amp;""&amp;",..,"&amp;""&amp;P529</f>
        <v>304,..,1304</v>
      </c>
      <c r="O529" s="2">
        <f t="shared" ca="1" si="21"/>
        <v>304</v>
      </c>
      <c r="P529" s="2">
        <f t="shared" ca="1" si="21"/>
        <v>1304</v>
      </c>
    </row>
    <row r="530" spans="1:16" s="2" customFormat="1" ht="15.75" customHeight="1" x14ac:dyDescent="0.35">
      <c r="A530" s="119" t="s">
        <v>219</v>
      </c>
      <c r="B530" s="119"/>
      <c r="C530" s="119"/>
      <c r="D530" s="119"/>
      <c r="E530" s="119"/>
      <c r="F530" s="119"/>
      <c r="G530" s="119"/>
      <c r="H530" s="119"/>
      <c r="I530" s="31"/>
    </row>
    <row r="531" spans="1:16" s="2" customFormat="1" ht="15.75" customHeight="1" x14ac:dyDescent="0.35">
      <c r="A531" s="118" t="str">
        <f ca="1">N531</f>
        <v>801 &amp; 1201</v>
      </c>
      <c r="B531" s="118"/>
      <c r="C531" s="91" t="s">
        <v>195</v>
      </c>
      <c r="D531" s="91">
        <f>(44.56+(0.6*(1.81+2.61+1.7))+2.14*0.75+3.05*1.2)*10.764</f>
        <v>575.84170799999993</v>
      </c>
      <c r="E531" s="91">
        <f>3.05*1.3*10.764</f>
        <v>42.679259999999999</v>
      </c>
      <c r="F531" s="91">
        <f>D531*(($F$472)+1)+E531</f>
        <v>906.44182199999989</v>
      </c>
      <c r="G531" s="118" t="str">
        <f>A530</f>
        <v>8th &amp; 12th Floor ( Part Refuge Area)</v>
      </c>
      <c r="H531" s="118"/>
      <c r="I531" s="31"/>
      <c r="N531" s="2" t="str">
        <f ca="1">O531&amp;""&amp;" &amp; "&amp;""&amp;P531</f>
        <v>801 &amp; 1201</v>
      </c>
      <c r="O531" s="2">
        <f ca="1">(SUMPRODUCT(MID(0&amp;(LEFT(A530,SUM(LEN(A530)-LEN(SUBSTITUTE(A530,{"0","1","2"},""))))), LARGE(INDEX(ISNUMBER(--MID((LEFT(A530,SUM(LEN(A530)-LEN(SUBSTITUTE(A530,{"0","1","2"},""))))), ROW(INDIRECT("1:"&amp;LEN((LEFT(A530,SUM(LEN(A530)-LEN(SUBSTITUTE(A530,{"0","1","2"},"")))))))), 1)) * ROW(INDIRECT("1:"&amp;LEN((LEFT(A530,SUM(LEN(A530)-LEN(SUBSTITUTE(A530,{"0","1","2"},"")))))))), 0), ROW(INDIRECT("1:"&amp;LEN((LEFT(A530,SUM(LEN(A530)-LEN(SUBSTITUTE(A530,{"0","1","2"},"")))))))))+1, 1) * 10^ROW(INDIRECT("1:"&amp;LEN((LEFT(A530,SUM(LEN(A530)-LEN(SUBSTITUTE(A530,{"0","1","2"},""))))))))/10))*100+1</f>
        <v>801</v>
      </c>
      <c r="P531" s="2">
        <f ca="1">(SUMPRODUCT(MID(0&amp;(--TRIM(RIGHT(SUBSTITUTE(LEFT(A530,_xlfn.AGGREGATE(16,6,FIND({0,1,2,3,4,5,6,7,8,9},A530,ROW(INDIRECT("1:"&amp;LEN(A530)))),1))," ",REPT(" ",LEN(A530))),LEN(A530)))), LARGE(INDEX(ISNUMBER(--MID((--TRIM(RIGHT(SUBSTITUTE(LEFT(A530,_xlfn.AGGREGATE(16,6,FIND({0,1,2,3,4,5,6,7,8,9},A530,ROW(INDIRECT("1:"&amp;LEN(A530)))),1))," ",REPT(" ",LEN(A530))),LEN(A530)))), ROW(INDIRECT("1:"&amp;LEN((--TRIM(RIGHT(SUBSTITUTE(LEFT(A530,_xlfn.AGGREGATE(16,6,FIND({0,1,2,3,4,5,6,7,8,9},A530,ROW(INDIRECT("1:"&amp;LEN(A530)))),1))," ",REPT(" ",LEN(A530))),LEN(A530))))))), 1)) * ROW(INDIRECT("1:"&amp;LEN((--TRIM(RIGHT(SUBSTITUTE(LEFT(A530,_xlfn.AGGREGATE(16,6,FIND({0,1,2,3,4,5,6,7,8,9},A530,ROW(INDIRECT("1:"&amp;LEN(A530)))),1))," ",REPT(" ",LEN(A530))),LEN(A530))))))), 0), ROW(INDIRECT("1:"&amp;LEN((--TRIM(RIGHT(SUBSTITUTE(LEFT(A530,_xlfn.AGGREGATE(16,6,FIND({0,1,2,3,4,5,6,7,8,9},A530,ROW(INDIRECT("1:"&amp;LEN(A530)))),1))," ",REPT(" ",LEN(A530))),LEN(A530))))))))+1, 1) * 10^ROW(INDIRECT("1:"&amp;LEN((--TRIM(RIGHT(SUBSTITUTE(LEFT(A530,_xlfn.AGGREGATE(16,6,FIND({0,1,2,3,4,5,6,7,8,9},A530,ROW(INDIRECT("1:"&amp;LEN(A530)))),1))," ",REPT(" ",LEN(A530))),LEN(A530)))))))/10))*100+1</f>
        <v>1201</v>
      </c>
    </row>
    <row r="532" spans="1:16" s="2" customFormat="1" ht="15.75" customHeight="1" x14ac:dyDescent="0.35">
      <c r="A532" s="118" t="str">
        <f ca="1">N532</f>
        <v>802 &amp; 1202</v>
      </c>
      <c r="B532" s="118"/>
      <c r="C532" s="91" t="s">
        <v>195</v>
      </c>
      <c r="D532" s="91">
        <f>(44.56+(0.6*(1.81+2.61+1.7))+2.14*0.75+3.05*1.2)*10.764</f>
        <v>575.84170799999993</v>
      </c>
      <c r="E532" s="91">
        <f>3.05*1.3*10.764</f>
        <v>42.679259999999999</v>
      </c>
      <c r="F532" s="91">
        <f>D532*(($F$472)+1)+E532</f>
        <v>906.44182199999989</v>
      </c>
      <c r="G532" s="118" t="str">
        <f>G531</f>
        <v>8th &amp; 12th Floor ( Part Refuge Area)</v>
      </c>
      <c r="H532" s="118"/>
      <c r="I532" s="31"/>
      <c r="N532" s="2" t="str">
        <f ca="1">O532&amp;""&amp;" &amp; "&amp;""&amp;P532</f>
        <v>802 &amp; 1202</v>
      </c>
      <c r="O532" s="2">
        <f ca="1">O531+1</f>
        <v>802</v>
      </c>
      <c r="P532" s="2">
        <f ca="1">P531+1</f>
        <v>1202</v>
      </c>
    </row>
    <row r="533" spans="1:16" s="2" customFormat="1" ht="15.75" customHeight="1" x14ac:dyDescent="0.35">
      <c r="A533" s="118" t="str">
        <f ca="1">N533</f>
        <v>803 &amp; 1203</v>
      </c>
      <c r="B533" s="118"/>
      <c r="C533" s="91" t="s">
        <v>195</v>
      </c>
      <c r="D533" s="91">
        <f>(47.6+(0.6*(1.81+2.61+1.7))+2.14*0.75+3.05*1.2)*10.764</f>
        <v>608.56426799999986</v>
      </c>
      <c r="E533" s="91">
        <f>3.05*1.3*10.764</f>
        <v>42.679259999999999</v>
      </c>
      <c r="F533" s="91">
        <f>D533*(($F$472)+1)+E533</f>
        <v>955.52566199999978</v>
      </c>
      <c r="G533" s="118" t="str">
        <f>G532</f>
        <v>8th &amp; 12th Floor ( Part Refuge Area)</v>
      </c>
      <c r="H533" s="118"/>
      <c r="I533" s="31"/>
      <c r="N533" s="2" t="str">
        <f ca="1">O533&amp;""&amp;" &amp; "&amp;""&amp;P533</f>
        <v>803 &amp; 1203</v>
      </c>
      <c r="O533" s="2">
        <f ca="1">O532+1</f>
        <v>803</v>
      </c>
      <c r="P533" s="2">
        <f ca="1">P532+1</f>
        <v>1203</v>
      </c>
    </row>
    <row r="534" spans="1:16" s="1" customFormat="1" x14ac:dyDescent="0.35">
      <c r="A534" s="134" t="s">
        <v>230</v>
      </c>
      <c r="B534" s="134"/>
      <c r="C534" s="134"/>
      <c r="D534" s="134"/>
      <c r="E534" s="134"/>
      <c r="F534" s="134"/>
      <c r="G534" s="134"/>
      <c r="H534" s="134"/>
    </row>
    <row r="535" spans="1:16" s="2" customFormat="1" x14ac:dyDescent="0.35">
      <c r="A535" s="119" t="s">
        <v>192</v>
      </c>
      <c r="B535" s="119"/>
      <c r="C535" s="119"/>
      <c r="D535" s="119"/>
      <c r="E535" s="119"/>
      <c r="F535" s="119"/>
      <c r="G535" s="119"/>
      <c r="H535" s="119"/>
      <c r="I535" s="31"/>
      <c r="L535" s="115"/>
      <c r="M535" s="115"/>
    </row>
    <row r="536" spans="1:16" s="2" customFormat="1" x14ac:dyDescent="0.35">
      <c r="A536" s="118">
        <f>LEFT(A535,SUM(LEN(A535)-LEN(SUBSTITUTE(A535,{"0","1","2","3","4","5","6","7","8","9"},""))))*100+1</f>
        <v>101</v>
      </c>
      <c r="B536" s="118"/>
      <c r="C536" s="91" t="s">
        <v>195</v>
      </c>
      <c r="D536" s="91">
        <f>(51.12+(0.6*(1.98+3.05))+2.13*0.75)*10.764</f>
        <v>599.93692199999987</v>
      </c>
      <c r="E536" s="91">
        <f>3.05*1.3*10.764</f>
        <v>42.679259999999999</v>
      </c>
      <c r="F536" s="91">
        <f>D536*(($F$472)+1)+E536</f>
        <v>942.5846429999998</v>
      </c>
      <c r="G536" s="118" t="str">
        <f>A535</f>
        <v>1st Floor</v>
      </c>
      <c r="H536" s="118"/>
      <c r="I536" s="31"/>
      <c r="N536" s="31"/>
    </row>
    <row r="537" spans="1:16" s="2" customFormat="1" x14ac:dyDescent="0.35">
      <c r="A537" s="118">
        <f>A536+1</f>
        <v>102</v>
      </c>
      <c r="B537" s="118"/>
      <c r="C537" s="91" t="s">
        <v>195</v>
      </c>
      <c r="D537" s="91">
        <f>(51.12+(0.6*(1.98+3.05))+2.13*0.75)*10.764</f>
        <v>599.93692199999987</v>
      </c>
      <c r="E537" s="91">
        <f>3.05*1.3*10.764</f>
        <v>42.679259999999999</v>
      </c>
      <c r="F537" s="91">
        <f>D537*(($F$472)+1)+E537</f>
        <v>942.5846429999998</v>
      </c>
      <c r="G537" s="118"/>
      <c r="H537" s="118"/>
      <c r="I537" s="36"/>
      <c r="N537" s="31"/>
    </row>
    <row r="538" spans="1:16" s="2" customFormat="1" x14ac:dyDescent="0.35">
      <c r="A538" s="118">
        <f>A537+1</f>
        <v>103</v>
      </c>
      <c r="B538" s="118"/>
      <c r="C538" s="91" t="s">
        <v>195</v>
      </c>
      <c r="D538" s="91">
        <f>53.22*10.764</f>
        <v>572.86007999999993</v>
      </c>
      <c r="E538" s="91">
        <f>18.19*10.764</f>
        <v>195.79715999999999</v>
      </c>
      <c r="F538" s="91">
        <f>D538*(($F$472)+1)+E538/2</f>
        <v>957.18869999999993</v>
      </c>
      <c r="G538" s="118"/>
      <c r="H538" s="118"/>
      <c r="I538" s="31"/>
      <c r="N538" s="31"/>
    </row>
    <row r="539" spans="1:16" s="2" customFormat="1" x14ac:dyDescent="0.35">
      <c r="A539" s="118">
        <f>A538+1</f>
        <v>104</v>
      </c>
      <c r="B539" s="118"/>
      <c r="C539" s="91" t="s">
        <v>195</v>
      </c>
      <c r="D539" s="91">
        <f>53.22*10.764</f>
        <v>572.86007999999993</v>
      </c>
      <c r="E539" s="91">
        <f>18.19*10.764</f>
        <v>195.79715999999999</v>
      </c>
      <c r="F539" s="91">
        <f>D539*(($F$472)+1)+E539/2</f>
        <v>957.18869999999993</v>
      </c>
      <c r="G539" s="118"/>
      <c r="H539" s="118"/>
      <c r="I539" s="31"/>
      <c r="N539" s="31"/>
    </row>
    <row r="540" spans="1:16" s="2" customFormat="1" ht="15.75" customHeight="1" x14ac:dyDescent="0.35">
      <c r="A540" s="119" t="s">
        <v>194</v>
      </c>
      <c r="B540" s="119"/>
      <c r="C540" s="119"/>
      <c r="D540" s="119"/>
      <c r="E540" s="119"/>
      <c r="F540" s="119"/>
      <c r="G540" s="119"/>
      <c r="H540" s="119"/>
      <c r="I540" s="31"/>
    </row>
    <row r="541" spans="1:16" s="2" customFormat="1" ht="15.75" customHeight="1" x14ac:dyDescent="0.35">
      <c r="A541" s="118" t="str">
        <f ca="1">N541</f>
        <v>201,..,1001</v>
      </c>
      <c r="B541" s="118"/>
      <c r="C541" s="91" t="s">
        <v>195</v>
      </c>
      <c r="D541" s="91">
        <f>(51.12+(0.6*(1.98+3.05))+2.13*0.75)*10.764</f>
        <v>599.93692199999987</v>
      </c>
      <c r="E541" s="91">
        <f>3.05*1.3*10.764</f>
        <v>42.679259999999999</v>
      </c>
      <c r="F541" s="91">
        <f>D541*(($F$472)+1)+E541</f>
        <v>942.5846429999998</v>
      </c>
      <c r="G541" s="118" t="str">
        <f>A540</f>
        <v>2nd, 4th, 6th, 10th Floor</v>
      </c>
      <c r="H541" s="118"/>
      <c r="I541" s="31"/>
      <c r="N541" s="2" t="str">
        <f ca="1">O541&amp;""&amp;",..,"&amp;""&amp;P541</f>
        <v>201,..,1001</v>
      </c>
      <c r="O541" s="2">
        <f ca="1">(SUMPRODUCT(MID(0&amp;(LEFT(A540,SUM(LEN(A540)-LEN(SUBSTITUTE(A540,{"0","1","2"},""))))), LARGE(INDEX(ISNUMBER(--MID((LEFT(A540,SUM(LEN(A540)-LEN(SUBSTITUTE(A540,{"0","1","2"},""))))), ROW(INDIRECT("1:"&amp;LEN((LEFT(A540,SUM(LEN(A540)-LEN(SUBSTITUTE(A540,{"0","1","2"},"")))))))), 1)) * ROW(INDIRECT("1:"&amp;LEN((LEFT(A540,SUM(LEN(A540)-LEN(SUBSTITUTE(A540,{"0","1","2"},"")))))))), 0), ROW(INDIRECT("1:"&amp;LEN((LEFT(A540,SUM(LEN(A540)-LEN(SUBSTITUTE(A540,{"0","1","2"},"")))))))))+1, 1) * 10^ROW(INDIRECT("1:"&amp;LEN((LEFT(A540,SUM(LEN(A540)-LEN(SUBSTITUTE(A540,{"0","1","2"},""))))))))/10))*100+1</f>
        <v>201</v>
      </c>
      <c r="P541" s="2">
        <f ca="1">(SUMPRODUCT(MID(0&amp;(--TRIM(RIGHT(SUBSTITUTE(LEFT(A540,_xlfn.AGGREGATE(16,6,FIND({0,1,2,3,4,5,6,7,8,9},A540,ROW(INDIRECT("1:"&amp;LEN(A540)))),1))," ",REPT(" ",LEN(A540))),LEN(A540)))), LARGE(INDEX(ISNUMBER(--MID((--TRIM(RIGHT(SUBSTITUTE(LEFT(A540,_xlfn.AGGREGATE(16,6,FIND({0,1,2,3,4,5,6,7,8,9},A540,ROW(INDIRECT("1:"&amp;LEN(A540)))),1))," ",REPT(" ",LEN(A540))),LEN(A540)))), ROW(INDIRECT("1:"&amp;LEN((--TRIM(RIGHT(SUBSTITUTE(LEFT(A540,_xlfn.AGGREGATE(16,6,FIND({0,1,2,3,4,5,6,7,8,9},A540,ROW(INDIRECT("1:"&amp;LEN(A540)))),1))," ",REPT(" ",LEN(A540))),LEN(A540))))))), 1)) * ROW(INDIRECT("1:"&amp;LEN((--TRIM(RIGHT(SUBSTITUTE(LEFT(A540,_xlfn.AGGREGATE(16,6,FIND({0,1,2,3,4,5,6,7,8,9},A540,ROW(INDIRECT("1:"&amp;LEN(A540)))),1))," ",REPT(" ",LEN(A540))),LEN(A540))))))), 0), ROW(INDIRECT("1:"&amp;LEN((--TRIM(RIGHT(SUBSTITUTE(LEFT(A540,_xlfn.AGGREGATE(16,6,FIND({0,1,2,3,4,5,6,7,8,9},A540,ROW(INDIRECT("1:"&amp;LEN(A540)))),1))," ",REPT(" ",LEN(A540))),LEN(A540))))))))+1, 1) * 10^ROW(INDIRECT("1:"&amp;LEN((--TRIM(RIGHT(SUBSTITUTE(LEFT(A540,_xlfn.AGGREGATE(16,6,FIND({0,1,2,3,4,5,6,7,8,9},A540,ROW(INDIRECT("1:"&amp;LEN(A540)))),1))," ",REPT(" ",LEN(A540))),LEN(A540)))))))/10))*100+1</f>
        <v>1001</v>
      </c>
    </row>
    <row r="542" spans="1:16" s="2" customFormat="1" ht="15.75" customHeight="1" x14ac:dyDescent="0.35">
      <c r="A542" s="118" t="str">
        <f ca="1">N542</f>
        <v>202,..,1002</v>
      </c>
      <c r="B542" s="118"/>
      <c r="C542" s="91" t="s">
        <v>195</v>
      </c>
      <c r="D542" s="91">
        <f>(51.12+(0.6*(1.98+3.05))+2.13*0.75)*10.764</f>
        <v>599.93692199999987</v>
      </c>
      <c r="E542" s="91">
        <f>3.05*1.3*10.764</f>
        <v>42.679259999999999</v>
      </c>
      <c r="F542" s="91">
        <f>D542*(($F$472)+1)+E542</f>
        <v>942.5846429999998</v>
      </c>
      <c r="G542" s="118"/>
      <c r="H542" s="118"/>
      <c r="I542" s="31"/>
      <c r="N542" s="2" t="str">
        <f ca="1">O542&amp;""&amp;",..,"&amp;""&amp;P542</f>
        <v>202,..,1002</v>
      </c>
      <c r="O542" s="2">
        <f t="shared" ref="O542:P544" ca="1" si="22">O541+1</f>
        <v>202</v>
      </c>
      <c r="P542" s="2">
        <f t="shared" ca="1" si="22"/>
        <v>1002</v>
      </c>
    </row>
    <row r="543" spans="1:16" s="2" customFormat="1" ht="15.75" customHeight="1" x14ac:dyDescent="0.35">
      <c r="A543" s="118" t="str">
        <f ca="1">N543</f>
        <v>203,..,1003</v>
      </c>
      <c r="B543" s="118"/>
      <c r="C543" s="91" t="s">
        <v>195</v>
      </c>
      <c r="D543" s="91">
        <f>(53.22+(0.6*(1.98+3.05))+2.13*0.75)*10.764</f>
        <v>622.54132199999992</v>
      </c>
      <c r="E543" s="91">
        <f>3.05*1.3*10.764</f>
        <v>42.679259999999999</v>
      </c>
      <c r="F543" s="91">
        <f>D543*(($F$472)+1)+E543</f>
        <v>976.49124299999983</v>
      </c>
      <c r="G543" s="118"/>
      <c r="H543" s="118"/>
      <c r="I543" s="31"/>
      <c r="N543" s="2" t="str">
        <f ca="1">O543&amp;""&amp;",..,"&amp;""&amp;P543</f>
        <v>203,..,1003</v>
      </c>
      <c r="O543" s="2">
        <f t="shared" ca="1" si="22"/>
        <v>203</v>
      </c>
      <c r="P543" s="2">
        <f t="shared" ca="1" si="22"/>
        <v>1003</v>
      </c>
    </row>
    <row r="544" spans="1:16" s="2" customFormat="1" ht="15.75" customHeight="1" x14ac:dyDescent="0.35">
      <c r="A544" s="118" t="str">
        <f ca="1">N544</f>
        <v>204,..,1004</v>
      </c>
      <c r="B544" s="118"/>
      <c r="C544" s="91" t="s">
        <v>195</v>
      </c>
      <c r="D544" s="91">
        <f>(53.22+(0.6*(1.98+3.05))+2.13*0.75)*10.764</f>
        <v>622.54132199999992</v>
      </c>
      <c r="E544" s="91">
        <f>3.05*1.3*10.764</f>
        <v>42.679259999999999</v>
      </c>
      <c r="F544" s="91">
        <f>D544*(($F$472)+1)+E544</f>
        <v>976.49124299999983</v>
      </c>
      <c r="G544" s="118"/>
      <c r="H544" s="118"/>
      <c r="I544" s="31"/>
      <c r="N544" s="2" t="str">
        <f ca="1">O544&amp;""&amp;",..,"&amp;""&amp;P544</f>
        <v>204,..,1004</v>
      </c>
      <c r="O544" s="2">
        <f t="shared" ca="1" si="22"/>
        <v>204</v>
      </c>
      <c r="P544" s="2">
        <f t="shared" ca="1" si="22"/>
        <v>1004</v>
      </c>
    </row>
    <row r="545" spans="1:16" s="2" customFormat="1" ht="15.75" customHeight="1" x14ac:dyDescent="0.35">
      <c r="A545" s="126" t="s">
        <v>193</v>
      </c>
      <c r="B545" s="127"/>
      <c r="C545" s="127"/>
      <c r="D545" s="127"/>
      <c r="E545" s="127"/>
      <c r="F545" s="127"/>
      <c r="G545" s="127"/>
      <c r="H545" s="128"/>
      <c r="I545" s="31"/>
    </row>
    <row r="546" spans="1:16" s="2" customFormat="1" ht="15.75" customHeight="1" x14ac:dyDescent="0.35">
      <c r="A546" s="116" t="str">
        <f ca="1">N546</f>
        <v>301,..,1301</v>
      </c>
      <c r="B546" s="117"/>
      <c r="C546" s="64" t="s">
        <v>195</v>
      </c>
      <c r="D546" s="64">
        <f>(51.12+(0.6*(1.98+3.05))+2.13*0.75)*10.764</f>
        <v>599.93692199999987</v>
      </c>
      <c r="E546" s="64">
        <f>3.05*1.3*10.764</f>
        <v>42.679259999999999</v>
      </c>
      <c r="F546" s="64">
        <f>D546*(($F$472)+1)+E546</f>
        <v>942.5846429999998</v>
      </c>
      <c r="G546" s="144" t="str">
        <f>A545</f>
        <v>3rd, 5th, 7th, 9th, 11th, 13th Floor</v>
      </c>
      <c r="H546" s="145"/>
      <c r="I546" s="31"/>
      <c r="N546" s="2" t="str">
        <f ca="1">O546&amp;""&amp;",..,"&amp;""&amp;P546</f>
        <v>301,..,1301</v>
      </c>
      <c r="O546" s="2">
        <f ca="1">(SUMPRODUCT(MID(0&amp;(LEFT(A545,SUM(LEN(A545)-LEN(SUBSTITUTE(A545,{"0","1","2"},""))))), LARGE(INDEX(ISNUMBER(--MID((LEFT(A545,SUM(LEN(A545)-LEN(SUBSTITUTE(A545,{"0","1","2"},""))))), ROW(INDIRECT("1:"&amp;LEN((LEFT(A545,SUM(LEN(A545)-LEN(SUBSTITUTE(A545,{"0","1","2"},"")))))))), 1)) * ROW(INDIRECT("1:"&amp;LEN((LEFT(A545,SUM(LEN(A545)-LEN(SUBSTITUTE(A545,{"0","1","2"},"")))))))), 0), ROW(INDIRECT("1:"&amp;LEN((LEFT(A545,SUM(LEN(A545)-LEN(SUBSTITUTE(A545,{"0","1","2"},"")))))))))+1, 1) * 10^ROW(INDIRECT("1:"&amp;LEN((LEFT(A545,SUM(LEN(A545)-LEN(SUBSTITUTE(A545,{"0","1","2"},""))))))))/10))*100+1</f>
        <v>301</v>
      </c>
      <c r="P546" s="2">
        <f ca="1">(SUMPRODUCT(MID(0&amp;(--TRIM(RIGHT(SUBSTITUTE(LEFT(A545,_xlfn.AGGREGATE(16,6,FIND({0,1,2,3,4,5,6,7,8,9},A545,ROW(INDIRECT("1:"&amp;LEN(A545)))),1))," ",REPT(" ",LEN(A545))),LEN(A545)))), LARGE(INDEX(ISNUMBER(--MID((--TRIM(RIGHT(SUBSTITUTE(LEFT(A545,_xlfn.AGGREGATE(16,6,FIND({0,1,2,3,4,5,6,7,8,9},A545,ROW(INDIRECT("1:"&amp;LEN(A545)))),1))," ",REPT(" ",LEN(A545))),LEN(A545)))), ROW(INDIRECT("1:"&amp;LEN((--TRIM(RIGHT(SUBSTITUTE(LEFT(A545,_xlfn.AGGREGATE(16,6,FIND({0,1,2,3,4,5,6,7,8,9},A545,ROW(INDIRECT("1:"&amp;LEN(A545)))),1))," ",REPT(" ",LEN(A545))),LEN(A545))))))), 1)) * ROW(INDIRECT("1:"&amp;LEN((--TRIM(RIGHT(SUBSTITUTE(LEFT(A545,_xlfn.AGGREGATE(16,6,FIND({0,1,2,3,4,5,6,7,8,9},A545,ROW(INDIRECT("1:"&amp;LEN(A545)))),1))," ",REPT(" ",LEN(A545))),LEN(A545))))))), 0), ROW(INDIRECT("1:"&amp;LEN((--TRIM(RIGHT(SUBSTITUTE(LEFT(A545,_xlfn.AGGREGATE(16,6,FIND({0,1,2,3,4,5,6,7,8,9},A545,ROW(INDIRECT("1:"&amp;LEN(A545)))),1))," ",REPT(" ",LEN(A545))),LEN(A545))))))))+1, 1) * 10^ROW(INDIRECT("1:"&amp;LEN((--TRIM(RIGHT(SUBSTITUTE(LEFT(A545,_xlfn.AGGREGATE(16,6,FIND({0,1,2,3,4,5,6,7,8,9},A545,ROW(INDIRECT("1:"&amp;LEN(A545)))),1))," ",REPT(" ",LEN(A545))),LEN(A545)))))))/10))*100+1</f>
        <v>1301</v>
      </c>
    </row>
    <row r="547" spans="1:16" s="2" customFormat="1" ht="15.75" customHeight="1" x14ac:dyDescent="0.35">
      <c r="A547" s="116" t="str">
        <f ca="1">N547</f>
        <v>302,..,1302</v>
      </c>
      <c r="B547" s="117"/>
      <c r="C547" s="64" t="s">
        <v>195</v>
      </c>
      <c r="D547" s="64">
        <f>(51.12+(0.6*(1.98+3.05))+2.13*0.75)*10.764</f>
        <v>599.93692199999987</v>
      </c>
      <c r="E547" s="64">
        <f>3.05*1.3*10.764</f>
        <v>42.679259999999999</v>
      </c>
      <c r="F547" s="64">
        <f>D547*(($F$472)+1)+E547</f>
        <v>942.5846429999998</v>
      </c>
      <c r="G547" s="146" t="str">
        <f>G546</f>
        <v>3rd, 5th, 7th, 9th, 11th, 13th Floor</v>
      </c>
      <c r="H547" s="147"/>
      <c r="I547" s="31"/>
      <c r="N547" s="2" t="str">
        <f ca="1">O547&amp;""&amp;",..,"&amp;""&amp;P547</f>
        <v>302,..,1302</v>
      </c>
      <c r="O547" s="2">
        <f t="shared" ref="O547:P549" ca="1" si="23">O546+1</f>
        <v>302</v>
      </c>
      <c r="P547" s="2">
        <f t="shared" ca="1" si="23"/>
        <v>1302</v>
      </c>
    </row>
    <row r="548" spans="1:16" s="2" customFormat="1" ht="15.75" customHeight="1" x14ac:dyDescent="0.35">
      <c r="A548" s="116" t="str">
        <f ca="1">N548</f>
        <v>303,..,1303</v>
      </c>
      <c r="B548" s="117"/>
      <c r="C548" s="64" t="s">
        <v>195</v>
      </c>
      <c r="D548" s="64">
        <f>(53.22+(0.6*(1.98+3.05))+2.13*0.75)*10.764</f>
        <v>622.54132199999992</v>
      </c>
      <c r="E548" s="64">
        <f>3.05*1.3*10.764</f>
        <v>42.679259999999999</v>
      </c>
      <c r="F548" s="64">
        <f>D548*(($F$472)+1)+E548</f>
        <v>976.49124299999983</v>
      </c>
      <c r="G548" s="146" t="str">
        <f>G547</f>
        <v>3rd, 5th, 7th, 9th, 11th, 13th Floor</v>
      </c>
      <c r="H548" s="147"/>
      <c r="I548" s="31"/>
      <c r="N548" s="2" t="str">
        <f ca="1">O548&amp;""&amp;",..,"&amp;""&amp;P548</f>
        <v>303,..,1303</v>
      </c>
      <c r="O548" s="2">
        <f t="shared" ca="1" si="23"/>
        <v>303</v>
      </c>
      <c r="P548" s="2">
        <f t="shared" ca="1" si="23"/>
        <v>1303</v>
      </c>
    </row>
    <row r="549" spans="1:16" s="2" customFormat="1" ht="15.75" customHeight="1" x14ac:dyDescent="0.35">
      <c r="A549" s="116" t="str">
        <f ca="1">N549</f>
        <v>304,..,1304</v>
      </c>
      <c r="B549" s="117"/>
      <c r="C549" s="64" t="s">
        <v>195</v>
      </c>
      <c r="D549" s="64">
        <f>(53.22+(0.6*(1.98+3.05))+2.13*0.75)*10.764</f>
        <v>622.54132199999992</v>
      </c>
      <c r="E549" s="64">
        <f>3.05*1.3*10.764</f>
        <v>42.679259999999999</v>
      </c>
      <c r="F549" s="64">
        <f>D549*(($F$472)+1)+E549</f>
        <v>976.49124299999983</v>
      </c>
      <c r="G549" s="148" t="str">
        <f>G548</f>
        <v>3rd, 5th, 7th, 9th, 11th, 13th Floor</v>
      </c>
      <c r="H549" s="149"/>
      <c r="I549" s="31"/>
      <c r="N549" s="2" t="str">
        <f ca="1">O549&amp;""&amp;",..,"&amp;""&amp;P549</f>
        <v>304,..,1304</v>
      </c>
      <c r="O549" s="2">
        <f t="shared" ca="1" si="23"/>
        <v>304</v>
      </c>
      <c r="P549" s="2">
        <f t="shared" ca="1" si="23"/>
        <v>1304</v>
      </c>
    </row>
    <row r="550" spans="1:16" s="2" customFormat="1" x14ac:dyDescent="0.35">
      <c r="A550" s="126" t="s">
        <v>217</v>
      </c>
      <c r="B550" s="127"/>
      <c r="C550" s="127"/>
      <c r="D550" s="127"/>
      <c r="E550" s="127"/>
      <c r="F550" s="127"/>
      <c r="G550" s="127"/>
      <c r="H550" s="128"/>
      <c r="I550" s="31"/>
    </row>
    <row r="551" spans="1:16" s="2" customFormat="1" ht="15.75" customHeight="1" x14ac:dyDescent="0.35">
      <c r="A551" s="116" t="str">
        <f ca="1">N551</f>
        <v>801 &amp; 1201</v>
      </c>
      <c r="B551" s="117"/>
      <c r="C551" s="64" t="s">
        <v>195</v>
      </c>
      <c r="D551" s="64">
        <f>(51.12+(0.6*(1.98+3.05))+2.13*0.75+1.5*3.05)*10.764</f>
        <v>649.18222199999991</v>
      </c>
      <c r="E551" s="64">
        <f>3.05*1.3*10.764</f>
        <v>42.679259999999999</v>
      </c>
      <c r="F551" s="64">
        <f>D551*(($F$472)+1)+E551</f>
        <v>1016.4525929999999</v>
      </c>
      <c r="G551" s="144" t="str">
        <f>A550</f>
        <v>8th &amp; 12th Floor (Part Refuge Area)</v>
      </c>
      <c r="H551" s="145"/>
      <c r="I551" s="31"/>
      <c r="N551" s="2" t="str">
        <f ca="1">O551&amp;""&amp;" &amp; "&amp;""&amp;P551</f>
        <v>801 &amp; 1201</v>
      </c>
      <c r="O551" s="2">
        <f ca="1">(SUMPRODUCT(MID(0&amp;(LEFT(A550,SUM(LEN(A550)-LEN(SUBSTITUTE(A550,{"0","1","2"},""))))), LARGE(INDEX(ISNUMBER(--MID((LEFT(A550,SUM(LEN(A550)-LEN(SUBSTITUTE(A550,{"0","1","2"},""))))), ROW(INDIRECT("1:"&amp;LEN((LEFT(A550,SUM(LEN(A550)-LEN(SUBSTITUTE(A550,{"0","1","2"},"")))))))), 1)) * ROW(INDIRECT("1:"&amp;LEN((LEFT(A550,SUM(LEN(A550)-LEN(SUBSTITUTE(A550,{"0","1","2"},"")))))))), 0), ROW(INDIRECT("1:"&amp;LEN((LEFT(A550,SUM(LEN(A550)-LEN(SUBSTITUTE(A550,{"0","1","2"},"")))))))))+1, 1) * 10^ROW(INDIRECT("1:"&amp;LEN((LEFT(A550,SUM(LEN(A550)-LEN(SUBSTITUTE(A550,{"0","1","2"},""))))))))/10))*100+1</f>
        <v>801</v>
      </c>
      <c r="P551" s="2">
        <f ca="1">(SUMPRODUCT(MID(0&amp;(--TRIM(RIGHT(SUBSTITUTE(LEFT(A550,_xlfn.AGGREGATE(16,6,FIND({0,1,2,3,4,5,6,7,8,9},A550,ROW(INDIRECT("1:"&amp;LEN(A550)))),1))," ",REPT(" ",LEN(A550))),LEN(A550)))), LARGE(INDEX(ISNUMBER(--MID((--TRIM(RIGHT(SUBSTITUTE(LEFT(A550,_xlfn.AGGREGATE(16,6,FIND({0,1,2,3,4,5,6,7,8,9},A550,ROW(INDIRECT("1:"&amp;LEN(A550)))),1))," ",REPT(" ",LEN(A550))),LEN(A550)))), ROW(INDIRECT("1:"&amp;LEN((--TRIM(RIGHT(SUBSTITUTE(LEFT(A550,_xlfn.AGGREGATE(16,6,FIND({0,1,2,3,4,5,6,7,8,9},A550,ROW(INDIRECT("1:"&amp;LEN(A550)))),1))," ",REPT(" ",LEN(A550))),LEN(A550))))))), 1)) * ROW(INDIRECT("1:"&amp;LEN((--TRIM(RIGHT(SUBSTITUTE(LEFT(A550,_xlfn.AGGREGATE(16,6,FIND({0,1,2,3,4,5,6,7,8,9},A550,ROW(INDIRECT("1:"&amp;LEN(A550)))),1))," ",REPT(" ",LEN(A550))),LEN(A550))))))), 0), ROW(INDIRECT("1:"&amp;LEN((--TRIM(RIGHT(SUBSTITUTE(LEFT(A550,_xlfn.AGGREGATE(16,6,FIND({0,1,2,3,4,5,6,7,8,9},A550,ROW(INDIRECT("1:"&amp;LEN(A550)))),1))," ",REPT(" ",LEN(A550))),LEN(A550))))))))+1, 1) * 10^ROW(INDIRECT("1:"&amp;LEN((--TRIM(RIGHT(SUBSTITUTE(LEFT(A550,_xlfn.AGGREGATE(16,6,FIND({0,1,2,3,4,5,6,7,8,9},A550,ROW(INDIRECT("1:"&amp;LEN(A550)))),1))," ",REPT(" ",LEN(A550))),LEN(A550)))))))/10))*100+1</f>
        <v>1201</v>
      </c>
    </row>
    <row r="552" spans="1:16" s="2" customFormat="1" ht="15.75" customHeight="1" x14ac:dyDescent="0.35">
      <c r="A552" s="116" t="str">
        <f ca="1">N552</f>
        <v>802 &amp; 1202</v>
      </c>
      <c r="B552" s="117"/>
      <c r="C552" s="64" t="s">
        <v>195</v>
      </c>
      <c r="D552" s="64">
        <f>(51.12+(0.6*(1.98+3.05))+2.13*0.75+1.5*3.05)*10.764</f>
        <v>649.18222199999991</v>
      </c>
      <c r="E552" s="64">
        <f>3.05*1.3*10.764</f>
        <v>42.679259999999999</v>
      </c>
      <c r="F552" s="64">
        <f>D552*(($F$472)+1)+E552</f>
        <v>1016.4525929999999</v>
      </c>
      <c r="G552" s="146" t="str">
        <f>G551</f>
        <v>8th &amp; 12th Floor (Part Refuge Area)</v>
      </c>
      <c r="H552" s="147"/>
      <c r="I552" s="31"/>
      <c r="N552" s="2" t="str">
        <f ca="1">O552&amp;""&amp;" &amp; "&amp;""&amp;P552</f>
        <v>802 &amp; 1202</v>
      </c>
      <c r="O552" s="2">
        <f ca="1">O551+1</f>
        <v>802</v>
      </c>
      <c r="P552" s="2">
        <f ca="1">P551+1</f>
        <v>1202</v>
      </c>
    </row>
    <row r="553" spans="1:16" s="2" customFormat="1" ht="15.75" customHeight="1" x14ac:dyDescent="0.35">
      <c r="A553" s="116" t="str">
        <f ca="1">N553</f>
        <v>803 &amp; 1203</v>
      </c>
      <c r="B553" s="117"/>
      <c r="C553" s="64" t="s">
        <v>195</v>
      </c>
      <c r="D553" s="64">
        <f>(55.04+(0.6*(1.98+3.05))+2.13*0.75+1.5*3.05)*10.764</f>
        <v>691.37710199999992</v>
      </c>
      <c r="E553" s="64">
        <f>3.05*1.3*10.764</f>
        <v>42.679259999999999</v>
      </c>
      <c r="F553" s="64">
        <f>D553*(($F$472)+1)+E553</f>
        <v>1079.744913</v>
      </c>
      <c r="G553" s="146" t="str">
        <f>G552</f>
        <v>8th &amp; 12th Floor (Part Refuge Area)</v>
      </c>
      <c r="H553" s="147"/>
      <c r="I553" s="31"/>
      <c r="N553" s="2" t="str">
        <f ca="1">O553&amp;""&amp;" &amp; "&amp;""&amp;P553</f>
        <v>803 &amp; 1203</v>
      </c>
      <c r="O553" s="2">
        <f ca="1">O552+1</f>
        <v>803</v>
      </c>
      <c r="P553" s="2">
        <f ca="1">P552+1</f>
        <v>1203</v>
      </c>
    </row>
    <row r="554" spans="1:16" s="2" customFormat="1" x14ac:dyDescent="0.35">
      <c r="A554" s="119" t="s">
        <v>218</v>
      </c>
      <c r="B554" s="119"/>
      <c r="C554" s="119"/>
      <c r="D554" s="119"/>
      <c r="E554" s="119"/>
      <c r="F554" s="119"/>
      <c r="G554" s="119"/>
      <c r="H554" s="119"/>
      <c r="I554" s="31"/>
      <c r="L554" s="115"/>
      <c r="M554" s="115"/>
    </row>
    <row r="555" spans="1:16" s="2" customFormat="1" ht="15.75" customHeight="1" x14ac:dyDescent="0.35">
      <c r="A555" s="118">
        <f>LEFT(A554,SUM(LEN(A554)-LEN(SUBSTITUTE(A554,{"0","1","2","3","4","5","6","7","8","9"},""))))*100+1</f>
        <v>1401</v>
      </c>
      <c r="B555" s="118"/>
      <c r="C555" s="65" t="s">
        <v>195</v>
      </c>
      <c r="D555" s="64">
        <f>(51.12+(0.6*(1.98+3.05))+2.13*0.75)*10.764</f>
        <v>599.93692199999987</v>
      </c>
      <c r="E555" s="64">
        <f>3.05*1.3*10.764</f>
        <v>42.679259999999999</v>
      </c>
      <c r="F555" s="64">
        <f>D555*(($F$472)+1)+E555</f>
        <v>942.5846429999998</v>
      </c>
      <c r="G555" s="144" t="str">
        <f>A554</f>
        <v>14th Floor (Part Terrace Area)</v>
      </c>
      <c r="H555" s="145"/>
      <c r="I555" s="31"/>
      <c r="N555" s="31"/>
    </row>
    <row r="556" spans="1:16" s="2" customFormat="1" ht="15.75" customHeight="1" x14ac:dyDescent="0.35">
      <c r="A556" s="118">
        <f>A555+1</f>
        <v>1402</v>
      </c>
      <c r="B556" s="116"/>
      <c r="C556" s="118" t="s">
        <v>80</v>
      </c>
      <c r="D556" s="118"/>
      <c r="E556" s="118"/>
      <c r="F556" s="118"/>
      <c r="G556" s="146"/>
      <c r="H556" s="147"/>
      <c r="I556" s="31"/>
      <c r="N556" s="31"/>
    </row>
    <row r="557" spans="1:16" s="2" customFormat="1" ht="15.75" customHeight="1" x14ac:dyDescent="0.35">
      <c r="A557" s="118">
        <f>A556+1</f>
        <v>1403</v>
      </c>
      <c r="B557" s="118"/>
      <c r="C557" s="66" t="s">
        <v>195</v>
      </c>
      <c r="D557" s="64">
        <f>(53.22+(0.6*(1.98+3.05))+2.13*0.75)*10.764</f>
        <v>622.54132199999992</v>
      </c>
      <c r="E557" s="64">
        <f>3.05*1.3*10.764</f>
        <v>42.679259999999999</v>
      </c>
      <c r="F557" s="64">
        <f>D557*(($F$472)+1)+E557</f>
        <v>976.49124299999983</v>
      </c>
      <c r="G557" s="146"/>
      <c r="H557" s="147"/>
      <c r="I557" s="31"/>
      <c r="N557" s="31"/>
    </row>
    <row r="558" spans="1:16" s="2" customFormat="1" ht="15.75" customHeight="1" x14ac:dyDescent="0.35">
      <c r="A558" s="118">
        <f>A557+1</f>
        <v>1404</v>
      </c>
      <c r="B558" s="118"/>
      <c r="C558" s="64" t="s">
        <v>195</v>
      </c>
      <c r="D558" s="64">
        <f>(53.22+(0.6*(1.98+3.05))+2.13*0.75)*10.764</f>
        <v>622.54132199999992</v>
      </c>
      <c r="E558" s="64">
        <f>3.05*1.3*10.764</f>
        <v>42.679259999999999</v>
      </c>
      <c r="F558" s="64">
        <f>D558*(($F$472)+1)+E558</f>
        <v>976.49124299999983</v>
      </c>
      <c r="G558" s="148"/>
      <c r="H558" s="149"/>
      <c r="I558" s="31"/>
      <c r="N558" s="31"/>
    </row>
    <row r="559" spans="1:16" s="1" customFormat="1" x14ac:dyDescent="0.35">
      <c r="A559" s="134" t="s">
        <v>231</v>
      </c>
      <c r="B559" s="134"/>
      <c r="C559" s="134"/>
      <c r="D559" s="134"/>
      <c r="E559" s="134"/>
      <c r="F559" s="134"/>
      <c r="G559" s="134"/>
      <c r="H559" s="134"/>
    </row>
    <row r="560" spans="1:16" s="2" customFormat="1" x14ac:dyDescent="0.35">
      <c r="A560" s="119" t="s">
        <v>192</v>
      </c>
      <c r="B560" s="119"/>
      <c r="C560" s="119"/>
      <c r="D560" s="119"/>
      <c r="E560" s="119"/>
      <c r="F560" s="119"/>
      <c r="G560" s="119"/>
      <c r="H560" s="119"/>
      <c r="I560" s="31"/>
      <c r="L560" s="115"/>
      <c r="M560" s="115"/>
    </row>
    <row r="561" spans="1:16" s="2" customFormat="1" x14ac:dyDescent="0.35">
      <c r="A561" s="118">
        <f>LEFT(A560,SUM(LEN(A560)-LEN(SUBSTITUTE(A560,{"0","1","2","3","4","5","6","7","8","9"},""))))*100+1</f>
        <v>101</v>
      </c>
      <c r="B561" s="118"/>
      <c r="C561" s="64" t="s">
        <v>195</v>
      </c>
      <c r="D561" s="64">
        <f>(51.12+(0.6*(1.98+3.05))+2.13*0.75)*10.764</f>
        <v>599.93692199999987</v>
      </c>
      <c r="E561" s="64">
        <f>3.05*1.3*10.764</f>
        <v>42.679259999999999</v>
      </c>
      <c r="F561" s="64">
        <f>D561*(($F$472)+1)+E561</f>
        <v>942.5846429999998</v>
      </c>
      <c r="G561" s="144" t="str">
        <f>A560</f>
        <v>1st Floor</v>
      </c>
      <c r="H561" s="145"/>
      <c r="I561" s="31"/>
      <c r="N561" s="31"/>
    </row>
    <row r="562" spans="1:16" s="2" customFormat="1" x14ac:dyDescent="0.35">
      <c r="A562" s="118">
        <f>A561+1</f>
        <v>102</v>
      </c>
      <c r="B562" s="118"/>
      <c r="C562" s="64" t="s">
        <v>195</v>
      </c>
      <c r="D562" s="64">
        <f>(51.12+(0.6*(1.98+3.05))+2.13*0.75)*10.764</f>
        <v>599.93692199999987</v>
      </c>
      <c r="E562" s="64">
        <f>3.05*1.3*10.764</f>
        <v>42.679259999999999</v>
      </c>
      <c r="F562" s="64">
        <f>D562*(($F$472)+1)+E562</f>
        <v>942.5846429999998</v>
      </c>
      <c r="G562" s="146"/>
      <c r="H562" s="147"/>
      <c r="I562" s="36"/>
      <c r="N562" s="31"/>
    </row>
    <row r="563" spans="1:16" s="2" customFormat="1" x14ac:dyDescent="0.35">
      <c r="A563" s="118">
        <f>A562+1</f>
        <v>103</v>
      </c>
      <c r="B563" s="118"/>
      <c r="C563" s="64" t="s">
        <v>195</v>
      </c>
      <c r="D563" s="64">
        <f>55.04*10.764</f>
        <v>592.45056</v>
      </c>
      <c r="E563" s="64">
        <f>18.19*10.764</f>
        <v>195.79715999999999</v>
      </c>
      <c r="F563" s="64">
        <f>D563*(($F$472)+1)+E563/2</f>
        <v>986.57442000000003</v>
      </c>
      <c r="G563" s="146"/>
      <c r="H563" s="147"/>
      <c r="I563" s="31"/>
      <c r="N563" s="31"/>
    </row>
    <row r="564" spans="1:16" s="2" customFormat="1" x14ac:dyDescent="0.35">
      <c r="A564" s="118">
        <f>A563+1</f>
        <v>104</v>
      </c>
      <c r="B564" s="118"/>
      <c r="C564" s="64" t="s">
        <v>195</v>
      </c>
      <c r="D564" s="64">
        <f>55.04*10.764</f>
        <v>592.45056</v>
      </c>
      <c r="E564" s="64">
        <f>18.19*10.764</f>
        <v>195.79715999999999</v>
      </c>
      <c r="F564" s="64">
        <f>D564*(($F$472)+1)+E564/2</f>
        <v>986.57442000000003</v>
      </c>
      <c r="G564" s="148"/>
      <c r="H564" s="149"/>
      <c r="I564" s="31"/>
      <c r="N564" s="31"/>
    </row>
    <row r="565" spans="1:16" s="2" customFormat="1" ht="15.75" customHeight="1" x14ac:dyDescent="0.35">
      <c r="A565" s="126" t="s">
        <v>194</v>
      </c>
      <c r="B565" s="127"/>
      <c r="C565" s="127"/>
      <c r="D565" s="127"/>
      <c r="E565" s="127"/>
      <c r="F565" s="127"/>
      <c r="G565" s="127"/>
      <c r="H565" s="128"/>
      <c r="I565" s="31"/>
    </row>
    <row r="566" spans="1:16" s="2" customFormat="1" ht="15.75" customHeight="1" x14ac:dyDescent="0.35">
      <c r="A566" s="116" t="str">
        <f ca="1">N566</f>
        <v>201,..,1001</v>
      </c>
      <c r="B566" s="117"/>
      <c r="C566" s="64" t="s">
        <v>195</v>
      </c>
      <c r="D566" s="64">
        <f>(51.12+(0.6*(1.98+3.05))+2.13*0.75)*10.764</f>
        <v>599.93692199999987</v>
      </c>
      <c r="E566" s="64">
        <f>3.05*1.3*10.764</f>
        <v>42.679259999999999</v>
      </c>
      <c r="F566" s="64">
        <f>D566*(($F$472)+1)+E566</f>
        <v>942.5846429999998</v>
      </c>
      <c r="G566" s="144" t="str">
        <f>A565</f>
        <v>2nd, 4th, 6th, 10th Floor</v>
      </c>
      <c r="H566" s="145"/>
      <c r="I566" s="31"/>
      <c r="N566" s="2" t="str">
        <f ca="1">O566&amp;""&amp;",..,"&amp;""&amp;P566</f>
        <v>201,..,1001</v>
      </c>
      <c r="O566" s="2">
        <f ca="1">(SUMPRODUCT(MID(0&amp;(LEFT(A565,SUM(LEN(A565)-LEN(SUBSTITUTE(A565,{"0","1","2"},""))))), LARGE(INDEX(ISNUMBER(--MID((LEFT(A565,SUM(LEN(A565)-LEN(SUBSTITUTE(A565,{"0","1","2"},""))))), ROW(INDIRECT("1:"&amp;LEN((LEFT(A565,SUM(LEN(A565)-LEN(SUBSTITUTE(A565,{"0","1","2"},"")))))))), 1)) * ROW(INDIRECT("1:"&amp;LEN((LEFT(A565,SUM(LEN(A565)-LEN(SUBSTITUTE(A565,{"0","1","2"},"")))))))), 0), ROW(INDIRECT("1:"&amp;LEN((LEFT(A565,SUM(LEN(A565)-LEN(SUBSTITUTE(A565,{"0","1","2"},"")))))))))+1, 1) * 10^ROW(INDIRECT("1:"&amp;LEN((LEFT(A565,SUM(LEN(A565)-LEN(SUBSTITUTE(A565,{"0","1","2"},""))))))))/10))*100+1</f>
        <v>201</v>
      </c>
      <c r="P566" s="2">
        <f ca="1">(SUMPRODUCT(MID(0&amp;(--TRIM(RIGHT(SUBSTITUTE(LEFT(A565,_xlfn.AGGREGATE(16,6,FIND({0,1,2,3,4,5,6,7,8,9},A565,ROW(INDIRECT("1:"&amp;LEN(A565)))),1))," ",REPT(" ",LEN(A565))),LEN(A565)))), LARGE(INDEX(ISNUMBER(--MID((--TRIM(RIGHT(SUBSTITUTE(LEFT(A565,_xlfn.AGGREGATE(16,6,FIND({0,1,2,3,4,5,6,7,8,9},A565,ROW(INDIRECT("1:"&amp;LEN(A565)))),1))," ",REPT(" ",LEN(A565))),LEN(A565)))), ROW(INDIRECT("1:"&amp;LEN((--TRIM(RIGHT(SUBSTITUTE(LEFT(A565,_xlfn.AGGREGATE(16,6,FIND({0,1,2,3,4,5,6,7,8,9},A565,ROW(INDIRECT("1:"&amp;LEN(A565)))),1))," ",REPT(" ",LEN(A565))),LEN(A565))))))), 1)) * ROW(INDIRECT("1:"&amp;LEN((--TRIM(RIGHT(SUBSTITUTE(LEFT(A565,_xlfn.AGGREGATE(16,6,FIND({0,1,2,3,4,5,6,7,8,9},A565,ROW(INDIRECT("1:"&amp;LEN(A565)))),1))," ",REPT(" ",LEN(A565))),LEN(A565))))))), 0), ROW(INDIRECT("1:"&amp;LEN((--TRIM(RIGHT(SUBSTITUTE(LEFT(A565,_xlfn.AGGREGATE(16,6,FIND({0,1,2,3,4,5,6,7,8,9},A565,ROW(INDIRECT("1:"&amp;LEN(A565)))),1))," ",REPT(" ",LEN(A565))),LEN(A565))))))))+1, 1) * 10^ROW(INDIRECT("1:"&amp;LEN((--TRIM(RIGHT(SUBSTITUTE(LEFT(A565,_xlfn.AGGREGATE(16,6,FIND({0,1,2,3,4,5,6,7,8,9},A565,ROW(INDIRECT("1:"&amp;LEN(A565)))),1))," ",REPT(" ",LEN(A565))),LEN(A565)))))))/10))*100+1</f>
        <v>1001</v>
      </c>
    </row>
    <row r="567" spans="1:16" s="2" customFormat="1" ht="15.75" customHeight="1" x14ac:dyDescent="0.35">
      <c r="A567" s="116" t="str">
        <f ca="1">N567</f>
        <v>202,..,1002</v>
      </c>
      <c r="B567" s="117"/>
      <c r="C567" s="64" t="s">
        <v>195</v>
      </c>
      <c r="D567" s="64">
        <f>(51.12+(0.6*(1.98+3.05))+2.13*0.75)*10.764</f>
        <v>599.93692199999987</v>
      </c>
      <c r="E567" s="64">
        <f>3.05*1.3*10.764</f>
        <v>42.679259999999999</v>
      </c>
      <c r="F567" s="64">
        <f>D567*(($F$472)+1)+E567</f>
        <v>942.5846429999998</v>
      </c>
      <c r="G567" s="146"/>
      <c r="H567" s="147"/>
      <c r="I567" s="31"/>
      <c r="N567" s="2" t="str">
        <f ca="1">O567&amp;""&amp;",..,"&amp;""&amp;P567</f>
        <v>202,..,1002</v>
      </c>
      <c r="O567" s="2">
        <f t="shared" ref="O567:P569" ca="1" si="24">O566+1</f>
        <v>202</v>
      </c>
      <c r="P567" s="2">
        <f t="shared" ca="1" si="24"/>
        <v>1002</v>
      </c>
    </row>
    <row r="568" spans="1:16" s="2" customFormat="1" ht="15.75" customHeight="1" x14ac:dyDescent="0.35">
      <c r="A568" s="116" t="str">
        <f ca="1">N568</f>
        <v>203,..,1003</v>
      </c>
      <c r="B568" s="117"/>
      <c r="C568" s="64" t="s">
        <v>195</v>
      </c>
      <c r="D568" s="64">
        <f>(53.22+(0.6*(1.98+3.05))+2.13*0.75)*10.764</f>
        <v>622.54132199999992</v>
      </c>
      <c r="E568" s="64">
        <f>3.05*1.3*10.764</f>
        <v>42.679259999999999</v>
      </c>
      <c r="F568" s="64">
        <f>D568*(($F$472)+1)+E568</f>
        <v>976.49124299999983</v>
      </c>
      <c r="G568" s="146"/>
      <c r="H568" s="147"/>
      <c r="I568" s="31"/>
      <c r="N568" s="2" t="str">
        <f ca="1">O568&amp;""&amp;",..,"&amp;""&amp;P568</f>
        <v>203,..,1003</v>
      </c>
      <c r="O568" s="2">
        <f t="shared" ca="1" si="24"/>
        <v>203</v>
      </c>
      <c r="P568" s="2">
        <f t="shared" ca="1" si="24"/>
        <v>1003</v>
      </c>
    </row>
    <row r="569" spans="1:16" s="2" customFormat="1" ht="15.75" customHeight="1" x14ac:dyDescent="0.35">
      <c r="A569" s="116" t="str">
        <f ca="1">N569</f>
        <v>204,..,1004</v>
      </c>
      <c r="B569" s="117"/>
      <c r="C569" s="64" t="s">
        <v>195</v>
      </c>
      <c r="D569" s="64">
        <f>(53.22+(0.6*(1.98+3.05))+2.13*0.75)*10.764</f>
        <v>622.54132199999992</v>
      </c>
      <c r="E569" s="64">
        <f>3.05*1.3*10.764</f>
        <v>42.679259999999999</v>
      </c>
      <c r="F569" s="64">
        <f>D569*(($F$472)+1)+E569</f>
        <v>976.49124299999983</v>
      </c>
      <c r="G569" s="148"/>
      <c r="H569" s="149"/>
      <c r="I569" s="31"/>
      <c r="N569" s="2" t="str">
        <f ca="1">O569&amp;""&amp;",..,"&amp;""&amp;P569</f>
        <v>204,..,1004</v>
      </c>
      <c r="O569" s="2">
        <f t="shared" ca="1" si="24"/>
        <v>204</v>
      </c>
      <c r="P569" s="2">
        <f t="shared" ca="1" si="24"/>
        <v>1004</v>
      </c>
    </row>
    <row r="570" spans="1:16" s="2" customFormat="1" ht="15.75" customHeight="1" x14ac:dyDescent="0.35">
      <c r="A570" s="126" t="s">
        <v>193</v>
      </c>
      <c r="B570" s="127"/>
      <c r="C570" s="127"/>
      <c r="D570" s="127"/>
      <c r="E570" s="127"/>
      <c r="F570" s="127"/>
      <c r="G570" s="127"/>
      <c r="H570" s="128"/>
      <c r="I570" s="31"/>
    </row>
    <row r="571" spans="1:16" s="2" customFormat="1" x14ac:dyDescent="0.35">
      <c r="A571" s="116" t="str">
        <f ca="1">N571</f>
        <v>301,..,1301</v>
      </c>
      <c r="B571" s="117"/>
      <c r="C571" s="64" t="s">
        <v>195</v>
      </c>
      <c r="D571" s="64">
        <f>(51.12+(0.6*(1.98+3.05))+2.13*0.75)*10.764</f>
        <v>599.93692199999987</v>
      </c>
      <c r="E571" s="64">
        <f>3.05*1.3*10.764</f>
        <v>42.679259999999999</v>
      </c>
      <c r="F571" s="64">
        <f>D571*(($F$472)+1)+E571</f>
        <v>942.5846429999998</v>
      </c>
      <c r="G571" s="144" t="str">
        <f>A570</f>
        <v>3rd, 5th, 7th, 9th, 11th, 13th Floor</v>
      </c>
      <c r="H571" s="145"/>
      <c r="I571" s="31"/>
      <c r="N571" s="2" t="str">
        <f ca="1">O571&amp;""&amp;",..,"&amp;""&amp;P571</f>
        <v>301,..,1301</v>
      </c>
      <c r="O571" s="2">
        <f ca="1">(SUMPRODUCT(MID(0&amp;(LEFT(A570,SUM(LEN(A570)-LEN(SUBSTITUTE(A570,{"0","1","2"},""))))), LARGE(INDEX(ISNUMBER(--MID((LEFT(A570,SUM(LEN(A570)-LEN(SUBSTITUTE(A570,{"0","1","2"},""))))), ROW(INDIRECT("1:"&amp;LEN((LEFT(A570,SUM(LEN(A570)-LEN(SUBSTITUTE(A570,{"0","1","2"},"")))))))), 1)) * ROW(INDIRECT("1:"&amp;LEN((LEFT(A570,SUM(LEN(A570)-LEN(SUBSTITUTE(A570,{"0","1","2"},"")))))))), 0), ROW(INDIRECT("1:"&amp;LEN((LEFT(A570,SUM(LEN(A570)-LEN(SUBSTITUTE(A570,{"0","1","2"},"")))))))))+1, 1) * 10^ROW(INDIRECT("1:"&amp;LEN((LEFT(A570,SUM(LEN(A570)-LEN(SUBSTITUTE(A570,{"0","1","2"},""))))))))/10))*100+1</f>
        <v>301</v>
      </c>
      <c r="P571" s="2">
        <f ca="1">(SUMPRODUCT(MID(0&amp;(--TRIM(RIGHT(SUBSTITUTE(LEFT(A570,_xlfn.AGGREGATE(16,6,FIND({0,1,2,3,4,5,6,7,8,9},A570,ROW(INDIRECT("1:"&amp;LEN(A570)))),1))," ",REPT(" ",LEN(A570))),LEN(A570)))), LARGE(INDEX(ISNUMBER(--MID((--TRIM(RIGHT(SUBSTITUTE(LEFT(A570,_xlfn.AGGREGATE(16,6,FIND({0,1,2,3,4,5,6,7,8,9},A570,ROW(INDIRECT("1:"&amp;LEN(A570)))),1))," ",REPT(" ",LEN(A570))),LEN(A570)))), ROW(INDIRECT("1:"&amp;LEN((--TRIM(RIGHT(SUBSTITUTE(LEFT(A570,_xlfn.AGGREGATE(16,6,FIND({0,1,2,3,4,5,6,7,8,9},A570,ROW(INDIRECT("1:"&amp;LEN(A570)))),1))," ",REPT(" ",LEN(A570))),LEN(A570))))))), 1)) * ROW(INDIRECT("1:"&amp;LEN((--TRIM(RIGHT(SUBSTITUTE(LEFT(A570,_xlfn.AGGREGATE(16,6,FIND({0,1,2,3,4,5,6,7,8,9},A570,ROW(INDIRECT("1:"&amp;LEN(A570)))),1))," ",REPT(" ",LEN(A570))),LEN(A570))))))), 0), ROW(INDIRECT("1:"&amp;LEN((--TRIM(RIGHT(SUBSTITUTE(LEFT(A570,_xlfn.AGGREGATE(16,6,FIND({0,1,2,3,4,5,6,7,8,9},A570,ROW(INDIRECT("1:"&amp;LEN(A570)))),1))," ",REPT(" ",LEN(A570))),LEN(A570))))))))+1, 1) * 10^ROW(INDIRECT("1:"&amp;LEN((--TRIM(RIGHT(SUBSTITUTE(LEFT(A570,_xlfn.AGGREGATE(16,6,FIND({0,1,2,3,4,5,6,7,8,9},A570,ROW(INDIRECT("1:"&amp;LEN(A570)))),1))," ",REPT(" ",LEN(A570))),LEN(A570)))))))/10))*100+1</f>
        <v>1301</v>
      </c>
    </row>
    <row r="572" spans="1:16" s="2" customFormat="1" x14ac:dyDescent="0.35">
      <c r="A572" s="116" t="str">
        <f ca="1">N572</f>
        <v>302,..,1302</v>
      </c>
      <c r="B572" s="117"/>
      <c r="C572" s="64" t="s">
        <v>195</v>
      </c>
      <c r="D572" s="64">
        <f>(51.12+(0.6*(1.98+3.05))+2.13*0.75)*10.764</f>
        <v>599.93692199999987</v>
      </c>
      <c r="E572" s="64">
        <f>3.05*1.3*10.764</f>
        <v>42.679259999999999</v>
      </c>
      <c r="F572" s="64">
        <f>D572*(($F$472)+1)+E572</f>
        <v>942.5846429999998</v>
      </c>
      <c r="G572" s="146"/>
      <c r="H572" s="147"/>
      <c r="I572" s="31"/>
      <c r="N572" s="2" t="str">
        <f ca="1">O572&amp;""&amp;",..,"&amp;""&amp;P572</f>
        <v>302,..,1302</v>
      </c>
      <c r="O572" s="2">
        <f t="shared" ref="O572:P574" ca="1" si="25">O571+1</f>
        <v>302</v>
      </c>
      <c r="P572" s="2">
        <f t="shared" ca="1" si="25"/>
        <v>1302</v>
      </c>
    </row>
    <row r="573" spans="1:16" s="2" customFormat="1" x14ac:dyDescent="0.35">
      <c r="A573" s="116" t="str">
        <f ca="1">N573</f>
        <v>303,..,1303</v>
      </c>
      <c r="B573" s="117"/>
      <c r="C573" s="64" t="s">
        <v>195</v>
      </c>
      <c r="D573" s="64">
        <f>(53.22+(0.6*(1.98+3.05))+2.13*0.75)*10.764</f>
        <v>622.54132199999992</v>
      </c>
      <c r="E573" s="64">
        <f>3.05*1.3*10.764</f>
        <v>42.679259999999999</v>
      </c>
      <c r="F573" s="64">
        <f>D573*(($F$472)+1)+E573</f>
        <v>976.49124299999983</v>
      </c>
      <c r="G573" s="146"/>
      <c r="H573" s="147"/>
      <c r="I573" s="31"/>
      <c r="N573" s="2" t="str">
        <f ca="1">O573&amp;""&amp;",..,"&amp;""&amp;P573</f>
        <v>303,..,1303</v>
      </c>
      <c r="O573" s="2">
        <f t="shared" ca="1" si="25"/>
        <v>303</v>
      </c>
      <c r="P573" s="2">
        <f t="shared" ca="1" si="25"/>
        <v>1303</v>
      </c>
    </row>
    <row r="574" spans="1:16" s="2" customFormat="1" x14ac:dyDescent="0.35">
      <c r="A574" s="116" t="str">
        <f ca="1">N574</f>
        <v>304,..,1304</v>
      </c>
      <c r="B574" s="117"/>
      <c r="C574" s="64" t="s">
        <v>195</v>
      </c>
      <c r="D574" s="64">
        <f>(53.22+(0.6*(1.98+3.05))+2.13*0.75)*10.764</f>
        <v>622.54132199999992</v>
      </c>
      <c r="E574" s="64">
        <f>3.05*1.3*10.764</f>
        <v>42.679259999999999</v>
      </c>
      <c r="F574" s="64">
        <f>D574*(($F$472)+1)+E574</f>
        <v>976.49124299999983</v>
      </c>
      <c r="G574" s="148"/>
      <c r="H574" s="149"/>
      <c r="I574" s="31"/>
      <c r="N574" s="2" t="str">
        <f ca="1">O574&amp;""&amp;",..,"&amp;""&amp;P574</f>
        <v>304,..,1304</v>
      </c>
      <c r="O574" s="2">
        <f t="shared" ca="1" si="25"/>
        <v>304</v>
      </c>
      <c r="P574" s="2">
        <f t="shared" ca="1" si="25"/>
        <v>1304</v>
      </c>
    </row>
    <row r="575" spans="1:16" s="2" customFormat="1" x14ac:dyDescent="0.35">
      <c r="A575" s="126" t="s">
        <v>217</v>
      </c>
      <c r="B575" s="127"/>
      <c r="C575" s="127"/>
      <c r="D575" s="127"/>
      <c r="E575" s="127"/>
      <c r="F575" s="127"/>
      <c r="G575" s="127"/>
      <c r="H575" s="128"/>
      <c r="I575" s="31"/>
    </row>
    <row r="576" spans="1:16" s="2" customFormat="1" ht="15.75" customHeight="1" x14ac:dyDescent="0.35">
      <c r="A576" s="116" t="str">
        <f ca="1">N576</f>
        <v>801 &amp; 1201</v>
      </c>
      <c r="B576" s="117"/>
      <c r="C576" s="64" t="s">
        <v>195</v>
      </c>
      <c r="D576" s="64">
        <f>(51.12+(0.6*(1.98+3.05))+2.13*0.75)*10.764</f>
        <v>599.93692199999987</v>
      </c>
      <c r="E576" s="64">
        <f>3.05*1.3*10.764</f>
        <v>42.679259999999999</v>
      </c>
      <c r="F576" s="64">
        <f>D576*(($F$472)+1)+E576</f>
        <v>942.5846429999998</v>
      </c>
      <c r="G576" s="144" t="str">
        <f>A575</f>
        <v>8th &amp; 12th Floor (Part Refuge Area)</v>
      </c>
      <c r="H576" s="145"/>
      <c r="I576" s="31"/>
      <c r="N576" s="2" t="str">
        <f ca="1">O576&amp;""&amp;" &amp; "&amp;""&amp;P576</f>
        <v>801 &amp; 1201</v>
      </c>
      <c r="O576" s="2">
        <f ca="1">(SUMPRODUCT(MID(0&amp;(LEFT(A575,SUM(LEN(A575)-LEN(SUBSTITUTE(A575,{"0","1","2"},""))))), LARGE(INDEX(ISNUMBER(--MID((LEFT(A575,SUM(LEN(A575)-LEN(SUBSTITUTE(A575,{"0","1","2"},""))))), ROW(INDIRECT("1:"&amp;LEN((LEFT(A575,SUM(LEN(A575)-LEN(SUBSTITUTE(A575,{"0","1","2"},"")))))))), 1)) * ROW(INDIRECT("1:"&amp;LEN((LEFT(A575,SUM(LEN(A575)-LEN(SUBSTITUTE(A575,{"0","1","2"},"")))))))), 0), ROW(INDIRECT("1:"&amp;LEN((LEFT(A575,SUM(LEN(A575)-LEN(SUBSTITUTE(A575,{"0","1","2"},"")))))))))+1, 1) * 10^ROW(INDIRECT("1:"&amp;LEN((LEFT(A575,SUM(LEN(A575)-LEN(SUBSTITUTE(A575,{"0","1","2"},""))))))))/10))*100+1</f>
        <v>801</v>
      </c>
      <c r="P576" s="2">
        <f ca="1">(SUMPRODUCT(MID(0&amp;(--TRIM(RIGHT(SUBSTITUTE(LEFT(A575,_xlfn.AGGREGATE(16,6,FIND({0,1,2,3,4,5,6,7,8,9},A575,ROW(INDIRECT("1:"&amp;LEN(A575)))),1))," ",REPT(" ",LEN(A575))),LEN(A575)))), LARGE(INDEX(ISNUMBER(--MID((--TRIM(RIGHT(SUBSTITUTE(LEFT(A575,_xlfn.AGGREGATE(16,6,FIND({0,1,2,3,4,5,6,7,8,9},A575,ROW(INDIRECT("1:"&amp;LEN(A575)))),1))," ",REPT(" ",LEN(A575))),LEN(A575)))), ROW(INDIRECT("1:"&amp;LEN((--TRIM(RIGHT(SUBSTITUTE(LEFT(A575,_xlfn.AGGREGATE(16,6,FIND({0,1,2,3,4,5,6,7,8,9},A575,ROW(INDIRECT("1:"&amp;LEN(A575)))),1))," ",REPT(" ",LEN(A575))),LEN(A575))))))), 1)) * ROW(INDIRECT("1:"&amp;LEN((--TRIM(RIGHT(SUBSTITUTE(LEFT(A575,_xlfn.AGGREGATE(16,6,FIND({0,1,2,3,4,5,6,7,8,9},A575,ROW(INDIRECT("1:"&amp;LEN(A575)))),1))," ",REPT(" ",LEN(A575))),LEN(A575))))))), 0), ROW(INDIRECT("1:"&amp;LEN((--TRIM(RIGHT(SUBSTITUTE(LEFT(A575,_xlfn.AGGREGATE(16,6,FIND({0,1,2,3,4,5,6,7,8,9},A575,ROW(INDIRECT("1:"&amp;LEN(A575)))),1))," ",REPT(" ",LEN(A575))),LEN(A575))))))))+1, 1) * 10^ROW(INDIRECT("1:"&amp;LEN((--TRIM(RIGHT(SUBSTITUTE(LEFT(A575,_xlfn.AGGREGATE(16,6,FIND({0,1,2,3,4,5,6,7,8,9},A575,ROW(INDIRECT("1:"&amp;LEN(A575)))),1))," ",REPT(" ",LEN(A575))),LEN(A575)))))))/10))*100+1</f>
        <v>1201</v>
      </c>
    </row>
    <row r="577" spans="1:16" s="2" customFormat="1" ht="15.75" customHeight="1" x14ac:dyDescent="0.35">
      <c r="A577" s="116" t="str">
        <f ca="1">N577</f>
        <v>802 &amp; 1202</v>
      </c>
      <c r="B577" s="117"/>
      <c r="C577" s="64" t="s">
        <v>195</v>
      </c>
      <c r="D577" s="64">
        <f>(51.12+(0.6*(1.98+3.05))+2.13*0.75)*10.764</f>
        <v>599.93692199999987</v>
      </c>
      <c r="E577" s="64">
        <f>3.05*1.3*10.764</f>
        <v>42.679259999999999</v>
      </c>
      <c r="F577" s="64">
        <f>D577*(($F$472)+1)+E577</f>
        <v>942.5846429999998</v>
      </c>
      <c r="G577" s="146"/>
      <c r="H577" s="147"/>
      <c r="I577" s="31"/>
      <c r="N577" s="2" t="str">
        <f ca="1">O577&amp;""&amp;" &amp; "&amp;""&amp;P577</f>
        <v>802 &amp; 1202</v>
      </c>
      <c r="O577" s="2">
        <f ca="1">O576+1</f>
        <v>802</v>
      </c>
      <c r="P577" s="2">
        <f ca="1">P576+1</f>
        <v>1202</v>
      </c>
    </row>
    <row r="578" spans="1:16" s="2" customFormat="1" ht="15.75" customHeight="1" x14ac:dyDescent="0.35">
      <c r="A578" s="116" t="str">
        <f ca="1">N578</f>
        <v>803 &amp; 1203</v>
      </c>
      <c r="B578" s="117"/>
      <c r="C578" s="64" t="s">
        <v>195</v>
      </c>
      <c r="D578" s="64">
        <f>(53.22+(0.6*(1.98+3.05))+2.13*0.75)*10.764</f>
        <v>622.54132199999992</v>
      </c>
      <c r="E578" s="64">
        <f>3.05*1.3*10.764</f>
        <v>42.679259999999999</v>
      </c>
      <c r="F578" s="64">
        <f>D578*(($F$472)+1)+E578</f>
        <v>976.49124299999983</v>
      </c>
      <c r="G578" s="148"/>
      <c r="H578" s="149"/>
      <c r="I578" s="31"/>
      <c r="N578" s="2" t="str">
        <f ca="1">O578&amp;""&amp;" &amp; "&amp;""&amp;P578</f>
        <v>803 &amp; 1203</v>
      </c>
      <c r="O578" s="2">
        <f ca="1">O577+1</f>
        <v>803</v>
      </c>
      <c r="P578" s="2">
        <f ca="1">P577+1</f>
        <v>1203</v>
      </c>
    </row>
    <row r="579" spans="1:16" s="2" customFormat="1" x14ac:dyDescent="0.35">
      <c r="A579" s="119" t="s">
        <v>218</v>
      </c>
      <c r="B579" s="119"/>
      <c r="C579" s="119"/>
      <c r="D579" s="119"/>
      <c r="E579" s="119"/>
      <c r="F579" s="119"/>
      <c r="G579" s="119"/>
      <c r="H579" s="119"/>
      <c r="I579" s="31"/>
      <c r="L579" s="115"/>
      <c r="M579" s="115"/>
    </row>
    <row r="580" spans="1:16" s="2" customFormat="1" ht="15.75" customHeight="1" x14ac:dyDescent="0.35">
      <c r="A580" s="118">
        <f>LEFT(A579,SUM(LEN(A579)-LEN(SUBSTITUTE(A579,{"0","1","2","3","4","5","6","7","8","9"},""))))*100+1</f>
        <v>1401</v>
      </c>
      <c r="B580" s="118"/>
      <c r="C580" s="82" t="s">
        <v>195</v>
      </c>
      <c r="D580" s="82">
        <f>(51.12+(0.6*(1.98+3.05))+2.13*0.75)*10.764</f>
        <v>599.93692199999987</v>
      </c>
      <c r="E580" s="82">
        <f>3.05*1.3*10.764</f>
        <v>42.679259999999999</v>
      </c>
      <c r="F580" s="82">
        <f>D580*(($F$472)+1)+E580</f>
        <v>942.5846429999998</v>
      </c>
      <c r="G580" s="118" t="str">
        <f>A579</f>
        <v>14th Floor (Part Terrace Area)</v>
      </c>
      <c r="H580" s="118"/>
      <c r="I580" s="31"/>
      <c r="N580" s="31"/>
    </row>
    <row r="581" spans="1:16" s="2" customFormat="1" ht="15.75" customHeight="1" x14ac:dyDescent="0.35">
      <c r="A581" s="118">
        <f>A580+1</f>
        <v>1402</v>
      </c>
      <c r="B581" s="118"/>
      <c r="C581" s="118" t="s">
        <v>221</v>
      </c>
      <c r="D581" s="118"/>
      <c r="E581" s="118"/>
      <c r="F581" s="118"/>
      <c r="G581" s="118"/>
      <c r="H581" s="118"/>
      <c r="I581" s="31"/>
      <c r="N581" s="31"/>
    </row>
    <row r="582" spans="1:16" s="2" customFormat="1" ht="15.75" customHeight="1" x14ac:dyDescent="0.35">
      <c r="A582" s="118">
        <f>A581+1</f>
        <v>1403</v>
      </c>
      <c r="B582" s="118"/>
      <c r="C582" s="82" t="s">
        <v>195</v>
      </c>
      <c r="D582" s="82">
        <f>(53.22+(0.6*(1.98+3.05))+2.13*0.75)*10.764</f>
        <v>622.54132199999992</v>
      </c>
      <c r="E582" s="82">
        <f>3.05*1.3*10.764</f>
        <v>42.679259999999999</v>
      </c>
      <c r="F582" s="82">
        <f>D582*(($F$472)+1)+E582</f>
        <v>976.49124299999983</v>
      </c>
      <c r="G582" s="118"/>
      <c r="H582" s="118"/>
      <c r="I582" s="31"/>
      <c r="N582" s="31"/>
    </row>
    <row r="583" spans="1:16" s="2" customFormat="1" ht="15.75" customHeight="1" x14ac:dyDescent="0.35">
      <c r="A583" s="118">
        <f>A582+1</f>
        <v>1404</v>
      </c>
      <c r="B583" s="118"/>
      <c r="C583" s="82" t="s">
        <v>195</v>
      </c>
      <c r="D583" s="82">
        <f>(53.22+(0.6*(1.98+3.05))+2.13*0.75)*10.764</f>
        <v>622.54132199999992</v>
      </c>
      <c r="E583" s="82">
        <f>3.05*1.3*10.764</f>
        <v>42.679259999999999</v>
      </c>
      <c r="F583" s="82">
        <f>D583*(($F$472)+1)+E583</f>
        <v>976.49124299999983</v>
      </c>
      <c r="G583" s="118"/>
      <c r="H583" s="118"/>
      <c r="I583" s="31"/>
      <c r="N583" s="31"/>
    </row>
    <row r="584" spans="1:16" s="1" customFormat="1" x14ac:dyDescent="0.35">
      <c r="A584" s="134" t="s">
        <v>232</v>
      </c>
      <c r="B584" s="134"/>
      <c r="C584" s="134"/>
      <c r="D584" s="134"/>
      <c r="E584" s="134"/>
      <c r="F584" s="134"/>
      <c r="G584" s="134"/>
      <c r="H584" s="134"/>
    </row>
    <row r="585" spans="1:16" s="2" customFormat="1" x14ac:dyDescent="0.35">
      <c r="A585" s="119" t="s">
        <v>147</v>
      </c>
      <c r="B585" s="119"/>
      <c r="C585" s="119"/>
      <c r="D585" s="119"/>
      <c r="E585" s="119"/>
      <c r="F585" s="119"/>
      <c r="G585" s="119"/>
      <c r="H585" s="119"/>
      <c r="I585" s="31"/>
      <c r="L585" s="115"/>
      <c r="M585" s="115"/>
    </row>
    <row r="586" spans="1:16" s="2" customFormat="1" ht="15.75" customHeight="1" x14ac:dyDescent="0.35">
      <c r="A586" s="118">
        <v>1</v>
      </c>
      <c r="B586" s="118"/>
      <c r="C586" s="118" t="s">
        <v>222</v>
      </c>
      <c r="D586" s="118"/>
      <c r="E586" s="118"/>
      <c r="F586" s="118"/>
      <c r="G586" s="118" t="str">
        <f>A585</f>
        <v>Ground Floor</v>
      </c>
      <c r="H586" s="118"/>
      <c r="I586" s="31"/>
      <c r="N586" s="31"/>
    </row>
    <row r="587" spans="1:16" s="2" customFormat="1" ht="15.75" customHeight="1" x14ac:dyDescent="0.35">
      <c r="A587" s="118">
        <f>A586+1</f>
        <v>2</v>
      </c>
      <c r="B587" s="118"/>
      <c r="C587" s="118"/>
      <c r="D587" s="118"/>
      <c r="E587" s="118"/>
      <c r="F587" s="118"/>
      <c r="G587" s="118"/>
      <c r="H587" s="118"/>
      <c r="I587" s="36"/>
      <c r="N587" s="31"/>
    </row>
    <row r="588" spans="1:16" s="2" customFormat="1" ht="15.75" customHeight="1" x14ac:dyDescent="0.35">
      <c r="A588" s="118">
        <f>A587+1</f>
        <v>3</v>
      </c>
      <c r="B588" s="118"/>
      <c r="C588" s="82" t="s">
        <v>195</v>
      </c>
      <c r="D588" s="82">
        <f>(53.22+(0.6*(1.98+3.05))+2.13*0.75+1.5*3.05)*10.764</f>
        <v>671.78662199999997</v>
      </c>
      <c r="E588" s="82">
        <v>0</v>
      </c>
      <c r="F588" s="82">
        <f>D588*(($F$472)+1)+E588</f>
        <v>1007.6799329999999</v>
      </c>
      <c r="G588" s="118"/>
      <c r="H588" s="118"/>
      <c r="I588" s="31"/>
      <c r="N588" s="31"/>
    </row>
    <row r="589" spans="1:16" s="2" customFormat="1" ht="15.75" customHeight="1" x14ac:dyDescent="0.35">
      <c r="A589" s="118">
        <f>A588+1</f>
        <v>4</v>
      </c>
      <c r="B589" s="118"/>
      <c r="C589" s="82" t="s">
        <v>195</v>
      </c>
      <c r="D589" s="82">
        <f>(53.22+(0.6*(1.98+3.05))+2.13*0.75+1.5*3.05)*10.764</f>
        <v>671.78662199999997</v>
      </c>
      <c r="E589" s="82">
        <v>0</v>
      </c>
      <c r="F589" s="82">
        <f>D589*(($F$472)+1)+E589</f>
        <v>1007.6799329999999</v>
      </c>
      <c r="G589" s="118"/>
      <c r="H589" s="118"/>
      <c r="I589" s="31"/>
      <c r="N589" s="31"/>
    </row>
    <row r="590" spans="1:16" s="2" customFormat="1" x14ac:dyDescent="0.35">
      <c r="A590" s="119" t="s">
        <v>192</v>
      </c>
      <c r="B590" s="119"/>
      <c r="C590" s="119"/>
      <c r="D590" s="119"/>
      <c r="E590" s="119"/>
      <c r="F590" s="119"/>
      <c r="G590" s="119"/>
      <c r="H590" s="119"/>
      <c r="I590" s="31"/>
      <c r="L590" s="115"/>
      <c r="M590" s="115"/>
    </row>
    <row r="591" spans="1:16" s="2" customFormat="1" x14ac:dyDescent="0.35">
      <c r="A591" s="118">
        <f>LEFT(A590,SUM(LEN(A590)-LEN(SUBSTITUTE(A590,{"0","1","2","3","4","5","6","7","8","9"},""))))*100+1</f>
        <v>101</v>
      </c>
      <c r="B591" s="118"/>
      <c r="C591" s="64" t="s">
        <v>195</v>
      </c>
      <c r="D591" s="64">
        <f>(51.12+(0.6*(1.98+3.05))+2.13*0.75+1.3*3.05)*10.764</f>
        <v>642.61618199999987</v>
      </c>
      <c r="E591" s="64">
        <f>3.05*1.3*10.764</f>
        <v>42.679259999999999</v>
      </c>
      <c r="F591" s="64">
        <f>D591*(($F$472)+1)+E591</f>
        <v>1006.6035329999999</v>
      </c>
      <c r="G591" s="144" t="str">
        <f>A590</f>
        <v>1st Floor</v>
      </c>
      <c r="H591" s="145"/>
      <c r="I591" s="31"/>
      <c r="N591" s="31"/>
    </row>
    <row r="592" spans="1:16" s="2" customFormat="1" x14ac:dyDescent="0.35">
      <c r="A592" s="118">
        <f>A591+1</f>
        <v>102</v>
      </c>
      <c r="B592" s="118"/>
      <c r="C592" s="64" t="s">
        <v>195</v>
      </c>
      <c r="D592" s="64">
        <f>(51.12+(0.6*(1.98+3.05))+2.13*0.75+1.3*3.05)*10.764</f>
        <v>642.61618199999987</v>
      </c>
      <c r="E592" s="64">
        <f>3.05*1.3*10.764</f>
        <v>42.679259999999999</v>
      </c>
      <c r="F592" s="64">
        <f>D592*(($F$472)+1)+E592</f>
        <v>1006.6035329999999</v>
      </c>
      <c r="G592" s="146"/>
      <c r="H592" s="147"/>
      <c r="I592" s="36"/>
      <c r="N592" s="31"/>
    </row>
    <row r="593" spans="1:16" s="2" customFormat="1" x14ac:dyDescent="0.35">
      <c r="A593" s="118">
        <f>A592+1</f>
        <v>103</v>
      </c>
      <c r="B593" s="118"/>
      <c r="C593" s="64" t="s">
        <v>195</v>
      </c>
      <c r="D593" s="64">
        <f>(53.22+(0.6*(1.98+3.05))+2.13*0.75+1.35*3.05)*10.764</f>
        <v>666.86209199999996</v>
      </c>
      <c r="E593" s="64">
        <f>18.96*10.764</f>
        <v>204.08544000000001</v>
      </c>
      <c r="F593" s="64">
        <f>D593*(($F$472)+1)+E593/2</f>
        <v>1102.3358579999999</v>
      </c>
      <c r="G593" s="146"/>
      <c r="H593" s="147"/>
      <c r="I593" s="31"/>
      <c r="N593" s="31"/>
    </row>
    <row r="594" spans="1:16" s="2" customFormat="1" x14ac:dyDescent="0.35">
      <c r="A594" s="118">
        <f>A593+1</f>
        <v>104</v>
      </c>
      <c r="B594" s="118"/>
      <c r="C594" s="64" t="s">
        <v>195</v>
      </c>
      <c r="D594" s="64">
        <f>(53.22+(0.6*(1.98+3.05))+2.13*0.75+1.35*3.05)*10.764</f>
        <v>666.86209199999996</v>
      </c>
      <c r="E594" s="64">
        <f>18.96*10.764</f>
        <v>204.08544000000001</v>
      </c>
      <c r="F594" s="64">
        <f>D594*(($F$472)+1)+E594/2</f>
        <v>1102.3358579999999</v>
      </c>
      <c r="G594" s="148"/>
      <c r="H594" s="149"/>
      <c r="I594" s="31"/>
      <c r="N594" s="31"/>
    </row>
    <row r="595" spans="1:16" s="2" customFormat="1" ht="15.75" customHeight="1" x14ac:dyDescent="0.35">
      <c r="A595" s="126" t="s">
        <v>194</v>
      </c>
      <c r="B595" s="127"/>
      <c r="C595" s="127"/>
      <c r="D595" s="127"/>
      <c r="E595" s="127"/>
      <c r="F595" s="127"/>
      <c r="G595" s="127"/>
      <c r="H595" s="128"/>
      <c r="I595" s="31"/>
    </row>
    <row r="596" spans="1:16" s="2" customFormat="1" ht="15.75" customHeight="1" x14ac:dyDescent="0.35">
      <c r="A596" s="116" t="str">
        <f ca="1">N596</f>
        <v>201,..,1001</v>
      </c>
      <c r="B596" s="117"/>
      <c r="C596" s="64" t="s">
        <v>195</v>
      </c>
      <c r="D596" s="64">
        <f>(51.12+(0.6*(1.98+3.05))+2.13*0.75+1.3*3.05)*10.764</f>
        <v>642.61618199999987</v>
      </c>
      <c r="E596" s="64">
        <f>3.05*1.3*10.764</f>
        <v>42.679259999999999</v>
      </c>
      <c r="F596" s="64">
        <f>D596*(($F$472)+1)+E596</f>
        <v>1006.6035329999999</v>
      </c>
      <c r="G596" s="144" t="str">
        <f>A595</f>
        <v>2nd, 4th, 6th, 10th Floor</v>
      </c>
      <c r="H596" s="145"/>
      <c r="I596" s="31"/>
      <c r="N596" s="2" t="str">
        <f ca="1">O596&amp;""&amp;",..,"&amp;""&amp;P596</f>
        <v>201,..,1001</v>
      </c>
      <c r="O596" s="2">
        <f ca="1">(SUMPRODUCT(MID(0&amp;(LEFT(A595,SUM(LEN(A595)-LEN(SUBSTITUTE(A595,{"0","1","2"},""))))), LARGE(INDEX(ISNUMBER(--MID((LEFT(A595,SUM(LEN(A595)-LEN(SUBSTITUTE(A595,{"0","1","2"},""))))), ROW(INDIRECT("1:"&amp;LEN((LEFT(A595,SUM(LEN(A595)-LEN(SUBSTITUTE(A595,{"0","1","2"},"")))))))), 1)) * ROW(INDIRECT("1:"&amp;LEN((LEFT(A595,SUM(LEN(A595)-LEN(SUBSTITUTE(A595,{"0","1","2"},"")))))))), 0), ROW(INDIRECT("1:"&amp;LEN((LEFT(A595,SUM(LEN(A595)-LEN(SUBSTITUTE(A595,{"0","1","2"},"")))))))))+1, 1) * 10^ROW(INDIRECT("1:"&amp;LEN((LEFT(A595,SUM(LEN(A595)-LEN(SUBSTITUTE(A595,{"0","1","2"},""))))))))/10))*100+1</f>
        <v>201</v>
      </c>
      <c r="P596" s="2">
        <f ca="1">(SUMPRODUCT(MID(0&amp;(--TRIM(RIGHT(SUBSTITUTE(LEFT(A595,_xlfn.AGGREGATE(16,6,FIND({0,1,2,3,4,5,6,7,8,9},A595,ROW(INDIRECT("1:"&amp;LEN(A595)))),1))," ",REPT(" ",LEN(A595))),LEN(A595)))), LARGE(INDEX(ISNUMBER(--MID((--TRIM(RIGHT(SUBSTITUTE(LEFT(A595,_xlfn.AGGREGATE(16,6,FIND({0,1,2,3,4,5,6,7,8,9},A595,ROW(INDIRECT("1:"&amp;LEN(A595)))),1))," ",REPT(" ",LEN(A595))),LEN(A595)))), ROW(INDIRECT("1:"&amp;LEN((--TRIM(RIGHT(SUBSTITUTE(LEFT(A595,_xlfn.AGGREGATE(16,6,FIND({0,1,2,3,4,5,6,7,8,9},A595,ROW(INDIRECT("1:"&amp;LEN(A595)))),1))," ",REPT(" ",LEN(A595))),LEN(A595))))))), 1)) * ROW(INDIRECT("1:"&amp;LEN((--TRIM(RIGHT(SUBSTITUTE(LEFT(A595,_xlfn.AGGREGATE(16,6,FIND({0,1,2,3,4,5,6,7,8,9},A595,ROW(INDIRECT("1:"&amp;LEN(A595)))),1))," ",REPT(" ",LEN(A595))),LEN(A595))))))), 0), ROW(INDIRECT("1:"&amp;LEN((--TRIM(RIGHT(SUBSTITUTE(LEFT(A595,_xlfn.AGGREGATE(16,6,FIND({0,1,2,3,4,5,6,7,8,9},A595,ROW(INDIRECT("1:"&amp;LEN(A595)))),1))," ",REPT(" ",LEN(A595))),LEN(A595))))))))+1, 1) * 10^ROW(INDIRECT("1:"&amp;LEN((--TRIM(RIGHT(SUBSTITUTE(LEFT(A595,_xlfn.AGGREGATE(16,6,FIND({0,1,2,3,4,5,6,7,8,9},A595,ROW(INDIRECT("1:"&amp;LEN(A595)))),1))," ",REPT(" ",LEN(A595))),LEN(A595)))))))/10))*100+1</f>
        <v>1001</v>
      </c>
    </row>
    <row r="597" spans="1:16" s="2" customFormat="1" ht="15.75" customHeight="1" x14ac:dyDescent="0.35">
      <c r="A597" s="116" t="str">
        <f ca="1">N597</f>
        <v>202,..,1002</v>
      </c>
      <c r="B597" s="117"/>
      <c r="C597" s="64" t="s">
        <v>195</v>
      </c>
      <c r="D597" s="64">
        <f>(51.12+(0.6*(1.98+3.05))+2.13*0.75+1.3*3.05)*10.764</f>
        <v>642.61618199999987</v>
      </c>
      <c r="E597" s="64">
        <f t="shared" ref="E597:E613" si="26">3.05*1.3*10.764</f>
        <v>42.679259999999999</v>
      </c>
      <c r="F597" s="64">
        <f>D597*(($F$472)+1)+E597</f>
        <v>1006.6035329999999</v>
      </c>
      <c r="G597" s="146"/>
      <c r="H597" s="147"/>
      <c r="I597" s="31"/>
      <c r="N597" s="2" t="str">
        <f ca="1">O597&amp;""&amp;",..,"&amp;""&amp;P597</f>
        <v>202,..,1002</v>
      </c>
      <c r="O597" s="2">
        <f t="shared" ref="O597:P599" ca="1" si="27">O596+1</f>
        <v>202</v>
      </c>
      <c r="P597" s="2">
        <f t="shared" ca="1" si="27"/>
        <v>1002</v>
      </c>
    </row>
    <row r="598" spans="1:16" s="2" customFormat="1" ht="15.75" customHeight="1" x14ac:dyDescent="0.35">
      <c r="A598" s="116" t="str">
        <f ca="1">N598</f>
        <v>203,..,1003</v>
      </c>
      <c r="B598" s="117"/>
      <c r="C598" s="64" t="s">
        <v>195</v>
      </c>
      <c r="D598" s="64">
        <f>(53.22+(0.6*(1.98+3.05))+2.13*0.75+1.35*3.05)*10.764</f>
        <v>666.86209199999996</v>
      </c>
      <c r="E598" s="64">
        <f t="shared" si="26"/>
        <v>42.679259999999999</v>
      </c>
      <c r="F598" s="64">
        <f>D598*(($F$472)+1)+E598</f>
        <v>1042.9723979999999</v>
      </c>
      <c r="G598" s="146"/>
      <c r="H598" s="147"/>
      <c r="I598" s="31"/>
      <c r="N598" s="2" t="str">
        <f ca="1">O598&amp;""&amp;",..,"&amp;""&amp;P598</f>
        <v>203,..,1003</v>
      </c>
      <c r="O598" s="2">
        <f t="shared" ca="1" si="27"/>
        <v>203</v>
      </c>
      <c r="P598" s="2">
        <f t="shared" ca="1" si="27"/>
        <v>1003</v>
      </c>
    </row>
    <row r="599" spans="1:16" s="2" customFormat="1" ht="15.75" customHeight="1" x14ac:dyDescent="0.35">
      <c r="A599" s="116" t="str">
        <f ca="1">N599</f>
        <v>204,..,1004</v>
      </c>
      <c r="B599" s="117"/>
      <c r="C599" s="64" t="s">
        <v>195</v>
      </c>
      <c r="D599" s="64">
        <f>(53.22+(0.6*(1.98+3.05))+2.13*0.75+1.35*3.05)*10.764</f>
        <v>666.86209199999996</v>
      </c>
      <c r="E599" s="64">
        <f t="shared" si="26"/>
        <v>42.679259999999999</v>
      </c>
      <c r="F599" s="64">
        <f>D599*(($F$472)+1)+E599</f>
        <v>1042.9723979999999</v>
      </c>
      <c r="G599" s="148"/>
      <c r="H599" s="149"/>
      <c r="I599" s="31"/>
      <c r="N599" s="2" t="str">
        <f ca="1">O599&amp;""&amp;",..,"&amp;""&amp;P599</f>
        <v>204,..,1004</v>
      </c>
      <c r="O599" s="2">
        <f t="shared" ca="1" si="27"/>
        <v>204</v>
      </c>
      <c r="P599" s="2">
        <f t="shared" ca="1" si="27"/>
        <v>1004</v>
      </c>
    </row>
    <row r="600" spans="1:16" s="2" customFormat="1" ht="15.75" customHeight="1" x14ac:dyDescent="0.35">
      <c r="A600" s="126" t="s">
        <v>193</v>
      </c>
      <c r="B600" s="127"/>
      <c r="C600" s="127"/>
      <c r="D600" s="127"/>
      <c r="E600" s="127"/>
      <c r="F600" s="127"/>
      <c r="G600" s="127"/>
      <c r="H600" s="128"/>
      <c r="I600" s="31"/>
    </row>
    <row r="601" spans="1:16" s="2" customFormat="1" ht="15.75" customHeight="1" x14ac:dyDescent="0.35">
      <c r="A601" s="116" t="str">
        <f ca="1">N601</f>
        <v>301,..,1301</v>
      </c>
      <c r="B601" s="117"/>
      <c r="C601" s="64" t="s">
        <v>195</v>
      </c>
      <c r="D601" s="64">
        <f>(51.12+(0.6*(1.98+3.05))+2.13*0.75+1.3*3.05)*10.764</f>
        <v>642.61618199999987</v>
      </c>
      <c r="E601" s="64">
        <f t="shared" si="26"/>
        <v>42.679259999999999</v>
      </c>
      <c r="F601" s="64">
        <f>D601*(($F$472)+1)+E601</f>
        <v>1006.6035329999999</v>
      </c>
      <c r="G601" s="144" t="str">
        <f>A600</f>
        <v>3rd, 5th, 7th, 9th, 11th, 13th Floor</v>
      </c>
      <c r="H601" s="145"/>
      <c r="I601" s="31"/>
      <c r="N601" s="2" t="str">
        <f ca="1">O601&amp;""&amp;",..,"&amp;""&amp;P601</f>
        <v>301,..,1301</v>
      </c>
      <c r="O601" s="2">
        <f ca="1">(SUMPRODUCT(MID(0&amp;(LEFT(A600,SUM(LEN(A600)-LEN(SUBSTITUTE(A600,{"0","1","2"},""))))), LARGE(INDEX(ISNUMBER(--MID((LEFT(A600,SUM(LEN(A600)-LEN(SUBSTITUTE(A600,{"0","1","2"},""))))), ROW(INDIRECT("1:"&amp;LEN((LEFT(A600,SUM(LEN(A600)-LEN(SUBSTITUTE(A600,{"0","1","2"},"")))))))), 1)) * ROW(INDIRECT("1:"&amp;LEN((LEFT(A600,SUM(LEN(A600)-LEN(SUBSTITUTE(A600,{"0","1","2"},"")))))))), 0), ROW(INDIRECT("1:"&amp;LEN((LEFT(A600,SUM(LEN(A600)-LEN(SUBSTITUTE(A600,{"0","1","2"},"")))))))))+1, 1) * 10^ROW(INDIRECT("1:"&amp;LEN((LEFT(A600,SUM(LEN(A600)-LEN(SUBSTITUTE(A600,{"0","1","2"},""))))))))/10))*100+1</f>
        <v>301</v>
      </c>
      <c r="P601" s="2">
        <f ca="1">(SUMPRODUCT(MID(0&amp;(--TRIM(RIGHT(SUBSTITUTE(LEFT(A600,_xlfn.AGGREGATE(16,6,FIND({0,1,2,3,4,5,6,7,8,9},A600,ROW(INDIRECT("1:"&amp;LEN(A600)))),1))," ",REPT(" ",LEN(A600))),LEN(A600)))), LARGE(INDEX(ISNUMBER(--MID((--TRIM(RIGHT(SUBSTITUTE(LEFT(A600,_xlfn.AGGREGATE(16,6,FIND({0,1,2,3,4,5,6,7,8,9},A600,ROW(INDIRECT("1:"&amp;LEN(A600)))),1))," ",REPT(" ",LEN(A600))),LEN(A600)))), ROW(INDIRECT("1:"&amp;LEN((--TRIM(RIGHT(SUBSTITUTE(LEFT(A600,_xlfn.AGGREGATE(16,6,FIND({0,1,2,3,4,5,6,7,8,9},A600,ROW(INDIRECT("1:"&amp;LEN(A600)))),1))," ",REPT(" ",LEN(A600))),LEN(A600))))))), 1)) * ROW(INDIRECT("1:"&amp;LEN((--TRIM(RIGHT(SUBSTITUTE(LEFT(A600,_xlfn.AGGREGATE(16,6,FIND({0,1,2,3,4,5,6,7,8,9},A600,ROW(INDIRECT("1:"&amp;LEN(A600)))),1))," ",REPT(" ",LEN(A600))),LEN(A600))))))), 0), ROW(INDIRECT("1:"&amp;LEN((--TRIM(RIGHT(SUBSTITUTE(LEFT(A600,_xlfn.AGGREGATE(16,6,FIND({0,1,2,3,4,5,6,7,8,9},A600,ROW(INDIRECT("1:"&amp;LEN(A600)))),1))," ",REPT(" ",LEN(A600))),LEN(A600))))))))+1, 1) * 10^ROW(INDIRECT("1:"&amp;LEN((--TRIM(RIGHT(SUBSTITUTE(LEFT(A600,_xlfn.AGGREGATE(16,6,FIND({0,1,2,3,4,5,6,7,8,9},A600,ROW(INDIRECT("1:"&amp;LEN(A600)))),1))," ",REPT(" ",LEN(A600))),LEN(A600)))))))/10))*100+1</f>
        <v>1301</v>
      </c>
    </row>
    <row r="602" spans="1:16" s="2" customFormat="1" ht="15.75" customHeight="1" x14ac:dyDescent="0.35">
      <c r="A602" s="116" t="str">
        <f ca="1">N602</f>
        <v>302,..,1302</v>
      </c>
      <c r="B602" s="117"/>
      <c r="C602" s="64" t="s">
        <v>195</v>
      </c>
      <c r="D602" s="64">
        <f>(51.12+(0.6*(1.98+3.05))+2.13*0.75+1.3*3.05)*10.764</f>
        <v>642.61618199999987</v>
      </c>
      <c r="E602" s="64">
        <f t="shared" si="26"/>
        <v>42.679259999999999</v>
      </c>
      <c r="F602" s="64">
        <f>D602*(($F$472)+1)+E602</f>
        <v>1006.6035329999999</v>
      </c>
      <c r="G602" s="146"/>
      <c r="H602" s="147"/>
      <c r="I602" s="31"/>
      <c r="N602" s="2" t="str">
        <f ca="1">O602&amp;""&amp;",..,"&amp;""&amp;P602</f>
        <v>302,..,1302</v>
      </c>
      <c r="O602" s="2">
        <f t="shared" ref="O602:P604" ca="1" si="28">O601+1</f>
        <v>302</v>
      </c>
      <c r="P602" s="2">
        <f t="shared" ca="1" si="28"/>
        <v>1302</v>
      </c>
    </row>
    <row r="603" spans="1:16" s="2" customFormat="1" ht="15.75" customHeight="1" x14ac:dyDescent="0.35">
      <c r="A603" s="116" t="str">
        <f ca="1">N603</f>
        <v>303,..,1303</v>
      </c>
      <c r="B603" s="117"/>
      <c r="C603" s="64" t="s">
        <v>195</v>
      </c>
      <c r="D603" s="64">
        <f>(53.22+(0.6*(1.98+3.05))+2.13*0.75+1.35*3.05)*10.764</f>
        <v>666.86209199999996</v>
      </c>
      <c r="E603" s="64">
        <f t="shared" si="26"/>
        <v>42.679259999999999</v>
      </c>
      <c r="F603" s="64">
        <f>D603*(($F$472)+1)+E603</f>
        <v>1042.9723979999999</v>
      </c>
      <c r="G603" s="146"/>
      <c r="H603" s="147"/>
      <c r="I603" s="31"/>
      <c r="N603" s="2" t="str">
        <f ca="1">O603&amp;""&amp;",..,"&amp;""&amp;P603</f>
        <v>303,..,1303</v>
      </c>
      <c r="O603" s="2">
        <f t="shared" ca="1" si="28"/>
        <v>303</v>
      </c>
      <c r="P603" s="2">
        <f t="shared" ca="1" si="28"/>
        <v>1303</v>
      </c>
    </row>
    <row r="604" spans="1:16" s="2" customFormat="1" ht="15.75" customHeight="1" x14ac:dyDescent="0.35">
      <c r="A604" s="116" t="str">
        <f ca="1">N604</f>
        <v>304,..,1304</v>
      </c>
      <c r="B604" s="117"/>
      <c r="C604" s="64" t="s">
        <v>195</v>
      </c>
      <c r="D604" s="64">
        <f>(53.22+(0.6*(1.98+3.05))+2.13*0.75+1.35*3.05)*10.764</f>
        <v>666.86209199999996</v>
      </c>
      <c r="E604" s="64">
        <f t="shared" si="26"/>
        <v>42.679259999999999</v>
      </c>
      <c r="F604" s="64">
        <f>D604*(($F$472)+1)+E604</f>
        <v>1042.9723979999999</v>
      </c>
      <c r="G604" s="148"/>
      <c r="H604" s="149"/>
      <c r="I604" s="31"/>
      <c r="N604" s="2" t="str">
        <f ca="1">O604&amp;""&amp;",..,"&amp;""&amp;P604</f>
        <v>304,..,1304</v>
      </c>
      <c r="O604" s="2">
        <f t="shared" ca="1" si="28"/>
        <v>304</v>
      </c>
      <c r="P604" s="2">
        <f t="shared" ca="1" si="28"/>
        <v>1304</v>
      </c>
    </row>
    <row r="605" spans="1:16" s="2" customFormat="1" x14ac:dyDescent="0.35">
      <c r="A605" s="126" t="s">
        <v>217</v>
      </c>
      <c r="B605" s="127"/>
      <c r="C605" s="127"/>
      <c r="D605" s="127"/>
      <c r="E605" s="127"/>
      <c r="F605" s="127"/>
      <c r="G605" s="127"/>
      <c r="H605" s="128"/>
      <c r="I605" s="31"/>
    </row>
    <row r="606" spans="1:16" s="2" customFormat="1" ht="15.75" customHeight="1" x14ac:dyDescent="0.35">
      <c r="A606" s="116" t="str">
        <f ca="1">N606</f>
        <v>801 &amp; 1201</v>
      </c>
      <c r="B606" s="117"/>
      <c r="C606" s="64" t="s">
        <v>195</v>
      </c>
      <c r="D606" s="64">
        <f>(51.12+(0.6*(1.98+3.05))+2.13*0.75+1.3*3.05)*10.764</f>
        <v>642.61618199999987</v>
      </c>
      <c r="E606" s="64">
        <f t="shared" si="26"/>
        <v>42.679259999999999</v>
      </c>
      <c r="F606" s="64">
        <f>D606*(($F$472)+1)+E606</f>
        <v>1006.6035329999999</v>
      </c>
      <c r="G606" s="144" t="str">
        <f>A605</f>
        <v>8th &amp; 12th Floor (Part Refuge Area)</v>
      </c>
      <c r="H606" s="145"/>
      <c r="I606" s="31"/>
      <c r="N606" s="2" t="str">
        <f ca="1">O606&amp;""&amp;" &amp; "&amp;""&amp;P606</f>
        <v>801 &amp; 1201</v>
      </c>
      <c r="O606" s="2">
        <f ca="1">(SUMPRODUCT(MID(0&amp;(LEFT(A605,SUM(LEN(A605)-LEN(SUBSTITUTE(A605,{"0","1","2"},""))))), LARGE(INDEX(ISNUMBER(--MID((LEFT(A605,SUM(LEN(A605)-LEN(SUBSTITUTE(A605,{"0","1","2"},""))))), ROW(INDIRECT("1:"&amp;LEN((LEFT(A605,SUM(LEN(A605)-LEN(SUBSTITUTE(A605,{"0","1","2"},"")))))))), 1)) * ROW(INDIRECT("1:"&amp;LEN((LEFT(A605,SUM(LEN(A605)-LEN(SUBSTITUTE(A605,{"0","1","2"},"")))))))), 0), ROW(INDIRECT("1:"&amp;LEN((LEFT(A605,SUM(LEN(A605)-LEN(SUBSTITUTE(A605,{"0","1","2"},"")))))))))+1, 1) * 10^ROW(INDIRECT("1:"&amp;LEN((LEFT(A605,SUM(LEN(A605)-LEN(SUBSTITUTE(A605,{"0","1","2"},""))))))))/10))*100+1</f>
        <v>801</v>
      </c>
      <c r="P606" s="2">
        <f ca="1">(SUMPRODUCT(MID(0&amp;(--TRIM(RIGHT(SUBSTITUTE(LEFT(A605,_xlfn.AGGREGATE(16,6,FIND({0,1,2,3,4,5,6,7,8,9},A605,ROW(INDIRECT("1:"&amp;LEN(A605)))),1))," ",REPT(" ",LEN(A605))),LEN(A605)))), LARGE(INDEX(ISNUMBER(--MID((--TRIM(RIGHT(SUBSTITUTE(LEFT(A605,_xlfn.AGGREGATE(16,6,FIND({0,1,2,3,4,5,6,7,8,9},A605,ROW(INDIRECT("1:"&amp;LEN(A605)))),1))," ",REPT(" ",LEN(A605))),LEN(A605)))), ROW(INDIRECT("1:"&amp;LEN((--TRIM(RIGHT(SUBSTITUTE(LEFT(A605,_xlfn.AGGREGATE(16,6,FIND({0,1,2,3,4,5,6,7,8,9},A605,ROW(INDIRECT("1:"&amp;LEN(A605)))),1))," ",REPT(" ",LEN(A605))),LEN(A605))))))), 1)) * ROW(INDIRECT("1:"&amp;LEN((--TRIM(RIGHT(SUBSTITUTE(LEFT(A605,_xlfn.AGGREGATE(16,6,FIND({0,1,2,3,4,5,6,7,8,9},A605,ROW(INDIRECT("1:"&amp;LEN(A605)))),1))," ",REPT(" ",LEN(A605))),LEN(A605))))))), 0), ROW(INDIRECT("1:"&amp;LEN((--TRIM(RIGHT(SUBSTITUTE(LEFT(A605,_xlfn.AGGREGATE(16,6,FIND({0,1,2,3,4,5,6,7,8,9},A605,ROW(INDIRECT("1:"&amp;LEN(A605)))),1))," ",REPT(" ",LEN(A605))),LEN(A605))))))))+1, 1) * 10^ROW(INDIRECT("1:"&amp;LEN((--TRIM(RIGHT(SUBSTITUTE(LEFT(A605,_xlfn.AGGREGATE(16,6,FIND({0,1,2,3,4,5,6,7,8,9},A605,ROW(INDIRECT("1:"&amp;LEN(A605)))),1))," ",REPT(" ",LEN(A605))),LEN(A605)))))))/10))*100+1</f>
        <v>1201</v>
      </c>
    </row>
    <row r="607" spans="1:16" s="2" customFormat="1" ht="15.75" customHeight="1" x14ac:dyDescent="0.35">
      <c r="A607" s="116" t="str">
        <f ca="1">N607</f>
        <v>802 &amp; 1202</v>
      </c>
      <c r="B607" s="117"/>
      <c r="C607" s="64" t="s">
        <v>195</v>
      </c>
      <c r="D607" s="64">
        <f>(51.12+(0.6*(1.98+3.05))+2.13*0.75+1.3*3.05)*10.764</f>
        <v>642.61618199999987</v>
      </c>
      <c r="E607" s="64">
        <f t="shared" si="26"/>
        <v>42.679259999999999</v>
      </c>
      <c r="F607" s="64">
        <f>D607*(($F$472)+1)+E607</f>
        <v>1006.6035329999999</v>
      </c>
      <c r="G607" s="146"/>
      <c r="H607" s="147"/>
      <c r="I607" s="31"/>
      <c r="N607" s="2" t="str">
        <f ca="1">O607&amp;""&amp;" &amp; "&amp;""&amp;P607</f>
        <v>802 &amp; 1202</v>
      </c>
      <c r="O607" s="2">
        <f ca="1">O606+1</f>
        <v>802</v>
      </c>
      <c r="P607" s="2">
        <f ca="1">P606+1</f>
        <v>1202</v>
      </c>
    </row>
    <row r="608" spans="1:16" s="2" customFormat="1" ht="15.75" customHeight="1" x14ac:dyDescent="0.35">
      <c r="A608" s="116" t="str">
        <f ca="1">N608</f>
        <v>803 &amp; 1203</v>
      </c>
      <c r="B608" s="117"/>
      <c r="C608" s="64" t="s">
        <v>195</v>
      </c>
      <c r="D608" s="64">
        <f>(53.22+(0.6*(1.98+3.05))+2.13*0.75+1.35*3.05)*10.764</f>
        <v>666.86209199999996</v>
      </c>
      <c r="E608" s="64">
        <f t="shared" si="26"/>
        <v>42.679259999999999</v>
      </c>
      <c r="F608" s="64">
        <f>D608*(($F$472)+1)+E608</f>
        <v>1042.9723979999999</v>
      </c>
      <c r="G608" s="148"/>
      <c r="H608" s="149"/>
      <c r="I608" s="31"/>
      <c r="N608" s="2" t="str">
        <f ca="1">O608&amp;""&amp;" &amp; "&amp;""&amp;P608</f>
        <v>803 &amp; 1203</v>
      </c>
      <c r="O608" s="2">
        <f ca="1">O607+1</f>
        <v>803</v>
      </c>
      <c r="P608" s="2">
        <f ca="1">P607+1</f>
        <v>1203</v>
      </c>
    </row>
    <row r="609" spans="1:14" s="2" customFormat="1" x14ac:dyDescent="0.35">
      <c r="A609" s="217" t="s">
        <v>218</v>
      </c>
      <c r="B609" s="217"/>
      <c r="C609" s="217"/>
      <c r="D609" s="217"/>
      <c r="E609" s="217"/>
      <c r="F609" s="217"/>
      <c r="G609" s="217"/>
      <c r="H609" s="217"/>
      <c r="I609" s="31"/>
      <c r="L609" s="115"/>
      <c r="M609" s="115"/>
    </row>
    <row r="610" spans="1:14" s="44" customFormat="1" ht="15.75" customHeight="1" x14ac:dyDescent="0.35">
      <c r="A610" s="118">
        <f>LEFT(A609,SUM(LEN(A609)-LEN(SUBSTITUTE(A609,{"0","1","2","3","4","5","6","7","8","9"},""))))*100+1</f>
        <v>1401</v>
      </c>
      <c r="B610" s="118"/>
      <c r="C610" s="64" t="s">
        <v>195</v>
      </c>
      <c r="D610" s="64">
        <f>(51.12+(0.6*(1.98+3.05))+2.13*0.75+1.3*3.05)*10.764</f>
        <v>642.61618199999987</v>
      </c>
      <c r="E610" s="64">
        <f t="shared" si="26"/>
        <v>42.679259999999999</v>
      </c>
      <c r="F610" s="64">
        <f>D610*(($F$472)+1)+E610</f>
        <v>1006.6035329999999</v>
      </c>
      <c r="G610" s="144" t="str">
        <f>A609</f>
        <v>14th Floor (Part Terrace Area)</v>
      </c>
      <c r="H610" s="145"/>
    </row>
    <row r="611" spans="1:14" s="2" customFormat="1" ht="15.75" customHeight="1" x14ac:dyDescent="0.35">
      <c r="A611" s="216">
        <f>A610+1</f>
        <v>1402</v>
      </c>
      <c r="B611" s="216"/>
      <c r="C611" s="148" t="s">
        <v>221</v>
      </c>
      <c r="D611" s="169"/>
      <c r="E611" s="169"/>
      <c r="F611" s="149"/>
      <c r="G611" s="146"/>
      <c r="H611" s="147"/>
      <c r="I611" s="31"/>
      <c r="N611" s="31"/>
    </row>
    <row r="612" spans="1:14" s="2" customFormat="1" ht="15.75" customHeight="1" x14ac:dyDescent="0.35">
      <c r="A612" s="118">
        <f>A611+1</f>
        <v>1403</v>
      </c>
      <c r="B612" s="118"/>
      <c r="C612" s="64" t="s">
        <v>195</v>
      </c>
      <c r="D612" s="64">
        <f>(53.22+(0.6*(1.98+3.05))+2.13*0.75+1.35*3.05)*10.764</f>
        <v>666.86209199999996</v>
      </c>
      <c r="E612" s="64">
        <f t="shared" si="26"/>
        <v>42.679259999999999</v>
      </c>
      <c r="F612" s="64">
        <f>D612*(($F$472)+1)+E612</f>
        <v>1042.9723979999999</v>
      </c>
      <c r="G612" s="146"/>
      <c r="H612" s="147"/>
      <c r="I612" s="31"/>
      <c r="N612" s="31"/>
    </row>
    <row r="613" spans="1:14" s="2" customFormat="1" ht="15.75" customHeight="1" x14ac:dyDescent="0.35">
      <c r="A613" s="118">
        <f>A612+1</f>
        <v>1404</v>
      </c>
      <c r="B613" s="118"/>
      <c r="C613" s="64" t="s">
        <v>195</v>
      </c>
      <c r="D613" s="64">
        <f>(53.22+(0.6*(1.98+3.05))+2.13*0.75+1.35*3.05)*10.764</f>
        <v>666.86209199999996</v>
      </c>
      <c r="E613" s="64">
        <f t="shared" si="26"/>
        <v>42.679259999999999</v>
      </c>
      <c r="F613" s="64">
        <f>D613*(($F$472)+1)+E613</f>
        <v>1042.9723979999999</v>
      </c>
      <c r="G613" s="148"/>
      <c r="H613" s="149"/>
      <c r="I613" s="31"/>
      <c r="N613" s="31"/>
    </row>
    <row r="614" spans="1:14" s="1" customFormat="1" x14ac:dyDescent="0.35">
      <c r="A614" s="134" t="s">
        <v>233</v>
      </c>
      <c r="B614" s="134"/>
      <c r="C614" s="134"/>
      <c r="D614" s="134"/>
      <c r="E614" s="134"/>
      <c r="F614" s="134"/>
      <c r="G614" s="134"/>
      <c r="H614" s="134"/>
    </row>
    <row r="615" spans="1:14" s="2" customFormat="1" ht="15.75" customHeight="1" x14ac:dyDescent="0.35">
      <c r="A615" s="119" t="s">
        <v>147</v>
      </c>
      <c r="B615" s="119"/>
      <c r="C615" s="119"/>
      <c r="D615" s="119"/>
      <c r="E615" s="119"/>
      <c r="F615" s="119"/>
      <c r="G615" s="119"/>
      <c r="H615" s="119"/>
      <c r="I615" s="31"/>
      <c r="L615" s="115"/>
      <c r="M615" s="115"/>
    </row>
    <row r="616" spans="1:14" s="2" customFormat="1" ht="15.75" customHeight="1" x14ac:dyDescent="0.35">
      <c r="A616" s="118">
        <v>1</v>
      </c>
      <c r="B616" s="118"/>
      <c r="C616" s="144" t="s">
        <v>222</v>
      </c>
      <c r="D616" s="168"/>
      <c r="E616" s="168"/>
      <c r="F616" s="145"/>
      <c r="G616" s="118" t="str">
        <f>A615</f>
        <v>Ground Floor</v>
      </c>
      <c r="H616" s="118"/>
      <c r="I616" s="31"/>
      <c r="N616" s="31"/>
    </row>
    <row r="617" spans="1:14" s="2" customFormat="1" ht="15.75" customHeight="1" x14ac:dyDescent="0.35">
      <c r="A617" s="118">
        <f>A616+1</f>
        <v>2</v>
      </c>
      <c r="B617" s="118"/>
      <c r="C617" s="148"/>
      <c r="D617" s="169"/>
      <c r="E617" s="169"/>
      <c r="F617" s="149"/>
      <c r="G617" s="118" t="str">
        <f>G616</f>
        <v>Ground Floor</v>
      </c>
      <c r="H617" s="118"/>
      <c r="I617" s="36"/>
      <c r="N617" s="31"/>
    </row>
    <row r="618" spans="1:14" s="2" customFormat="1" ht="15.75" customHeight="1" x14ac:dyDescent="0.35">
      <c r="A618" s="118">
        <f>A617+1</f>
        <v>3</v>
      </c>
      <c r="B618" s="118"/>
      <c r="C618" s="64" t="s">
        <v>195</v>
      </c>
      <c r="D618" s="64">
        <f>(53.22+(0.6*(1.98+3.05))+2.13*0.75+1.5*3.05)*10.764</f>
        <v>671.78662199999997</v>
      </c>
      <c r="E618" s="64">
        <v>0</v>
      </c>
      <c r="F618" s="64">
        <f>D618*(($F$472)+1)+E618</f>
        <v>1007.6799329999999</v>
      </c>
      <c r="G618" s="118" t="str">
        <f>G617</f>
        <v>Ground Floor</v>
      </c>
      <c r="H618" s="118"/>
      <c r="I618" s="31"/>
      <c r="N618" s="31"/>
    </row>
    <row r="619" spans="1:14" s="2" customFormat="1" ht="15.75" customHeight="1" x14ac:dyDescent="0.35">
      <c r="A619" s="118">
        <f>A618+1</f>
        <v>4</v>
      </c>
      <c r="B619" s="118"/>
      <c r="C619" s="64" t="s">
        <v>195</v>
      </c>
      <c r="D619" s="64">
        <f>(53.22+(0.6*(1.98+3.05))+2.13*0.75+1.5*3.05)*10.764</f>
        <v>671.78662199999997</v>
      </c>
      <c r="E619" s="64">
        <v>0</v>
      </c>
      <c r="F619" s="64">
        <f>D619*(($F$472)+1)+E619</f>
        <v>1007.6799329999999</v>
      </c>
      <c r="G619" s="118" t="str">
        <f>G618</f>
        <v>Ground Floor</v>
      </c>
      <c r="H619" s="118"/>
      <c r="I619" s="31"/>
      <c r="N619" s="31"/>
    </row>
    <row r="620" spans="1:14" s="2" customFormat="1" x14ac:dyDescent="0.35">
      <c r="A620" s="119" t="s">
        <v>192</v>
      </c>
      <c r="B620" s="119"/>
      <c r="C620" s="119"/>
      <c r="D620" s="119"/>
      <c r="E620" s="119"/>
      <c r="F620" s="119"/>
      <c r="G620" s="119"/>
      <c r="H620" s="119"/>
      <c r="I620" s="31"/>
      <c r="L620" s="115"/>
      <c r="M620" s="115"/>
    </row>
    <row r="621" spans="1:14" s="2" customFormat="1" x14ac:dyDescent="0.35">
      <c r="A621" s="118">
        <f>LEFT(A620,SUM(LEN(A620)-LEN(SUBSTITUTE(A620,{"0","1","2","3","4","5","6","7","8","9"},""))))*100+1</f>
        <v>101</v>
      </c>
      <c r="B621" s="118"/>
      <c r="C621" s="64" t="s">
        <v>195</v>
      </c>
      <c r="D621" s="64">
        <f>(51.12+(0.6*(1.98+3.05))+2.13*0.75+1.3*3.05)*10.764</f>
        <v>642.61618199999987</v>
      </c>
      <c r="E621" s="64">
        <f>3.05*1.3*10.764</f>
        <v>42.679259999999999</v>
      </c>
      <c r="F621" s="64">
        <f>D621*(($F$472)+1)+E621</f>
        <v>1006.6035329999999</v>
      </c>
      <c r="G621" s="118" t="str">
        <f>A620</f>
        <v>1st Floor</v>
      </c>
      <c r="H621" s="118"/>
      <c r="I621" s="31"/>
      <c r="N621" s="31"/>
    </row>
    <row r="622" spans="1:14" s="2" customFormat="1" x14ac:dyDescent="0.35">
      <c r="A622" s="118">
        <f>A621+1</f>
        <v>102</v>
      </c>
      <c r="B622" s="118"/>
      <c r="C622" s="64" t="s">
        <v>195</v>
      </c>
      <c r="D622" s="64">
        <f>(51.12+(0.6*(1.98+3.05))+2.13*0.75+1.3*3.05)*10.764</f>
        <v>642.61618199999987</v>
      </c>
      <c r="E622" s="64">
        <f>3.05*1.3*10.764</f>
        <v>42.679259999999999</v>
      </c>
      <c r="F622" s="64">
        <f>D622*(($F$472)+1)+E622</f>
        <v>1006.6035329999999</v>
      </c>
      <c r="G622" s="118" t="str">
        <f>G621</f>
        <v>1st Floor</v>
      </c>
      <c r="H622" s="118"/>
      <c r="I622" s="36"/>
      <c r="N622" s="31"/>
    </row>
    <row r="623" spans="1:14" s="2" customFormat="1" x14ac:dyDescent="0.35">
      <c r="A623" s="118">
        <f>A622+1</f>
        <v>103</v>
      </c>
      <c r="B623" s="118"/>
      <c r="C623" s="64" t="s">
        <v>195</v>
      </c>
      <c r="D623" s="64">
        <f>(53.22+(0.6*(1.98+3.05))+2.13*0.75+1.35*3.05)*10.764</f>
        <v>666.86209199999996</v>
      </c>
      <c r="E623" s="64">
        <f>18.96*10.764</f>
        <v>204.08544000000001</v>
      </c>
      <c r="F623" s="64">
        <f>D623*(($F$472)+1)+E623/2</f>
        <v>1102.3358579999999</v>
      </c>
      <c r="G623" s="118" t="str">
        <f>G622</f>
        <v>1st Floor</v>
      </c>
      <c r="H623" s="118"/>
      <c r="I623" s="31"/>
      <c r="N623" s="31"/>
    </row>
    <row r="624" spans="1:14" s="2" customFormat="1" x14ac:dyDescent="0.35">
      <c r="A624" s="118">
        <f>A623+1</f>
        <v>104</v>
      </c>
      <c r="B624" s="118"/>
      <c r="C624" s="64" t="s">
        <v>195</v>
      </c>
      <c r="D624" s="64">
        <f>(53.22+(0.6*(1.98+3.05))+2.13*0.75+1.35*3.05)*10.764</f>
        <v>666.86209199999996</v>
      </c>
      <c r="E624" s="64">
        <f>18.96*10.764</f>
        <v>204.08544000000001</v>
      </c>
      <c r="F624" s="64">
        <f>D624*(($F$472)+1)+E624/2</f>
        <v>1102.3358579999999</v>
      </c>
      <c r="G624" s="118" t="str">
        <f>G623</f>
        <v>1st Floor</v>
      </c>
      <c r="H624" s="118"/>
      <c r="I624" s="31"/>
      <c r="N624" s="31"/>
    </row>
    <row r="625" spans="1:16" s="2" customFormat="1" ht="15.75" customHeight="1" x14ac:dyDescent="0.35">
      <c r="A625" s="119" t="s">
        <v>194</v>
      </c>
      <c r="B625" s="119"/>
      <c r="C625" s="119"/>
      <c r="D625" s="119"/>
      <c r="E625" s="119"/>
      <c r="F625" s="119"/>
      <c r="G625" s="119"/>
      <c r="H625" s="119"/>
      <c r="I625" s="31"/>
    </row>
    <row r="626" spans="1:16" s="2" customFormat="1" ht="15.75" customHeight="1" x14ac:dyDescent="0.35">
      <c r="A626" s="118" t="str">
        <f ca="1">N626</f>
        <v>201,..,1001</v>
      </c>
      <c r="B626" s="118"/>
      <c r="C626" s="82" t="s">
        <v>195</v>
      </c>
      <c r="D626" s="82">
        <f>(51.12+(0.6*(1.98+3.05))+2.13*0.75+1.3*3.05)*10.764</f>
        <v>642.61618199999987</v>
      </c>
      <c r="E626" s="82">
        <f>3.05*1.3*10.764</f>
        <v>42.679259999999999</v>
      </c>
      <c r="F626" s="82">
        <f>D626*(($F$472)+1)+E626</f>
        <v>1006.6035329999999</v>
      </c>
      <c r="G626" s="118" t="str">
        <f>A625</f>
        <v>2nd, 4th, 6th, 10th Floor</v>
      </c>
      <c r="H626" s="118"/>
      <c r="I626" s="31"/>
      <c r="N626" s="2" t="str">
        <f ca="1">O626&amp;""&amp;",..,"&amp;""&amp;P626</f>
        <v>201,..,1001</v>
      </c>
      <c r="O626" s="2">
        <f ca="1">(SUMPRODUCT(MID(0&amp;(LEFT(A625,SUM(LEN(A625)-LEN(SUBSTITUTE(A625,{"0","1","2"},""))))), LARGE(INDEX(ISNUMBER(--MID((LEFT(A625,SUM(LEN(A625)-LEN(SUBSTITUTE(A625,{"0","1","2"},""))))), ROW(INDIRECT("1:"&amp;LEN((LEFT(A625,SUM(LEN(A625)-LEN(SUBSTITUTE(A625,{"0","1","2"},"")))))))), 1)) * ROW(INDIRECT("1:"&amp;LEN((LEFT(A625,SUM(LEN(A625)-LEN(SUBSTITUTE(A625,{"0","1","2"},"")))))))), 0), ROW(INDIRECT("1:"&amp;LEN((LEFT(A625,SUM(LEN(A625)-LEN(SUBSTITUTE(A625,{"0","1","2"},"")))))))))+1, 1) * 10^ROW(INDIRECT("1:"&amp;LEN((LEFT(A625,SUM(LEN(A625)-LEN(SUBSTITUTE(A625,{"0","1","2"},""))))))))/10))*100+1</f>
        <v>201</v>
      </c>
      <c r="P626" s="2">
        <f ca="1">(SUMPRODUCT(MID(0&amp;(--TRIM(RIGHT(SUBSTITUTE(LEFT(A625,_xlfn.AGGREGATE(16,6,FIND({0,1,2,3,4,5,6,7,8,9},A625,ROW(INDIRECT("1:"&amp;LEN(A625)))),1))," ",REPT(" ",LEN(A625))),LEN(A625)))), LARGE(INDEX(ISNUMBER(--MID((--TRIM(RIGHT(SUBSTITUTE(LEFT(A625,_xlfn.AGGREGATE(16,6,FIND({0,1,2,3,4,5,6,7,8,9},A625,ROW(INDIRECT("1:"&amp;LEN(A625)))),1))," ",REPT(" ",LEN(A625))),LEN(A625)))), ROW(INDIRECT("1:"&amp;LEN((--TRIM(RIGHT(SUBSTITUTE(LEFT(A625,_xlfn.AGGREGATE(16,6,FIND({0,1,2,3,4,5,6,7,8,9},A625,ROW(INDIRECT("1:"&amp;LEN(A625)))),1))," ",REPT(" ",LEN(A625))),LEN(A625))))))), 1)) * ROW(INDIRECT("1:"&amp;LEN((--TRIM(RIGHT(SUBSTITUTE(LEFT(A625,_xlfn.AGGREGATE(16,6,FIND({0,1,2,3,4,5,6,7,8,9},A625,ROW(INDIRECT("1:"&amp;LEN(A625)))),1))," ",REPT(" ",LEN(A625))),LEN(A625))))))), 0), ROW(INDIRECT("1:"&amp;LEN((--TRIM(RIGHT(SUBSTITUTE(LEFT(A625,_xlfn.AGGREGATE(16,6,FIND({0,1,2,3,4,5,6,7,8,9},A625,ROW(INDIRECT("1:"&amp;LEN(A625)))),1))," ",REPT(" ",LEN(A625))),LEN(A625))))))))+1, 1) * 10^ROW(INDIRECT("1:"&amp;LEN((--TRIM(RIGHT(SUBSTITUTE(LEFT(A625,_xlfn.AGGREGATE(16,6,FIND({0,1,2,3,4,5,6,7,8,9},A625,ROW(INDIRECT("1:"&amp;LEN(A625)))),1))," ",REPT(" ",LEN(A625))),LEN(A625)))))))/10))*100+1</f>
        <v>1001</v>
      </c>
    </row>
    <row r="627" spans="1:16" s="2" customFormat="1" ht="15.75" customHeight="1" x14ac:dyDescent="0.35">
      <c r="A627" s="118" t="str">
        <f ca="1">N627</f>
        <v>202,..,1002</v>
      </c>
      <c r="B627" s="118"/>
      <c r="C627" s="82" t="s">
        <v>195</v>
      </c>
      <c r="D627" s="82">
        <f>(51.12+(0.6*(1.98+3.05))+2.13*0.75+1.3*3.05)*10.764</f>
        <v>642.61618199999987</v>
      </c>
      <c r="E627" s="82">
        <f t="shared" ref="E627:E643" si="29">3.05*1.3*10.764</f>
        <v>42.679259999999999</v>
      </c>
      <c r="F627" s="82">
        <f>D627*(($F$472)+1)+E627</f>
        <v>1006.6035329999999</v>
      </c>
      <c r="G627" s="118"/>
      <c r="H627" s="118"/>
      <c r="I627" s="31"/>
      <c r="N627" s="2" t="str">
        <f ca="1">O627&amp;""&amp;",..,"&amp;""&amp;P627</f>
        <v>202,..,1002</v>
      </c>
      <c r="O627" s="2">
        <f t="shared" ref="O627:P629" ca="1" si="30">O626+1</f>
        <v>202</v>
      </c>
      <c r="P627" s="2">
        <f t="shared" ca="1" si="30"/>
        <v>1002</v>
      </c>
    </row>
    <row r="628" spans="1:16" s="2" customFormat="1" ht="15.75" customHeight="1" x14ac:dyDescent="0.35">
      <c r="A628" s="118" t="str">
        <f ca="1">N628</f>
        <v>203,..,1003</v>
      </c>
      <c r="B628" s="118"/>
      <c r="C628" s="82" t="s">
        <v>195</v>
      </c>
      <c r="D628" s="82">
        <f>(53.22+(0.6*(1.98+3.05))+2.13*0.75+1.35*3.05)*10.764</f>
        <v>666.86209199999996</v>
      </c>
      <c r="E628" s="82">
        <f t="shared" si="29"/>
        <v>42.679259999999999</v>
      </c>
      <c r="F628" s="82">
        <f>D628*(($F$472)+1)+E628</f>
        <v>1042.9723979999999</v>
      </c>
      <c r="G628" s="118"/>
      <c r="H628" s="118"/>
      <c r="I628" s="31"/>
      <c r="N628" s="2" t="str">
        <f ca="1">O628&amp;""&amp;",..,"&amp;""&amp;P628</f>
        <v>203,..,1003</v>
      </c>
      <c r="O628" s="2">
        <f t="shared" ca="1" si="30"/>
        <v>203</v>
      </c>
      <c r="P628" s="2">
        <f t="shared" ca="1" si="30"/>
        <v>1003</v>
      </c>
    </row>
    <row r="629" spans="1:16" s="2" customFormat="1" ht="15.75" customHeight="1" x14ac:dyDescent="0.35">
      <c r="A629" s="118" t="str">
        <f ca="1">N629</f>
        <v>204,..,1004</v>
      </c>
      <c r="B629" s="118"/>
      <c r="C629" s="82" t="s">
        <v>195</v>
      </c>
      <c r="D629" s="82">
        <f>(53.22+(0.6*(1.98+3.05))+2.13*0.75+1.35*3.05)*10.764</f>
        <v>666.86209199999996</v>
      </c>
      <c r="E629" s="82">
        <f t="shared" si="29"/>
        <v>42.679259999999999</v>
      </c>
      <c r="F629" s="82">
        <f>D629*(($F$472)+1)+E629</f>
        <v>1042.9723979999999</v>
      </c>
      <c r="G629" s="118"/>
      <c r="H629" s="118"/>
      <c r="I629" s="31"/>
      <c r="N629" s="2" t="str">
        <f ca="1">O629&amp;""&amp;",..,"&amp;""&amp;P629</f>
        <v>204,..,1004</v>
      </c>
      <c r="O629" s="2">
        <f t="shared" ca="1" si="30"/>
        <v>204</v>
      </c>
      <c r="P629" s="2">
        <f t="shared" ca="1" si="30"/>
        <v>1004</v>
      </c>
    </row>
    <row r="630" spans="1:16" s="2" customFormat="1" ht="15.75" customHeight="1" x14ac:dyDescent="0.35">
      <c r="A630" s="119" t="s">
        <v>193</v>
      </c>
      <c r="B630" s="119"/>
      <c r="C630" s="119"/>
      <c r="D630" s="119"/>
      <c r="E630" s="119"/>
      <c r="F630" s="119"/>
      <c r="G630" s="119"/>
      <c r="H630" s="119"/>
      <c r="I630" s="31"/>
    </row>
    <row r="631" spans="1:16" s="2" customFormat="1" ht="15.75" customHeight="1" x14ac:dyDescent="0.35">
      <c r="A631" s="118" t="str">
        <f ca="1">N631</f>
        <v>301,..,1301</v>
      </c>
      <c r="B631" s="118"/>
      <c r="C631" s="82" t="s">
        <v>195</v>
      </c>
      <c r="D631" s="82">
        <f>(51.12+(0.6*(1.98+3.05))+2.13*0.75+1.3*3.05)*10.764</f>
        <v>642.61618199999987</v>
      </c>
      <c r="E631" s="82">
        <f t="shared" si="29"/>
        <v>42.679259999999999</v>
      </c>
      <c r="F631" s="82">
        <f>D631*(($F$472)+1)+E631</f>
        <v>1006.6035329999999</v>
      </c>
      <c r="G631" s="118" t="str">
        <f>A630</f>
        <v>3rd, 5th, 7th, 9th, 11th, 13th Floor</v>
      </c>
      <c r="H631" s="118"/>
      <c r="I631" s="31"/>
      <c r="N631" s="2" t="str">
        <f ca="1">O631&amp;""&amp;",..,"&amp;""&amp;P631</f>
        <v>301,..,1301</v>
      </c>
      <c r="O631" s="2">
        <f ca="1">(SUMPRODUCT(MID(0&amp;(LEFT(A630,SUM(LEN(A630)-LEN(SUBSTITUTE(A630,{"0","1","2"},""))))), LARGE(INDEX(ISNUMBER(--MID((LEFT(A630,SUM(LEN(A630)-LEN(SUBSTITUTE(A630,{"0","1","2"},""))))), ROW(INDIRECT("1:"&amp;LEN((LEFT(A630,SUM(LEN(A630)-LEN(SUBSTITUTE(A630,{"0","1","2"},"")))))))), 1)) * ROW(INDIRECT("1:"&amp;LEN((LEFT(A630,SUM(LEN(A630)-LEN(SUBSTITUTE(A630,{"0","1","2"},"")))))))), 0), ROW(INDIRECT("1:"&amp;LEN((LEFT(A630,SUM(LEN(A630)-LEN(SUBSTITUTE(A630,{"0","1","2"},"")))))))))+1, 1) * 10^ROW(INDIRECT("1:"&amp;LEN((LEFT(A630,SUM(LEN(A630)-LEN(SUBSTITUTE(A630,{"0","1","2"},""))))))))/10))*100+1</f>
        <v>301</v>
      </c>
      <c r="P631" s="2">
        <f ca="1">(SUMPRODUCT(MID(0&amp;(--TRIM(RIGHT(SUBSTITUTE(LEFT(A630,_xlfn.AGGREGATE(16,6,FIND({0,1,2,3,4,5,6,7,8,9},A630,ROW(INDIRECT("1:"&amp;LEN(A630)))),1))," ",REPT(" ",LEN(A630))),LEN(A630)))), LARGE(INDEX(ISNUMBER(--MID((--TRIM(RIGHT(SUBSTITUTE(LEFT(A630,_xlfn.AGGREGATE(16,6,FIND({0,1,2,3,4,5,6,7,8,9},A630,ROW(INDIRECT("1:"&amp;LEN(A630)))),1))," ",REPT(" ",LEN(A630))),LEN(A630)))), ROW(INDIRECT("1:"&amp;LEN((--TRIM(RIGHT(SUBSTITUTE(LEFT(A630,_xlfn.AGGREGATE(16,6,FIND({0,1,2,3,4,5,6,7,8,9},A630,ROW(INDIRECT("1:"&amp;LEN(A630)))),1))," ",REPT(" ",LEN(A630))),LEN(A630))))))), 1)) * ROW(INDIRECT("1:"&amp;LEN((--TRIM(RIGHT(SUBSTITUTE(LEFT(A630,_xlfn.AGGREGATE(16,6,FIND({0,1,2,3,4,5,6,7,8,9},A630,ROW(INDIRECT("1:"&amp;LEN(A630)))),1))," ",REPT(" ",LEN(A630))),LEN(A630))))))), 0), ROW(INDIRECT("1:"&amp;LEN((--TRIM(RIGHT(SUBSTITUTE(LEFT(A630,_xlfn.AGGREGATE(16,6,FIND({0,1,2,3,4,5,6,7,8,9},A630,ROW(INDIRECT("1:"&amp;LEN(A630)))),1))," ",REPT(" ",LEN(A630))),LEN(A630))))))))+1, 1) * 10^ROW(INDIRECT("1:"&amp;LEN((--TRIM(RIGHT(SUBSTITUTE(LEFT(A630,_xlfn.AGGREGATE(16,6,FIND({0,1,2,3,4,5,6,7,8,9},A630,ROW(INDIRECT("1:"&amp;LEN(A630)))),1))," ",REPT(" ",LEN(A630))),LEN(A630)))))))/10))*100+1</f>
        <v>1301</v>
      </c>
    </row>
    <row r="632" spans="1:16" s="2" customFormat="1" ht="15.75" customHeight="1" x14ac:dyDescent="0.35">
      <c r="A632" s="118" t="str">
        <f ca="1">N632</f>
        <v>302,..,1302</v>
      </c>
      <c r="B632" s="118"/>
      <c r="C632" s="82" t="s">
        <v>195</v>
      </c>
      <c r="D632" s="82">
        <f>(51.12+(0.6*(1.98+3.05))+2.13*0.75+1.3*3.05)*10.764</f>
        <v>642.61618199999987</v>
      </c>
      <c r="E632" s="82">
        <f t="shared" si="29"/>
        <v>42.679259999999999</v>
      </c>
      <c r="F632" s="82">
        <f>D632*(($F$472)+1)+E632</f>
        <v>1006.6035329999999</v>
      </c>
      <c r="G632" s="118"/>
      <c r="H632" s="118"/>
      <c r="I632" s="31"/>
      <c r="N632" s="2" t="str">
        <f ca="1">O632&amp;""&amp;",..,"&amp;""&amp;P632</f>
        <v>302,..,1302</v>
      </c>
      <c r="O632" s="2">
        <f t="shared" ref="O632:P634" ca="1" si="31">O631+1</f>
        <v>302</v>
      </c>
      <c r="P632" s="2">
        <f t="shared" ca="1" si="31"/>
        <v>1302</v>
      </c>
    </row>
    <row r="633" spans="1:16" s="2" customFormat="1" ht="15.75" customHeight="1" x14ac:dyDescent="0.35">
      <c r="A633" s="118" t="str">
        <f ca="1">N633</f>
        <v>303,..,1303</v>
      </c>
      <c r="B633" s="118"/>
      <c r="C633" s="82" t="s">
        <v>195</v>
      </c>
      <c r="D633" s="82">
        <f>(53.22+(0.6*(1.98+3.05))+2.13*0.75+1.35*3.05)*10.764</f>
        <v>666.86209199999996</v>
      </c>
      <c r="E633" s="82">
        <f t="shared" si="29"/>
        <v>42.679259999999999</v>
      </c>
      <c r="F633" s="82">
        <f>D633*(($F$472)+1)+E633</f>
        <v>1042.9723979999999</v>
      </c>
      <c r="G633" s="118"/>
      <c r="H633" s="118"/>
      <c r="I633" s="31"/>
      <c r="N633" s="2" t="str">
        <f ca="1">O633&amp;""&amp;",..,"&amp;""&amp;P633</f>
        <v>303,..,1303</v>
      </c>
      <c r="O633" s="2">
        <f t="shared" ca="1" si="31"/>
        <v>303</v>
      </c>
      <c r="P633" s="2">
        <f t="shared" ca="1" si="31"/>
        <v>1303</v>
      </c>
    </row>
    <row r="634" spans="1:16" s="2" customFormat="1" ht="15.75" customHeight="1" x14ac:dyDescent="0.35">
      <c r="A634" s="118" t="str">
        <f ca="1">N634</f>
        <v>304,..,1304</v>
      </c>
      <c r="B634" s="118"/>
      <c r="C634" s="82" t="s">
        <v>195</v>
      </c>
      <c r="D634" s="82">
        <f>(53.22+(0.6*(1.98+3.05))+2.13*0.75+1.35*3.05)*10.764</f>
        <v>666.86209199999996</v>
      </c>
      <c r="E634" s="82">
        <f t="shared" si="29"/>
        <v>42.679259999999999</v>
      </c>
      <c r="F634" s="82">
        <f>D634*(($F$472)+1)+E634</f>
        <v>1042.9723979999999</v>
      </c>
      <c r="G634" s="118"/>
      <c r="H634" s="118"/>
      <c r="I634" s="31"/>
      <c r="N634" s="2" t="str">
        <f ca="1">O634&amp;""&amp;",..,"&amp;""&amp;P634</f>
        <v>304,..,1304</v>
      </c>
      <c r="O634" s="2">
        <f t="shared" ca="1" si="31"/>
        <v>304</v>
      </c>
      <c r="P634" s="2">
        <f t="shared" ca="1" si="31"/>
        <v>1304</v>
      </c>
    </row>
    <row r="635" spans="1:16" s="2" customFormat="1" ht="15.75" customHeight="1" x14ac:dyDescent="0.35">
      <c r="A635" s="126" t="s">
        <v>217</v>
      </c>
      <c r="B635" s="127"/>
      <c r="C635" s="127"/>
      <c r="D635" s="127"/>
      <c r="E635" s="127"/>
      <c r="F635" s="127"/>
      <c r="G635" s="127"/>
      <c r="H635" s="128"/>
      <c r="I635" s="31"/>
    </row>
    <row r="636" spans="1:16" s="2" customFormat="1" ht="15.75" customHeight="1" x14ac:dyDescent="0.35">
      <c r="A636" s="116" t="str">
        <f ca="1">N636</f>
        <v>801 &amp; 1201</v>
      </c>
      <c r="B636" s="117"/>
      <c r="C636" s="64" t="s">
        <v>195</v>
      </c>
      <c r="D636" s="64">
        <f>(51.12+(0.6*(1.98+3.05))+2.13*0.75+1.3*3.05)*10.764</f>
        <v>642.61618199999987</v>
      </c>
      <c r="E636" s="64">
        <f t="shared" si="29"/>
        <v>42.679259999999999</v>
      </c>
      <c r="F636" s="64">
        <f>D636*(($F$472)+1)+E636</f>
        <v>1006.6035329999999</v>
      </c>
      <c r="G636" s="144" t="str">
        <f>A635</f>
        <v>8th &amp; 12th Floor (Part Refuge Area)</v>
      </c>
      <c r="H636" s="145"/>
      <c r="I636" s="31"/>
      <c r="N636" s="2" t="str">
        <f ca="1">O636&amp;""&amp;" &amp; "&amp;""&amp;P636</f>
        <v>801 &amp; 1201</v>
      </c>
      <c r="O636" s="2">
        <f ca="1">(SUMPRODUCT(MID(0&amp;(LEFT(A635,SUM(LEN(A635)-LEN(SUBSTITUTE(A635,{"0","1","2"},""))))), LARGE(INDEX(ISNUMBER(--MID((LEFT(A635,SUM(LEN(A635)-LEN(SUBSTITUTE(A635,{"0","1","2"},""))))), ROW(INDIRECT("1:"&amp;LEN((LEFT(A635,SUM(LEN(A635)-LEN(SUBSTITUTE(A635,{"0","1","2"},"")))))))), 1)) * ROW(INDIRECT("1:"&amp;LEN((LEFT(A635,SUM(LEN(A635)-LEN(SUBSTITUTE(A635,{"0","1","2"},"")))))))), 0), ROW(INDIRECT("1:"&amp;LEN((LEFT(A635,SUM(LEN(A635)-LEN(SUBSTITUTE(A635,{"0","1","2"},"")))))))))+1, 1) * 10^ROW(INDIRECT("1:"&amp;LEN((LEFT(A635,SUM(LEN(A635)-LEN(SUBSTITUTE(A635,{"0","1","2"},""))))))))/10))*100+1</f>
        <v>801</v>
      </c>
      <c r="P636" s="2">
        <f ca="1">(SUMPRODUCT(MID(0&amp;(--TRIM(RIGHT(SUBSTITUTE(LEFT(A635,_xlfn.AGGREGATE(16,6,FIND({0,1,2,3,4,5,6,7,8,9},A635,ROW(INDIRECT("1:"&amp;LEN(A635)))),1))," ",REPT(" ",LEN(A635))),LEN(A635)))), LARGE(INDEX(ISNUMBER(--MID((--TRIM(RIGHT(SUBSTITUTE(LEFT(A635,_xlfn.AGGREGATE(16,6,FIND({0,1,2,3,4,5,6,7,8,9},A635,ROW(INDIRECT("1:"&amp;LEN(A635)))),1))," ",REPT(" ",LEN(A635))),LEN(A635)))), ROW(INDIRECT("1:"&amp;LEN((--TRIM(RIGHT(SUBSTITUTE(LEFT(A635,_xlfn.AGGREGATE(16,6,FIND({0,1,2,3,4,5,6,7,8,9},A635,ROW(INDIRECT("1:"&amp;LEN(A635)))),1))," ",REPT(" ",LEN(A635))),LEN(A635))))))), 1)) * ROW(INDIRECT("1:"&amp;LEN((--TRIM(RIGHT(SUBSTITUTE(LEFT(A635,_xlfn.AGGREGATE(16,6,FIND({0,1,2,3,4,5,6,7,8,9},A635,ROW(INDIRECT("1:"&amp;LEN(A635)))),1))," ",REPT(" ",LEN(A635))),LEN(A635))))))), 0), ROW(INDIRECT("1:"&amp;LEN((--TRIM(RIGHT(SUBSTITUTE(LEFT(A635,_xlfn.AGGREGATE(16,6,FIND({0,1,2,3,4,5,6,7,8,9},A635,ROW(INDIRECT("1:"&amp;LEN(A635)))),1))," ",REPT(" ",LEN(A635))),LEN(A635))))))))+1, 1) * 10^ROW(INDIRECT("1:"&amp;LEN((--TRIM(RIGHT(SUBSTITUTE(LEFT(A635,_xlfn.AGGREGATE(16,6,FIND({0,1,2,3,4,5,6,7,8,9},A635,ROW(INDIRECT("1:"&amp;LEN(A635)))),1))," ",REPT(" ",LEN(A635))),LEN(A635)))))))/10))*100+1</f>
        <v>1201</v>
      </c>
    </row>
    <row r="637" spans="1:16" s="2" customFormat="1" ht="15.75" customHeight="1" x14ac:dyDescent="0.35">
      <c r="A637" s="116" t="str">
        <f ca="1">N637</f>
        <v>802 &amp; 1202</v>
      </c>
      <c r="B637" s="117"/>
      <c r="C637" s="64" t="s">
        <v>195</v>
      </c>
      <c r="D637" s="64">
        <f>(51.12+(0.6*(1.98+3.05))+2.13*0.75+1.3*3.05)*10.764</f>
        <v>642.61618199999987</v>
      </c>
      <c r="E637" s="64">
        <f t="shared" si="29"/>
        <v>42.679259999999999</v>
      </c>
      <c r="F637" s="64">
        <f>D637*(($F$472)+1)+E637</f>
        <v>1006.6035329999999</v>
      </c>
      <c r="G637" s="146"/>
      <c r="H637" s="147"/>
      <c r="I637" s="31"/>
      <c r="N637" s="2" t="str">
        <f ca="1">O637&amp;""&amp;" &amp; "&amp;""&amp;P637</f>
        <v>802 &amp; 1202</v>
      </c>
      <c r="O637" s="2">
        <f ca="1">O636+1</f>
        <v>802</v>
      </c>
      <c r="P637" s="2">
        <f ca="1">P636+1</f>
        <v>1202</v>
      </c>
    </row>
    <row r="638" spans="1:16" s="2" customFormat="1" ht="15.75" customHeight="1" x14ac:dyDescent="0.35">
      <c r="A638" s="116" t="str">
        <f ca="1">N638</f>
        <v>803 &amp; 1203</v>
      </c>
      <c r="B638" s="117"/>
      <c r="C638" s="64" t="s">
        <v>195</v>
      </c>
      <c r="D638" s="64">
        <f>(53.22+(0.6*(1.98+3.05))+2.13*0.75+1.35*3.05)*10.764</f>
        <v>666.86209199999996</v>
      </c>
      <c r="E638" s="64">
        <f t="shared" si="29"/>
        <v>42.679259999999999</v>
      </c>
      <c r="F638" s="64">
        <f>D638*(($F$472)+1)+E638</f>
        <v>1042.9723979999999</v>
      </c>
      <c r="G638" s="148"/>
      <c r="H638" s="149"/>
      <c r="I638" s="31"/>
      <c r="N638" s="2" t="str">
        <f ca="1">O638&amp;""&amp;" &amp; "&amp;""&amp;P638</f>
        <v>803 &amp; 1203</v>
      </c>
      <c r="O638" s="2">
        <f ca="1">O637+1</f>
        <v>803</v>
      </c>
      <c r="P638" s="2">
        <f ca="1">P637+1</f>
        <v>1203</v>
      </c>
    </row>
    <row r="639" spans="1:16" s="2" customFormat="1" ht="15.75" customHeight="1" x14ac:dyDescent="0.35">
      <c r="A639" s="217" t="s">
        <v>218</v>
      </c>
      <c r="B639" s="217"/>
      <c r="C639" s="217"/>
      <c r="D639" s="217"/>
      <c r="E639" s="217"/>
      <c r="F639" s="217"/>
      <c r="G639" s="217"/>
      <c r="H639" s="217"/>
      <c r="I639" s="31"/>
      <c r="L639" s="115"/>
      <c r="M639" s="115"/>
    </row>
    <row r="640" spans="1:16" s="2" customFormat="1" ht="15.75" customHeight="1" x14ac:dyDescent="0.35">
      <c r="A640" s="118">
        <f>LEFT(A639,SUM(LEN(A639)-LEN(SUBSTITUTE(A639,{"0","1","2","3","4","5","6","7","8","9"},""))))*100+1</f>
        <v>1401</v>
      </c>
      <c r="B640" s="118"/>
      <c r="C640" s="64" t="s">
        <v>195</v>
      </c>
      <c r="D640" s="64">
        <f>(51.12+(0.6*(1.98+3.05))+2.13*0.75+1.3*3.05)*10.764</f>
        <v>642.61618199999987</v>
      </c>
      <c r="E640" s="64">
        <f t="shared" si="29"/>
        <v>42.679259999999999</v>
      </c>
      <c r="F640" s="64">
        <f>D640*(($F$472)+1)+E640</f>
        <v>1006.6035329999999</v>
      </c>
      <c r="G640" s="144" t="str">
        <f>A639</f>
        <v>14th Floor (Part Terrace Area)</v>
      </c>
      <c r="H640" s="145"/>
      <c r="I640" s="31"/>
      <c r="N640" s="31"/>
    </row>
    <row r="641" spans="1:16" s="2" customFormat="1" ht="15.75" customHeight="1" x14ac:dyDescent="0.35">
      <c r="A641" s="216">
        <f>A640+1</f>
        <v>1402</v>
      </c>
      <c r="B641" s="216"/>
      <c r="C641" s="148" t="s">
        <v>221</v>
      </c>
      <c r="D641" s="169"/>
      <c r="E641" s="169"/>
      <c r="F641" s="149"/>
      <c r="G641" s="146"/>
      <c r="H641" s="147"/>
      <c r="I641" s="31"/>
      <c r="N641" s="31"/>
    </row>
    <row r="642" spans="1:16" s="2" customFormat="1" ht="15.75" customHeight="1" x14ac:dyDescent="0.35">
      <c r="A642" s="118">
        <f>A641+1</f>
        <v>1403</v>
      </c>
      <c r="B642" s="118"/>
      <c r="C642" s="64" t="s">
        <v>195</v>
      </c>
      <c r="D642" s="64">
        <f>(53.22+(0.6*(1.98+3.05))+2.13*0.75+1.35*3.05)*10.764</f>
        <v>666.86209199999996</v>
      </c>
      <c r="E642" s="64">
        <f t="shared" si="29"/>
        <v>42.679259999999999</v>
      </c>
      <c r="F642" s="64">
        <f>D642*(($F$472)+1)+E642</f>
        <v>1042.9723979999999</v>
      </c>
      <c r="G642" s="146"/>
      <c r="H642" s="147"/>
      <c r="I642" s="162"/>
      <c r="J642" s="163"/>
      <c r="N642" s="31"/>
    </row>
    <row r="643" spans="1:16" s="2" customFormat="1" ht="15.75" customHeight="1" x14ac:dyDescent="0.35">
      <c r="A643" s="118">
        <f>A642+1</f>
        <v>1404</v>
      </c>
      <c r="B643" s="118"/>
      <c r="C643" s="64" t="s">
        <v>195</v>
      </c>
      <c r="D643" s="64">
        <f>(53.22+(0.6*(1.98+3.05))+2.13*0.75+1.35*3.05)*10.764</f>
        <v>666.86209199999996</v>
      </c>
      <c r="E643" s="64">
        <f t="shared" si="29"/>
        <v>42.679259999999999</v>
      </c>
      <c r="F643" s="64">
        <f>D643*(($F$472)+1)+E643</f>
        <v>1042.9723979999999</v>
      </c>
      <c r="G643" s="148"/>
      <c r="H643" s="149"/>
      <c r="I643" s="164"/>
      <c r="J643" s="165"/>
      <c r="N643" s="31"/>
    </row>
    <row r="644" spans="1:16" s="1" customFormat="1" x14ac:dyDescent="0.35">
      <c r="A644" s="134" t="s">
        <v>248</v>
      </c>
      <c r="B644" s="134"/>
      <c r="C644" s="134"/>
      <c r="D644" s="134"/>
      <c r="E644" s="134"/>
      <c r="F644" s="134"/>
      <c r="G644" s="134"/>
      <c r="H644" s="134"/>
      <c r="I644" s="166"/>
      <c r="J644" s="167"/>
    </row>
    <row r="645" spans="1:16" s="2" customFormat="1" x14ac:dyDescent="0.35">
      <c r="A645" s="126" t="s">
        <v>200</v>
      </c>
      <c r="B645" s="127"/>
      <c r="C645" s="127"/>
      <c r="D645" s="127"/>
      <c r="E645" s="127"/>
      <c r="F645" s="127"/>
      <c r="G645" s="127"/>
      <c r="H645" s="128"/>
      <c r="I645" s="31"/>
      <c r="L645" s="115"/>
      <c r="M645" s="115"/>
    </row>
    <row r="646" spans="1:16" s="2" customFormat="1" ht="15.75" customHeight="1" x14ac:dyDescent="0.35">
      <c r="A646" s="126" t="s">
        <v>198</v>
      </c>
      <c r="B646" s="127"/>
      <c r="C646" s="127"/>
      <c r="D646" s="127"/>
      <c r="E646" s="127"/>
      <c r="F646" s="127"/>
      <c r="G646" s="127"/>
      <c r="H646" s="128"/>
      <c r="I646" s="31"/>
    </row>
    <row r="647" spans="1:16" s="2" customFormat="1" ht="15.75" customHeight="1" x14ac:dyDescent="0.35">
      <c r="A647" s="116" t="str">
        <f t="shared" ref="A647:A654" ca="1" si="32">N647</f>
        <v>101,..,1301</v>
      </c>
      <c r="B647" s="117"/>
      <c r="C647" s="64" t="s">
        <v>197</v>
      </c>
      <c r="D647" s="64">
        <f>(37.39+(0.6*3.05)+2.15*0.75+1.5*2.75)*10.764</f>
        <v>483.92252999999994</v>
      </c>
      <c r="E647" s="64">
        <f>3.05*1.5*10.764</f>
        <v>49.245299999999986</v>
      </c>
      <c r="F647" s="64">
        <f t="shared" ref="F647:F654" si="33">D647*(($F$472)+1)+E647</f>
        <v>775.12909500000001</v>
      </c>
      <c r="G647" s="144" t="str">
        <f>A646</f>
        <v>1st, 3rd, 5th, 7th, 9th, 11th, 13th Floor</v>
      </c>
      <c r="H647" s="145"/>
      <c r="I647" s="31"/>
      <c r="J647" s="2">
        <f>3850000/F647</f>
        <v>4966.9145756940006</v>
      </c>
      <c r="N647" s="2" t="str">
        <f t="shared" ref="N647:N654" ca="1" si="34">O647&amp;""&amp;",..,"&amp;""&amp;P647</f>
        <v>101,..,1301</v>
      </c>
      <c r="O647" s="2">
        <f ca="1">(SUMPRODUCT(MID(0&amp;(LEFT(A646,SUM(LEN(A646)-LEN(SUBSTITUTE(A646,{"0","1","2"},""))))), LARGE(INDEX(ISNUMBER(--MID((LEFT(A646,SUM(LEN(A646)-LEN(SUBSTITUTE(A646,{"0","1","2"},""))))), ROW(INDIRECT("1:"&amp;LEN((LEFT(A646,SUM(LEN(A646)-LEN(SUBSTITUTE(A646,{"0","1","2"},"")))))))), 1)) * ROW(INDIRECT("1:"&amp;LEN((LEFT(A646,SUM(LEN(A646)-LEN(SUBSTITUTE(A646,{"0","1","2"},"")))))))), 0), ROW(INDIRECT("1:"&amp;LEN((LEFT(A646,SUM(LEN(A646)-LEN(SUBSTITUTE(A646,{"0","1","2"},"")))))))))+1, 1) * 10^ROW(INDIRECT("1:"&amp;LEN((LEFT(A646,SUM(LEN(A646)-LEN(SUBSTITUTE(A646,{"0","1","2"},""))))))))/10))*100+1</f>
        <v>101</v>
      </c>
      <c r="P647" s="2">
        <f ca="1">(SUMPRODUCT(MID(0&amp;(--TRIM(RIGHT(SUBSTITUTE(LEFT(A646,_xlfn.AGGREGATE(16,6,FIND({0,1,2,3,4,5,6,7,8,9},A646,ROW(INDIRECT("1:"&amp;LEN(A646)))),1))," ",REPT(" ",LEN(A646))),LEN(A646)))), LARGE(INDEX(ISNUMBER(--MID((--TRIM(RIGHT(SUBSTITUTE(LEFT(A646,_xlfn.AGGREGATE(16,6,FIND({0,1,2,3,4,5,6,7,8,9},A646,ROW(INDIRECT("1:"&amp;LEN(A646)))),1))," ",REPT(" ",LEN(A646))),LEN(A646)))), ROW(INDIRECT("1:"&amp;LEN((--TRIM(RIGHT(SUBSTITUTE(LEFT(A646,_xlfn.AGGREGATE(16,6,FIND({0,1,2,3,4,5,6,7,8,9},A646,ROW(INDIRECT("1:"&amp;LEN(A646)))),1))," ",REPT(" ",LEN(A646))),LEN(A646))))))), 1)) * ROW(INDIRECT("1:"&amp;LEN((--TRIM(RIGHT(SUBSTITUTE(LEFT(A646,_xlfn.AGGREGATE(16,6,FIND({0,1,2,3,4,5,6,7,8,9},A646,ROW(INDIRECT("1:"&amp;LEN(A646)))),1))," ",REPT(" ",LEN(A646))),LEN(A646))))))), 0), ROW(INDIRECT("1:"&amp;LEN((--TRIM(RIGHT(SUBSTITUTE(LEFT(A646,_xlfn.AGGREGATE(16,6,FIND({0,1,2,3,4,5,6,7,8,9},A646,ROW(INDIRECT("1:"&amp;LEN(A646)))),1))," ",REPT(" ",LEN(A646))),LEN(A646))))))))+1, 1) * 10^ROW(INDIRECT("1:"&amp;LEN((--TRIM(RIGHT(SUBSTITUTE(LEFT(A646,_xlfn.AGGREGATE(16,6,FIND({0,1,2,3,4,5,6,7,8,9},A646,ROW(INDIRECT("1:"&amp;LEN(A646)))),1))," ",REPT(" ",LEN(A646))),LEN(A646)))))))/10))*100+1</f>
        <v>1301</v>
      </c>
    </row>
    <row r="648" spans="1:16" s="2" customFormat="1" ht="15.75" customHeight="1" x14ac:dyDescent="0.35">
      <c r="A648" s="116" t="str">
        <f t="shared" ca="1" si="32"/>
        <v>102,..,1302</v>
      </c>
      <c r="B648" s="117"/>
      <c r="C648" s="64" t="s">
        <v>197</v>
      </c>
      <c r="D648" s="64">
        <f>(37.39+(0.6*3.05)+2.15*0.75+1.5*2.75)*10.764</f>
        <v>483.92252999999994</v>
      </c>
      <c r="E648" s="79">
        <f t="shared" ref="E648:E654" si="35">3.05*1.5*10.764</f>
        <v>49.245299999999986</v>
      </c>
      <c r="F648" s="64">
        <f t="shared" si="33"/>
        <v>775.12909500000001</v>
      </c>
      <c r="G648" s="146"/>
      <c r="H648" s="147"/>
      <c r="I648" s="31"/>
      <c r="N648" s="2" t="str">
        <f t="shared" ca="1" si="34"/>
        <v>102,..,1302</v>
      </c>
      <c r="O648" s="2">
        <f t="shared" ref="O648:P654" ca="1" si="36">O647+1</f>
        <v>102</v>
      </c>
      <c r="P648" s="2">
        <f t="shared" ca="1" si="36"/>
        <v>1302</v>
      </c>
    </row>
    <row r="649" spans="1:16" s="2" customFormat="1" ht="15.75" customHeight="1" x14ac:dyDescent="0.35">
      <c r="A649" s="116" t="str">
        <f t="shared" ca="1" si="32"/>
        <v>103,..,1303</v>
      </c>
      <c r="B649" s="117"/>
      <c r="C649" s="64" t="s">
        <v>197</v>
      </c>
      <c r="D649" s="64">
        <f>(33.82+(0.6*3.05)+2.15*0.75+1.5*2.9)*10.764</f>
        <v>447.91694999999993</v>
      </c>
      <c r="E649" s="79">
        <f t="shared" si="35"/>
        <v>49.245299999999986</v>
      </c>
      <c r="F649" s="64">
        <f t="shared" si="33"/>
        <v>721.12072499999999</v>
      </c>
      <c r="G649" s="146"/>
      <c r="H649" s="147"/>
      <c r="I649" s="31"/>
      <c r="N649" s="2" t="str">
        <f t="shared" ca="1" si="34"/>
        <v>103,..,1303</v>
      </c>
      <c r="O649" s="2">
        <f t="shared" ca="1" si="36"/>
        <v>103</v>
      </c>
      <c r="P649" s="2">
        <f t="shared" ca="1" si="36"/>
        <v>1303</v>
      </c>
    </row>
    <row r="650" spans="1:16" s="2" customFormat="1" ht="15.75" customHeight="1" x14ac:dyDescent="0.35">
      <c r="A650" s="116" t="str">
        <f t="shared" ca="1" si="32"/>
        <v>104,..,1304</v>
      </c>
      <c r="B650" s="117"/>
      <c r="C650" s="64" t="s">
        <v>197</v>
      </c>
      <c r="D650" s="64">
        <f>(33.82+(0.6*3.05)+2.15*0.75+1.5*2.9)*10.764</f>
        <v>447.91694999999993</v>
      </c>
      <c r="E650" s="79">
        <f t="shared" si="35"/>
        <v>49.245299999999986</v>
      </c>
      <c r="F650" s="64">
        <f t="shared" si="33"/>
        <v>721.12072499999999</v>
      </c>
      <c r="G650" s="146"/>
      <c r="H650" s="147"/>
      <c r="I650" s="31"/>
      <c r="N650" s="2" t="str">
        <f t="shared" ca="1" si="34"/>
        <v>104,..,1304</v>
      </c>
      <c r="O650" s="2">
        <f t="shared" ca="1" si="36"/>
        <v>104</v>
      </c>
      <c r="P650" s="2">
        <f t="shared" ca="1" si="36"/>
        <v>1304</v>
      </c>
    </row>
    <row r="651" spans="1:16" s="2" customFormat="1" ht="15.75" customHeight="1" x14ac:dyDescent="0.35">
      <c r="A651" s="116" t="str">
        <f t="shared" ca="1" si="32"/>
        <v>105,..,1305</v>
      </c>
      <c r="B651" s="117"/>
      <c r="C651" s="64" t="s">
        <v>197</v>
      </c>
      <c r="D651" s="64">
        <f>(37.39+(0.6*3.05)+2.15*0.75+1.5*2.75)*10.764</f>
        <v>483.92252999999994</v>
      </c>
      <c r="E651" s="79">
        <f t="shared" si="35"/>
        <v>49.245299999999986</v>
      </c>
      <c r="F651" s="64">
        <f t="shared" si="33"/>
        <v>775.12909500000001</v>
      </c>
      <c r="G651" s="146"/>
      <c r="H651" s="147"/>
      <c r="I651" s="31"/>
      <c r="N651" s="2" t="str">
        <f t="shared" ca="1" si="34"/>
        <v>105,..,1305</v>
      </c>
      <c r="O651" s="2">
        <f t="shared" ca="1" si="36"/>
        <v>105</v>
      </c>
      <c r="P651" s="2">
        <f t="shared" ca="1" si="36"/>
        <v>1305</v>
      </c>
    </row>
    <row r="652" spans="1:16" s="2" customFormat="1" ht="15.75" customHeight="1" x14ac:dyDescent="0.35">
      <c r="A652" s="116" t="str">
        <f t="shared" ca="1" si="32"/>
        <v>106,..,1306</v>
      </c>
      <c r="B652" s="117"/>
      <c r="C652" s="64" t="s">
        <v>197</v>
      </c>
      <c r="D652" s="64">
        <f>(37.39+(0.6*3.05)+2.15*0.75+1.5*2.75)*10.764</f>
        <v>483.92252999999994</v>
      </c>
      <c r="E652" s="79">
        <f t="shared" si="35"/>
        <v>49.245299999999986</v>
      </c>
      <c r="F652" s="64">
        <f t="shared" si="33"/>
        <v>775.12909500000001</v>
      </c>
      <c r="G652" s="146"/>
      <c r="H652" s="147"/>
      <c r="I652" s="31"/>
      <c r="N652" s="2" t="str">
        <f t="shared" ca="1" si="34"/>
        <v>106,..,1306</v>
      </c>
      <c r="O652" s="2">
        <f t="shared" ca="1" si="36"/>
        <v>106</v>
      </c>
      <c r="P652" s="2">
        <f t="shared" ca="1" si="36"/>
        <v>1306</v>
      </c>
    </row>
    <row r="653" spans="1:16" s="2" customFormat="1" ht="15.75" customHeight="1" x14ac:dyDescent="0.35">
      <c r="A653" s="116" t="str">
        <f t="shared" ca="1" si="32"/>
        <v>107,..,1307</v>
      </c>
      <c r="B653" s="117"/>
      <c r="C653" s="64" t="s">
        <v>197</v>
      </c>
      <c r="D653" s="64">
        <f>(33.82+(0.6*3.05)+2.15*0.75+1.5*2.9)*10.764</f>
        <v>447.91694999999993</v>
      </c>
      <c r="E653" s="79">
        <f t="shared" si="35"/>
        <v>49.245299999999986</v>
      </c>
      <c r="F653" s="64">
        <f t="shared" si="33"/>
        <v>721.12072499999999</v>
      </c>
      <c r="G653" s="146"/>
      <c r="H653" s="147"/>
      <c r="I653" s="31"/>
      <c r="N653" s="2" t="str">
        <f t="shared" ca="1" si="34"/>
        <v>107,..,1307</v>
      </c>
      <c r="O653" s="2">
        <f t="shared" ca="1" si="36"/>
        <v>107</v>
      </c>
      <c r="P653" s="2">
        <f t="shared" ca="1" si="36"/>
        <v>1307</v>
      </c>
    </row>
    <row r="654" spans="1:16" s="2" customFormat="1" ht="15.75" customHeight="1" x14ac:dyDescent="0.35">
      <c r="A654" s="116" t="str">
        <f t="shared" ca="1" si="32"/>
        <v>108,..,1308</v>
      </c>
      <c r="B654" s="117"/>
      <c r="C654" s="64" t="s">
        <v>197</v>
      </c>
      <c r="D654" s="64">
        <f>(33.82+(0.6*3.05)+2.15*0.75+1.5*2.9)*10.764</f>
        <v>447.91694999999993</v>
      </c>
      <c r="E654" s="79">
        <f t="shared" si="35"/>
        <v>49.245299999999986</v>
      </c>
      <c r="F654" s="64">
        <f t="shared" si="33"/>
        <v>721.12072499999999</v>
      </c>
      <c r="G654" s="148"/>
      <c r="H654" s="149"/>
      <c r="I654" s="31"/>
      <c r="N654" s="2" t="str">
        <f t="shared" ca="1" si="34"/>
        <v>108,..,1308</v>
      </c>
      <c r="O654" s="2">
        <f t="shared" ca="1" si="36"/>
        <v>108</v>
      </c>
      <c r="P654" s="2">
        <f t="shared" ca="1" si="36"/>
        <v>1308</v>
      </c>
    </row>
    <row r="655" spans="1:16" s="2" customFormat="1" ht="15.75" customHeight="1" x14ac:dyDescent="0.35">
      <c r="A655" s="126" t="s">
        <v>199</v>
      </c>
      <c r="B655" s="127"/>
      <c r="C655" s="127"/>
      <c r="D655" s="127"/>
      <c r="E655" s="127"/>
      <c r="F655" s="127"/>
      <c r="G655" s="127"/>
      <c r="H655" s="128"/>
      <c r="I655" s="31"/>
    </row>
    <row r="656" spans="1:16" s="2" customFormat="1" ht="15.75" customHeight="1" x14ac:dyDescent="0.35">
      <c r="A656" s="116" t="str">
        <f t="shared" ref="A656:A663" ca="1" si="37">N656</f>
        <v>201,..,1401</v>
      </c>
      <c r="B656" s="117"/>
      <c r="C656" s="64" t="s">
        <v>197</v>
      </c>
      <c r="D656" s="64">
        <f>(35.78+(0.6*2.75)+2.15*0.75+1.5*3.05)*10.764</f>
        <v>469.49876999999987</v>
      </c>
      <c r="E656" s="64">
        <f>3.05*1.5*10.764</f>
        <v>49.245299999999986</v>
      </c>
      <c r="F656" s="64">
        <f t="shared" ref="F656:F663" si="38">D656*(($F$472)+1)+E656</f>
        <v>753.49345499999981</v>
      </c>
      <c r="G656" s="144" t="str">
        <f>A655</f>
        <v>2nd, 4th, 6th, 10th, 14th Floor</v>
      </c>
      <c r="H656" s="145"/>
      <c r="I656" s="31"/>
      <c r="N656" s="2" t="str">
        <f t="shared" ref="N656:N663" ca="1" si="39">O656&amp;""&amp;",..,"&amp;""&amp;P656</f>
        <v>201,..,1401</v>
      </c>
      <c r="O656" s="2">
        <f ca="1">(SUMPRODUCT(MID(0&amp;(LEFT(A655,SUM(LEN(A655)-LEN(SUBSTITUTE(A655,{"0","1","2"},""))))), LARGE(INDEX(ISNUMBER(--MID((LEFT(A655,SUM(LEN(A655)-LEN(SUBSTITUTE(A655,{"0","1","2"},""))))), ROW(INDIRECT("1:"&amp;LEN((LEFT(A655,SUM(LEN(A655)-LEN(SUBSTITUTE(A655,{"0","1","2"},"")))))))), 1)) * ROW(INDIRECT("1:"&amp;LEN((LEFT(A655,SUM(LEN(A655)-LEN(SUBSTITUTE(A655,{"0","1","2"},"")))))))), 0), ROW(INDIRECT("1:"&amp;LEN((LEFT(A655,SUM(LEN(A655)-LEN(SUBSTITUTE(A655,{"0","1","2"},"")))))))))+1, 1) * 10^ROW(INDIRECT("1:"&amp;LEN((LEFT(A655,SUM(LEN(A655)-LEN(SUBSTITUTE(A655,{"0","1","2"},""))))))))/10))*100+1</f>
        <v>201</v>
      </c>
      <c r="P656" s="2">
        <f ca="1">(SUMPRODUCT(MID(0&amp;(--TRIM(RIGHT(SUBSTITUTE(LEFT(A655,_xlfn.AGGREGATE(16,6,FIND({0,1,2,3,4,5,6,7,8,9},A655,ROW(INDIRECT("1:"&amp;LEN(A655)))),1))," ",REPT(" ",LEN(A655))),LEN(A655)))), LARGE(INDEX(ISNUMBER(--MID((--TRIM(RIGHT(SUBSTITUTE(LEFT(A655,_xlfn.AGGREGATE(16,6,FIND({0,1,2,3,4,5,6,7,8,9},A655,ROW(INDIRECT("1:"&amp;LEN(A655)))),1))," ",REPT(" ",LEN(A655))),LEN(A655)))), ROW(INDIRECT("1:"&amp;LEN((--TRIM(RIGHT(SUBSTITUTE(LEFT(A655,_xlfn.AGGREGATE(16,6,FIND({0,1,2,3,4,5,6,7,8,9},A655,ROW(INDIRECT("1:"&amp;LEN(A655)))),1))," ",REPT(" ",LEN(A655))),LEN(A655))))))), 1)) * ROW(INDIRECT("1:"&amp;LEN((--TRIM(RIGHT(SUBSTITUTE(LEFT(A655,_xlfn.AGGREGATE(16,6,FIND({0,1,2,3,4,5,6,7,8,9},A655,ROW(INDIRECT("1:"&amp;LEN(A655)))),1))," ",REPT(" ",LEN(A655))),LEN(A655))))))), 0), ROW(INDIRECT("1:"&amp;LEN((--TRIM(RIGHT(SUBSTITUTE(LEFT(A655,_xlfn.AGGREGATE(16,6,FIND({0,1,2,3,4,5,6,7,8,9},A655,ROW(INDIRECT("1:"&amp;LEN(A655)))),1))," ",REPT(" ",LEN(A655))),LEN(A655))))))))+1, 1) * 10^ROW(INDIRECT("1:"&amp;LEN((--TRIM(RIGHT(SUBSTITUTE(LEFT(A655,_xlfn.AGGREGATE(16,6,FIND({0,1,2,3,4,5,6,7,8,9},A655,ROW(INDIRECT("1:"&amp;LEN(A655)))),1))," ",REPT(" ",LEN(A655))),LEN(A655)))))))/10))*100+1</f>
        <v>1401</v>
      </c>
    </row>
    <row r="657" spans="1:16" s="2" customFormat="1" ht="15.75" customHeight="1" x14ac:dyDescent="0.35">
      <c r="A657" s="116" t="str">
        <f t="shared" ca="1" si="37"/>
        <v>202,..,1402</v>
      </c>
      <c r="B657" s="117"/>
      <c r="C657" s="64" t="s">
        <v>197</v>
      </c>
      <c r="D657" s="64">
        <f>(37.39+(0.6*2.75)+2.15*0.75+1.5*3.05)*10.764</f>
        <v>486.82880999999986</v>
      </c>
      <c r="E657" s="79">
        <f t="shared" ref="E657:E663" si="40">3.05*1.5*10.764</f>
        <v>49.245299999999986</v>
      </c>
      <c r="F657" s="64">
        <f t="shared" si="38"/>
        <v>779.48851499999978</v>
      </c>
      <c r="G657" s="146"/>
      <c r="H657" s="147"/>
      <c r="I657" s="31"/>
      <c r="N657" s="2" t="str">
        <f t="shared" ca="1" si="39"/>
        <v>202,..,1402</v>
      </c>
      <c r="O657" s="2">
        <f t="shared" ref="O657:P663" ca="1" si="41">O656+1</f>
        <v>202</v>
      </c>
      <c r="P657" s="2">
        <f t="shared" ca="1" si="41"/>
        <v>1402</v>
      </c>
    </row>
    <row r="658" spans="1:16" s="2" customFormat="1" ht="15.75" customHeight="1" x14ac:dyDescent="0.35">
      <c r="A658" s="116" t="str">
        <f t="shared" ca="1" si="37"/>
        <v>203,..,1403</v>
      </c>
      <c r="B658" s="117"/>
      <c r="C658" s="64" t="s">
        <v>197</v>
      </c>
      <c r="D658" s="64">
        <f>(33.82+(0.6*2.9)+2.15*0.75+1.5*3.05)*10.764</f>
        <v>449.37009</v>
      </c>
      <c r="E658" s="79">
        <f t="shared" si="40"/>
        <v>49.245299999999986</v>
      </c>
      <c r="F658" s="64">
        <f t="shared" si="38"/>
        <v>723.30043500000011</v>
      </c>
      <c r="G658" s="146"/>
      <c r="H658" s="147"/>
      <c r="I658" s="31"/>
      <c r="N658" s="2" t="str">
        <f t="shared" ca="1" si="39"/>
        <v>203,..,1403</v>
      </c>
      <c r="O658" s="2">
        <f t="shared" ca="1" si="41"/>
        <v>203</v>
      </c>
      <c r="P658" s="2">
        <f t="shared" ca="1" si="41"/>
        <v>1403</v>
      </c>
    </row>
    <row r="659" spans="1:16" s="2" customFormat="1" ht="15.75" customHeight="1" x14ac:dyDescent="0.35">
      <c r="A659" s="116" t="str">
        <f t="shared" ca="1" si="37"/>
        <v>204,..,1404</v>
      </c>
      <c r="B659" s="117"/>
      <c r="C659" s="64" t="s">
        <v>197</v>
      </c>
      <c r="D659" s="64">
        <f>(33.82+(0.6*2.9)+2.15*0.75+1.5*3.05)*10.764</f>
        <v>449.37009</v>
      </c>
      <c r="E659" s="79">
        <f t="shared" si="40"/>
        <v>49.245299999999986</v>
      </c>
      <c r="F659" s="64">
        <f t="shared" si="38"/>
        <v>723.30043500000011</v>
      </c>
      <c r="G659" s="146"/>
      <c r="H659" s="147"/>
      <c r="I659" s="31"/>
      <c r="J659" s="2">
        <f>3.05*3.2+1.2*2.15+2.9*3.05+2.15*3.05+1.2*2.15+1.55*0.45</f>
        <v>31.02</v>
      </c>
      <c r="N659" s="2" t="str">
        <f t="shared" ca="1" si="39"/>
        <v>204,..,1404</v>
      </c>
      <c r="O659" s="2">
        <f t="shared" ca="1" si="41"/>
        <v>204</v>
      </c>
      <c r="P659" s="2">
        <f t="shared" ca="1" si="41"/>
        <v>1404</v>
      </c>
    </row>
    <row r="660" spans="1:16" s="2" customFormat="1" ht="15.75" customHeight="1" x14ac:dyDescent="0.35">
      <c r="A660" s="116" t="str">
        <f t="shared" ca="1" si="37"/>
        <v>205,..,1405</v>
      </c>
      <c r="B660" s="117"/>
      <c r="C660" s="64" t="s">
        <v>197</v>
      </c>
      <c r="D660" s="64">
        <f>(37.39+(0.6*2.75)+2.15*0.75+1.5*3.05)*10.764</f>
        <v>486.82880999999986</v>
      </c>
      <c r="E660" s="79">
        <f t="shared" si="40"/>
        <v>49.245299999999986</v>
      </c>
      <c r="F660" s="64">
        <f t="shared" si="38"/>
        <v>779.48851499999978</v>
      </c>
      <c r="G660" s="146"/>
      <c r="H660" s="147"/>
      <c r="I660" s="31"/>
      <c r="N660" s="2" t="str">
        <f t="shared" ca="1" si="39"/>
        <v>205,..,1405</v>
      </c>
      <c r="O660" s="2">
        <f t="shared" ca="1" si="41"/>
        <v>205</v>
      </c>
      <c r="P660" s="2">
        <f t="shared" ca="1" si="41"/>
        <v>1405</v>
      </c>
    </row>
    <row r="661" spans="1:16" s="2" customFormat="1" ht="15.75" customHeight="1" x14ac:dyDescent="0.35">
      <c r="A661" s="116" t="str">
        <f t="shared" ca="1" si="37"/>
        <v>206,..,1406</v>
      </c>
      <c r="B661" s="117"/>
      <c r="C661" s="64" t="s">
        <v>197</v>
      </c>
      <c r="D661" s="79">
        <f>(37.39+(0.6*2.75)+2.15*0.75+1.5*3.05)*10.764</f>
        <v>486.82880999999986</v>
      </c>
      <c r="E661" s="79">
        <f t="shared" si="40"/>
        <v>49.245299999999986</v>
      </c>
      <c r="F661" s="64">
        <f t="shared" si="38"/>
        <v>779.48851499999978</v>
      </c>
      <c r="G661" s="146"/>
      <c r="H661" s="147"/>
      <c r="I661" s="31"/>
      <c r="N661" s="2" t="str">
        <f t="shared" ca="1" si="39"/>
        <v>206,..,1406</v>
      </c>
      <c r="O661" s="2">
        <f t="shared" ca="1" si="41"/>
        <v>206</v>
      </c>
      <c r="P661" s="2">
        <f t="shared" ca="1" si="41"/>
        <v>1406</v>
      </c>
    </row>
    <row r="662" spans="1:16" s="2" customFormat="1" ht="15.75" customHeight="1" x14ac:dyDescent="0.35">
      <c r="A662" s="116" t="str">
        <f t="shared" ca="1" si="37"/>
        <v>207,..,1407</v>
      </c>
      <c r="B662" s="117"/>
      <c r="C662" s="64" t="s">
        <v>197</v>
      </c>
      <c r="D662" s="64">
        <f>(33.82+(0.6*2.9)+2.15*0.75+1.5*3.05)*10.764</f>
        <v>449.37009</v>
      </c>
      <c r="E662" s="79">
        <f t="shared" si="40"/>
        <v>49.245299999999986</v>
      </c>
      <c r="F662" s="64">
        <f t="shared" si="38"/>
        <v>723.30043500000011</v>
      </c>
      <c r="G662" s="146"/>
      <c r="H662" s="147"/>
      <c r="I662" s="31"/>
      <c r="N662" s="2" t="str">
        <f t="shared" ca="1" si="39"/>
        <v>207,..,1407</v>
      </c>
      <c r="O662" s="2">
        <f t="shared" ca="1" si="41"/>
        <v>207</v>
      </c>
      <c r="P662" s="2">
        <f t="shared" ca="1" si="41"/>
        <v>1407</v>
      </c>
    </row>
    <row r="663" spans="1:16" s="2" customFormat="1" ht="15.75" customHeight="1" x14ac:dyDescent="0.35">
      <c r="A663" s="116" t="str">
        <f t="shared" ca="1" si="37"/>
        <v>208,..,1408</v>
      </c>
      <c r="B663" s="117"/>
      <c r="C663" s="64" t="s">
        <v>197</v>
      </c>
      <c r="D663" s="64">
        <f>(33.82+(0.6*2.9)+2.15*0.75+1.5*3.05)*10.764</f>
        <v>449.37009</v>
      </c>
      <c r="E663" s="79">
        <f t="shared" si="40"/>
        <v>49.245299999999986</v>
      </c>
      <c r="F663" s="64">
        <f t="shared" si="38"/>
        <v>723.30043500000011</v>
      </c>
      <c r="G663" s="148"/>
      <c r="H663" s="149"/>
      <c r="I663" s="31"/>
      <c r="N663" s="2" t="str">
        <f t="shared" ca="1" si="39"/>
        <v>208,..,1408</v>
      </c>
      <c r="O663" s="2">
        <f t="shared" ca="1" si="41"/>
        <v>208</v>
      </c>
      <c r="P663" s="2">
        <f t="shared" ca="1" si="41"/>
        <v>1408</v>
      </c>
    </row>
    <row r="664" spans="1:16" s="78" customFormat="1" ht="15.75" customHeight="1" x14ac:dyDescent="0.35">
      <c r="A664" s="126" t="s">
        <v>219</v>
      </c>
      <c r="B664" s="127"/>
      <c r="C664" s="127"/>
      <c r="D664" s="127"/>
      <c r="E664" s="127"/>
      <c r="F664" s="127"/>
      <c r="G664" s="127"/>
      <c r="H664" s="128"/>
      <c r="I664" s="31"/>
    </row>
    <row r="665" spans="1:16" s="78" customFormat="1" ht="15.75" customHeight="1" x14ac:dyDescent="0.35">
      <c r="A665" s="116" t="str">
        <f t="shared" ref="A665:A672" ca="1" si="42">N665</f>
        <v>801,..,1201</v>
      </c>
      <c r="B665" s="117"/>
      <c r="C665" s="79" t="s">
        <v>197</v>
      </c>
      <c r="D665" s="79">
        <f>(35.78+(0.6*2.75)+2.15*0.75+1.5*3.05)*10.764</f>
        <v>469.49876999999987</v>
      </c>
      <c r="E665" s="79">
        <f>3.05*1.5*10.764</f>
        <v>49.245299999999986</v>
      </c>
      <c r="F665" s="79">
        <f t="shared" ref="F665:F667" si="43">D665*(($F$472)+1)+E665</f>
        <v>753.49345499999981</v>
      </c>
      <c r="G665" s="144" t="str">
        <f>A664</f>
        <v>8th &amp; 12th Floor ( Part Refuge Area)</v>
      </c>
      <c r="H665" s="145"/>
      <c r="I665" s="31"/>
      <c r="N665" s="78" t="str">
        <f t="shared" ref="N665:N672" ca="1" si="44">O665&amp;""&amp;",..,"&amp;""&amp;P665</f>
        <v>801,..,1201</v>
      </c>
      <c r="O665" s="78">
        <f ca="1">(SUMPRODUCT(MID(0&amp;(LEFT(A664,SUM(LEN(A664)-LEN(SUBSTITUTE(A664,{"0","1","2"},""))))), LARGE(INDEX(ISNUMBER(--MID((LEFT(A664,SUM(LEN(A664)-LEN(SUBSTITUTE(A664,{"0","1","2"},""))))), ROW(INDIRECT("1:"&amp;LEN((LEFT(A664,SUM(LEN(A664)-LEN(SUBSTITUTE(A664,{"0","1","2"},"")))))))), 1)) * ROW(INDIRECT("1:"&amp;LEN((LEFT(A664,SUM(LEN(A664)-LEN(SUBSTITUTE(A664,{"0","1","2"},"")))))))), 0), ROW(INDIRECT("1:"&amp;LEN((LEFT(A664,SUM(LEN(A664)-LEN(SUBSTITUTE(A664,{"0","1","2"},"")))))))))+1, 1) * 10^ROW(INDIRECT("1:"&amp;LEN((LEFT(A664,SUM(LEN(A664)-LEN(SUBSTITUTE(A664,{"0","1","2"},""))))))))/10))*100+1</f>
        <v>801</v>
      </c>
      <c r="P665" s="78">
        <f ca="1">(SUMPRODUCT(MID(0&amp;(--TRIM(RIGHT(SUBSTITUTE(LEFT(A664,_xlfn.AGGREGATE(16,6,FIND({0,1,2,3,4,5,6,7,8,9},A664,ROW(INDIRECT("1:"&amp;LEN(A664)))),1))," ",REPT(" ",LEN(A664))),LEN(A664)))), LARGE(INDEX(ISNUMBER(--MID((--TRIM(RIGHT(SUBSTITUTE(LEFT(A664,_xlfn.AGGREGATE(16,6,FIND({0,1,2,3,4,5,6,7,8,9},A664,ROW(INDIRECT("1:"&amp;LEN(A664)))),1))," ",REPT(" ",LEN(A664))),LEN(A664)))), ROW(INDIRECT("1:"&amp;LEN((--TRIM(RIGHT(SUBSTITUTE(LEFT(A664,_xlfn.AGGREGATE(16,6,FIND({0,1,2,3,4,5,6,7,8,9},A664,ROW(INDIRECT("1:"&amp;LEN(A664)))),1))," ",REPT(" ",LEN(A664))),LEN(A664))))))), 1)) * ROW(INDIRECT("1:"&amp;LEN((--TRIM(RIGHT(SUBSTITUTE(LEFT(A664,_xlfn.AGGREGATE(16,6,FIND({0,1,2,3,4,5,6,7,8,9},A664,ROW(INDIRECT("1:"&amp;LEN(A664)))),1))," ",REPT(" ",LEN(A664))),LEN(A664))))))), 0), ROW(INDIRECT("1:"&amp;LEN((--TRIM(RIGHT(SUBSTITUTE(LEFT(A664,_xlfn.AGGREGATE(16,6,FIND({0,1,2,3,4,5,6,7,8,9},A664,ROW(INDIRECT("1:"&amp;LEN(A664)))),1))," ",REPT(" ",LEN(A664))),LEN(A664))))))))+1, 1) * 10^ROW(INDIRECT("1:"&amp;LEN((--TRIM(RIGHT(SUBSTITUTE(LEFT(A664,_xlfn.AGGREGATE(16,6,FIND({0,1,2,3,4,5,6,7,8,9},A664,ROW(INDIRECT("1:"&amp;LEN(A664)))),1))," ",REPT(" ",LEN(A664))),LEN(A664)))))))/10))*100+1</f>
        <v>1201</v>
      </c>
    </row>
    <row r="666" spans="1:16" s="78" customFormat="1" ht="15.75" customHeight="1" x14ac:dyDescent="0.35">
      <c r="A666" s="116" t="str">
        <f t="shared" ca="1" si="42"/>
        <v>802,..,1202</v>
      </c>
      <c r="B666" s="117"/>
      <c r="C666" s="79" t="s">
        <v>197</v>
      </c>
      <c r="D666" s="79">
        <f>(37.39+(0.6*2.75)+2.15*0.75+1.5*3.05)*10.764</f>
        <v>486.82880999999986</v>
      </c>
      <c r="E666" s="79">
        <f t="shared" ref="E666:E669" si="45">3.05*1.5*10.764</f>
        <v>49.245299999999986</v>
      </c>
      <c r="F666" s="79">
        <f t="shared" si="43"/>
        <v>779.48851499999978</v>
      </c>
      <c r="G666" s="146"/>
      <c r="H666" s="147"/>
      <c r="I666" s="31"/>
      <c r="N666" s="78" t="str">
        <f t="shared" ca="1" si="44"/>
        <v>802,..,1202</v>
      </c>
      <c r="O666" s="78">
        <f t="shared" ref="O666:P666" ca="1" si="46">O665+1</f>
        <v>802</v>
      </c>
      <c r="P666" s="78">
        <f t="shared" ca="1" si="46"/>
        <v>1202</v>
      </c>
    </row>
    <row r="667" spans="1:16" s="78" customFormat="1" ht="15.75" customHeight="1" x14ac:dyDescent="0.35">
      <c r="A667" s="116" t="str">
        <f t="shared" ca="1" si="42"/>
        <v>803,..,1203</v>
      </c>
      <c r="B667" s="117"/>
      <c r="C667" s="79" t="s">
        <v>197</v>
      </c>
      <c r="D667" s="79">
        <f>(33.82+(0.6*2.9)+2.15*0.75+1.5*3.05)*10.764</f>
        <v>449.37009</v>
      </c>
      <c r="E667" s="79">
        <f t="shared" si="45"/>
        <v>49.245299999999986</v>
      </c>
      <c r="F667" s="79">
        <f t="shared" si="43"/>
        <v>723.30043500000011</v>
      </c>
      <c r="G667" s="146"/>
      <c r="H667" s="147"/>
      <c r="I667" s="31"/>
      <c r="N667" s="78" t="str">
        <f t="shared" ca="1" si="44"/>
        <v>803,..,1203</v>
      </c>
      <c r="O667" s="78">
        <f t="shared" ref="O667:P667" ca="1" si="47">O666+1</f>
        <v>803</v>
      </c>
      <c r="P667" s="78">
        <f t="shared" ca="1" si="47"/>
        <v>1203</v>
      </c>
    </row>
    <row r="668" spans="1:16" s="78" customFormat="1" ht="15.75" customHeight="1" x14ac:dyDescent="0.35">
      <c r="A668" s="116" t="str">
        <f t="shared" ca="1" si="42"/>
        <v>804,..,1204</v>
      </c>
      <c r="B668" s="117"/>
      <c r="C668" s="79" t="s">
        <v>197</v>
      </c>
      <c r="D668" s="79">
        <f>(33.82+(0.6*2.9)+2.15*0.75+1.5*3.05)*10.764</f>
        <v>449.37009</v>
      </c>
      <c r="E668" s="79">
        <f t="shared" si="45"/>
        <v>49.245299999999986</v>
      </c>
      <c r="F668" s="79">
        <f>D668*(($F$472)+1)+E668</f>
        <v>723.30043500000011</v>
      </c>
      <c r="G668" s="146"/>
      <c r="H668" s="147"/>
      <c r="I668" s="31"/>
      <c r="N668" s="78" t="str">
        <f t="shared" ca="1" si="44"/>
        <v>804,..,1204</v>
      </c>
      <c r="O668" s="78">
        <f t="shared" ref="O668:P668" ca="1" si="48">O667+1</f>
        <v>804</v>
      </c>
      <c r="P668" s="78">
        <f t="shared" ca="1" si="48"/>
        <v>1204</v>
      </c>
    </row>
    <row r="669" spans="1:16" s="78" customFormat="1" ht="15.75" customHeight="1" x14ac:dyDescent="0.35">
      <c r="A669" s="116" t="str">
        <f t="shared" ca="1" si="42"/>
        <v>805,..,1205</v>
      </c>
      <c r="B669" s="117"/>
      <c r="C669" s="79" t="s">
        <v>197</v>
      </c>
      <c r="D669" s="79">
        <f>(37.39+(0.6*2.75)+2.15*0.75+1.5*3.05)*10.764</f>
        <v>486.82880999999986</v>
      </c>
      <c r="E669" s="79">
        <f t="shared" si="45"/>
        <v>49.245299999999986</v>
      </c>
      <c r="F669" s="79">
        <f>D669*(($F$472)+1)+E669</f>
        <v>779.48851499999978</v>
      </c>
      <c r="G669" s="146"/>
      <c r="H669" s="147"/>
      <c r="I669" s="31"/>
      <c r="N669" s="78" t="str">
        <f t="shared" ca="1" si="44"/>
        <v>805,..,1205</v>
      </c>
      <c r="O669" s="78">
        <f t="shared" ref="O669:P669" ca="1" si="49">O668+1</f>
        <v>805</v>
      </c>
      <c r="P669" s="78">
        <f t="shared" ca="1" si="49"/>
        <v>1205</v>
      </c>
    </row>
    <row r="670" spans="1:16" s="78" customFormat="1" ht="15.75" customHeight="1" x14ac:dyDescent="0.35">
      <c r="A670" s="116" t="str">
        <f t="shared" ca="1" si="42"/>
        <v>806,..,1206</v>
      </c>
      <c r="B670" s="117"/>
      <c r="C670" s="116" t="s">
        <v>220</v>
      </c>
      <c r="D670" s="161"/>
      <c r="E670" s="161"/>
      <c r="F670" s="117"/>
      <c r="G670" s="146"/>
      <c r="H670" s="147"/>
      <c r="I670" s="31"/>
      <c r="N670" s="78" t="str">
        <f t="shared" ca="1" si="44"/>
        <v>806,..,1206</v>
      </c>
      <c r="O670" s="78">
        <f t="shared" ref="O670:P670" ca="1" si="50">O669+1</f>
        <v>806</v>
      </c>
      <c r="P670" s="78">
        <f t="shared" ca="1" si="50"/>
        <v>1206</v>
      </c>
    </row>
    <row r="671" spans="1:16" s="78" customFormat="1" ht="15.75" customHeight="1" x14ac:dyDescent="0.35">
      <c r="A671" s="116" t="str">
        <f t="shared" ca="1" si="42"/>
        <v>807,..,1207</v>
      </c>
      <c r="B671" s="117"/>
      <c r="C671" s="79" t="s">
        <v>197</v>
      </c>
      <c r="D671" s="79">
        <f>(33.82+(0.6*2.9)+2.15*0.75+1.5*3.05)*10.764</f>
        <v>449.37009</v>
      </c>
      <c r="E671" s="79">
        <f>3.05*1.5*10.764</f>
        <v>49.245299999999986</v>
      </c>
      <c r="F671" s="79">
        <f>D671*(($F$472)+1)+E671</f>
        <v>723.30043500000011</v>
      </c>
      <c r="G671" s="146"/>
      <c r="H671" s="147"/>
      <c r="I671" s="31"/>
      <c r="N671" s="78" t="str">
        <f t="shared" ca="1" si="44"/>
        <v>807,..,1207</v>
      </c>
      <c r="O671" s="78">
        <f t="shared" ref="O671:P671" ca="1" si="51">O670+1</f>
        <v>807</v>
      </c>
      <c r="P671" s="78">
        <f t="shared" ca="1" si="51"/>
        <v>1207</v>
      </c>
    </row>
    <row r="672" spans="1:16" s="78" customFormat="1" ht="15.75" customHeight="1" x14ac:dyDescent="0.35">
      <c r="A672" s="116" t="str">
        <f t="shared" ca="1" si="42"/>
        <v>808,..,1208</v>
      </c>
      <c r="B672" s="117"/>
      <c r="C672" s="79" t="s">
        <v>197</v>
      </c>
      <c r="D672" s="79">
        <f>(33.82+(0.6*2.9)+2.15*0.75+1.5*3.05)*10.764</f>
        <v>449.37009</v>
      </c>
      <c r="E672" s="79">
        <f>3.05*1.5*10.764</f>
        <v>49.245299999999986</v>
      </c>
      <c r="F672" s="79">
        <f>D672*(($F$472)+1)+E672</f>
        <v>723.30043500000011</v>
      </c>
      <c r="G672" s="148"/>
      <c r="H672" s="149"/>
      <c r="I672" s="31"/>
      <c r="N672" s="78" t="str">
        <f t="shared" ca="1" si="44"/>
        <v>808,..,1208</v>
      </c>
      <c r="O672" s="78">
        <f t="shared" ref="O672:P672" ca="1" si="52">O671+1</f>
        <v>808</v>
      </c>
      <c r="P672" s="78">
        <f t="shared" ca="1" si="52"/>
        <v>1208</v>
      </c>
    </row>
    <row r="673" spans="1:16" s="1" customFormat="1" x14ac:dyDescent="0.35">
      <c r="A673" s="134" t="s">
        <v>249</v>
      </c>
      <c r="B673" s="134"/>
      <c r="C673" s="134"/>
      <c r="D673" s="134"/>
      <c r="E673" s="134"/>
      <c r="F673" s="134"/>
      <c r="G673" s="134"/>
      <c r="H673" s="134"/>
    </row>
    <row r="674" spans="1:16" s="2" customFormat="1" x14ac:dyDescent="0.35">
      <c r="A674" s="119" t="s">
        <v>200</v>
      </c>
      <c r="B674" s="119"/>
      <c r="C674" s="119"/>
      <c r="D674" s="119"/>
      <c r="E674" s="119"/>
      <c r="F674" s="119"/>
      <c r="G674" s="119"/>
      <c r="H674" s="119"/>
      <c r="I674" s="31"/>
      <c r="L674" s="115"/>
      <c r="M674" s="115"/>
    </row>
    <row r="675" spans="1:16" s="2" customFormat="1" ht="15.75" customHeight="1" x14ac:dyDescent="0.35">
      <c r="A675" s="119" t="s">
        <v>198</v>
      </c>
      <c r="B675" s="119"/>
      <c r="C675" s="119"/>
      <c r="D675" s="119"/>
      <c r="E675" s="119"/>
      <c r="F675" s="119"/>
      <c r="G675" s="119"/>
      <c r="H675" s="119"/>
      <c r="I675" s="31"/>
    </row>
    <row r="676" spans="1:16" s="2" customFormat="1" ht="15.75" customHeight="1" x14ac:dyDescent="0.35">
      <c r="A676" s="118" t="str">
        <f t="shared" ref="A676:A683" ca="1" si="53">N676</f>
        <v>101,..,1301</v>
      </c>
      <c r="B676" s="118"/>
      <c r="C676" s="82" t="s">
        <v>197</v>
      </c>
      <c r="D676" s="82">
        <f>(37.39+(0.6*3.05)+2.15*0.75+1.5*2.75)*10.764</f>
        <v>483.92252999999994</v>
      </c>
      <c r="E676" s="82">
        <f t="shared" ref="E676:E683" si="54">3.05*1.3*10.764</f>
        <v>42.679259999999999</v>
      </c>
      <c r="F676" s="82">
        <f t="shared" ref="F676:F683" si="55">D676*(($F$472)+1)+E676</f>
        <v>768.56305499999996</v>
      </c>
      <c r="G676" s="118" t="str">
        <f>A675</f>
        <v>1st, 3rd, 5th, 7th, 9th, 11th, 13th Floor</v>
      </c>
      <c r="H676" s="118"/>
      <c r="I676" s="31"/>
      <c r="N676" s="2" t="str">
        <f t="shared" ref="N676:N683" ca="1" si="56">O676&amp;""&amp;",..,"&amp;""&amp;P676</f>
        <v>101,..,1301</v>
      </c>
      <c r="O676" s="2">
        <f ca="1">(SUMPRODUCT(MID(0&amp;(LEFT(A675,SUM(LEN(A675)-LEN(SUBSTITUTE(A675,{"0","1","2"},""))))), LARGE(INDEX(ISNUMBER(--MID((LEFT(A675,SUM(LEN(A675)-LEN(SUBSTITUTE(A675,{"0","1","2"},""))))), ROW(INDIRECT("1:"&amp;LEN((LEFT(A675,SUM(LEN(A675)-LEN(SUBSTITUTE(A675,{"0","1","2"},"")))))))), 1)) * ROW(INDIRECT("1:"&amp;LEN((LEFT(A675,SUM(LEN(A675)-LEN(SUBSTITUTE(A675,{"0","1","2"},"")))))))), 0), ROW(INDIRECT("1:"&amp;LEN((LEFT(A675,SUM(LEN(A675)-LEN(SUBSTITUTE(A675,{"0","1","2"},"")))))))))+1, 1) * 10^ROW(INDIRECT("1:"&amp;LEN((LEFT(A675,SUM(LEN(A675)-LEN(SUBSTITUTE(A675,{"0","1","2"},""))))))))/10))*100+1</f>
        <v>101</v>
      </c>
      <c r="P676" s="2">
        <f ca="1">(SUMPRODUCT(MID(0&amp;(--TRIM(RIGHT(SUBSTITUTE(LEFT(A675,_xlfn.AGGREGATE(16,6,FIND({0,1,2,3,4,5,6,7,8,9},A675,ROW(INDIRECT("1:"&amp;LEN(A675)))),1))," ",REPT(" ",LEN(A675))),LEN(A675)))), LARGE(INDEX(ISNUMBER(--MID((--TRIM(RIGHT(SUBSTITUTE(LEFT(A675,_xlfn.AGGREGATE(16,6,FIND({0,1,2,3,4,5,6,7,8,9},A675,ROW(INDIRECT("1:"&amp;LEN(A675)))),1))," ",REPT(" ",LEN(A675))),LEN(A675)))), ROW(INDIRECT("1:"&amp;LEN((--TRIM(RIGHT(SUBSTITUTE(LEFT(A675,_xlfn.AGGREGATE(16,6,FIND({0,1,2,3,4,5,6,7,8,9},A675,ROW(INDIRECT("1:"&amp;LEN(A675)))),1))," ",REPT(" ",LEN(A675))),LEN(A675))))))), 1)) * ROW(INDIRECT("1:"&amp;LEN((--TRIM(RIGHT(SUBSTITUTE(LEFT(A675,_xlfn.AGGREGATE(16,6,FIND({0,1,2,3,4,5,6,7,8,9},A675,ROW(INDIRECT("1:"&amp;LEN(A675)))),1))," ",REPT(" ",LEN(A675))),LEN(A675))))))), 0), ROW(INDIRECT("1:"&amp;LEN((--TRIM(RIGHT(SUBSTITUTE(LEFT(A675,_xlfn.AGGREGATE(16,6,FIND({0,1,2,3,4,5,6,7,8,9},A675,ROW(INDIRECT("1:"&amp;LEN(A675)))),1))," ",REPT(" ",LEN(A675))),LEN(A675))))))))+1, 1) * 10^ROW(INDIRECT("1:"&amp;LEN((--TRIM(RIGHT(SUBSTITUTE(LEFT(A675,_xlfn.AGGREGATE(16,6,FIND({0,1,2,3,4,5,6,7,8,9},A675,ROW(INDIRECT("1:"&amp;LEN(A675)))),1))," ",REPT(" ",LEN(A675))),LEN(A675)))))))/10))*100+1</f>
        <v>1301</v>
      </c>
    </row>
    <row r="677" spans="1:16" s="2" customFormat="1" ht="15.75" customHeight="1" x14ac:dyDescent="0.35">
      <c r="A677" s="118" t="str">
        <f t="shared" ca="1" si="53"/>
        <v>102,..,1302</v>
      </c>
      <c r="B677" s="118"/>
      <c r="C677" s="82" t="s">
        <v>197</v>
      </c>
      <c r="D677" s="82">
        <f>(37.39+(0.6*3.05)+2.15*0.75+1.5*2.75)*10.764</f>
        <v>483.92252999999994</v>
      </c>
      <c r="E677" s="82">
        <f t="shared" si="54"/>
        <v>42.679259999999999</v>
      </c>
      <c r="F677" s="82">
        <f t="shared" si="55"/>
        <v>768.56305499999996</v>
      </c>
      <c r="G677" s="118"/>
      <c r="H677" s="118"/>
      <c r="I677" s="31"/>
      <c r="N677" s="2" t="str">
        <f t="shared" ca="1" si="56"/>
        <v>102,..,1302</v>
      </c>
      <c r="O677" s="2">
        <f t="shared" ref="O677:P683" ca="1" si="57">O676+1</f>
        <v>102</v>
      </c>
      <c r="P677" s="2">
        <f t="shared" ca="1" si="57"/>
        <v>1302</v>
      </c>
    </row>
    <row r="678" spans="1:16" s="2" customFormat="1" ht="15.75" customHeight="1" x14ac:dyDescent="0.35">
      <c r="A678" s="118" t="str">
        <f t="shared" ca="1" si="53"/>
        <v>103,..,1303</v>
      </c>
      <c r="B678" s="118"/>
      <c r="C678" s="82" t="s">
        <v>197</v>
      </c>
      <c r="D678" s="82">
        <f>(33.82+(0.6*3.05)+2.15*0.75+1.5*2.9)*10.764</f>
        <v>447.91694999999993</v>
      </c>
      <c r="E678" s="82">
        <f t="shared" si="54"/>
        <v>42.679259999999999</v>
      </c>
      <c r="F678" s="82">
        <f t="shared" si="55"/>
        <v>714.55468499999995</v>
      </c>
      <c r="G678" s="118"/>
      <c r="H678" s="118"/>
      <c r="I678" s="31"/>
      <c r="N678" s="2" t="str">
        <f t="shared" ca="1" si="56"/>
        <v>103,..,1303</v>
      </c>
      <c r="O678" s="2">
        <f t="shared" ca="1" si="57"/>
        <v>103</v>
      </c>
      <c r="P678" s="2">
        <f t="shared" ca="1" si="57"/>
        <v>1303</v>
      </c>
    </row>
    <row r="679" spans="1:16" s="2" customFormat="1" ht="15.75" customHeight="1" x14ac:dyDescent="0.35">
      <c r="A679" s="118" t="str">
        <f t="shared" ca="1" si="53"/>
        <v>104,..,1304</v>
      </c>
      <c r="B679" s="118"/>
      <c r="C679" s="82" t="s">
        <v>197</v>
      </c>
      <c r="D679" s="82">
        <f>(33.82+(0.6*3.05)+2.15*0.75+1.5*2.9)*10.764</f>
        <v>447.91694999999993</v>
      </c>
      <c r="E679" s="82">
        <f t="shared" si="54"/>
        <v>42.679259999999999</v>
      </c>
      <c r="F679" s="82">
        <f t="shared" si="55"/>
        <v>714.55468499999995</v>
      </c>
      <c r="G679" s="118"/>
      <c r="H679" s="118"/>
      <c r="I679" s="31"/>
      <c r="N679" s="2" t="str">
        <f t="shared" ca="1" si="56"/>
        <v>104,..,1304</v>
      </c>
      <c r="O679" s="2">
        <f t="shared" ca="1" si="57"/>
        <v>104</v>
      </c>
      <c r="P679" s="2">
        <f t="shared" ca="1" si="57"/>
        <v>1304</v>
      </c>
    </row>
    <row r="680" spans="1:16" s="2" customFormat="1" ht="15.75" customHeight="1" x14ac:dyDescent="0.35">
      <c r="A680" s="118" t="str">
        <f t="shared" ca="1" si="53"/>
        <v>105,..,1305</v>
      </c>
      <c r="B680" s="118"/>
      <c r="C680" s="82" t="s">
        <v>197</v>
      </c>
      <c r="D680" s="82">
        <f>(35.78+(0.6*3.05)+2.15*0.75+1.5*2.75)*10.764</f>
        <v>466.59248999999994</v>
      </c>
      <c r="E680" s="82">
        <f t="shared" si="54"/>
        <v>42.679259999999999</v>
      </c>
      <c r="F680" s="82">
        <f t="shared" si="55"/>
        <v>742.56799499999988</v>
      </c>
      <c r="G680" s="118"/>
      <c r="H680" s="118"/>
      <c r="I680" s="31"/>
      <c r="N680" s="2" t="str">
        <f t="shared" ca="1" si="56"/>
        <v>105,..,1305</v>
      </c>
      <c r="O680" s="2">
        <f t="shared" ca="1" si="57"/>
        <v>105</v>
      </c>
      <c r="P680" s="2">
        <f t="shared" ca="1" si="57"/>
        <v>1305</v>
      </c>
    </row>
    <row r="681" spans="1:16" s="2" customFormat="1" ht="15.75" customHeight="1" x14ac:dyDescent="0.35">
      <c r="A681" s="118" t="str">
        <f t="shared" ca="1" si="53"/>
        <v>106,..,1306</v>
      </c>
      <c r="B681" s="118"/>
      <c r="C681" s="82" t="s">
        <v>197</v>
      </c>
      <c r="D681" s="82">
        <f>(37.39+(0.6*3.05)+2.15*0.75+1.5*2.75)*10.764</f>
        <v>483.92252999999994</v>
      </c>
      <c r="E681" s="82">
        <f t="shared" si="54"/>
        <v>42.679259999999999</v>
      </c>
      <c r="F681" s="82">
        <f t="shared" si="55"/>
        <v>768.56305499999996</v>
      </c>
      <c r="G681" s="118"/>
      <c r="H681" s="118"/>
      <c r="I681" s="31"/>
      <c r="N681" s="2" t="str">
        <f t="shared" ca="1" si="56"/>
        <v>106,..,1306</v>
      </c>
      <c r="O681" s="2">
        <f t="shared" ca="1" si="57"/>
        <v>106</v>
      </c>
      <c r="P681" s="2">
        <f t="shared" ca="1" si="57"/>
        <v>1306</v>
      </c>
    </row>
    <row r="682" spans="1:16" s="2" customFormat="1" ht="15.75" customHeight="1" x14ac:dyDescent="0.35">
      <c r="A682" s="118" t="str">
        <f t="shared" ca="1" si="53"/>
        <v>107,..,1307</v>
      </c>
      <c r="B682" s="118"/>
      <c r="C682" s="82" t="s">
        <v>197</v>
      </c>
      <c r="D682" s="82">
        <f>(33.82+(0.6*3.05)+2.15*0.75+1.5*2.9)*10.764</f>
        <v>447.91694999999993</v>
      </c>
      <c r="E682" s="82">
        <f t="shared" si="54"/>
        <v>42.679259999999999</v>
      </c>
      <c r="F682" s="82">
        <f t="shared" si="55"/>
        <v>714.55468499999995</v>
      </c>
      <c r="G682" s="118"/>
      <c r="H682" s="118"/>
      <c r="I682" s="31"/>
      <c r="N682" s="2" t="str">
        <f t="shared" ca="1" si="56"/>
        <v>107,..,1307</v>
      </c>
      <c r="O682" s="2">
        <f t="shared" ca="1" si="57"/>
        <v>107</v>
      </c>
      <c r="P682" s="2">
        <f t="shared" ca="1" si="57"/>
        <v>1307</v>
      </c>
    </row>
    <row r="683" spans="1:16" s="2" customFormat="1" ht="15.75" customHeight="1" x14ac:dyDescent="0.35">
      <c r="A683" s="118" t="str">
        <f t="shared" ca="1" si="53"/>
        <v>108,..,1308</v>
      </c>
      <c r="B683" s="118"/>
      <c r="C683" s="82" t="s">
        <v>197</v>
      </c>
      <c r="D683" s="82">
        <f>(33.82+(0.6*3.05)+2.15*0.75+1.5*2.9)*10.764</f>
        <v>447.91694999999993</v>
      </c>
      <c r="E683" s="82">
        <f t="shared" si="54"/>
        <v>42.679259999999999</v>
      </c>
      <c r="F683" s="82">
        <f t="shared" si="55"/>
        <v>714.55468499999995</v>
      </c>
      <c r="G683" s="118"/>
      <c r="H683" s="118"/>
      <c r="I683" s="31"/>
      <c r="N683" s="2" t="str">
        <f t="shared" ca="1" si="56"/>
        <v>108,..,1308</v>
      </c>
      <c r="O683" s="2">
        <f t="shared" ca="1" si="57"/>
        <v>108</v>
      </c>
      <c r="P683" s="2">
        <f t="shared" ca="1" si="57"/>
        <v>1308</v>
      </c>
    </row>
    <row r="684" spans="1:16" s="2" customFormat="1" ht="15.75" customHeight="1" x14ac:dyDescent="0.35">
      <c r="A684" s="126" t="s">
        <v>199</v>
      </c>
      <c r="B684" s="127"/>
      <c r="C684" s="127"/>
      <c r="D684" s="127"/>
      <c r="E684" s="127"/>
      <c r="F684" s="127"/>
      <c r="G684" s="127"/>
      <c r="H684" s="128"/>
      <c r="I684" s="31"/>
    </row>
    <row r="685" spans="1:16" s="2" customFormat="1" ht="15.75" customHeight="1" x14ac:dyDescent="0.35">
      <c r="A685" s="116" t="str">
        <f t="shared" ref="A685:A692" ca="1" si="58">N685</f>
        <v>201,..,1401</v>
      </c>
      <c r="B685" s="117"/>
      <c r="C685" s="64" t="s">
        <v>197</v>
      </c>
      <c r="D685" s="64">
        <f>(37.39+(0.6*2.75)+2.15*0.75+1.5*3.05)*10.764</f>
        <v>486.82880999999986</v>
      </c>
      <c r="E685" s="64">
        <f t="shared" ref="E685:E692" si="59">3.05*1.3*10.764</f>
        <v>42.679259999999999</v>
      </c>
      <c r="F685" s="64">
        <f t="shared" ref="F685:F692" si="60">D685*(($F$472)+1)+E685</f>
        <v>772.92247499999974</v>
      </c>
      <c r="G685" s="144" t="str">
        <f>A684</f>
        <v>2nd, 4th, 6th, 10th, 14th Floor</v>
      </c>
      <c r="H685" s="145"/>
      <c r="I685" s="31"/>
      <c r="N685" s="2" t="str">
        <f t="shared" ref="N685:N692" ca="1" si="61">O685&amp;""&amp;",..,"&amp;""&amp;P685</f>
        <v>201,..,1401</v>
      </c>
      <c r="O685" s="2">
        <f ca="1">(SUMPRODUCT(MID(0&amp;(LEFT(A684,SUM(LEN(A684)-LEN(SUBSTITUTE(A684,{"0","1","2"},""))))), LARGE(INDEX(ISNUMBER(--MID((LEFT(A684,SUM(LEN(A684)-LEN(SUBSTITUTE(A684,{"0","1","2"},""))))), ROW(INDIRECT("1:"&amp;LEN((LEFT(A684,SUM(LEN(A684)-LEN(SUBSTITUTE(A684,{"0","1","2"},"")))))))), 1)) * ROW(INDIRECT("1:"&amp;LEN((LEFT(A684,SUM(LEN(A684)-LEN(SUBSTITUTE(A684,{"0","1","2"},"")))))))), 0), ROW(INDIRECT("1:"&amp;LEN((LEFT(A684,SUM(LEN(A684)-LEN(SUBSTITUTE(A684,{"0","1","2"},"")))))))))+1, 1) * 10^ROW(INDIRECT("1:"&amp;LEN((LEFT(A684,SUM(LEN(A684)-LEN(SUBSTITUTE(A684,{"0","1","2"},""))))))))/10))*100+1</f>
        <v>201</v>
      </c>
      <c r="P685" s="2">
        <f ca="1">(SUMPRODUCT(MID(0&amp;(--TRIM(RIGHT(SUBSTITUTE(LEFT(A684,_xlfn.AGGREGATE(16,6,FIND({0,1,2,3,4,5,6,7,8,9},A684,ROW(INDIRECT("1:"&amp;LEN(A684)))),1))," ",REPT(" ",LEN(A684))),LEN(A684)))), LARGE(INDEX(ISNUMBER(--MID((--TRIM(RIGHT(SUBSTITUTE(LEFT(A684,_xlfn.AGGREGATE(16,6,FIND({0,1,2,3,4,5,6,7,8,9},A684,ROW(INDIRECT("1:"&amp;LEN(A684)))),1))," ",REPT(" ",LEN(A684))),LEN(A684)))), ROW(INDIRECT("1:"&amp;LEN((--TRIM(RIGHT(SUBSTITUTE(LEFT(A684,_xlfn.AGGREGATE(16,6,FIND({0,1,2,3,4,5,6,7,8,9},A684,ROW(INDIRECT("1:"&amp;LEN(A684)))),1))," ",REPT(" ",LEN(A684))),LEN(A684))))))), 1)) * ROW(INDIRECT("1:"&amp;LEN((--TRIM(RIGHT(SUBSTITUTE(LEFT(A684,_xlfn.AGGREGATE(16,6,FIND({0,1,2,3,4,5,6,7,8,9},A684,ROW(INDIRECT("1:"&amp;LEN(A684)))),1))," ",REPT(" ",LEN(A684))),LEN(A684))))))), 0), ROW(INDIRECT("1:"&amp;LEN((--TRIM(RIGHT(SUBSTITUTE(LEFT(A684,_xlfn.AGGREGATE(16,6,FIND({0,1,2,3,4,5,6,7,8,9},A684,ROW(INDIRECT("1:"&amp;LEN(A684)))),1))," ",REPT(" ",LEN(A684))),LEN(A684))))))))+1, 1) * 10^ROW(INDIRECT("1:"&amp;LEN((--TRIM(RIGHT(SUBSTITUTE(LEFT(A684,_xlfn.AGGREGATE(16,6,FIND({0,1,2,3,4,5,6,7,8,9},A684,ROW(INDIRECT("1:"&amp;LEN(A684)))),1))," ",REPT(" ",LEN(A684))),LEN(A684)))))))/10))*100+1</f>
        <v>1401</v>
      </c>
    </row>
    <row r="686" spans="1:16" s="2" customFormat="1" ht="15.75" customHeight="1" x14ac:dyDescent="0.35">
      <c r="A686" s="116" t="str">
        <f t="shared" ca="1" si="58"/>
        <v>202,..,1402</v>
      </c>
      <c r="B686" s="117"/>
      <c r="C686" s="64" t="s">
        <v>197</v>
      </c>
      <c r="D686" s="64">
        <f>(37.39+(0.6*2.75)+2.15*0.75+1.5*3.05)*10.764</f>
        <v>486.82880999999986</v>
      </c>
      <c r="E686" s="64">
        <f t="shared" si="59"/>
        <v>42.679259999999999</v>
      </c>
      <c r="F686" s="64">
        <f t="shared" si="60"/>
        <v>772.92247499999974</v>
      </c>
      <c r="G686" s="146"/>
      <c r="H686" s="147"/>
      <c r="I686" s="31"/>
      <c r="N686" s="2" t="str">
        <f t="shared" ca="1" si="61"/>
        <v>202,..,1402</v>
      </c>
      <c r="O686" s="2">
        <f t="shared" ref="O686:P692" ca="1" si="62">O685+1</f>
        <v>202</v>
      </c>
      <c r="P686" s="2">
        <f t="shared" ca="1" si="62"/>
        <v>1402</v>
      </c>
    </row>
    <row r="687" spans="1:16" s="2" customFormat="1" ht="15.75" customHeight="1" x14ac:dyDescent="0.35">
      <c r="A687" s="116" t="str">
        <f t="shared" ca="1" si="58"/>
        <v>203,..,1403</v>
      </c>
      <c r="B687" s="117"/>
      <c r="C687" s="64" t="s">
        <v>197</v>
      </c>
      <c r="D687" s="64">
        <f>(33.82+(0.6*2.9)+2.15*0.75+1.5*3.05)*10.764</f>
        <v>449.37009</v>
      </c>
      <c r="E687" s="64">
        <f t="shared" si="59"/>
        <v>42.679259999999999</v>
      </c>
      <c r="F687" s="64">
        <f t="shared" si="60"/>
        <v>716.73439500000006</v>
      </c>
      <c r="G687" s="146"/>
      <c r="H687" s="147"/>
      <c r="I687" s="31"/>
      <c r="N687" s="2" t="str">
        <f t="shared" ca="1" si="61"/>
        <v>203,..,1403</v>
      </c>
      <c r="O687" s="2">
        <f t="shared" ca="1" si="62"/>
        <v>203</v>
      </c>
      <c r="P687" s="2">
        <f t="shared" ca="1" si="62"/>
        <v>1403</v>
      </c>
    </row>
    <row r="688" spans="1:16" s="2" customFormat="1" ht="15.75" customHeight="1" x14ac:dyDescent="0.35">
      <c r="A688" s="116" t="str">
        <f t="shared" ca="1" si="58"/>
        <v>204,..,1404</v>
      </c>
      <c r="B688" s="117"/>
      <c r="C688" s="64" t="s">
        <v>197</v>
      </c>
      <c r="D688" s="64">
        <f>(33.82+(0.6*2.9)+2.15*0.75+1.5*3.05)*10.764</f>
        <v>449.37009</v>
      </c>
      <c r="E688" s="64">
        <f t="shared" si="59"/>
        <v>42.679259999999999</v>
      </c>
      <c r="F688" s="64">
        <f t="shared" si="60"/>
        <v>716.73439500000006</v>
      </c>
      <c r="G688" s="146"/>
      <c r="H688" s="147"/>
      <c r="I688" s="31"/>
      <c r="N688" s="2" t="str">
        <f t="shared" ca="1" si="61"/>
        <v>204,..,1404</v>
      </c>
      <c r="O688" s="2">
        <f t="shared" ca="1" si="62"/>
        <v>204</v>
      </c>
      <c r="P688" s="2">
        <f t="shared" ca="1" si="62"/>
        <v>1404</v>
      </c>
    </row>
    <row r="689" spans="1:16" s="2" customFormat="1" ht="15.75" customHeight="1" x14ac:dyDescent="0.35">
      <c r="A689" s="116" t="str">
        <f t="shared" ca="1" si="58"/>
        <v>205,..,1405</v>
      </c>
      <c r="B689" s="117"/>
      <c r="C689" s="64" t="s">
        <v>197</v>
      </c>
      <c r="D689" s="64">
        <f>(35.78+(0.6*2.75)+2.15*0.75+1.5*3.05)*10.764</f>
        <v>469.49876999999987</v>
      </c>
      <c r="E689" s="64">
        <f t="shared" si="59"/>
        <v>42.679259999999999</v>
      </c>
      <c r="F689" s="64">
        <f t="shared" si="60"/>
        <v>746.92741499999977</v>
      </c>
      <c r="G689" s="146"/>
      <c r="H689" s="147"/>
      <c r="I689" s="31"/>
      <c r="N689" s="2" t="str">
        <f t="shared" ca="1" si="61"/>
        <v>205,..,1405</v>
      </c>
      <c r="O689" s="2">
        <f t="shared" ca="1" si="62"/>
        <v>205</v>
      </c>
      <c r="P689" s="2">
        <f t="shared" ca="1" si="62"/>
        <v>1405</v>
      </c>
    </row>
    <row r="690" spans="1:16" s="2" customFormat="1" ht="15.75" customHeight="1" x14ac:dyDescent="0.35">
      <c r="A690" s="116" t="str">
        <f t="shared" ca="1" si="58"/>
        <v>206,..,1406</v>
      </c>
      <c r="B690" s="117"/>
      <c r="C690" s="64" t="s">
        <v>197</v>
      </c>
      <c r="D690" s="64">
        <f>(37.78+(0.6*2.75)+2.15*0.75+1.5*3.05)*10.764</f>
        <v>491.02676999999989</v>
      </c>
      <c r="E690" s="64">
        <f t="shared" si="59"/>
        <v>42.679259999999999</v>
      </c>
      <c r="F690" s="64">
        <f t="shared" si="60"/>
        <v>779.2194149999998</v>
      </c>
      <c r="G690" s="146"/>
      <c r="H690" s="147"/>
      <c r="I690" s="31"/>
      <c r="N690" s="2" t="str">
        <f t="shared" ca="1" si="61"/>
        <v>206,..,1406</v>
      </c>
      <c r="O690" s="2">
        <f t="shared" ca="1" si="62"/>
        <v>206</v>
      </c>
      <c r="P690" s="2">
        <f t="shared" ca="1" si="62"/>
        <v>1406</v>
      </c>
    </row>
    <row r="691" spans="1:16" s="2" customFormat="1" ht="15.75" customHeight="1" x14ac:dyDescent="0.35">
      <c r="A691" s="116" t="str">
        <f t="shared" ca="1" si="58"/>
        <v>207,..,1407</v>
      </c>
      <c r="B691" s="117"/>
      <c r="C691" s="64" t="s">
        <v>197</v>
      </c>
      <c r="D691" s="64">
        <f>(33.82+(0.6*2.9)+2.15*0.75+1.5*3.05)*10.764</f>
        <v>449.37009</v>
      </c>
      <c r="E691" s="64">
        <f t="shared" si="59"/>
        <v>42.679259999999999</v>
      </c>
      <c r="F691" s="64">
        <f t="shared" si="60"/>
        <v>716.73439500000006</v>
      </c>
      <c r="G691" s="146"/>
      <c r="H691" s="147"/>
      <c r="I691" s="31"/>
      <c r="N691" s="2" t="str">
        <f t="shared" ca="1" si="61"/>
        <v>207,..,1407</v>
      </c>
      <c r="O691" s="2">
        <f t="shared" ca="1" si="62"/>
        <v>207</v>
      </c>
      <c r="P691" s="2">
        <f t="shared" ca="1" si="62"/>
        <v>1407</v>
      </c>
    </row>
    <row r="692" spans="1:16" s="2" customFormat="1" ht="15.75" customHeight="1" x14ac:dyDescent="0.35">
      <c r="A692" s="116" t="str">
        <f t="shared" ca="1" si="58"/>
        <v>208,..,1408</v>
      </c>
      <c r="B692" s="117"/>
      <c r="C692" s="64" t="s">
        <v>197</v>
      </c>
      <c r="D692" s="64">
        <f>(33.82+(0.6*2.9)+2.15*0.75+1.5*3.05)*10.764</f>
        <v>449.37009</v>
      </c>
      <c r="E692" s="64">
        <f t="shared" si="59"/>
        <v>42.679259999999999</v>
      </c>
      <c r="F692" s="64">
        <f t="shared" si="60"/>
        <v>716.73439500000006</v>
      </c>
      <c r="G692" s="148"/>
      <c r="H692" s="149"/>
      <c r="I692" s="31"/>
      <c r="N692" s="2" t="str">
        <f t="shared" ca="1" si="61"/>
        <v>208,..,1408</v>
      </c>
      <c r="O692" s="2">
        <f t="shared" ca="1" si="62"/>
        <v>208</v>
      </c>
      <c r="P692" s="2">
        <f t="shared" ca="1" si="62"/>
        <v>1408</v>
      </c>
    </row>
    <row r="693" spans="1:16" s="2" customFormat="1" ht="15.75" customHeight="1" x14ac:dyDescent="0.35">
      <c r="A693" s="126" t="s">
        <v>219</v>
      </c>
      <c r="B693" s="127"/>
      <c r="C693" s="127"/>
      <c r="D693" s="127"/>
      <c r="E693" s="127"/>
      <c r="F693" s="127"/>
      <c r="G693" s="127"/>
      <c r="H693" s="128"/>
      <c r="I693" s="31"/>
    </row>
    <row r="694" spans="1:16" s="2" customFormat="1" ht="15.75" customHeight="1" x14ac:dyDescent="0.35">
      <c r="A694" s="116" t="str">
        <f t="shared" ref="A694:A701" ca="1" si="63">N694</f>
        <v>801 &amp; 1201</v>
      </c>
      <c r="B694" s="117"/>
      <c r="C694" s="64" t="s">
        <v>197</v>
      </c>
      <c r="D694" s="64">
        <f>(37.39+(0.6*2.75)+2.15*0.75+1.5*3.05)*10.764</f>
        <v>486.82880999999986</v>
      </c>
      <c r="E694" s="64">
        <f>3.05*1.3*10.764</f>
        <v>42.679259999999999</v>
      </c>
      <c r="F694" s="64">
        <f>D694*(($F$472)+1)+E694</f>
        <v>772.92247499999974</v>
      </c>
      <c r="G694" s="144" t="str">
        <f>A693</f>
        <v>8th &amp; 12th Floor ( Part Refuge Area)</v>
      </c>
      <c r="H694" s="145"/>
      <c r="I694" s="31"/>
      <c r="N694" s="2" t="str">
        <f t="shared" ref="N694:N701" ca="1" si="64">O694&amp;""&amp;" &amp; "&amp;""&amp;P694</f>
        <v>801 &amp; 1201</v>
      </c>
      <c r="O694" s="2">
        <f ca="1">(SUMPRODUCT(MID(0&amp;(LEFT(A693,SUM(LEN(A693)-LEN(SUBSTITUTE(A693,{"0","1","2"},""))))), LARGE(INDEX(ISNUMBER(--MID((LEFT(A693,SUM(LEN(A693)-LEN(SUBSTITUTE(A693,{"0","1","2"},""))))), ROW(INDIRECT("1:"&amp;LEN((LEFT(A693,SUM(LEN(A693)-LEN(SUBSTITUTE(A693,{"0","1","2"},"")))))))), 1)) * ROW(INDIRECT("1:"&amp;LEN((LEFT(A693,SUM(LEN(A693)-LEN(SUBSTITUTE(A693,{"0","1","2"},"")))))))), 0), ROW(INDIRECT("1:"&amp;LEN((LEFT(A693,SUM(LEN(A693)-LEN(SUBSTITUTE(A693,{"0","1","2"},"")))))))))+1, 1) * 10^ROW(INDIRECT("1:"&amp;LEN((LEFT(A693,SUM(LEN(A693)-LEN(SUBSTITUTE(A693,{"0","1","2"},""))))))))/10))*100+1</f>
        <v>801</v>
      </c>
      <c r="P694" s="2">
        <f ca="1">(SUMPRODUCT(MID(0&amp;(--TRIM(RIGHT(SUBSTITUTE(LEFT(A693,_xlfn.AGGREGATE(16,6,FIND({0,1,2,3,4,5,6,7,8,9},A693,ROW(INDIRECT("1:"&amp;LEN(A693)))),1))," ",REPT(" ",LEN(A693))),LEN(A693)))), LARGE(INDEX(ISNUMBER(--MID((--TRIM(RIGHT(SUBSTITUTE(LEFT(A693,_xlfn.AGGREGATE(16,6,FIND({0,1,2,3,4,5,6,7,8,9},A693,ROW(INDIRECT("1:"&amp;LEN(A693)))),1))," ",REPT(" ",LEN(A693))),LEN(A693)))), ROW(INDIRECT("1:"&amp;LEN((--TRIM(RIGHT(SUBSTITUTE(LEFT(A693,_xlfn.AGGREGATE(16,6,FIND({0,1,2,3,4,5,6,7,8,9},A693,ROW(INDIRECT("1:"&amp;LEN(A693)))),1))," ",REPT(" ",LEN(A693))),LEN(A693))))))), 1)) * ROW(INDIRECT("1:"&amp;LEN((--TRIM(RIGHT(SUBSTITUTE(LEFT(A693,_xlfn.AGGREGATE(16,6,FIND({0,1,2,3,4,5,6,7,8,9},A693,ROW(INDIRECT("1:"&amp;LEN(A693)))),1))," ",REPT(" ",LEN(A693))),LEN(A693))))))), 0), ROW(INDIRECT("1:"&amp;LEN((--TRIM(RIGHT(SUBSTITUTE(LEFT(A693,_xlfn.AGGREGATE(16,6,FIND({0,1,2,3,4,5,6,7,8,9},A693,ROW(INDIRECT("1:"&amp;LEN(A693)))),1))," ",REPT(" ",LEN(A693))),LEN(A693))))))))+1, 1) * 10^ROW(INDIRECT("1:"&amp;LEN((--TRIM(RIGHT(SUBSTITUTE(LEFT(A693,_xlfn.AGGREGATE(16,6,FIND({0,1,2,3,4,5,6,7,8,9},A693,ROW(INDIRECT("1:"&amp;LEN(A693)))),1))," ",REPT(" ",LEN(A693))),LEN(A693)))))))/10))*100+1</f>
        <v>1201</v>
      </c>
    </row>
    <row r="695" spans="1:16" s="2" customFormat="1" ht="15.75" customHeight="1" x14ac:dyDescent="0.35">
      <c r="A695" s="116" t="str">
        <f t="shared" ca="1" si="63"/>
        <v>802 &amp; 1202</v>
      </c>
      <c r="B695" s="117"/>
      <c r="C695" s="116" t="s">
        <v>220</v>
      </c>
      <c r="D695" s="161"/>
      <c r="E695" s="161"/>
      <c r="F695" s="117"/>
      <c r="G695" s="146"/>
      <c r="H695" s="147"/>
      <c r="I695" s="31"/>
      <c r="N695" s="2" t="str">
        <f t="shared" ca="1" si="64"/>
        <v>802 &amp; 1202</v>
      </c>
      <c r="O695" s="2">
        <f t="shared" ref="O695:P701" ca="1" si="65">O694+1</f>
        <v>802</v>
      </c>
      <c r="P695" s="2">
        <f t="shared" ca="1" si="65"/>
        <v>1202</v>
      </c>
    </row>
    <row r="696" spans="1:16" s="2" customFormat="1" ht="15.75" customHeight="1" x14ac:dyDescent="0.35">
      <c r="A696" s="116" t="str">
        <f t="shared" ca="1" si="63"/>
        <v>803 &amp; 1203</v>
      </c>
      <c r="B696" s="117"/>
      <c r="C696" s="64" t="s">
        <v>197</v>
      </c>
      <c r="D696" s="64">
        <f>(33.82+0.6*2.9+2.15*0.75+1.5*3.05)*10.764</f>
        <v>449.37009</v>
      </c>
      <c r="E696" s="64">
        <f t="shared" ref="E696:E701" si="66">3.05*1.3*10.764</f>
        <v>42.679259999999999</v>
      </c>
      <c r="F696" s="64">
        <f t="shared" ref="F696:F701" si="67">D696*(($F$472)+1)+E696</f>
        <v>716.73439500000006</v>
      </c>
      <c r="G696" s="146"/>
      <c r="H696" s="147"/>
      <c r="I696" s="31"/>
      <c r="N696" s="2" t="str">
        <f t="shared" ca="1" si="64"/>
        <v>803 &amp; 1203</v>
      </c>
      <c r="O696" s="2">
        <f t="shared" ca="1" si="65"/>
        <v>803</v>
      </c>
      <c r="P696" s="2">
        <f t="shared" ca="1" si="65"/>
        <v>1203</v>
      </c>
    </row>
    <row r="697" spans="1:16" s="2" customFormat="1" ht="15.75" customHeight="1" x14ac:dyDescent="0.35">
      <c r="A697" s="116" t="str">
        <f t="shared" ca="1" si="63"/>
        <v>804 &amp; 1204</v>
      </c>
      <c r="B697" s="117"/>
      <c r="C697" s="64" t="s">
        <v>197</v>
      </c>
      <c r="D697" s="64">
        <f>(33.82+0.6*2.9+2.15*0.75+1.5*3.05)*10.764</f>
        <v>449.37009</v>
      </c>
      <c r="E697" s="64">
        <f t="shared" si="66"/>
        <v>42.679259999999999</v>
      </c>
      <c r="F697" s="64">
        <f t="shared" si="67"/>
        <v>716.73439500000006</v>
      </c>
      <c r="G697" s="146"/>
      <c r="H697" s="147"/>
      <c r="I697" s="31"/>
      <c r="N697" s="2" t="str">
        <f t="shared" ca="1" si="64"/>
        <v>804 &amp; 1204</v>
      </c>
      <c r="O697" s="2">
        <f t="shared" ca="1" si="65"/>
        <v>804</v>
      </c>
      <c r="P697" s="2">
        <f t="shared" ca="1" si="65"/>
        <v>1204</v>
      </c>
    </row>
    <row r="698" spans="1:16" s="2" customFormat="1" ht="15.75" customHeight="1" x14ac:dyDescent="0.35">
      <c r="A698" s="116" t="str">
        <f t="shared" ca="1" si="63"/>
        <v>805 &amp; 1205</v>
      </c>
      <c r="B698" s="117"/>
      <c r="C698" s="64" t="s">
        <v>197</v>
      </c>
      <c r="D698" s="64">
        <f>(35.78+0.6*2.75+2.15*0.75+1.5*3.05)*10.764</f>
        <v>469.49876999999987</v>
      </c>
      <c r="E698" s="64">
        <f t="shared" si="66"/>
        <v>42.679259999999999</v>
      </c>
      <c r="F698" s="64">
        <f t="shared" si="67"/>
        <v>746.92741499999977</v>
      </c>
      <c r="G698" s="146"/>
      <c r="H698" s="147"/>
      <c r="I698" s="31"/>
      <c r="N698" s="2" t="str">
        <f t="shared" ca="1" si="64"/>
        <v>805 &amp; 1205</v>
      </c>
      <c r="O698" s="2">
        <f t="shared" ca="1" si="65"/>
        <v>805</v>
      </c>
      <c r="P698" s="2">
        <f t="shared" ca="1" si="65"/>
        <v>1205</v>
      </c>
    </row>
    <row r="699" spans="1:16" s="2" customFormat="1" ht="15.75" customHeight="1" x14ac:dyDescent="0.35">
      <c r="A699" s="116" t="str">
        <f t="shared" ca="1" si="63"/>
        <v>806 &amp; 1206</v>
      </c>
      <c r="B699" s="117"/>
      <c r="C699" s="64" t="s">
        <v>197</v>
      </c>
      <c r="D699" s="64">
        <f>(37.39+0.6*2.75+2.15*0.75+1.5*3.05)*10.764</f>
        <v>486.82880999999986</v>
      </c>
      <c r="E699" s="64">
        <f t="shared" si="66"/>
        <v>42.679259999999999</v>
      </c>
      <c r="F699" s="64">
        <f t="shared" si="67"/>
        <v>772.92247499999974</v>
      </c>
      <c r="G699" s="146"/>
      <c r="H699" s="147"/>
      <c r="I699" s="31"/>
      <c r="N699" s="2" t="str">
        <f t="shared" ca="1" si="64"/>
        <v>806 &amp; 1206</v>
      </c>
      <c r="O699" s="2">
        <f t="shared" ca="1" si="65"/>
        <v>806</v>
      </c>
      <c r="P699" s="2">
        <f t="shared" ca="1" si="65"/>
        <v>1206</v>
      </c>
    </row>
    <row r="700" spans="1:16" s="2" customFormat="1" ht="15.75" customHeight="1" x14ac:dyDescent="0.35">
      <c r="A700" s="116" t="str">
        <f t="shared" ca="1" si="63"/>
        <v>807 &amp; 1207</v>
      </c>
      <c r="B700" s="117"/>
      <c r="C700" s="64" t="s">
        <v>197</v>
      </c>
      <c r="D700" s="64">
        <f>(33.82+0.6*2.9+2.15*0.75+1.5*3.05)*10.764</f>
        <v>449.37009</v>
      </c>
      <c r="E700" s="64">
        <f t="shared" si="66"/>
        <v>42.679259999999999</v>
      </c>
      <c r="F700" s="64">
        <f t="shared" si="67"/>
        <v>716.73439500000006</v>
      </c>
      <c r="G700" s="146"/>
      <c r="H700" s="147"/>
      <c r="I700" s="31"/>
      <c r="N700" s="2" t="str">
        <f t="shared" ca="1" si="64"/>
        <v>807 &amp; 1207</v>
      </c>
      <c r="O700" s="2">
        <f t="shared" ca="1" si="65"/>
        <v>807</v>
      </c>
      <c r="P700" s="2">
        <f t="shared" ca="1" si="65"/>
        <v>1207</v>
      </c>
    </row>
    <row r="701" spans="1:16" s="2" customFormat="1" ht="15.75" customHeight="1" x14ac:dyDescent="0.35">
      <c r="A701" s="116" t="str">
        <f t="shared" ca="1" si="63"/>
        <v>808 &amp; 1208</v>
      </c>
      <c r="B701" s="117"/>
      <c r="C701" s="64" t="s">
        <v>197</v>
      </c>
      <c r="D701" s="64">
        <f>(33.82+0.6*2.9+2.15*0.75+1.5*3.05)*10.764</f>
        <v>449.37009</v>
      </c>
      <c r="E701" s="64">
        <f t="shared" si="66"/>
        <v>42.679259999999999</v>
      </c>
      <c r="F701" s="64">
        <f t="shared" si="67"/>
        <v>716.73439500000006</v>
      </c>
      <c r="G701" s="148"/>
      <c r="H701" s="149"/>
      <c r="I701" s="31"/>
      <c r="N701" s="2" t="str">
        <f t="shared" ca="1" si="64"/>
        <v>808 &amp; 1208</v>
      </c>
      <c r="O701" s="2">
        <f t="shared" ca="1" si="65"/>
        <v>808</v>
      </c>
      <c r="P701" s="2">
        <f t="shared" ca="1" si="65"/>
        <v>1208</v>
      </c>
    </row>
    <row r="702" spans="1:16" s="1" customFormat="1" x14ac:dyDescent="0.35">
      <c r="A702" s="134" t="s">
        <v>250</v>
      </c>
      <c r="B702" s="134"/>
      <c r="C702" s="134"/>
      <c r="D702" s="134"/>
      <c r="E702" s="134"/>
      <c r="F702" s="134"/>
      <c r="G702" s="134"/>
      <c r="H702" s="134"/>
    </row>
    <row r="703" spans="1:16" s="2" customFormat="1" ht="15.75" customHeight="1" x14ac:dyDescent="0.35">
      <c r="A703" s="126" t="s">
        <v>200</v>
      </c>
      <c r="B703" s="127"/>
      <c r="C703" s="127"/>
      <c r="D703" s="127"/>
      <c r="E703" s="127"/>
      <c r="F703" s="127"/>
      <c r="G703" s="127"/>
      <c r="H703" s="128"/>
      <c r="I703" s="31"/>
      <c r="L703" s="115"/>
      <c r="M703" s="115"/>
    </row>
    <row r="704" spans="1:16" s="2" customFormat="1" ht="15.75" customHeight="1" x14ac:dyDescent="0.35">
      <c r="A704" s="126" t="s">
        <v>198</v>
      </c>
      <c r="B704" s="127"/>
      <c r="C704" s="127"/>
      <c r="D704" s="127"/>
      <c r="E704" s="127"/>
      <c r="F704" s="127"/>
      <c r="G704" s="127"/>
      <c r="H704" s="128"/>
      <c r="I704" s="31"/>
    </row>
    <row r="705" spans="1:16" s="2" customFormat="1" ht="15.75" customHeight="1" x14ac:dyDescent="0.35">
      <c r="A705" s="116" t="str">
        <f t="shared" ref="A705:A712" ca="1" si="68">N705</f>
        <v>101,..,1301</v>
      </c>
      <c r="B705" s="117"/>
      <c r="C705" s="64" t="s">
        <v>197</v>
      </c>
      <c r="D705" s="79">
        <f>(37.39+(0.6*3.05)+2.15*0.75+1.5*2.75)*10.764</f>
        <v>483.92252999999994</v>
      </c>
      <c r="E705" s="79">
        <f>3.05*1.5*10.764</f>
        <v>49.245299999999986</v>
      </c>
      <c r="F705" s="64">
        <f t="shared" ref="F705:F712" si="69">D705*(($F$472)+1)+E705</f>
        <v>775.12909500000001</v>
      </c>
      <c r="G705" s="144" t="str">
        <f>A704</f>
        <v>1st, 3rd, 5th, 7th, 9th, 11th, 13th Floor</v>
      </c>
      <c r="H705" s="145"/>
      <c r="I705" s="31"/>
      <c r="N705" s="2" t="str">
        <f t="shared" ref="N705:N712" ca="1" si="70">O705&amp;""&amp;",..,"&amp;""&amp;P705</f>
        <v>101,..,1301</v>
      </c>
      <c r="O705" s="2">
        <f ca="1">(SUMPRODUCT(MID(0&amp;(LEFT(A704,SUM(LEN(A704)-LEN(SUBSTITUTE(A704,{"0","1","2"},""))))), LARGE(INDEX(ISNUMBER(--MID((LEFT(A704,SUM(LEN(A704)-LEN(SUBSTITUTE(A704,{"0","1","2"},""))))), ROW(INDIRECT("1:"&amp;LEN((LEFT(A704,SUM(LEN(A704)-LEN(SUBSTITUTE(A704,{"0","1","2"},"")))))))), 1)) * ROW(INDIRECT("1:"&amp;LEN((LEFT(A704,SUM(LEN(A704)-LEN(SUBSTITUTE(A704,{"0","1","2"},"")))))))), 0), ROW(INDIRECT("1:"&amp;LEN((LEFT(A704,SUM(LEN(A704)-LEN(SUBSTITUTE(A704,{"0","1","2"},"")))))))))+1, 1) * 10^ROW(INDIRECT("1:"&amp;LEN((LEFT(A704,SUM(LEN(A704)-LEN(SUBSTITUTE(A704,{"0","1","2"},""))))))))/10))*100+1</f>
        <v>101</v>
      </c>
      <c r="P705" s="2">
        <f ca="1">(SUMPRODUCT(MID(0&amp;(--TRIM(RIGHT(SUBSTITUTE(LEFT(A704,_xlfn.AGGREGATE(16,6,FIND({0,1,2,3,4,5,6,7,8,9},A704,ROW(INDIRECT("1:"&amp;LEN(A704)))),1))," ",REPT(" ",LEN(A704))),LEN(A704)))), LARGE(INDEX(ISNUMBER(--MID((--TRIM(RIGHT(SUBSTITUTE(LEFT(A704,_xlfn.AGGREGATE(16,6,FIND({0,1,2,3,4,5,6,7,8,9},A704,ROW(INDIRECT("1:"&amp;LEN(A704)))),1))," ",REPT(" ",LEN(A704))),LEN(A704)))), ROW(INDIRECT("1:"&amp;LEN((--TRIM(RIGHT(SUBSTITUTE(LEFT(A704,_xlfn.AGGREGATE(16,6,FIND({0,1,2,3,4,5,6,7,8,9},A704,ROW(INDIRECT("1:"&amp;LEN(A704)))),1))," ",REPT(" ",LEN(A704))),LEN(A704))))))), 1)) * ROW(INDIRECT("1:"&amp;LEN((--TRIM(RIGHT(SUBSTITUTE(LEFT(A704,_xlfn.AGGREGATE(16,6,FIND({0,1,2,3,4,5,6,7,8,9},A704,ROW(INDIRECT("1:"&amp;LEN(A704)))),1))," ",REPT(" ",LEN(A704))),LEN(A704))))))), 0), ROW(INDIRECT("1:"&amp;LEN((--TRIM(RIGHT(SUBSTITUTE(LEFT(A704,_xlfn.AGGREGATE(16,6,FIND({0,1,2,3,4,5,6,7,8,9},A704,ROW(INDIRECT("1:"&amp;LEN(A704)))),1))," ",REPT(" ",LEN(A704))),LEN(A704))))))))+1, 1) * 10^ROW(INDIRECT("1:"&amp;LEN((--TRIM(RIGHT(SUBSTITUTE(LEFT(A704,_xlfn.AGGREGATE(16,6,FIND({0,1,2,3,4,5,6,7,8,9},A704,ROW(INDIRECT("1:"&amp;LEN(A704)))),1))," ",REPT(" ",LEN(A704))),LEN(A704)))))))/10))*100+1</f>
        <v>1301</v>
      </c>
    </row>
    <row r="706" spans="1:16" s="2" customFormat="1" ht="15.75" customHeight="1" x14ac:dyDescent="0.35">
      <c r="A706" s="116" t="str">
        <f t="shared" ca="1" si="68"/>
        <v>102,..,1302</v>
      </c>
      <c r="B706" s="117"/>
      <c r="C706" s="64" t="s">
        <v>197</v>
      </c>
      <c r="D706" s="79">
        <f>(37.39+(0.6*3.05)+2.15*0.75+1.5*2.75)*10.764</f>
        <v>483.92252999999994</v>
      </c>
      <c r="E706" s="79">
        <f>3.05*1.5*10.764</f>
        <v>49.245299999999986</v>
      </c>
      <c r="F706" s="64">
        <f t="shared" si="69"/>
        <v>775.12909500000001</v>
      </c>
      <c r="G706" s="146"/>
      <c r="H706" s="147"/>
      <c r="I706" s="31"/>
      <c r="N706" s="2" t="str">
        <f t="shared" ca="1" si="70"/>
        <v>102,..,1302</v>
      </c>
      <c r="O706" s="2">
        <f t="shared" ref="O706:P712" ca="1" si="71">O705+1</f>
        <v>102</v>
      </c>
      <c r="P706" s="2">
        <f t="shared" ca="1" si="71"/>
        <v>1302</v>
      </c>
    </row>
    <row r="707" spans="1:16" s="2" customFormat="1" ht="15.75" customHeight="1" x14ac:dyDescent="0.35">
      <c r="A707" s="116" t="str">
        <f t="shared" ca="1" si="68"/>
        <v>103,..,1303</v>
      </c>
      <c r="B707" s="117"/>
      <c r="C707" s="64" t="s">
        <v>197</v>
      </c>
      <c r="D707" s="79">
        <f>(33.82+(0.6*3.05)+2.15*0.75+1.5*2.9)*10.764</f>
        <v>447.91694999999993</v>
      </c>
      <c r="E707" s="79">
        <f t="shared" ref="E707:E709" si="72">3.05*1.5*10.764</f>
        <v>49.245299999999986</v>
      </c>
      <c r="F707" s="64">
        <f t="shared" si="69"/>
        <v>721.12072499999999</v>
      </c>
      <c r="G707" s="146"/>
      <c r="H707" s="147"/>
      <c r="I707" s="31"/>
      <c r="N707" s="2" t="str">
        <f t="shared" ca="1" si="70"/>
        <v>103,..,1303</v>
      </c>
      <c r="O707" s="2">
        <f t="shared" ca="1" si="71"/>
        <v>103</v>
      </c>
      <c r="P707" s="2">
        <f t="shared" ca="1" si="71"/>
        <v>1303</v>
      </c>
    </row>
    <row r="708" spans="1:16" s="2" customFormat="1" ht="15.75" customHeight="1" x14ac:dyDescent="0.35">
      <c r="A708" s="116" t="str">
        <f t="shared" ca="1" si="68"/>
        <v>104,..,1304</v>
      </c>
      <c r="B708" s="117"/>
      <c r="C708" s="64" t="s">
        <v>197</v>
      </c>
      <c r="D708" s="79">
        <f>(33.82+(0.6*3.05)+2.15*0.75+1.5*2.9)*10.764</f>
        <v>447.91694999999993</v>
      </c>
      <c r="E708" s="79">
        <f t="shared" si="72"/>
        <v>49.245299999999986</v>
      </c>
      <c r="F708" s="64">
        <f t="shared" si="69"/>
        <v>721.12072499999999</v>
      </c>
      <c r="G708" s="146"/>
      <c r="H708" s="147"/>
      <c r="I708" s="31"/>
      <c r="N708" s="2" t="str">
        <f t="shared" ca="1" si="70"/>
        <v>104,..,1304</v>
      </c>
      <c r="O708" s="2">
        <f t="shared" ca="1" si="71"/>
        <v>104</v>
      </c>
      <c r="P708" s="2">
        <f t="shared" ca="1" si="71"/>
        <v>1304</v>
      </c>
    </row>
    <row r="709" spans="1:16" s="2" customFormat="1" ht="15.75" customHeight="1" x14ac:dyDescent="0.35">
      <c r="A709" s="116" t="str">
        <f t="shared" ca="1" si="68"/>
        <v>105,..,1305</v>
      </c>
      <c r="B709" s="117"/>
      <c r="C709" s="64" t="s">
        <v>197</v>
      </c>
      <c r="D709" s="79">
        <f>(37.39+(0.6*3.05)+2.15*0.75+1.5*2.75)*10.764</f>
        <v>483.92252999999994</v>
      </c>
      <c r="E709" s="79">
        <f t="shared" si="72"/>
        <v>49.245299999999986</v>
      </c>
      <c r="F709" s="64">
        <f t="shared" si="69"/>
        <v>775.12909500000001</v>
      </c>
      <c r="G709" s="146"/>
      <c r="H709" s="147"/>
      <c r="I709" s="31"/>
      <c r="N709" s="2" t="str">
        <f t="shared" ca="1" si="70"/>
        <v>105,..,1305</v>
      </c>
      <c r="O709" s="2">
        <f t="shared" ca="1" si="71"/>
        <v>105</v>
      </c>
      <c r="P709" s="2">
        <f t="shared" ca="1" si="71"/>
        <v>1305</v>
      </c>
    </row>
    <row r="710" spans="1:16" s="2" customFormat="1" ht="15.75" customHeight="1" x14ac:dyDescent="0.35">
      <c r="A710" s="116" t="str">
        <f t="shared" ca="1" si="68"/>
        <v>106,..,1306</v>
      </c>
      <c r="B710" s="117"/>
      <c r="C710" s="64" t="s">
        <v>197</v>
      </c>
      <c r="D710" s="79">
        <f>(37.39+(0.6*3.05)+2.15*0.75+1.5*2.75)*10.764</f>
        <v>483.92252999999994</v>
      </c>
      <c r="E710" s="79">
        <f>3.05*1.5*10.764</f>
        <v>49.245299999999986</v>
      </c>
      <c r="F710" s="64">
        <f t="shared" si="69"/>
        <v>775.12909500000001</v>
      </c>
      <c r="G710" s="146"/>
      <c r="H710" s="147"/>
      <c r="I710" s="31"/>
      <c r="N710" s="2" t="str">
        <f t="shared" ca="1" si="70"/>
        <v>106,..,1306</v>
      </c>
      <c r="O710" s="2">
        <f t="shared" ca="1" si="71"/>
        <v>106</v>
      </c>
      <c r="P710" s="2">
        <f t="shared" ca="1" si="71"/>
        <v>1306</v>
      </c>
    </row>
    <row r="711" spans="1:16" s="2" customFormat="1" ht="15.75" customHeight="1" x14ac:dyDescent="0.35">
      <c r="A711" s="116" t="str">
        <f t="shared" ca="1" si="68"/>
        <v>107,..,1307</v>
      </c>
      <c r="B711" s="117"/>
      <c r="C711" s="64" t="s">
        <v>197</v>
      </c>
      <c r="D711" s="79">
        <f>(33.82+(0.6*3.05)+2.15*0.75+1.5*2.9)*10.764</f>
        <v>447.91694999999993</v>
      </c>
      <c r="E711" s="79">
        <f>3.05*1.5*10.764</f>
        <v>49.245299999999986</v>
      </c>
      <c r="F711" s="64">
        <f t="shared" si="69"/>
        <v>721.12072499999999</v>
      </c>
      <c r="G711" s="146"/>
      <c r="H711" s="147"/>
      <c r="I711" s="31"/>
      <c r="N711" s="2" t="str">
        <f t="shared" ca="1" si="70"/>
        <v>107,..,1307</v>
      </c>
      <c r="O711" s="2">
        <f t="shared" ca="1" si="71"/>
        <v>107</v>
      </c>
      <c r="P711" s="2">
        <f t="shared" ca="1" si="71"/>
        <v>1307</v>
      </c>
    </row>
    <row r="712" spans="1:16" s="2" customFormat="1" ht="15.75" customHeight="1" x14ac:dyDescent="0.35">
      <c r="A712" s="116" t="str">
        <f t="shared" ca="1" si="68"/>
        <v>108,..,1308</v>
      </c>
      <c r="B712" s="117"/>
      <c r="C712" s="64" t="s">
        <v>197</v>
      </c>
      <c r="D712" s="79">
        <f>(33.82+(0.6*3.05)+2.15*0.75+1.5*2.9)*10.764</f>
        <v>447.91694999999993</v>
      </c>
      <c r="E712" s="79">
        <f t="shared" ref="E712" si="73">3.05*1.5*10.764</f>
        <v>49.245299999999986</v>
      </c>
      <c r="F712" s="64">
        <f t="shared" si="69"/>
        <v>721.12072499999999</v>
      </c>
      <c r="G712" s="148"/>
      <c r="H712" s="149"/>
      <c r="I712" s="31"/>
      <c r="N712" s="2" t="str">
        <f t="shared" ca="1" si="70"/>
        <v>108,..,1308</v>
      </c>
      <c r="O712" s="2">
        <f t="shared" ca="1" si="71"/>
        <v>108</v>
      </c>
      <c r="P712" s="2">
        <f t="shared" ca="1" si="71"/>
        <v>1308</v>
      </c>
    </row>
    <row r="713" spans="1:16" s="2" customFormat="1" ht="15.75" customHeight="1" x14ac:dyDescent="0.35">
      <c r="A713" s="119" t="s">
        <v>199</v>
      </c>
      <c r="B713" s="119"/>
      <c r="C713" s="119"/>
      <c r="D713" s="119"/>
      <c r="E713" s="119"/>
      <c r="F713" s="119"/>
      <c r="G713" s="119"/>
      <c r="H713" s="119"/>
      <c r="I713" s="31"/>
    </row>
    <row r="714" spans="1:16" s="2" customFormat="1" ht="15.75" customHeight="1" x14ac:dyDescent="0.35">
      <c r="A714" s="118" t="str">
        <f t="shared" ref="A714:A721" ca="1" si="74">N714</f>
        <v>201,..,1401</v>
      </c>
      <c r="B714" s="118"/>
      <c r="C714" s="82" t="s">
        <v>197</v>
      </c>
      <c r="D714" s="82">
        <f>(35.78+(0.6*2.75)+2.15*0.75+1.5*3.05)*10.764</f>
        <v>469.49876999999987</v>
      </c>
      <c r="E714" s="82">
        <f>3.05*1.5*10.764</f>
        <v>49.245299999999986</v>
      </c>
      <c r="F714" s="82">
        <f t="shared" ref="F714:F721" si="75">D714*(($F$472)+1)+E714</f>
        <v>753.49345499999981</v>
      </c>
      <c r="G714" s="118" t="str">
        <f>A713</f>
        <v>2nd, 4th, 6th, 10th, 14th Floor</v>
      </c>
      <c r="H714" s="118"/>
      <c r="I714" s="31"/>
      <c r="N714" s="2" t="str">
        <f t="shared" ref="N714:N721" ca="1" si="76">O714&amp;""&amp;",..,"&amp;""&amp;P714</f>
        <v>201,..,1401</v>
      </c>
      <c r="O714" s="2">
        <f ca="1">(SUMPRODUCT(MID(0&amp;(LEFT(A713,SUM(LEN(A713)-LEN(SUBSTITUTE(A713,{"0","1","2"},""))))), LARGE(INDEX(ISNUMBER(--MID((LEFT(A713,SUM(LEN(A713)-LEN(SUBSTITUTE(A713,{"0","1","2"},""))))), ROW(INDIRECT("1:"&amp;LEN((LEFT(A713,SUM(LEN(A713)-LEN(SUBSTITUTE(A713,{"0","1","2"},"")))))))), 1)) * ROW(INDIRECT("1:"&amp;LEN((LEFT(A713,SUM(LEN(A713)-LEN(SUBSTITUTE(A713,{"0","1","2"},"")))))))), 0), ROW(INDIRECT("1:"&amp;LEN((LEFT(A713,SUM(LEN(A713)-LEN(SUBSTITUTE(A713,{"0","1","2"},"")))))))))+1, 1) * 10^ROW(INDIRECT("1:"&amp;LEN((LEFT(A713,SUM(LEN(A713)-LEN(SUBSTITUTE(A713,{"0","1","2"},""))))))))/10))*100+1</f>
        <v>201</v>
      </c>
      <c r="P714" s="2">
        <f ca="1">(SUMPRODUCT(MID(0&amp;(--TRIM(RIGHT(SUBSTITUTE(LEFT(A713,_xlfn.AGGREGATE(16,6,FIND({0,1,2,3,4,5,6,7,8,9},A713,ROW(INDIRECT("1:"&amp;LEN(A713)))),1))," ",REPT(" ",LEN(A713))),LEN(A713)))), LARGE(INDEX(ISNUMBER(--MID((--TRIM(RIGHT(SUBSTITUTE(LEFT(A713,_xlfn.AGGREGATE(16,6,FIND({0,1,2,3,4,5,6,7,8,9},A713,ROW(INDIRECT("1:"&amp;LEN(A713)))),1))," ",REPT(" ",LEN(A713))),LEN(A713)))), ROW(INDIRECT("1:"&amp;LEN((--TRIM(RIGHT(SUBSTITUTE(LEFT(A713,_xlfn.AGGREGATE(16,6,FIND({0,1,2,3,4,5,6,7,8,9},A713,ROW(INDIRECT("1:"&amp;LEN(A713)))),1))," ",REPT(" ",LEN(A713))),LEN(A713))))))), 1)) * ROW(INDIRECT("1:"&amp;LEN((--TRIM(RIGHT(SUBSTITUTE(LEFT(A713,_xlfn.AGGREGATE(16,6,FIND({0,1,2,3,4,5,6,7,8,9},A713,ROW(INDIRECT("1:"&amp;LEN(A713)))),1))," ",REPT(" ",LEN(A713))),LEN(A713))))))), 0), ROW(INDIRECT("1:"&amp;LEN((--TRIM(RIGHT(SUBSTITUTE(LEFT(A713,_xlfn.AGGREGATE(16,6,FIND({0,1,2,3,4,5,6,7,8,9},A713,ROW(INDIRECT("1:"&amp;LEN(A713)))),1))," ",REPT(" ",LEN(A713))),LEN(A713))))))))+1, 1) * 10^ROW(INDIRECT("1:"&amp;LEN((--TRIM(RIGHT(SUBSTITUTE(LEFT(A713,_xlfn.AGGREGATE(16,6,FIND({0,1,2,3,4,5,6,7,8,9},A713,ROW(INDIRECT("1:"&amp;LEN(A713)))),1))," ",REPT(" ",LEN(A713))),LEN(A713)))))))/10))*100+1</f>
        <v>1401</v>
      </c>
    </row>
    <row r="715" spans="1:16" s="2" customFormat="1" ht="15.75" customHeight="1" x14ac:dyDescent="0.35">
      <c r="A715" s="118" t="str">
        <f t="shared" ca="1" si="74"/>
        <v>202,..,1402</v>
      </c>
      <c r="B715" s="118"/>
      <c r="C715" s="82" t="s">
        <v>197</v>
      </c>
      <c r="D715" s="82">
        <f>(37.39+(0.6*2.75)+2.15*0.75+1.5*3.05)*10.764</f>
        <v>486.82880999999986</v>
      </c>
      <c r="E715" s="82">
        <f>3.05*1.5*10.764</f>
        <v>49.245299999999986</v>
      </c>
      <c r="F715" s="82">
        <f t="shared" si="75"/>
        <v>779.48851499999978</v>
      </c>
      <c r="G715" s="118"/>
      <c r="H715" s="118"/>
      <c r="I715" s="31"/>
      <c r="N715" s="2" t="str">
        <f t="shared" ca="1" si="76"/>
        <v>202,..,1402</v>
      </c>
      <c r="O715" s="2">
        <f t="shared" ref="O715:P721" ca="1" si="77">O714+1</f>
        <v>202</v>
      </c>
      <c r="P715" s="2">
        <f t="shared" ca="1" si="77"/>
        <v>1402</v>
      </c>
    </row>
    <row r="716" spans="1:16" s="2" customFormat="1" ht="15.75" customHeight="1" x14ac:dyDescent="0.35">
      <c r="A716" s="118" t="str">
        <f t="shared" ca="1" si="74"/>
        <v>203,..,1403</v>
      </c>
      <c r="B716" s="118"/>
      <c r="C716" s="82" t="s">
        <v>197</v>
      </c>
      <c r="D716" s="82">
        <f>(33.82+(0.6*2.9)+2.15*0.75+1.5*3.05)*10.764</f>
        <v>449.37009</v>
      </c>
      <c r="E716" s="82">
        <f t="shared" ref="E716:E718" si="78">3.05*1.5*10.764</f>
        <v>49.245299999999986</v>
      </c>
      <c r="F716" s="82">
        <f t="shared" si="75"/>
        <v>723.30043500000011</v>
      </c>
      <c r="G716" s="118"/>
      <c r="H716" s="118"/>
      <c r="I716" s="31"/>
      <c r="N716" s="2" t="str">
        <f t="shared" ca="1" si="76"/>
        <v>203,..,1403</v>
      </c>
      <c r="O716" s="2">
        <f t="shared" ca="1" si="77"/>
        <v>203</v>
      </c>
      <c r="P716" s="2">
        <f t="shared" ca="1" si="77"/>
        <v>1403</v>
      </c>
    </row>
    <row r="717" spans="1:16" s="2" customFormat="1" ht="15.75" customHeight="1" x14ac:dyDescent="0.35">
      <c r="A717" s="118" t="str">
        <f t="shared" ca="1" si="74"/>
        <v>204,..,1404</v>
      </c>
      <c r="B717" s="118"/>
      <c r="C717" s="82" t="s">
        <v>197</v>
      </c>
      <c r="D717" s="82">
        <f>(33.82+(0.6*2.9)+2.15*0.75+1.5*3.05)*10.764</f>
        <v>449.37009</v>
      </c>
      <c r="E717" s="82">
        <f t="shared" si="78"/>
        <v>49.245299999999986</v>
      </c>
      <c r="F717" s="82">
        <f t="shared" si="75"/>
        <v>723.30043500000011</v>
      </c>
      <c r="G717" s="118"/>
      <c r="H717" s="118"/>
      <c r="I717" s="31"/>
      <c r="N717" s="2" t="str">
        <f t="shared" ca="1" si="76"/>
        <v>204,..,1404</v>
      </c>
      <c r="O717" s="2">
        <f t="shared" ca="1" si="77"/>
        <v>204</v>
      </c>
      <c r="P717" s="2">
        <f t="shared" ca="1" si="77"/>
        <v>1404</v>
      </c>
    </row>
    <row r="718" spans="1:16" s="2" customFormat="1" ht="15.75" customHeight="1" x14ac:dyDescent="0.35">
      <c r="A718" s="118" t="str">
        <f t="shared" ca="1" si="74"/>
        <v>205,..,1405</v>
      </c>
      <c r="B718" s="118"/>
      <c r="C718" s="82" t="s">
        <v>197</v>
      </c>
      <c r="D718" s="82">
        <f>(37.39+(0.6*2.75)+2.15*0.75+1.5*3.05)*10.764</f>
        <v>486.82880999999986</v>
      </c>
      <c r="E718" s="82">
        <f t="shared" si="78"/>
        <v>49.245299999999986</v>
      </c>
      <c r="F718" s="82">
        <f t="shared" si="75"/>
        <v>779.48851499999978</v>
      </c>
      <c r="G718" s="118"/>
      <c r="H718" s="118"/>
      <c r="I718" s="31"/>
      <c r="N718" s="2" t="str">
        <f t="shared" ca="1" si="76"/>
        <v>205,..,1405</v>
      </c>
      <c r="O718" s="2">
        <f t="shared" ca="1" si="77"/>
        <v>205</v>
      </c>
      <c r="P718" s="2">
        <f t="shared" ca="1" si="77"/>
        <v>1405</v>
      </c>
    </row>
    <row r="719" spans="1:16" s="2" customFormat="1" ht="15.75" customHeight="1" x14ac:dyDescent="0.35">
      <c r="A719" s="118" t="str">
        <f t="shared" ca="1" si="74"/>
        <v>206,..,1406</v>
      </c>
      <c r="B719" s="118"/>
      <c r="C719" s="82" t="s">
        <v>197</v>
      </c>
      <c r="D719" s="82">
        <f>(37.39+(0.6*2.75)+2.15*0.75+1.5*3.05)*10.764</f>
        <v>486.82880999999986</v>
      </c>
      <c r="E719" s="82">
        <f>3.05*1.5*10.764</f>
        <v>49.245299999999986</v>
      </c>
      <c r="F719" s="82">
        <f t="shared" si="75"/>
        <v>779.48851499999978</v>
      </c>
      <c r="G719" s="118"/>
      <c r="H719" s="118"/>
      <c r="I719" s="31"/>
      <c r="N719" s="2" t="str">
        <f t="shared" ca="1" si="76"/>
        <v>206,..,1406</v>
      </c>
      <c r="O719" s="2">
        <f t="shared" ca="1" si="77"/>
        <v>206</v>
      </c>
      <c r="P719" s="2">
        <f t="shared" ca="1" si="77"/>
        <v>1406</v>
      </c>
    </row>
    <row r="720" spans="1:16" s="2" customFormat="1" ht="15.75" customHeight="1" x14ac:dyDescent="0.35">
      <c r="A720" s="118" t="str">
        <f t="shared" ca="1" si="74"/>
        <v>207,..,1407</v>
      </c>
      <c r="B720" s="118"/>
      <c r="C720" s="82" t="s">
        <v>197</v>
      </c>
      <c r="D720" s="82">
        <f>(33.82+(0.6*2.9)+2.15*0.75+1.5*3.05)*10.764</f>
        <v>449.37009</v>
      </c>
      <c r="E720" s="82">
        <f>3.05*1.5*10.764</f>
        <v>49.245299999999986</v>
      </c>
      <c r="F720" s="82">
        <f t="shared" si="75"/>
        <v>723.30043500000011</v>
      </c>
      <c r="G720" s="118"/>
      <c r="H720" s="118"/>
      <c r="I720" s="31"/>
      <c r="N720" s="2" t="str">
        <f t="shared" ca="1" si="76"/>
        <v>207,..,1407</v>
      </c>
      <c r="O720" s="2">
        <f t="shared" ca="1" si="77"/>
        <v>207</v>
      </c>
      <c r="P720" s="2">
        <f t="shared" ca="1" si="77"/>
        <v>1407</v>
      </c>
    </row>
    <row r="721" spans="1:16" s="2" customFormat="1" ht="15.75" customHeight="1" x14ac:dyDescent="0.35">
      <c r="A721" s="118" t="str">
        <f t="shared" ca="1" si="74"/>
        <v>208,..,1408</v>
      </c>
      <c r="B721" s="118"/>
      <c r="C721" s="82" t="s">
        <v>197</v>
      </c>
      <c r="D721" s="82">
        <f>(33.82+(0.6*2.9)+2.15*0.75+1.5*3.05)*10.764</f>
        <v>449.37009</v>
      </c>
      <c r="E721" s="82">
        <f t="shared" ref="E721" si="79">3.05*1.5*10.764</f>
        <v>49.245299999999986</v>
      </c>
      <c r="F721" s="82">
        <f t="shared" si="75"/>
        <v>723.30043500000011</v>
      </c>
      <c r="G721" s="118"/>
      <c r="H721" s="118"/>
      <c r="I721" s="31"/>
      <c r="N721" s="2" t="str">
        <f t="shared" ca="1" si="76"/>
        <v>208,..,1408</v>
      </c>
      <c r="O721" s="2">
        <f t="shared" ca="1" si="77"/>
        <v>208</v>
      </c>
      <c r="P721" s="2">
        <f t="shared" ca="1" si="77"/>
        <v>1408</v>
      </c>
    </row>
    <row r="722" spans="1:16" s="78" customFormat="1" ht="15.75" customHeight="1" x14ac:dyDescent="0.35">
      <c r="A722" s="119" t="s">
        <v>219</v>
      </c>
      <c r="B722" s="119"/>
      <c r="C722" s="119"/>
      <c r="D722" s="119"/>
      <c r="E722" s="119"/>
      <c r="F722" s="119"/>
      <c r="G722" s="119"/>
      <c r="H722" s="119"/>
      <c r="I722" s="31"/>
    </row>
    <row r="723" spans="1:16" s="78" customFormat="1" ht="15.75" customHeight="1" x14ac:dyDescent="0.35">
      <c r="A723" s="118" t="str">
        <f t="shared" ref="A723:A730" ca="1" si="80">N723</f>
        <v>801,..,1201</v>
      </c>
      <c r="B723" s="118"/>
      <c r="C723" s="82" t="s">
        <v>197</v>
      </c>
      <c r="D723" s="82">
        <f>(35.78+(0.6*2.75)+2.15*0.75+1.5*3.05)*10.764</f>
        <v>469.49876999999987</v>
      </c>
      <c r="E723" s="82">
        <f>3.05*1.5*10.764</f>
        <v>49.245299999999986</v>
      </c>
      <c r="F723" s="82">
        <f t="shared" ref="F723:F725" si="81">D723*(($F$472)+1)+E723</f>
        <v>753.49345499999981</v>
      </c>
      <c r="G723" s="118" t="str">
        <f>A722</f>
        <v>8th &amp; 12th Floor ( Part Refuge Area)</v>
      </c>
      <c r="H723" s="118"/>
      <c r="I723" s="31"/>
      <c r="N723" s="78" t="str">
        <f t="shared" ref="N723:N730" ca="1" si="82">O723&amp;""&amp;",..,"&amp;""&amp;P723</f>
        <v>801,..,1201</v>
      </c>
      <c r="O723" s="78">
        <f ca="1">(SUMPRODUCT(MID(0&amp;(LEFT(A722,SUM(LEN(A722)-LEN(SUBSTITUTE(A722,{"0","1","2"},""))))), LARGE(INDEX(ISNUMBER(--MID((LEFT(A722,SUM(LEN(A722)-LEN(SUBSTITUTE(A722,{"0","1","2"},""))))), ROW(INDIRECT("1:"&amp;LEN((LEFT(A722,SUM(LEN(A722)-LEN(SUBSTITUTE(A722,{"0","1","2"},"")))))))), 1)) * ROW(INDIRECT("1:"&amp;LEN((LEFT(A722,SUM(LEN(A722)-LEN(SUBSTITUTE(A722,{"0","1","2"},"")))))))), 0), ROW(INDIRECT("1:"&amp;LEN((LEFT(A722,SUM(LEN(A722)-LEN(SUBSTITUTE(A722,{"0","1","2"},"")))))))))+1, 1) * 10^ROW(INDIRECT("1:"&amp;LEN((LEFT(A722,SUM(LEN(A722)-LEN(SUBSTITUTE(A722,{"0","1","2"},""))))))))/10))*100+1</f>
        <v>801</v>
      </c>
      <c r="P723" s="78">
        <f ca="1">(SUMPRODUCT(MID(0&amp;(--TRIM(RIGHT(SUBSTITUTE(LEFT(A722,_xlfn.AGGREGATE(16,6,FIND({0,1,2,3,4,5,6,7,8,9},A722,ROW(INDIRECT("1:"&amp;LEN(A722)))),1))," ",REPT(" ",LEN(A722))),LEN(A722)))), LARGE(INDEX(ISNUMBER(--MID((--TRIM(RIGHT(SUBSTITUTE(LEFT(A722,_xlfn.AGGREGATE(16,6,FIND({0,1,2,3,4,5,6,7,8,9},A722,ROW(INDIRECT("1:"&amp;LEN(A722)))),1))," ",REPT(" ",LEN(A722))),LEN(A722)))), ROW(INDIRECT("1:"&amp;LEN((--TRIM(RIGHT(SUBSTITUTE(LEFT(A722,_xlfn.AGGREGATE(16,6,FIND({0,1,2,3,4,5,6,7,8,9},A722,ROW(INDIRECT("1:"&amp;LEN(A722)))),1))," ",REPT(" ",LEN(A722))),LEN(A722))))))), 1)) * ROW(INDIRECT("1:"&amp;LEN((--TRIM(RIGHT(SUBSTITUTE(LEFT(A722,_xlfn.AGGREGATE(16,6,FIND({0,1,2,3,4,5,6,7,8,9},A722,ROW(INDIRECT("1:"&amp;LEN(A722)))),1))," ",REPT(" ",LEN(A722))),LEN(A722))))))), 0), ROW(INDIRECT("1:"&amp;LEN((--TRIM(RIGHT(SUBSTITUTE(LEFT(A722,_xlfn.AGGREGATE(16,6,FIND({0,1,2,3,4,5,6,7,8,9},A722,ROW(INDIRECT("1:"&amp;LEN(A722)))),1))," ",REPT(" ",LEN(A722))),LEN(A722))))))))+1, 1) * 10^ROW(INDIRECT("1:"&amp;LEN((--TRIM(RIGHT(SUBSTITUTE(LEFT(A722,_xlfn.AGGREGATE(16,6,FIND({0,1,2,3,4,5,6,7,8,9},A722,ROW(INDIRECT("1:"&amp;LEN(A722)))),1))," ",REPT(" ",LEN(A722))),LEN(A722)))))))/10))*100+1</f>
        <v>1201</v>
      </c>
    </row>
    <row r="724" spans="1:16" s="78" customFormat="1" ht="15.75" customHeight="1" x14ac:dyDescent="0.35">
      <c r="A724" s="118" t="str">
        <f t="shared" ca="1" si="80"/>
        <v>802,..,1202</v>
      </c>
      <c r="B724" s="118"/>
      <c r="C724" s="82" t="s">
        <v>197</v>
      </c>
      <c r="D724" s="82">
        <f>(37.39+(0.6*2.75)+2.15*0.75+1.5*3.05)*10.764</f>
        <v>486.82880999999986</v>
      </c>
      <c r="E724" s="82">
        <f t="shared" ref="E724:E730" si="83">3.05*1.5*10.764</f>
        <v>49.245299999999986</v>
      </c>
      <c r="F724" s="82">
        <f t="shared" si="81"/>
        <v>779.48851499999978</v>
      </c>
      <c r="G724" s="118"/>
      <c r="H724" s="118"/>
      <c r="I724" s="31"/>
      <c r="N724" s="78" t="str">
        <f t="shared" ca="1" si="82"/>
        <v>802,..,1202</v>
      </c>
      <c r="O724" s="78">
        <f t="shared" ref="O724:P724" ca="1" si="84">O723+1</f>
        <v>802</v>
      </c>
      <c r="P724" s="78">
        <f t="shared" ca="1" si="84"/>
        <v>1202</v>
      </c>
    </row>
    <row r="725" spans="1:16" s="78" customFormat="1" ht="15.75" customHeight="1" x14ac:dyDescent="0.35">
      <c r="A725" s="118" t="str">
        <f t="shared" ca="1" si="80"/>
        <v>803,..,1203</v>
      </c>
      <c r="B725" s="118"/>
      <c r="C725" s="82" t="s">
        <v>197</v>
      </c>
      <c r="D725" s="82">
        <f>(33.82+(0.6*2.9)+2.15*0.75+1.5*3.05)*10.764</f>
        <v>449.37009</v>
      </c>
      <c r="E725" s="82">
        <f t="shared" si="83"/>
        <v>49.245299999999986</v>
      </c>
      <c r="F725" s="82">
        <f t="shared" si="81"/>
        <v>723.30043500000011</v>
      </c>
      <c r="G725" s="118"/>
      <c r="H725" s="118"/>
      <c r="I725" s="31"/>
      <c r="N725" s="78" t="str">
        <f t="shared" ca="1" si="82"/>
        <v>803,..,1203</v>
      </c>
      <c r="O725" s="78">
        <f t="shared" ref="O725:P725" ca="1" si="85">O724+1</f>
        <v>803</v>
      </c>
      <c r="P725" s="78">
        <f t="shared" ca="1" si="85"/>
        <v>1203</v>
      </c>
    </row>
    <row r="726" spans="1:16" s="78" customFormat="1" ht="15.75" customHeight="1" x14ac:dyDescent="0.35">
      <c r="A726" s="118" t="str">
        <f t="shared" ca="1" si="80"/>
        <v>804,..,1204</v>
      </c>
      <c r="B726" s="118"/>
      <c r="C726" s="82" t="s">
        <v>197</v>
      </c>
      <c r="D726" s="82">
        <f>(33.82+(0.6*2.9)+2.15*0.75+1.5*3.05)*10.764</f>
        <v>449.37009</v>
      </c>
      <c r="E726" s="82">
        <f t="shared" si="83"/>
        <v>49.245299999999986</v>
      </c>
      <c r="F726" s="82">
        <f>D726*(($F$472)+1)+E726</f>
        <v>723.30043500000011</v>
      </c>
      <c r="G726" s="118"/>
      <c r="H726" s="118"/>
      <c r="I726" s="31"/>
      <c r="N726" s="78" t="str">
        <f t="shared" ca="1" si="82"/>
        <v>804,..,1204</v>
      </c>
      <c r="O726" s="78">
        <f t="shared" ref="O726:P726" ca="1" si="86">O725+1</f>
        <v>804</v>
      </c>
      <c r="P726" s="78">
        <f t="shared" ca="1" si="86"/>
        <v>1204</v>
      </c>
    </row>
    <row r="727" spans="1:16" s="78" customFormat="1" ht="15.75" customHeight="1" x14ac:dyDescent="0.35">
      <c r="A727" s="118" t="str">
        <f t="shared" ca="1" si="80"/>
        <v>805,..,1205</v>
      </c>
      <c r="B727" s="118"/>
      <c r="C727" s="82" t="s">
        <v>197</v>
      </c>
      <c r="D727" s="82">
        <f>(37.39+(0.6*2.75)+2.15*0.75+1.5*3.05)*10.764</f>
        <v>486.82880999999986</v>
      </c>
      <c r="E727" s="82">
        <f t="shared" si="83"/>
        <v>49.245299999999986</v>
      </c>
      <c r="F727" s="82">
        <f t="shared" ref="F727" si="87">D727*(($F$472)+1)+E727</f>
        <v>779.48851499999978</v>
      </c>
      <c r="G727" s="118"/>
      <c r="H727" s="118"/>
      <c r="I727" s="31"/>
      <c r="N727" s="78" t="str">
        <f t="shared" ca="1" si="82"/>
        <v>805,..,1205</v>
      </c>
      <c r="O727" s="78">
        <f t="shared" ref="O727:P727" ca="1" si="88">O726+1</f>
        <v>805</v>
      </c>
      <c r="P727" s="78">
        <f t="shared" ca="1" si="88"/>
        <v>1205</v>
      </c>
    </row>
    <row r="728" spans="1:16" s="78" customFormat="1" ht="15.75" customHeight="1" x14ac:dyDescent="0.35">
      <c r="A728" s="118" t="str">
        <f t="shared" ca="1" si="80"/>
        <v>806,..,1206</v>
      </c>
      <c r="B728" s="118"/>
      <c r="C728" s="118" t="s">
        <v>220</v>
      </c>
      <c r="D728" s="118"/>
      <c r="E728" s="118"/>
      <c r="F728" s="118"/>
      <c r="G728" s="118"/>
      <c r="H728" s="118"/>
      <c r="I728" s="31"/>
      <c r="N728" s="78" t="str">
        <f t="shared" ca="1" si="82"/>
        <v>806,..,1206</v>
      </c>
      <c r="O728" s="78">
        <f t="shared" ref="O728:P728" ca="1" si="89">O727+1</f>
        <v>806</v>
      </c>
      <c r="P728" s="78">
        <f t="shared" ca="1" si="89"/>
        <v>1206</v>
      </c>
    </row>
    <row r="729" spans="1:16" s="78" customFormat="1" ht="15.75" customHeight="1" x14ac:dyDescent="0.35">
      <c r="A729" s="118" t="str">
        <f t="shared" ca="1" si="80"/>
        <v>807,..,1207</v>
      </c>
      <c r="B729" s="118"/>
      <c r="C729" s="82" t="s">
        <v>197</v>
      </c>
      <c r="D729" s="82">
        <f>(33.82+(0.6*2.9)+2.15*0.75+1.5*3.05)*10.764</f>
        <v>449.37009</v>
      </c>
      <c r="E729" s="82">
        <f t="shared" si="83"/>
        <v>49.245299999999986</v>
      </c>
      <c r="F729" s="82">
        <f t="shared" ref="F729:F730" si="90">D729*(($F$472)+1)+E729</f>
        <v>723.30043500000011</v>
      </c>
      <c r="G729" s="118"/>
      <c r="H729" s="118"/>
      <c r="I729" s="31"/>
      <c r="N729" s="78" t="str">
        <f t="shared" ca="1" si="82"/>
        <v>807,..,1207</v>
      </c>
      <c r="O729" s="78">
        <f t="shared" ref="O729:P729" ca="1" si="91">O728+1</f>
        <v>807</v>
      </c>
      <c r="P729" s="78">
        <f t="shared" ca="1" si="91"/>
        <v>1207</v>
      </c>
    </row>
    <row r="730" spans="1:16" s="78" customFormat="1" ht="15.75" customHeight="1" x14ac:dyDescent="0.35">
      <c r="A730" s="118" t="str">
        <f t="shared" ca="1" si="80"/>
        <v>808,..,1208</v>
      </c>
      <c r="B730" s="118"/>
      <c r="C730" s="82" t="s">
        <v>197</v>
      </c>
      <c r="D730" s="82">
        <f>(33.82+(0.6*2.9)+2.15*0.75+1.5*3.05)*10.764</f>
        <v>449.37009</v>
      </c>
      <c r="E730" s="82">
        <f t="shared" si="83"/>
        <v>49.245299999999986</v>
      </c>
      <c r="F730" s="82">
        <f t="shared" si="90"/>
        <v>723.30043500000011</v>
      </c>
      <c r="G730" s="118"/>
      <c r="H730" s="118"/>
      <c r="I730" s="31"/>
      <c r="N730" s="78" t="str">
        <f t="shared" ca="1" si="82"/>
        <v>808,..,1208</v>
      </c>
      <c r="O730" s="78">
        <f t="shared" ref="O730:P730" ca="1" si="92">O729+1</f>
        <v>808</v>
      </c>
      <c r="P730" s="78">
        <f t="shared" ca="1" si="92"/>
        <v>1208</v>
      </c>
    </row>
    <row r="731" spans="1:16" s="2" customFormat="1" ht="15.75" customHeight="1" x14ac:dyDescent="0.35">
      <c r="A731" s="135" t="s">
        <v>258</v>
      </c>
      <c r="B731" s="135"/>
      <c r="C731" s="135"/>
      <c r="D731" s="135"/>
      <c r="E731" s="135"/>
      <c r="F731" s="135"/>
      <c r="G731" s="135"/>
      <c r="H731" s="135"/>
      <c r="I731" s="31"/>
    </row>
    <row r="732" spans="1:16" s="1" customFormat="1" x14ac:dyDescent="0.35">
      <c r="A732" s="134" t="s">
        <v>259</v>
      </c>
      <c r="B732" s="134"/>
      <c r="C732" s="134"/>
      <c r="D732" s="134"/>
      <c r="E732" s="134"/>
      <c r="F732" s="134"/>
      <c r="G732" s="134"/>
      <c r="H732" s="134"/>
    </row>
    <row r="733" spans="1:16" s="2" customFormat="1" x14ac:dyDescent="0.35">
      <c r="A733" s="119" t="s">
        <v>192</v>
      </c>
      <c r="B733" s="119"/>
      <c r="C733" s="119"/>
      <c r="D733" s="119"/>
      <c r="E733" s="119"/>
      <c r="F733" s="119"/>
      <c r="G733" s="119"/>
      <c r="H733" s="119"/>
      <c r="I733" s="31"/>
      <c r="L733" s="115"/>
      <c r="M733" s="115"/>
    </row>
    <row r="734" spans="1:16" s="2" customFormat="1" x14ac:dyDescent="0.35">
      <c r="A734" s="118">
        <f>LEFT(A733,SUM(LEN(A733)-LEN(SUBSTITUTE(A733,{"0","1","2","3","4","5","6","7","8","9"},""))))*100+1</f>
        <v>101</v>
      </c>
      <c r="B734" s="118"/>
      <c r="C734" s="64" t="s">
        <v>195</v>
      </c>
      <c r="D734" s="64">
        <f>(51.12+(0.6*(1.98+3.05))+2.13*0.75)*10.764</f>
        <v>599.93692199999987</v>
      </c>
      <c r="E734" s="64">
        <f>3.05*1.3*10.764</f>
        <v>42.679259999999999</v>
      </c>
      <c r="F734" s="64">
        <f>D734*(($F$472)+1)+E734</f>
        <v>942.5846429999998</v>
      </c>
      <c r="G734" s="144" t="str">
        <f>A733</f>
        <v>1st Floor</v>
      </c>
      <c r="H734" s="145"/>
      <c r="I734" s="31"/>
      <c r="N734" s="31"/>
    </row>
    <row r="735" spans="1:16" s="2" customFormat="1" x14ac:dyDescent="0.35">
      <c r="A735" s="118">
        <f>A734+1</f>
        <v>102</v>
      </c>
      <c r="B735" s="118"/>
      <c r="C735" s="64" t="s">
        <v>195</v>
      </c>
      <c r="D735" s="64">
        <f>(51.12+(0.6*(1.98+3.05))+2.13*0.75)*10.764</f>
        <v>599.93692199999987</v>
      </c>
      <c r="E735" s="64">
        <f>3.05*1.3*10.764</f>
        <v>42.679259999999999</v>
      </c>
      <c r="F735" s="64">
        <f>D735*(($F$472)+1)+E735</f>
        <v>942.5846429999998</v>
      </c>
      <c r="G735" s="118" t="str">
        <f>G734</f>
        <v>1st Floor</v>
      </c>
      <c r="H735" s="118"/>
      <c r="I735" s="36">
        <f>3.05*3.89+2.14*2.7+2.45*1.75+3.05*2.76+2.14*1.21+1.22*2.23+3.6*1+1.81*0.63+1.2*3.05</f>
        <v>44.058299999999996</v>
      </c>
      <c r="N735" s="31"/>
    </row>
    <row r="736" spans="1:16" s="2" customFormat="1" x14ac:dyDescent="0.35">
      <c r="A736" s="118">
        <f>A735+1</f>
        <v>103</v>
      </c>
      <c r="B736" s="118"/>
      <c r="C736" s="64" t="s">
        <v>195</v>
      </c>
      <c r="D736" s="64">
        <f>53.22*10.764</f>
        <v>572.86007999999993</v>
      </c>
      <c r="E736" s="64">
        <f>18.19*10.764</f>
        <v>195.79715999999999</v>
      </c>
      <c r="F736" s="64">
        <f>D736*(($F$472)+1)+E736</f>
        <v>1055.08728</v>
      </c>
      <c r="G736" s="118" t="str">
        <f>G735</f>
        <v>1st Floor</v>
      </c>
      <c r="H736" s="118"/>
      <c r="I736" s="31">
        <f>3.05*3.86+2.14*1.21+1.22*2.23+2.76*3.05+2.45*2.7+2.14*2.7+3.8*1+1.81*0.63+3.56</f>
        <v>46.394300000000001</v>
      </c>
      <c r="N736" s="31"/>
    </row>
    <row r="737" spans="1:16" s="2" customFormat="1" x14ac:dyDescent="0.35">
      <c r="A737" s="118">
        <f>A736+1</f>
        <v>104</v>
      </c>
      <c r="B737" s="118"/>
      <c r="C737" s="64" t="s">
        <v>195</v>
      </c>
      <c r="D737" s="64">
        <f>53.22*10.764</f>
        <v>572.86007999999993</v>
      </c>
      <c r="E737" s="64">
        <f>18.19*10.764</f>
        <v>195.79715999999999</v>
      </c>
      <c r="F737" s="64">
        <f>D737*(($F$472)+1)+E737</f>
        <v>1055.08728</v>
      </c>
      <c r="G737" s="118" t="str">
        <f>G736</f>
        <v>1st Floor</v>
      </c>
      <c r="H737" s="118"/>
      <c r="I737" s="31">
        <f>4.4*1.98+2.3*3.05+1.7*2.2</f>
        <v>19.466999999999999</v>
      </c>
      <c r="N737" s="31"/>
    </row>
    <row r="738" spans="1:16" s="2" customFormat="1" ht="15.75" customHeight="1" x14ac:dyDescent="0.35">
      <c r="A738" s="126" t="s">
        <v>194</v>
      </c>
      <c r="B738" s="127"/>
      <c r="C738" s="127"/>
      <c r="D738" s="127"/>
      <c r="E738" s="127"/>
      <c r="F738" s="127"/>
      <c r="G738" s="127"/>
      <c r="H738" s="128"/>
      <c r="I738" s="31"/>
    </row>
    <row r="739" spans="1:16" s="2" customFormat="1" ht="15.75" customHeight="1" x14ac:dyDescent="0.35">
      <c r="A739" s="116" t="str">
        <f ca="1">N739</f>
        <v>201,..,1001</v>
      </c>
      <c r="B739" s="117"/>
      <c r="C739" s="64" t="s">
        <v>195</v>
      </c>
      <c r="D739" s="64">
        <f>(51.12+(0.6*(1.98+3.05))+2.13*0.75)*10.764</f>
        <v>599.93692199999987</v>
      </c>
      <c r="E739" s="64">
        <f>3.05*1.3*10.764</f>
        <v>42.679259999999999</v>
      </c>
      <c r="F739" s="64">
        <f>D739*(($F$472)+1)+E739</f>
        <v>942.5846429999998</v>
      </c>
      <c r="G739" s="144" t="str">
        <f>A738</f>
        <v>2nd, 4th, 6th, 10th Floor</v>
      </c>
      <c r="H739" s="145"/>
      <c r="I739" s="31"/>
      <c r="N739" s="2" t="str">
        <f ca="1">O739&amp;""&amp;",..,"&amp;""&amp;P739</f>
        <v>201,..,1001</v>
      </c>
      <c r="O739" s="2">
        <f ca="1">(SUMPRODUCT(MID(0&amp;(LEFT(A738,SUM(LEN(A738)-LEN(SUBSTITUTE(A738,{"0","1","2"},""))))), LARGE(INDEX(ISNUMBER(--MID((LEFT(A738,SUM(LEN(A738)-LEN(SUBSTITUTE(A738,{"0","1","2"},""))))), ROW(INDIRECT("1:"&amp;LEN((LEFT(A738,SUM(LEN(A738)-LEN(SUBSTITUTE(A738,{"0","1","2"},"")))))))), 1)) * ROW(INDIRECT("1:"&amp;LEN((LEFT(A738,SUM(LEN(A738)-LEN(SUBSTITUTE(A738,{"0","1","2"},"")))))))), 0), ROW(INDIRECT("1:"&amp;LEN((LEFT(A738,SUM(LEN(A738)-LEN(SUBSTITUTE(A738,{"0","1","2"},"")))))))))+1, 1) * 10^ROW(INDIRECT("1:"&amp;LEN((LEFT(A738,SUM(LEN(A738)-LEN(SUBSTITUTE(A738,{"0","1","2"},""))))))))/10))*100+1</f>
        <v>201</v>
      </c>
      <c r="P739" s="2">
        <f ca="1">(SUMPRODUCT(MID(0&amp;(--TRIM(RIGHT(SUBSTITUTE(LEFT(A738,_xlfn.AGGREGATE(16,6,FIND({0,1,2,3,4,5,6,7,8,9},A738,ROW(INDIRECT("1:"&amp;LEN(A738)))),1))," ",REPT(" ",LEN(A738))),LEN(A738)))), LARGE(INDEX(ISNUMBER(--MID((--TRIM(RIGHT(SUBSTITUTE(LEFT(A738,_xlfn.AGGREGATE(16,6,FIND({0,1,2,3,4,5,6,7,8,9},A738,ROW(INDIRECT("1:"&amp;LEN(A738)))),1))," ",REPT(" ",LEN(A738))),LEN(A738)))), ROW(INDIRECT("1:"&amp;LEN((--TRIM(RIGHT(SUBSTITUTE(LEFT(A738,_xlfn.AGGREGATE(16,6,FIND({0,1,2,3,4,5,6,7,8,9},A738,ROW(INDIRECT("1:"&amp;LEN(A738)))),1))," ",REPT(" ",LEN(A738))),LEN(A738))))))), 1)) * ROW(INDIRECT("1:"&amp;LEN((--TRIM(RIGHT(SUBSTITUTE(LEFT(A738,_xlfn.AGGREGATE(16,6,FIND({0,1,2,3,4,5,6,7,8,9},A738,ROW(INDIRECT("1:"&amp;LEN(A738)))),1))," ",REPT(" ",LEN(A738))),LEN(A738))))))), 0), ROW(INDIRECT("1:"&amp;LEN((--TRIM(RIGHT(SUBSTITUTE(LEFT(A738,_xlfn.AGGREGATE(16,6,FIND({0,1,2,3,4,5,6,7,8,9},A738,ROW(INDIRECT("1:"&amp;LEN(A738)))),1))," ",REPT(" ",LEN(A738))),LEN(A738))))))))+1, 1) * 10^ROW(INDIRECT("1:"&amp;LEN((--TRIM(RIGHT(SUBSTITUTE(LEFT(A738,_xlfn.AGGREGATE(16,6,FIND({0,1,2,3,4,5,6,7,8,9},A738,ROW(INDIRECT("1:"&amp;LEN(A738)))),1))," ",REPT(" ",LEN(A738))),LEN(A738)))))))/10))*100+1</f>
        <v>1001</v>
      </c>
    </row>
    <row r="740" spans="1:16" s="2" customFormat="1" ht="15.75" customHeight="1" x14ac:dyDescent="0.35">
      <c r="A740" s="116" t="str">
        <f ca="1">N740</f>
        <v>202,..,1002</v>
      </c>
      <c r="B740" s="117"/>
      <c r="C740" s="64" t="s">
        <v>195</v>
      </c>
      <c r="D740" s="64">
        <f>(51.12+(0.6*(1.98+3.05))+2.13*0.75)*10.764</f>
        <v>599.93692199999987</v>
      </c>
      <c r="E740" s="64">
        <f>3.05*1.3*10.764</f>
        <v>42.679259999999999</v>
      </c>
      <c r="F740" s="64">
        <f>D740*(($F$472)+1)+E740</f>
        <v>942.5846429999998</v>
      </c>
      <c r="G740" s="146" t="str">
        <f>G739</f>
        <v>2nd, 4th, 6th, 10th Floor</v>
      </c>
      <c r="H740" s="147"/>
      <c r="I740" s="31"/>
      <c r="N740" s="2" t="str">
        <f ca="1">O740&amp;""&amp;",..,"&amp;""&amp;P740</f>
        <v>202,..,1002</v>
      </c>
      <c r="O740" s="2">
        <f t="shared" ref="O740:P742" ca="1" si="93">O739+1</f>
        <v>202</v>
      </c>
      <c r="P740" s="2">
        <f t="shared" ca="1" si="93"/>
        <v>1002</v>
      </c>
    </row>
    <row r="741" spans="1:16" s="2" customFormat="1" ht="15.75" customHeight="1" x14ac:dyDescent="0.35">
      <c r="A741" s="116" t="str">
        <f ca="1">N741</f>
        <v>203,..,1003</v>
      </c>
      <c r="B741" s="117"/>
      <c r="C741" s="64" t="s">
        <v>195</v>
      </c>
      <c r="D741" s="64">
        <f>(53.22+(0.6*(1.98+3.05))+2.13*0.75)*10.764</f>
        <v>622.54132199999992</v>
      </c>
      <c r="E741" s="64">
        <f>3.05*1.3*10.764</f>
        <v>42.679259999999999</v>
      </c>
      <c r="F741" s="64">
        <f>D741*(($F$472)+1)+E741</f>
        <v>976.49124299999983</v>
      </c>
      <c r="G741" s="146" t="str">
        <f>G740</f>
        <v>2nd, 4th, 6th, 10th Floor</v>
      </c>
      <c r="H741" s="147"/>
      <c r="I741" s="31"/>
      <c r="N741" s="2" t="str">
        <f ca="1">O741&amp;""&amp;",..,"&amp;""&amp;P741</f>
        <v>203,..,1003</v>
      </c>
      <c r="O741" s="2">
        <f t="shared" ca="1" si="93"/>
        <v>203</v>
      </c>
      <c r="P741" s="2">
        <f t="shared" ca="1" si="93"/>
        <v>1003</v>
      </c>
    </row>
    <row r="742" spans="1:16" s="2" customFormat="1" ht="15.75" customHeight="1" x14ac:dyDescent="0.35">
      <c r="A742" s="116" t="str">
        <f ca="1">N742</f>
        <v>204,..,1004</v>
      </c>
      <c r="B742" s="117"/>
      <c r="C742" s="64" t="s">
        <v>195</v>
      </c>
      <c r="D742" s="64">
        <f>(53.22+(0.6*(1.98+3.05))+2.13*0.75)*10.764</f>
        <v>622.54132199999992</v>
      </c>
      <c r="E742" s="64">
        <f>3.05*1.3*10.764</f>
        <v>42.679259999999999</v>
      </c>
      <c r="F742" s="64">
        <f>D742*(($F$472)+1)+E742</f>
        <v>976.49124299999983</v>
      </c>
      <c r="G742" s="146" t="str">
        <f>G741</f>
        <v>2nd, 4th, 6th, 10th Floor</v>
      </c>
      <c r="H742" s="147"/>
      <c r="I742" s="31"/>
      <c r="N742" s="2" t="str">
        <f ca="1">O742&amp;""&amp;",..,"&amp;""&amp;P742</f>
        <v>204,..,1004</v>
      </c>
      <c r="O742" s="2">
        <f t="shared" ca="1" si="93"/>
        <v>204</v>
      </c>
      <c r="P742" s="2">
        <f t="shared" ca="1" si="93"/>
        <v>1004</v>
      </c>
    </row>
    <row r="743" spans="1:16" s="2" customFormat="1" ht="15.75" customHeight="1" x14ac:dyDescent="0.35">
      <c r="A743" s="126" t="s">
        <v>193</v>
      </c>
      <c r="B743" s="127"/>
      <c r="C743" s="127"/>
      <c r="D743" s="127"/>
      <c r="E743" s="127"/>
      <c r="F743" s="127"/>
      <c r="G743" s="127"/>
      <c r="H743" s="128"/>
      <c r="I743" s="31"/>
    </row>
    <row r="744" spans="1:16" s="2" customFormat="1" ht="15.75" customHeight="1" x14ac:dyDescent="0.35">
      <c r="A744" s="116" t="str">
        <f ca="1">N744</f>
        <v>301,..,1301</v>
      </c>
      <c r="B744" s="117"/>
      <c r="C744" s="64" t="s">
        <v>195</v>
      </c>
      <c r="D744" s="64">
        <f>(51.12+(0.6*(1.98+3.05))+2.13*0.75)*10.764</f>
        <v>599.93692199999987</v>
      </c>
      <c r="E744" s="64">
        <f>3.05*1.3*10.764</f>
        <v>42.679259999999999</v>
      </c>
      <c r="F744" s="64">
        <f>D744*(($F$472)+1)+E744</f>
        <v>942.5846429999998</v>
      </c>
      <c r="G744" s="144" t="str">
        <f>A743</f>
        <v>3rd, 5th, 7th, 9th, 11th, 13th Floor</v>
      </c>
      <c r="H744" s="145"/>
      <c r="I744" s="31"/>
      <c r="N744" s="2" t="str">
        <f ca="1">O744&amp;""&amp;",..,"&amp;""&amp;P744</f>
        <v>301,..,1301</v>
      </c>
      <c r="O744" s="2">
        <f ca="1">(SUMPRODUCT(MID(0&amp;(LEFT(A743,SUM(LEN(A743)-LEN(SUBSTITUTE(A743,{"0","1","2"},""))))), LARGE(INDEX(ISNUMBER(--MID((LEFT(A743,SUM(LEN(A743)-LEN(SUBSTITUTE(A743,{"0","1","2"},""))))), ROW(INDIRECT("1:"&amp;LEN((LEFT(A743,SUM(LEN(A743)-LEN(SUBSTITUTE(A743,{"0","1","2"},"")))))))), 1)) * ROW(INDIRECT("1:"&amp;LEN((LEFT(A743,SUM(LEN(A743)-LEN(SUBSTITUTE(A743,{"0","1","2"},"")))))))), 0), ROW(INDIRECT("1:"&amp;LEN((LEFT(A743,SUM(LEN(A743)-LEN(SUBSTITUTE(A743,{"0","1","2"},"")))))))))+1, 1) * 10^ROW(INDIRECT("1:"&amp;LEN((LEFT(A743,SUM(LEN(A743)-LEN(SUBSTITUTE(A743,{"0","1","2"},""))))))))/10))*100+1</f>
        <v>301</v>
      </c>
      <c r="P744" s="2">
        <f ca="1">(SUMPRODUCT(MID(0&amp;(--TRIM(RIGHT(SUBSTITUTE(LEFT(A743,_xlfn.AGGREGATE(16,6,FIND({0,1,2,3,4,5,6,7,8,9},A743,ROW(INDIRECT("1:"&amp;LEN(A743)))),1))," ",REPT(" ",LEN(A743))),LEN(A743)))), LARGE(INDEX(ISNUMBER(--MID((--TRIM(RIGHT(SUBSTITUTE(LEFT(A743,_xlfn.AGGREGATE(16,6,FIND({0,1,2,3,4,5,6,7,8,9},A743,ROW(INDIRECT("1:"&amp;LEN(A743)))),1))," ",REPT(" ",LEN(A743))),LEN(A743)))), ROW(INDIRECT("1:"&amp;LEN((--TRIM(RIGHT(SUBSTITUTE(LEFT(A743,_xlfn.AGGREGATE(16,6,FIND({0,1,2,3,4,5,6,7,8,9},A743,ROW(INDIRECT("1:"&amp;LEN(A743)))),1))," ",REPT(" ",LEN(A743))),LEN(A743))))))), 1)) * ROW(INDIRECT("1:"&amp;LEN((--TRIM(RIGHT(SUBSTITUTE(LEFT(A743,_xlfn.AGGREGATE(16,6,FIND({0,1,2,3,4,5,6,7,8,9},A743,ROW(INDIRECT("1:"&amp;LEN(A743)))),1))," ",REPT(" ",LEN(A743))),LEN(A743))))))), 0), ROW(INDIRECT("1:"&amp;LEN((--TRIM(RIGHT(SUBSTITUTE(LEFT(A743,_xlfn.AGGREGATE(16,6,FIND({0,1,2,3,4,5,6,7,8,9},A743,ROW(INDIRECT("1:"&amp;LEN(A743)))),1))," ",REPT(" ",LEN(A743))),LEN(A743))))))))+1, 1) * 10^ROW(INDIRECT("1:"&amp;LEN((--TRIM(RIGHT(SUBSTITUTE(LEFT(A743,_xlfn.AGGREGATE(16,6,FIND({0,1,2,3,4,5,6,7,8,9},A743,ROW(INDIRECT("1:"&amp;LEN(A743)))),1))," ",REPT(" ",LEN(A743))),LEN(A743)))))))/10))*100+1</f>
        <v>1301</v>
      </c>
    </row>
    <row r="745" spans="1:16" s="2" customFormat="1" ht="15.75" customHeight="1" x14ac:dyDescent="0.35">
      <c r="A745" s="116" t="str">
        <f ca="1">N745</f>
        <v>302,..,1302</v>
      </c>
      <c r="B745" s="117"/>
      <c r="C745" s="64" t="s">
        <v>195</v>
      </c>
      <c r="D745" s="64">
        <f>(51.12+(0.6*(1.98+3.05))+2.13*0.75)*10.764</f>
        <v>599.93692199999987</v>
      </c>
      <c r="E745" s="64">
        <f>3.05*1.3*10.764</f>
        <v>42.679259999999999</v>
      </c>
      <c r="F745" s="64">
        <f>D745*(($F$472)+1)+E745</f>
        <v>942.5846429999998</v>
      </c>
      <c r="G745" s="146" t="str">
        <f>G744</f>
        <v>3rd, 5th, 7th, 9th, 11th, 13th Floor</v>
      </c>
      <c r="H745" s="147"/>
      <c r="I745" s="31"/>
      <c r="N745" s="2" t="str">
        <f ca="1">O745&amp;""&amp;",..,"&amp;""&amp;P745</f>
        <v>302,..,1302</v>
      </c>
      <c r="O745" s="2">
        <f t="shared" ref="O745:P747" ca="1" si="94">O744+1</f>
        <v>302</v>
      </c>
      <c r="P745" s="2">
        <f t="shared" ca="1" si="94"/>
        <v>1302</v>
      </c>
    </row>
    <row r="746" spans="1:16" s="2" customFormat="1" ht="15.75" customHeight="1" x14ac:dyDescent="0.35">
      <c r="A746" s="116" t="str">
        <f ca="1">N746</f>
        <v>303,..,1303</v>
      </c>
      <c r="B746" s="117"/>
      <c r="C746" s="64" t="s">
        <v>195</v>
      </c>
      <c r="D746" s="64">
        <f>(53.22+(0.6*(1.98+3.05))+2.13*0.75)*10.764</f>
        <v>622.54132199999992</v>
      </c>
      <c r="E746" s="64">
        <f>3.05*1.3*10.764</f>
        <v>42.679259999999999</v>
      </c>
      <c r="F746" s="64">
        <f>D746*(($F$472)+1)+E746</f>
        <v>976.49124299999983</v>
      </c>
      <c r="G746" s="146" t="str">
        <f>G745</f>
        <v>3rd, 5th, 7th, 9th, 11th, 13th Floor</v>
      </c>
      <c r="H746" s="147"/>
      <c r="I746" s="31"/>
      <c r="N746" s="2" t="str">
        <f ca="1">O746&amp;""&amp;",..,"&amp;""&amp;P746</f>
        <v>303,..,1303</v>
      </c>
      <c r="O746" s="2">
        <f t="shared" ca="1" si="94"/>
        <v>303</v>
      </c>
      <c r="P746" s="2">
        <f t="shared" ca="1" si="94"/>
        <v>1303</v>
      </c>
    </row>
    <row r="747" spans="1:16" s="2" customFormat="1" ht="15.75" customHeight="1" x14ac:dyDescent="0.35">
      <c r="A747" s="116" t="str">
        <f ca="1">N747</f>
        <v>304,..,1304</v>
      </c>
      <c r="B747" s="117"/>
      <c r="C747" s="64" t="s">
        <v>195</v>
      </c>
      <c r="D747" s="64">
        <f>(53.22+(0.6*(1.98+3.05))+2.13*0.75)*10.764</f>
        <v>622.54132199999992</v>
      </c>
      <c r="E747" s="64">
        <f>3.05*1.3*10.764</f>
        <v>42.679259999999999</v>
      </c>
      <c r="F747" s="64">
        <f>D747*(($F$472)+1)+E747</f>
        <v>976.49124299999983</v>
      </c>
      <c r="G747" s="146" t="str">
        <f>G746</f>
        <v>3rd, 5th, 7th, 9th, 11th, 13th Floor</v>
      </c>
      <c r="H747" s="147"/>
      <c r="I747" s="31"/>
      <c r="N747" s="2" t="str">
        <f ca="1">O747&amp;""&amp;",..,"&amp;""&amp;P747</f>
        <v>304,..,1304</v>
      </c>
      <c r="O747" s="2">
        <f t="shared" ca="1" si="94"/>
        <v>304</v>
      </c>
      <c r="P747" s="2">
        <f t="shared" ca="1" si="94"/>
        <v>1304</v>
      </c>
    </row>
    <row r="748" spans="1:16" s="2" customFormat="1" ht="15.75" customHeight="1" x14ac:dyDescent="0.35">
      <c r="A748" s="126" t="s">
        <v>217</v>
      </c>
      <c r="B748" s="127"/>
      <c r="C748" s="127"/>
      <c r="D748" s="127"/>
      <c r="E748" s="127"/>
      <c r="F748" s="127"/>
      <c r="G748" s="127"/>
      <c r="H748" s="128"/>
      <c r="I748" s="31"/>
    </row>
    <row r="749" spans="1:16" s="2" customFormat="1" ht="15.75" customHeight="1" x14ac:dyDescent="0.35">
      <c r="A749" s="116" t="str">
        <f ca="1">N749</f>
        <v>801 &amp; 1201</v>
      </c>
      <c r="B749" s="117"/>
      <c r="C749" s="64" t="s">
        <v>195</v>
      </c>
      <c r="D749" s="64">
        <f>(51.12+(0.6*(1.98+3.05))+2.13*0.75)*10.764</f>
        <v>599.93692199999987</v>
      </c>
      <c r="E749" s="64">
        <f>3.05*1.3*10.764</f>
        <v>42.679259999999999</v>
      </c>
      <c r="F749" s="64">
        <f>D749*(($F$472)+1)+E749</f>
        <v>942.5846429999998</v>
      </c>
      <c r="G749" s="144" t="str">
        <f>A748</f>
        <v>8th &amp; 12th Floor (Part Refuge Area)</v>
      </c>
      <c r="H749" s="145"/>
      <c r="I749" s="31"/>
      <c r="N749" s="2" t="str">
        <f ca="1">O749&amp;""&amp;" &amp; "&amp;""&amp;P749</f>
        <v>801 &amp; 1201</v>
      </c>
      <c r="O749" s="2">
        <f ca="1">(SUMPRODUCT(MID(0&amp;(LEFT(A748,SUM(LEN(A748)-LEN(SUBSTITUTE(A748,{"0","1","2"},""))))), LARGE(INDEX(ISNUMBER(--MID((LEFT(A748,SUM(LEN(A748)-LEN(SUBSTITUTE(A748,{"0","1","2"},""))))), ROW(INDIRECT("1:"&amp;LEN((LEFT(A748,SUM(LEN(A748)-LEN(SUBSTITUTE(A748,{"0","1","2"},"")))))))), 1)) * ROW(INDIRECT("1:"&amp;LEN((LEFT(A748,SUM(LEN(A748)-LEN(SUBSTITUTE(A748,{"0","1","2"},"")))))))), 0), ROW(INDIRECT("1:"&amp;LEN((LEFT(A748,SUM(LEN(A748)-LEN(SUBSTITUTE(A748,{"0","1","2"},"")))))))))+1, 1) * 10^ROW(INDIRECT("1:"&amp;LEN((LEFT(A748,SUM(LEN(A748)-LEN(SUBSTITUTE(A748,{"0","1","2"},""))))))))/10))*100+1</f>
        <v>801</v>
      </c>
      <c r="P749" s="2">
        <f ca="1">(SUMPRODUCT(MID(0&amp;(--TRIM(RIGHT(SUBSTITUTE(LEFT(A748,_xlfn.AGGREGATE(16,6,FIND({0,1,2,3,4,5,6,7,8,9},A748,ROW(INDIRECT("1:"&amp;LEN(A748)))),1))," ",REPT(" ",LEN(A748))),LEN(A748)))), LARGE(INDEX(ISNUMBER(--MID((--TRIM(RIGHT(SUBSTITUTE(LEFT(A748,_xlfn.AGGREGATE(16,6,FIND({0,1,2,3,4,5,6,7,8,9},A748,ROW(INDIRECT("1:"&amp;LEN(A748)))),1))," ",REPT(" ",LEN(A748))),LEN(A748)))), ROW(INDIRECT("1:"&amp;LEN((--TRIM(RIGHT(SUBSTITUTE(LEFT(A748,_xlfn.AGGREGATE(16,6,FIND({0,1,2,3,4,5,6,7,8,9},A748,ROW(INDIRECT("1:"&amp;LEN(A748)))),1))," ",REPT(" ",LEN(A748))),LEN(A748))))))), 1)) * ROW(INDIRECT("1:"&amp;LEN((--TRIM(RIGHT(SUBSTITUTE(LEFT(A748,_xlfn.AGGREGATE(16,6,FIND({0,1,2,3,4,5,6,7,8,9},A748,ROW(INDIRECT("1:"&amp;LEN(A748)))),1))," ",REPT(" ",LEN(A748))),LEN(A748))))))), 0), ROW(INDIRECT("1:"&amp;LEN((--TRIM(RIGHT(SUBSTITUTE(LEFT(A748,_xlfn.AGGREGATE(16,6,FIND({0,1,2,3,4,5,6,7,8,9},A748,ROW(INDIRECT("1:"&amp;LEN(A748)))),1))," ",REPT(" ",LEN(A748))),LEN(A748))))))))+1, 1) * 10^ROW(INDIRECT("1:"&amp;LEN((--TRIM(RIGHT(SUBSTITUTE(LEFT(A748,_xlfn.AGGREGATE(16,6,FIND({0,1,2,3,4,5,6,7,8,9},A748,ROW(INDIRECT("1:"&amp;LEN(A748)))),1))," ",REPT(" ",LEN(A748))),LEN(A748)))))))/10))*100+1</f>
        <v>1201</v>
      </c>
    </row>
    <row r="750" spans="1:16" s="2" customFormat="1" ht="15.75" customHeight="1" x14ac:dyDescent="0.35">
      <c r="A750" s="116" t="str">
        <f ca="1">N750</f>
        <v>802 &amp; 1202</v>
      </c>
      <c r="B750" s="117"/>
      <c r="C750" s="64" t="s">
        <v>195</v>
      </c>
      <c r="D750" s="64">
        <f>(51.12+(0.6*(1.98+3.05))+2.13*0.75)*10.764</f>
        <v>599.93692199999987</v>
      </c>
      <c r="E750" s="64">
        <f>3.05*1.3*10.764</f>
        <v>42.679259999999999</v>
      </c>
      <c r="F750" s="64">
        <f>D750*(($F$472)+1)+E750</f>
        <v>942.5846429999998</v>
      </c>
      <c r="G750" s="146" t="str">
        <f>G749</f>
        <v>8th &amp; 12th Floor (Part Refuge Area)</v>
      </c>
      <c r="H750" s="147"/>
      <c r="I750" s="31"/>
      <c r="N750" s="2" t="str">
        <f ca="1">O750&amp;""&amp;" &amp; "&amp;""&amp;P750</f>
        <v>802 &amp; 1202</v>
      </c>
      <c r="O750" s="2">
        <f ca="1">O749+1</f>
        <v>802</v>
      </c>
      <c r="P750" s="2">
        <f ca="1">P749+1</f>
        <v>1202</v>
      </c>
    </row>
    <row r="751" spans="1:16" s="2" customFormat="1" ht="15.75" customHeight="1" x14ac:dyDescent="0.35">
      <c r="A751" s="116" t="str">
        <f ca="1">N751</f>
        <v>803 &amp; 1203</v>
      </c>
      <c r="B751" s="117"/>
      <c r="C751" s="64" t="s">
        <v>195</v>
      </c>
      <c r="D751" s="64">
        <f>(53.22+(0.6*(1.98+3.05))+2.13*0.75)*10.764</f>
        <v>622.54132199999992</v>
      </c>
      <c r="E751" s="64">
        <f>3.05*1.3*10.764</f>
        <v>42.679259999999999</v>
      </c>
      <c r="F751" s="64">
        <f>D751*(($F$472)+1)+E751</f>
        <v>976.49124299999983</v>
      </c>
      <c r="G751" s="146" t="str">
        <f>G750</f>
        <v>8th &amp; 12th Floor (Part Refuge Area)</v>
      </c>
      <c r="H751" s="147"/>
      <c r="I751" s="31"/>
      <c r="N751" s="2" t="str">
        <f ca="1">O751&amp;""&amp;" &amp; "&amp;""&amp;P751</f>
        <v>803 &amp; 1203</v>
      </c>
      <c r="O751" s="2">
        <f ca="1">O750+1</f>
        <v>803</v>
      </c>
      <c r="P751" s="2">
        <f ca="1">P750+1</f>
        <v>1203</v>
      </c>
    </row>
    <row r="752" spans="1:16" s="2" customFormat="1" ht="15.75" customHeight="1" x14ac:dyDescent="0.35">
      <c r="A752" s="119" t="s">
        <v>218</v>
      </c>
      <c r="B752" s="119"/>
      <c r="C752" s="119"/>
      <c r="D752" s="119"/>
      <c r="E752" s="119"/>
      <c r="F752" s="119"/>
      <c r="G752" s="119"/>
      <c r="H752" s="119"/>
      <c r="I752" s="31"/>
      <c r="L752" s="115"/>
      <c r="M752" s="115"/>
    </row>
    <row r="753" spans="1:16" s="2" customFormat="1" ht="15.75" customHeight="1" x14ac:dyDescent="0.35">
      <c r="A753" s="118">
        <f>LEFT(A752,SUM(LEN(A752)-LEN(SUBSTITUTE(A752,{"0","1","2","3","4","5","6","7","8","9"},""))))*100+1</f>
        <v>1401</v>
      </c>
      <c r="B753" s="118"/>
      <c r="C753" s="65" t="s">
        <v>195</v>
      </c>
      <c r="D753" s="65">
        <f>(51.12+(0.6*(1.98+3.05))+2.13*0.75)*10.764</f>
        <v>599.93692199999987</v>
      </c>
      <c r="E753" s="64">
        <f>3.05*1.3*10.764</f>
        <v>42.679259999999999</v>
      </c>
      <c r="F753" s="64">
        <f>D753*(($F$472)+1)+E753</f>
        <v>942.5846429999998</v>
      </c>
      <c r="G753" s="144" t="str">
        <f>A752</f>
        <v>14th Floor (Part Terrace Area)</v>
      </c>
      <c r="H753" s="145"/>
      <c r="I753" s="31"/>
      <c r="N753" s="31"/>
    </row>
    <row r="754" spans="1:16" s="2" customFormat="1" ht="15.75" customHeight="1" x14ac:dyDescent="0.35">
      <c r="A754" s="118">
        <f>A753+1</f>
        <v>1402</v>
      </c>
      <c r="B754" s="116"/>
      <c r="C754" s="118" t="s">
        <v>221</v>
      </c>
      <c r="D754" s="118"/>
      <c r="E754" s="118"/>
      <c r="F754" s="118"/>
      <c r="G754" s="146" t="str">
        <f>G753</f>
        <v>14th Floor (Part Terrace Area)</v>
      </c>
      <c r="H754" s="147"/>
      <c r="I754" s="31"/>
      <c r="N754" s="31"/>
    </row>
    <row r="755" spans="1:16" s="2" customFormat="1" ht="15.75" customHeight="1" x14ac:dyDescent="0.35">
      <c r="A755" s="118">
        <f>A754+1</f>
        <v>1403</v>
      </c>
      <c r="B755" s="118"/>
      <c r="C755" s="66" t="s">
        <v>195</v>
      </c>
      <c r="D755" s="66">
        <f>(53.22+(0.6*(1.98+3.05))+2.13*0.75)*10.764</f>
        <v>622.54132199999992</v>
      </c>
      <c r="E755" s="64">
        <f>3.05*1.3*10.764</f>
        <v>42.679259999999999</v>
      </c>
      <c r="F755" s="64">
        <f>D755*(($F$472)+1)+E755</f>
        <v>976.49124299999983</v>
      </c>
      <c r="G755" s="146" t="str">
        <f>G754</f>
        <v>14th Floor (Part Terrace Area)</v>
      </c>
      <c r="H755" s="147"/>
      <c r="I755" s="31"/>
      <c r="N755" s="31"/>
    </row>
    <row r="756" spans="1:16" s="2" customFormat="1" ht="15.75" customHeight="1" x14ac:dyDescent="0.35">
      <c r="A756" s="118">
        <f>A755+1</f>
        <v>1404</v>
      </c>
      <c r="B756" s="118"/>
      <c r="C756" s="64" t="s">
        <v>195</v>
      </c>
      <c r="D756" s="66">
        <f>(53.22+(0.6*(1.98+3.05))+2.13*0.75)*10.764</f>
        <v>622.54132199999992</v>
      </c>
      <c r="E756" s="64">
        <f>3.05*1.3*10.764</f>
        <v>42.679259999999999</v>
      </c>
      <c r="F756" s="64">
        <f>D756*(($F$472)+1)+E756</f>
        <v>976.49124299999983</v>
      </c>
      <c r="G756" s="146" t="str">
        <f>G755</f>
        <v>14th Floor (Part Terrace Area)</v>
      </c>
      <c r="H756" s="147"/>
      <c r="I756" s="31"/>
      <c r="N756" s="31"/>
    </row>
    <row r="757" spans="1:16" s="1" customFormat="1" x14ac:dyDescent="0.35">
      <c r="A757" s="134" t="s">
        <v>260</v>
      </c>
      <c r="B757" s="134"/>
      <c r="C757" s="134"/>
      <c r="D757" s="134"/>
      <c r="E757" s="134"/>
      <c r="F757" s="134"/>
      <c r="G757" s="134"/>
      <c r="H757" s="134"/>
    </row>
    <row r="758" spans="1:16" s="2" customFormat="1" x14ac:dyDescent="0.35">
      <c r="A758" s="119" t="s">
        <v>192</v>
      </c>
      <c r="B758" s="119"/>
      <c r="C758" s="119"/>
      <c r="D758" s="119"/>
      <c r="E758" s="119"/>
      <c r="F758" s="119"/>
      <c r="G758" s="119"/>
      <c r="H758" s="119"/>
      <c r="I758" s="31"/>
      <c r="L758" s="115"/>
      <c r="M758" s="115"/>
    </row>
    <row r="759" spans="1:16" s="2" customFormat="1" x14ac:dyDescent="0.35">
      <c r="A759" s="118">
        <f>LEFT(A758,SUM(LEN(A758)-LEN(SUBSTITUTE(A758,{"0","1","2","3","4","5","6","7","8","9"},""))))*100+1</f>
        <v>101</v>
      </c>
      <c r="B759" s="118"/>
      <c r="C759" s="64" t="s">
        <v>195</v>
      </c>
      <c r="D759" s="64">
        <f>(51.12+(0.6*(1.98+3.05))+2.13*0.75)*10.764</f>
        <v>599.93692199999987</v>
      </c>
      <c r="E759" s="64">
        <f>3.05*1.3*10.764</f>
        <v>42.679259999999999</v>
      </c>
      <c r="F759" s="64">
        <f>D759*(($F$472)+1)+E759</f>
        <v>942.5846429999998</v>
      </c>
      <c r="G759" s="144" t="str">
        <f>A758</f>
        <v>1st Floor</v>
      </c>
      <c r="H759" s="145"/>
      <c r="I759" s="31"/>
      <c r="N759" s="31"/>
    </row>
    <row r="760" spans="1:16" s="2" customFormat="1" x14ac:dyDescent="0.35">
      <c r="A760" s="118">
        <f>A759+1</f>
        <v>102</v>
      </c>
      <c r="B760" s="118"/>
      <c r="C760" s="64" t="s">
        <v>195</v>
      </c>
      <c r="D760" s="64">
        <f>(51.12+(0.6*(1.98+3.05))+2.13*0.75)*10.764</f>
        <v>599.93692199999987</v>
      </c>
      <c r="E760" s="64">
        <f>3.05*1.3*10.764</f>
        <v>42.679259999999999</v>
      </c>
      <c r="F760" s="64">
        <f>D760*(($F$472)+1)+E760</f>
        <v>942.5846429999998</v>
      </c>
      <c r="G760" s="146"/>
      <c r="H760" s="147"/>
      <c r="I760" s="36">
        <f>3.05*3.89+2.14*2.7+2.45*1.75+3.05*2.76+2.14*1.21+1.22*2.23+3.6*1+1.81*0.63+1.2*3.05</f>
        <v>44.058299999999996</v>
      </c>
      <c r="N760" s="31"/>
    </row>
    <row r="761" spans="1:16" s="2" customFormat="1" x14ac:dyDescent="0.35">
      <c r="A761" s="118">
        <f>A760+1</f>
        <v>103</v>
      </c>
      <c r="B761" s="118"/>
      <c r="C761" s="64" t="s">
        <v>195</v>
      </c>
      <c r="D761" s="64">
        <f>55.04*10.764</f>
        <v>592.45056</v>
      </c>
      <c r="E761" s="64">
        <f>18.19*10.764</f>
        <v>195.79715999999999</v>
      </c>
      <c r="F761" s="64">
        <f>D761*(($F$472)+1)+E761</f>
        <v>1084.473</v>
      </c>
      <c r="G761" s="146"/>
      <c r="H761" s="147"/>
      <c r="I761" s="31">
        <f>3.05*3.86+2.14*1.21+1.22*2.23+2.76*3.05+2.45*2.7+2.14*2.7+3.8*1+1.81*0.63+3.56</f>
        <v>46.394300000000001</v>
      </c>
      <c r="N761" s="31"/>
    </row>
    <row r="762" spans="1:16" s="2" customFormat="1" x14ac:dyDescent="0.35">
      <c r="A762" s="118">
        <f>A761+1</f>
        <v>104</v>
      </c>
      <c r="B762" s="118"/>
      <c r="C762" s="64" t="s">
        <v>195</v>
      </c>
      <c r="D762" s="64">
        <f>55.04*10.764</f>
        <v>592.45056</v>
      </c>
      <c r="E762" s="64">
        <f>18.19*10.764</f>
        <v>195.79715999999999</v>
      </c>
      <c r="F762" s="64">
        <f>D762*(($F$472)+1)+E762</f>
        <v>1084.473</v>
      </c>
      <c r="G762" s="148"/>
      <c r="H762" s="149"/>
      <c r="I762" s="31">
        <f>4.4*1.98+2.3*3.05+1.7*2.2</f>
        <v>19.466999999999999</v>
      </c>
      <c r="K762" s="31">
        <f t="shared" ref="K762:K793" si="95">4*F762*24</f>
        <v>104109.408</v>
      </c>
      <c r="N762" s="31"/>
    </row>
    <row r="763" spans="1:16" s="2" customFormat="1" ht="15.75" customHeight="1" x14ac:dyDescent="0.35">
      <c r="A763" s="119" t="s">
        <v>194</v>
      </c>
      <c r="B763" s="119"/>
      <c r="C763" s="119"/>
      <c r="D763" s="119"/>
      <c r="E763" s="119"/>
      <c r="F763" s="119"/>
      <c r="G763" s="119"/>
      <c r="H763" s="119"/>
      <c r="I763" s="31"/>
      <c r="K763" s="31">
        <f t="shared" si="95"/>
        <v>0</v>
      </c>
    </row>
    <row r="764" spans="1:16" s="2" customFormat="1" ht="15.75" customHeight="1" x14ac:dyDescent="0.35">
      <c r="A764" s="118" t="str">
        <f ca="1">N764</f>
        <v>201,..,1001</v>
      </c>
      <c r="B764" s="118"/>
      <c r="C764" s="82" t="s">
        <v>195</v>
      </c>
      <c r="D764" s="82">
        <f>(51.12+(0.6*(1.98+3.05))+2.13*0.75)*10.764</f>
        <v>599.93692199999987</v>
      </c>
      <c r="E764" s="82">
        <f>3.05*1.3*10.764</f>
        <v>42.679259999999999</v>
      </c>
      <c r="F764" s="82">
        <f>D764*(($F$472)+1)+E764</f>
        <v>942.5846429999998</v>
      </c>
      <c r="G764" s="118" t="str">
        <f>A763</f>
        <v>2nd, 4th, 6th, 10th Floor</v>
      </c>
      <c r="H764" s="118"/>
      <c r="I764" s="31"/>
      <c r="K764" s="31">
        <f t="shared" si="95"/>
        <v>90488.125727999985</v>
      </c>
      <c r="N764" s="2" t="str">
        <f ca="1">O764&amp;""&amp;",..,"&amp;""&amp;P764</f>
        <v>201,..,1001</v>
      </c>
      <c r="O764" s="2">
        <f ca="1">(SUMPRODUCT(MID(0&amp;(LEFT(A763,SUM(LEN(A763)-LEN(SUBSTITUTE(A763,{"0","1","2"},""))))), LARGE(INDEX(ISNUMBER(--MID((LEFT(A763,SUM(LEN(A763)-LEN(SUBSTITUTE(A763,{"0","1","2"},""))))), ROW(INDIRECT("1:"&amp;LEN((LEFT(A763,SUM(LEN(A763)-LEN(SUBSTITUTE(A763,{"0","1","2"},"")))))))), 1)) * ROW(INDIRECT("1:"&amp;LEN((LEFT(A763,SUM(LEN(A763)-LEN(SUBSTITUTE(A763,{"0","1","2"},"")))))))), 0), ROW(INDIRECT("1:"&amp;LEN((LEFT(A763,SUM(LEN(A763)-LEN(SUBSTITUTE(A763,{"0","1","2"},"")))))))))+1, 1) * 10^ROW(INDIRECT("1:"&amp;LEN((LEFT(A763,SUM(LEN(A763)-LEN(SUBSTITUTE(A763,{"0","1","2"},""))))))))/10))*100+1</f>
        <v>201</v>
      </c>
      <c r="P764" s="2">
        <f ca="1">(SUMPRODUCT(MID(0&amp;(--TRIM(RIGHT(SUBSTITUTE(LEFT(A763,_xlfn.AGGREGATE(16,6,FIND({0,1,2,3,4,5,6,7,8,9},A763,ROW(INDIRECT("1:"&amp;LEN(A763)))),1))," ",REPT(" ",LEN(A763))),LEN(A763)))), LARGE(INDEX(ISNUMBER(--MID((--TRIM(RIGHT(SUBSTITUTE(LEFT(A763,_xlfn.AGGREGATE(16,6,FIND({0,1,2,3,4,5,6,7,8,9},A763,ROW(INDIRECT("1:"&amp;LEN(A763)))),1))," ",REPT(" ",LEN(A763))),LEN(A763)))), ROW(INDIRECT("1:"&amp;LEN((--TRIM(RIGHT(SUBSTITUTE(LEFT(A763,_xlfn.AGGREGATE(16,6,FIND({0,1,2,3,4,5,6,7,8,9},A763,ROW(INDIRECT("1:"&amp;LEN(A763)))),1))," ",REPT(" ",LEN(A763))),LEN(A763))))))), 1)) * ROW(INDIRECT("1:"&amp;LEN((--TRIM(RIGHT(SUBSTITUTE(LEFT(A763,_xlfn.AGGREGATE(16,6,FIND({0,1,2,3,4,5,6,7,8,9},A763,ROW(INDIRECT("1:"&amp;LEN(A763)))),1))," ",REPT(" ",LEN(A763))),LEN(A763))))))), 0), ROW(INDIRECT("1:"&amp;LEN((--TRIM(RIGHT(SUBSTITUTE(LEFT(A763,_xlfn.AGGREGATE(16,6,FIND({0,1,2,3,4,5,6,7,8,9},A763,ROW(INDIRECT("1:"&amp;LEN(A763)))),1))," ",REPT(" ",LEN(A763))),LEN(A763))))))))+1, 1) * 10^ROW(INDIRECT("1:"&amp;LEN((--TRIM(RIGHT(SUBSTITUTE(LEFT(A763,_xlfn.AGGREGATE(16,6,FIND({0,1,2,3,4,5,6,7,8,9},A763,ROW(INDIRECT("1:"&amp;LEN(A763)))),1))," ",REPT(" ",LEN(A763))),LEN(A763)))))))/10))*100+1</f>
        <v>1001</v>
      </c>
    </row>
    <row r="765" spans="1:16" s="2" customFormat="1" ht="15.75" customHeight="1" x14ac:dyDescent="0.35">
      <c r="A765" s="118" t="str">
        <f ca="1">N765</f>
        <v>202,..,1002</v>
      </c>
      <c r="B765" s="118"/>
      <c r="C765" s="82" t="s">
        <v>195</v>
      </c>
      <c r="D765" s="82">
        <f>(51.12+(0.6*(1.98+3.05))+2.13*0.75)*10.764</f>
        <v>599.93692199999987</v>
      </c>
      <c r="E765" s="82">
        <f>3.05*1.3*10.764</f>
        <v>42.679259999999999</v>
      </c>
      <c r="F765" s="82">
        <f>D765*(($F$472)+1)+E765</f>
        <v>942.5846429999998</v>
      </c>
      <c r="G765" s="118" t="str">
        <f>G764</f>
        <v>2nd, 4th, 6th, 10th Floor</v>
      </c>
      <c r="H765" s="118"/>
      <c r="I765" s="31"/>
      <c r="K765" s="31">
        <f t="shared" si="95"/>
        <v>90488.125727999985</v>
      </c>
      <c r="N765" s="2" t="str">
        <f ca="1">O765&amp;""&amp;",..,"&amp;""&amp;P765</f>
        <v>202,..,1002</v>
      </c>
      <c r="O765" s="2">
        <f t="shared" ref="O765:P767" ca="1" si="96">O764+1</f>
        <v>202</v>
      </c>
      <c r="P765" s="2">
        <f t="shared" ca="1" si="96"/>
        <v>1002</v>
      </c>
    </row>
    <row r="766" spans="1:16" s="2" customFormat="1" ht="15.75" customHeight="1" x14ac:dyDescent="0.35">
      <c r="A766" s="118" t="str">
        <f ca="1">N766</f>
        <v>203,..,1003</v>
      </c>
      <c r="B766" s="118"/>
      <c r="C766" s="82" t="s">
        <v>195</v>
      </c>
      <c r="D766" s="82">
        <f>(53.22+(0.6*(1.98+3.05))+2.13*0.75)*10.764</f>
        <v>622.54132199999992</v>
      </c>
      <c r="E766" s="82">
        <f>3.05*1.3*10.764</f>
        <v>42.679259999999999</v>
      </c>
      <c r="F766" s="82">
        <f>D766*(($F$472)+1)+E766</f>
        <v>976.49124299999983</v>
      </c>
      <c r="G766" s="118" t="str">
        <f>G765</f>
        <v>2nd, 4th, 6th, 10th Floor</v>
      </c>
      <c r="H766" s="118"/>
      <c r="I766" s="31"/>
      <c r="K766" s="31">
        <f t="shared" si="95"/>
        <v>93743.15932799998</v>
      </c>
      <c r="N766" s="2" t="str">
        <f ca="1">O766&amp;""&amp;",..,"&amp;""&amp;P766</f>
        <v>203,..,1003</v>
      </c>
      <c r="O766" s="2">
        <f t="shared" ca="1" si="96"/>
        <v>203</v>
      </c>
      <c r="P766" s="2">
        <f t="shared" ca="1" si="96"/>
        <v>1003</v>
      </c>
    </row>
    <row r="767" spans="1:16" s="2" customFormat="1" ht="15.75" customHeight="1" x14ac:dyDescent="0.35">
      <c r="A767" s="118" t="str">
        <f ca="1">N767</f>
        <v>204,..,1004</v>
      </c>
      <c r="B767" s="118"/>
      <c r="C767" s="82" t="s">
        <v>195</v>
      </c>
      <c r="D767" s="82">
        <f>(53.22+(0.6*(1.98+3.05))+2.13*0.75)*10.764</f>
        <v>622.54132199999992</v>
      </c>
      <c r="E767" s="82">
        <f>3.05*1.3*10.764</f>
        <v>42.679259999999999</v>
      </c>
      <c r="F767" s="82">
        <f>D767*(($F$472)+1)+E767</f>
        <v>976.49124299999983</v>
      </c>
      <c r="G767" s="118" t="str">
        <f>G766</f>
        <v>2nd, 4th, 6th, 10th Floor</v>
      </c>
      <c r="H767" s="118"/>
      <c r="I767" s="31"/>
      <c r="K767" s="31">
        <f t="shared" si="95"/>
        <v>93743.15932799998</v>
      </c>
      <c r="N767" s="2" t="str">
        <f ca="1">O767&amp;""&amp;",..,"&amp;""&amp;P767</f>
        <v>204,..,1004</v>
      </c>
      <c r="O767" s="2">
        <f t="shared" ca="1" si="96"/>
        <v>204</v>
      </c>
      <c r="P767" s="2">
        <f t="shared" ca="1" si="96"/>
        <v>1004</v>
      </c>
    </row>
    <row r="768" spans="1:16" s="2" customFormat="1" ht="15.75" customHeight="1" x14ac:dyDescent="0.35">
      <c r="A768" s="119" t="s">
        <v>193</v>
      </c>
      <c r="B768" s="119"/>
      <c r="C768" s="119"/>
      <c r="D768" s="119"/>
      <c r="E768" s="119"/>
      <c r="F768" s="119"/>
      <c r="G768" s="119"/>
      <c r="H768" s="119"/>
      <c r="I768" s="31"/>
      <c r="K768" s="31">
        <f t="shared" si="95"/>
        <v>0</v>
      </c>
    </row>
    <row r="769" spans="1:16" s="2" customFormat="1" ht="15.75" customHeight="1" x14ac:dyDescent="0.35">
      <c r="A769" s="118" t="str">
        <f ca="1">N769</f>
        <v>301,..,1301</v>
      </c>
      <c r="B769" s="118"/>
      <c r="C769" s="82" t="s">
        <v>195</v>
      </c>
      <c r="D769" s="82">
        <f>(51.12+(0.6*(1.98+3.05))+2.13*0.75)*10.764</f>
        <v>599.93692199999987</v>
      </c>
      <c r="E769" s="82">
        <f>3.05*1.3*10.764</f>
        <v>42.679259999999999</v>
      </c>
      <c r="F769" s="82">
        <f>D769*(($F$472)+1)+E769</f>
        <v>942.5846429999998</v>
      </c>
      <c r="G769" s="118" t="str">
        <f>A768</f>
        <v>3rd, 5th, 7th, 9th, 11th, 13th Floor</v>
      </c>
      <c r="H769" s="118"/>
      <c r="I769" s="31"/>
      <c r="K769" s="31">
        <f t="shared" si="95"/>
        <v>90488.125727999985</v>
      </c>
      <c r="N769" s="2" t="str">
        <f ca="1">O769&amp;""&amp;",..,"&amp;""&amp;P769</f>
        <v>301,..,1301</v>
      </c>
      <c r="O769" s="2">
        <f ca="1">(SUMPRODUCT(MID(0&amp;(LEFT(A768,SUM(LEN(A768)-LEN(SUBSTITUTE(A768,{"0","1","2"},""))))), LARGE(INDEX(ISNUMBER(--MID((LEFT(A768,SUM(LEN(A768)-LEN(SUBSTITUTE(A768,{"0","1","2"},""))))), ROW(INDIRECT("1:"&amp;LEN((LEFT(A768,SUM(LEN(A768)-LEN(SUBSTITUTE(A768,{"0","1","2"},"")))))))), 1)) * ROW(INDIRECT("1:"&amp;LEN((LEFT(A768,SUM(LEN(A768)-LEN(SUBSTITUTE(A768,{"0","1","2"},"")))))))), 0), ROW(INDIRECT("1:"&amp;LEN((LEFT(A768,SUM(LEN(A768)-LEN(SUBSTITUTE(A768,{"0","1","2"},"")))))))))+1, 1) * 10^ROW(INDIRECT("1:"&amp;LEN((LEFT(A768,SUM(LEN(A768)-LEN(SUBSTITUTE(A768,{"0","1","2"},""))))))))/10))*100+1</f>
        <v>301</v>
      </c>
      <c r="P769" s="2">
        <f ca="1">(SUMPRODUCT(MID(0&amp;(--TRIM(RIGHT(SUBSTITUTE(LEFT(A768,_xlfn.AGGREGATE(16,6,FIND({0,1,2,3,4,5,6,7,8,9},A768,ROW(INDIRECT("1:"&amp;LEN(A768)))),1))," ",REPT(" ",LEN(A768))),LEN(A768)))), LARGE(INDEX(ISNUMBER(--MID((--TRIM(RIGHT(SUBSTITUTE(LEFT(A768,_xlfn.AGGREGATE(16,6,FIND({0,1,2,3,4,5,6,7,8,9},A768,ROW(INDIRECT("1:"&amp;LEN(A768)))),1))," ",REPT(" ",LEN(A768))),LEN(A768)))), ROW(INDIRECT("1:"&amp;LEN((--TRIM(RIGHT(SUBSTITUTE(LEFT(A768,_xlfn.AGGREGATE(16,6,FIND({0,1,2,3,4,5,6,7,8,9},A768,ROW(INDIRECT("1:"&amp;LEN(A768)))),1))," ",REPT(" ",LEN(A768))),LEN(A768))))))), 1)) * ROW(INDIRECT("1:"&amp;LEN((--TRIM(RIGHT(SUBSTITUTE(LEFT(A768,_xlfn.AGGREGATE(16,6,FIND({0,1,2,3,4,5,6,7,8,9},A768,ROW(INDIRECT("1:"&amp;LEN(A768)))),1))," ",REPT(" ",LEN(A768))),LEN(A768))))))), 0), ROW(INDIRECT("1:"&amp;LEN((--TRIM(RIGHT(SUBSTITUTE(LEFT(A768,_xlfn.AGGREGATE(16,6,FIND({0,1,2,3,4,5,6,7,8,9},A768,ROW(INDIRECT("1:"&amp;LEN(A768)))),1))," ",REPT(" ",LEN(A768))),LEN(A768))))))))+1, 1) * 10^ROW(INDIRECT("1:"&amp;LEN((--TRIM(RIGHT(SUBSTITUTE(LEFT(A768,_xlfn.AGGREGATE(16,6,FIND({0,1,2,3,4,5,6,7,8,9},A768,ROW(INDIRECT("1:"&amp;LEN(A768)))),1))," ",REPT(" ",LEN(A768))),LEN(A768)))))))/10))*100+1</f>
        <v>1301</v>
      </c>
    </row>
    <row r="770" spans="1:16" s="2" customFormat="1" ht="15.75" customHeight="1" x14ac:dyDescent="0.35">
      <c r="A770" s="118" t="str">
        <f ca="1">N770</f>
        <v>302,..,1302</v>
      </c>
      <c r="B770" s="118"/>
      <c r="C770" s="82" t="s">
        <v>195</v>
      </c>
      <c r="D770" s="82">
        <f>(51.12+(0.6*(1.98+3.05))+2.13*0.75)*10.764</f>
        <v>599.93692199999987</v>
      </c>
      <c r="E770" s="82">
        <f>3.05*1.3*10.764</f>
        <v>42.679259999999999</v>
      </c>
      <c r="F770" s="82">
        <f>D770*(($F$472)+1)+E770</f>
        <v>942.5846429999998</v>
      </c>
      <c r="G770" s="118" t="str">
        <f>G769</f>
        <v>3rd, 5th, 7th, 9th, 11th, 13th Floor</v>
      </c>
      <c r="H770" s="118"/>
      <c r="I770" s="31"/>
      <c r="K770" s="31">
        <f t="shared" si="95"/>
        <v>90488.125727999985</v>
      </c>
      <c r="N770" s="2" t="str">
        <f ca="1">O770&amp;""&amp;",..,"&amp;""&amp;P770</f>
        <v>302,..,1302</v>
      </c>
      <c r="O770" s="2">
        <f t="shared" ref="O770:P772" ca="1" si="97">O769+1</f>
        <v>302</v>
      </c>
      <c r="P770" s="2">
        <f t="shared" ca="1" si="97"/>
        <v>1302</v>
      </c>
    </row>
    <row r="771" spans="1:16" s="2" customFormat="1" ht="15.75" customHeight="1" x14ac:dyDescent="0.35">
      <c r="A771" s="118" t="str">
        <f ca="1">N771</f>
        <v>303,..,1303</v>
      </c>
      <c r="B771" s="118"/>
      <c r="C771" s="82" t="s">
        <v>195</v>
      </c>
      <c r="D771" s="82">
        <f>(53.22+(0.6*(1.98+3.05))+2.13*0.75)*10.764</f>
        <v>622.54132199999992</v>
      </c>
      <c r="E771" s="82">
        <f>3.05*1.3*10.764</f>
        <v>42.679259999999999</v>
      </c>
      <c r="F771" s="82">
        <f>D771*(($F$472)+1)+E771</f>
        <v>976.49124299999983</v>
      </c>
      <c r="G771" s="118" t="str">
        <f>G770</f>
        <v>3rd, 5th, 7th, 9th, 11th, 13th Floor</v>
      </c>
      <c r="H771" s="118"/>
      <c r="I771" s="31"/>
      <c r="K771" s="31">
        <f t="shared" si="95"/>
        <v>93743.15932799998</v>
      </c>
      <c r="N771" s="2" t="str">
        <f ca="1">O771&amp;""&amp;",..,"&amp;""&amp;P771</f>
        <v>303,..,1303</v>
      </c>
      <c r="O771" s="2">
        <f t="shared" ca="1" si="97"/>
        <v>303</v>
      </c>
      <c r="P771" s="2">
        <f t="shared" ca="1" si="97"/>
        <v>1303</v>
      </c>
    </row>
    <row r="772" spans="1:16" s="2" customFormat="1" ht="15.75" customHeight="1" x14ac:dyDescent="0.35">
      <c r="A772" s="118" t="str">
        <f ca="1">N772</f>
        <v>304,..,1304</v>
      </c>
      <c r="B772" s="118"/>
      <c r="C772" s="82" t="s">
        <v>195</v>
      </c>
      <c r="D772" s="82">
        <f>(53.22+(0.6*(1.98+3.05))+2.13*0.75)*10.764</f>
        <v>622.54132199999992</v>
      </c>
      <c r="E772" s="82">
        <f>3.05*1.3*10.764</f>
        <v>42.679259999999999</v>
      </c>
      <c r="F772" s="82">
        <f>D772*(($F$472)+1)+E772</f>
        <v>976.49124299999983</v>
      </c>
      <c r="G772" s="118" t="str">
        <f>G771</f>
        <v>3rd, 5th, 7th, 9th, 11th, 13th Floor</v>
      </c>
      <c r="H772" s="118"/>
      <c r="I772" s="31"/>
      <c r="K772" s="31">
        <f t="shared" si="95"/>
        <v>93743.15932799998</v>
      </c>
      <c r="N772" s="2" t="str">
        <f ca="1">O772&amp;""&amp;",..,"&amp;""&amp;P772</f>
        <v>304,..,1304</v>
      </c>
      <c r="O772" s="2">
        <f t="shared" ca="1" si="97"/>
        <v>304</v>
      </c>
      <c r="P772" s="2">
        <f t="shared" ca="1" si="97"/>
        <v>1304</v>
      </c>
    </row>
    <row r="773" spans="1:16" s="2" customFormat="1" ht="15.75" customHeight="1" x14ac:dyDescent="0.35">
      <c r="A773" s="119" t="s">
        <v>217</v>
      </c>
      <c r="B773" s="119"/>
      <c r="C773" s="119"/>
      <c r="D773" s="119"/>
      <c r="E773" s="119"/>
      <c r="F773" s="119"/>
      <c r="G773" s="119"/>
      <c r="H773" s="119"/>
      <c r="I773" s="31"/>
      <c r="K773" s="31">
        <f t="shared" si="95"/>
        <v>0</v>
      </c>
    </row>
    <row r="774" spans="1:16" s="2" customFormat="1" ht="15.75" customHeight="1" x14ac:dyDescent="0.35">
      <c r="A774" s="118" t="str">
        <f ca="1">N774</f>
        <v>801 &amp; 1201</v>
      </c>
      <c r="B774" s="118"/>
      <c r="C774" s="82" t="s">
        <v>195</v>
      </c>
      <c r="D774" s="82">
        <f>(51.12+(0.6*(1.98+3.05))+2.13*0.75)*10.764</f>
        <v>599.93692199999987</v>
      </c>
      <c r="E774" s="82">
        <f>3.05*1.3*10.764</f>
        <v>42.679259999999999</v>
      </c>
      <c r="F774" s="82">
        <f>D774*(($F$472)+1)+E774</f>
        <v>942.5846429999998</v>
      </c>
      <c r="G774" s="118" t="str">
        <f>A773</f>
        <v>8th &amp; 12th Floor (Part Refuge Area)</v>
      </c>
      <c r="H774" s="118"/>
      <c r="I774" s="31"/>
      <c r="K774" s="31">
        <f t="shared" si="95"/>
        <v>90488.125727999985</v>
      </c>
      <c r="N774" s="2" t="str">
        <f ca="1">O774&amp;""&amp;" &amp; "&amp;""&amp;P774</f>
        <v>801 &amp; 1201</v>
      </c>
      <c r="O774" s="2">
        <f ca="1">(SUMPRODUCT(MID(0&amp;(LEFT(A773,SUM(LEN(A773)-LEN(SUBSTITUTE(A773,{"0","1","2"},""))))), LARGE(INDEX(ISNUMBER(--MID((LEFT(A773,SUM(LEN(A773)-LEN(SUBSTITUTE(A773,{"0","1","2"},""))))), ROW(INDIRECT("1:"&amp;LEN((LEFT(A773,SUM(LEN(A773)-LEN(SUBSTITUTE(A773,{"0","1","2"},"")))))))), 1)) * ROW(INDIRECT("1:"&amp;LEN((LEFT(A773,SUM(LEN(A773)-LEN(SUBSTITUTE(A773,{"0","1","2"},"")))))))), 0), ROW(INDIRECT("1:"&amp;LEN((LEFT(A773,SUM(LEN(A773)-LEN(SUBSTITUTE(A773,{"0","1","2"},"")))))))))+1, 1) * 10^ROW(INDIRECT("1:"&amp;LEN((LEFT(A773,SUM(LEN(A773)-LEN(SUBSTITUTE(A773,{"0","1","2"},""))))))))/10))*100+1</f>
        <v>801</v>
      </c>
      <c r="P774" s="2">
        <f ca="1">(SUMPRODUCT(MID(0&amp;(--TRIM(RIGHT(SUBSTITUTE(LEFT(A773,_xlfn.AGGREGATE(16,6,FIND({0,1,2,3,4,5,6,7,8,9},A773,ROW(INDIRECT("1:"&amp;LEN(A773)))),1))," ",REPT(" ",LEN(A773))),LEN(A773)))), LARGE(INDEX(ISNUMBER(--MID((--TRIM(RIGHT(SUBSTITUTE(LEFT(A773,_xlfn.AGGREGATE(16,6,FIND({0,1,2,3,4,5,6,7,8,9},A773,ROW(INDIRECT("1:"&amp;LEN(A773)))),1))," ",REPT(" ",LEN(A773))),LEN(A773)))), ROW(INDIRECT("1:"&amp;LEN((--TRIM(RIGHT(SUBSTITUTE(LEFT(A773,_xlfn.AGGREGATE(16,6,FIND({0,1,2,3,4,5,6,7,8,9},A773,ROW(INDIRECT("1:"&amp;LEN(A773)))),1))," ",REPT(" ",LEN(A773))),LEN(A773))))))), 1)) * ROW(INDIRECT("1:"&amp;LEN((--TRIM(RIGHT(SUBSTITUTE(LEFT(A773,_xlfn.AGGREGATE(16,6,FIND({0,1,2,3,4,5,6,7,8,9},A773,ROW(INDIRECT("1:"&amp;LEN(A773)))),1))," ",REPT(" ",LEN(A773))),LEN(A773))))))), 0), ROW(INDIRECT("1:"&amp;LEN((--TRIM(RIGHT(SUBSTITUTE(LEFT(A773,_xlfn.AGGREGATE(16,6,FIND({0,1,2,3,4,5,6,7,8,9},A773,ROW(INDIRECT("1:"&amp;LEN(A773)))),1))," ",REPT(" ",LEN(A773))),LEN(A773))))))))+1, 1) * 10^ROW(INDIRECT("1:"&amp;LEN((--TRIM(RIGHT(SUBSTITUTE(LEFT(A773,_xlfn.AGGREGATE(16,6,FIND({0,1,2,3,4,5,6,7,8,9},A773,ROW(INDIRECT("1:"&amp;LEN(A773)))),1))," ",REPT(" ",LEN(A773))),LEN(A773)))))))/10))*100+1</f>
        <v>1201</v>
      </c>
    </row>
    <row r="775" spans="1:16" s="2" customFormat="1" ht="15.75" customHeight="1" x14ac:dyDescent="0.35">
      <c r="A775" s="118" t="str">
        <f ca="1">N775</f>
        <v>802 &amp; 1202</v>
      </c>
      <c r="B775" s="118"/>
      <c r="C775" s="82" t="s">
        <v>195</v>
      </c>
      <c r="D775" s="82">
        <f>(51.12+(0.6*(1.98+3.05))+2.13*0.75)*10.764</f>
        <v>599.93692199999987</v>
      </c>
      <c r="E775" s="82">
        <f>3.05*1.3*10.764</f>
        <v>42.679259999999999</v>
      </c>
      <c r="F775" s="82">
        <f>D775*(($F$472)+1)+E775</f>
        <v>942.5846429999998</v>
      </c>
      <c r="G775" s="118" t="str">
        <f>G774</f>
        <v>8th &amp; 12th Floor (Part Refuge Area)</v>
      </c>
      <c r="H775" s="118"/>
      <c r="I775" s="31"/>
      <c r="K775" s="31">
        <f t="shared" si="95"/>
        <v>90488.125727999985</v>
      </c>
      <c r="N775" s="2" t="str">
        <f ca="1">O775&amp;""&amp;" &amp; "&amp;""&amp;P775</f>
        <v>802 &amp; 1202</v>
      </c>
      <c r="O775" s="2">
        <f ca="1">O774+1</f>
        <v>802</v>
      </c>
      <c r="P775" s="2">
        <f ca="1">P774+1</f>
        <v>1202</v>
      </c>
    </row>
    <row r="776" spans="1:16" s="2" customFormat="1" ht="15.75" customHeight="1" x14ac:dyDescent="0.35">
      <c r="A776" s="118" t="str">
        <f ca="1">N776</f>
        <v>803 &amp; 1203</v>
      </c>
      <c r="B776" s="118"/>
      <c r="C776" s="82" t="s">
        <v>195</v>
      </c>
      <c r="D776" s="82">
        <f>(53.22+(0.6*(1.98+3.05))+2.13*0.75)*10.764</f>
        <v>622.54132199999992</v>
      </c>
      <c r="E776" s="82">
        <f>3.05*1.3*10.764</f>
        <v>42.679259999999999</v>
      </c>
      <c r="F776" s="82">
        <f>D776*(($F$472)+1)+E776</f>
        <v>976.49124299999983</v>
      </c>
      <c r="G776" s="118" t="str">
        <f>G775</f>
        <v>8th &amp; 12th Floor (Part Refuge Area)</v>
      </c>
      <c r="H776" s="118"/>
      <c r="I776" s="31"/>
      <c r="K776" s="31">
        <f t="shared" si="95"/>
        <v>93743.15932799998</v>
      </c>
      <c r="N776" s="2" t="str">
        <f ca="1">O776&amp;""&amp;" &amp; "&amp;""&amp;P776</f>
        <v>803 &amp; 1203</v>
      </c>
      <c r="O776" s="2">
        <f ca="1">O775+1</f>
        <v>803</v>
      </c>
      <c r="P776" s="2">
        <f ca="1">P775+1</f>
        <v>1203</v>
      </c>
    </row>
    <row r="777" spans="1:16" s="2" customFormat="1" ht="15.75" customHeight="1" x14ac:dyDescent="0.35">
      <c r="A777" s="126" t="s">
        <v>218</v>
      </c>
      <c r="B777" s="127"/>
      <c r="C777" s="127"/>
      <c r="D777" s="127"/>
      <c r="E777" s="127"/>
      <c r="F777" s="127"/>
      <c r="G777" s="127"/>
      <c r="H777" s="128"/>
      <c r="I777" s="31"/>
      <c r="K777" s="31">
        <f t="shared" si="95"/>
        <v>0</v>
      </c>
      <c r="L777" s="115"/>
      <c r="M777" s="115"/>
    </row>
    <row r="778" spans="1:16" s="2" customFormat="1" ht="15.75" customHeight="1" x14ac:dyDescent="0.35">
      <c r="A778" s="116">
        <f>LEFT(A777,SUM(LEN(A777)-LEN(SUBSTITUTE(A777,{"0","1","2","3","4","5","6","7","8","9"},""))))*100+1</f>
        <v>1401</v>
      </c>
      <c r="B778" s="117"/>
      <c r="C778" s="65" t="s">
        <v>195</v>
      </c>
      <c r="D778" s="64">
        <f>(51.12+(0.6*(1.98+3.05))+2.13*0.75)*10.764</f>
        <v>599.93692199999987</v>
      </c>
      <c r="E778" s="64">
        <f>3.05*1.3*10.764</f>
        <v>42.679259999999999</v>
      </c>
      <c r="F778" s="64">
        <f>D778*(($F$472)+1)+E778</f>
        <v>942.5846429999998</v>
      </c>
      <c r="G778" s="144" t="str">
        <f>A777</f>
        <v>14th Floor (Part Terrace Area)</v>
      </c>
      <c r="H778" s="145"/>
      <c r="I778" s="31"/>
      <c r="K778" s="31">
        <f t="shared" si="95"/>
        <v>90488.125727999985</v>
      </c>
      <c r="N778" s="31"/>
    </row>
    <row r="779" spans="1:16" s="2" customFormat="1" ht="15.75" customHeight="1" x14ac:dyDescent="0.35">
      <c r="A779" s="116">
        <f>A778+1</f>
        <v>1402</v>
      </c>
      <c r="B779" s="117"/>
      <c r="C779" s="116" t="s">
        <v>221</v>
      </c>
      <c r="D779" s="161"/>
      <c r="E779" s="161"/>
      <c r="F779" s="117"/>
      <c r="G779" s="146" t="str">
        <f>G778</f>
        <v>14th Floor (Part Terrace Area)</v>
      </c>
      <c r="H779" s="147"/>
      <c r="I779" s="31"/>
      <c r="K779" s="31">
        <f t="shared" si="95"/>
        <v>0</v>
      </c>
      <c r="N779" s="31"/>
    </row>
    <row r="780" spans="1:16" s="2" customFormat="1" ht="15.75" customHeight="1" x14ac:dyDescent="0.35">
      <c r="A780" s="116">
        <f>A779+1</f>
        <v>1403</v>
      </c>
      <c r="B780" s="117"/>
      <c r="C780" s="66" t="s">
        <v>195</v>
      </c>
      <c r="D780" s="64">
        <f>(53.22+(0.6*(1.98+3.05))+2.13*0.75)*10.764</f>
        <v>622.54132199999992</v>
      </c>
      <c r="E780" s="64">
        <f>3.05*1.3*10.764</f>
        <v>42.679259999999999</v>
      </c>
      <c r="F780" s="64">
        <f>D780*(($F$472)+1)+E780</f>
        <v>976.49124299999983</v>
      </c>
      <c r="G780" s="146" t="str">
        <f>G779</f>
        <v>14th Floor (Part Terrace Area)</v>
      </c>
      <c r="H780" s="147"/>
      <c r="I780" s="31"/>
      <c r="K780" s="31">
        <f t="shared" si="95"/>
        <v>93743.15932799998</v>
      </c>
      <c r="N780" s="31"/>
    </row>
    <row r="781" spans="1:16" s="2" customFormat="1" ht="15.75" customHeight="1" x14ac:dyDescent="0.35">
      <c r="A781" s="116">
        <f>A780+1</f>
        <v>1404</v>
      </c>
      <c r="B781" s="117"/>
      <c r="C781" s="64" t="s">
        <v>195</v>
      </c>
      <c r="D781" s="64">
        <f>(53.22+(0.6*(1.98+3.05))+2.13*0.75)*10.764</f>
        <v>622.54132199999992</v>
      </c>
      <c r="E781" s="64">
        <f>3.05*1.3*10.764</f>
        <v>42.679259999999999</v>
      </c>
      <c r="F781" s="64">
        <f>D781*(($F$472)+1)+E781</f>
        <v>976.49124299999983</v>
      </c>
      <c r="G781" s="146" t="str">
        <f>G780</f>
        <v>14th Floor (Part Terrace Area)</v>
      </c>
      <c r="H781" s="147"/>
      <c r="I781" s="31"/>
      <c r="K781" s="31">
        <f t="shared" si="95"/>
        <v>93743.15932799998</v>
      </c>
      <c r="N781" s="31"/>
    </row>
    <row r="782" spans="1:16" s="1" customFormat="1" x14ac:dyDescent="0.35">
      <c r="A782" s="134" t="s">
        <v>261</v>
      </c>
      <c r="B782" s="134"/>
      <c r="C782" s="134"/>
      <c r="D782" s="134"/>
      <c r="E782" s="134"/>
      <c r="F782" s="134"/>
      <c r="G782" s="134"/>
      <c r="H782" s="134"/>
      <c r="K782" s="31">
        <f t="shared" si="95"/>
        <v>0</v>
      </c>
    </row>
    <row r="783" spans="1:16" s="2" customFormat="1" x14ac:dyDescent="0.35">
      <c r="A783" s="119" t="s">
        <v>192</v>
      </c>
      <c r="B783" s="119"/>
      <c r="C783" s="119"/>
      <c r="D783" s="119"/>
      <c r="E783" s="119"/>
      <c r="F783" s="119"/>
      <c r="G783" s="119"/>
      <c r="H783" s="119"/>
      <c r="I783" s="31"/>
      <c r="K783" s="31">
        <f t="shared" si="95"/>
        <v>0</v>
      </c>
      <c r="L783" s="115"/>
      <c r="M783" s="115"/>
    </row>
    <row r="784" spans="1:16" s="2" customFormat="1" x14ac:dyDescent="0.35">
      <c r="A784" s="118">
        <f>LEFT(A783,SUM(LEN(A783)-LEN(SUBSTITUTE(A783,{"0","1","2","3","4","5","6","7","8","9"},""))))*100+1</f>
        <v>101</v>
      </c>
      <c r="B784" s="118"/>
      <c r="C784" s="64" t="s">
        <v>195</v>
      </c>
      <c r="D784" s="64">
        <f>(54.32)*10.764</f>
        <v>584.70047999999997</v>
      </c>
      <c r="E784" s="64">
        <f>20.98*10.764</f>
        <v>225.82872</v>
      </c>
      <c r="F784" s="64">
        <f>D784*(($F$472)+1)+E784</f>
        <v>1102.8794399999999</v>
      </c>
      <c r="G784" s="118" t="str">
        <f>A783</f>
        <v>1st Floor</v>
      </c>
      <c r="H784" s="118"/>
      <c r="I784" s="31"/>
      <c r="K784" s="31">
        <f t="shared" si="95"/>
        <v>105876.42624</v>
      </c>
      <c r="N784" s="31"/>
    </row>
    <row r="785" spans="1:16" s="2" customFormat="1" x14ac:dyDescent="0.35">
      <c r="A785" s="118">
        <f>A784+1</f>
        <v>102</v>
      </c>
      <c r="B785" s="118"/>
      <c r="C785" s="64" t="s">
        <v>197</v>
      </c>
      <c r="D785" s="64">
        <f>(35.56)*10.764</f>
        <v>382.76783999999998</v>
      </c>
      <c r="E785" s="64">
        <f>54.41*10.764</f>
        <v>585.66923999999995</v>
      </c>
      <c r="F785" s="64">
        <f>D785*(($F$472)+1)+E785</f>
        <v>1159.8209999999999</v>
      </c>
      <c r="G785" s="118" t="str">
        <f>G784</f>
        <v>1st Floor</v>
      </c>
      <c r="H785" s="118"/>
      <c r="I785" s="36">
        <f>3.05*3.89+2.14*2.7+2.45*1.75+3.05*2.76+2.14*1.21+1.22*2.23+3.6*1+1.81*0.63+1.2*3.05</f>
        <v>44.058299999999996</v>
      </c>
      <c r="K785" s="31">
        <f t="shared" si="95"/>
        <v>111342.81599999999</v>
      </c>
      <c r="N785" s="31"/>
    </row>
    <row r="786" spans="1:16" s="2" customFormat="1" x14ac:dyDescent="0.35">
      <c r="A786" s="118">
        <f>A785+1</f>
        <v>103</v>
      </c>
      <c r="B786" s="118"/>
      <c r="C786" s="64" t="s">
        <v>195</v>
      </c>
      <c r="D786" s="64">
        <f>54.63*10.764</f>
        <v>588.03732000000002</v>
      </c>
      <c r="E786" s="64">
        <f>20.98*10.764</f>
        <v>225.82872</v>
      </c>
      <c r="F786" s="64">
        <f>D786*(($F$472)+1)+E786</f>
        <v>1107.8847000000001</v>
      </c>
      <c r="G786" s="118" t="str">
        <f>G785</f>
        <v>1st Floor</v>
      </c>
      <c r="H786" s="118"/>
      <c r="I786" s="31">
        <f>3.05*3.86+2.14*1.21+1.22*2.23+2.76*3.05+2.45*2.7+2.14*2.7+3.8*1+1.81*0.63+3.56</f>
        <v>46.394300000000001</v>
      </c>
      <c r="K786" s="31">
        <f t="shared" si="95"/>
        <v>106356.93120000001</v>
      </c>
      <c r="N786" s="31"/>
    </row>
    <row r="787" spans="1:16" s="2" customFormat="1" x14ac:dyDescent="0.35">
      <c r="A787" s="118">
        <f>A786+1</f>
        <v>104</v>
      </c>
      <c r="B787" s="118"/>
      <c r="C787" s="64" t="s">
        <v>195</v>
      </c>
      <c r="D787" s="64">
        <f>(59.83+(0.6*(3.19+2.6))+2.69*0.75+1.5*3.58)*10.764</f>
        <v>760.92330600000003</v>
      </c>
      <c r="E787" s="64">
        <f>3.58*1.3*10.764</f>
        <v>50.095655999999998</v>
      </c>
      <c r="F787" s="64">
        <f>D787*(($F$472)+1)+E787</f>
        <v>1191.4806149999999</v>
      </c>
      <c r="G787" s="118" t="str">
        <f>G786</f>
        <v>1st Floor</v>
      </c>
      <c r="H787" s="118"/>
      <c r="I787" s="31">
        <f>4.4*1.98+2.3*3.05+1.7*2.2</f>
        <v>19.466999999999999</v>
      </c>
      <c r="K787" s="31">
        <f t="shared" si="95"/>
        <v>114382.13903999999</v>
      </c>
      <c r="N787" s="31"/>
    </row>
    <row r="788" spans="1:16" s="2" customFormat="1" ht="15.75" customHeight="1" x14ac:dyDescent="0.35">
      <c r="A788" s="126" t="s">
        <v>199</v>
      </c>
      <c r="B788" s="127"/>
      <c r="C788" s="127"/>
      <c r="D788" s="127"/>
      <c r="E788" s="127"/>
      <c r="F788" s="127"/>
      <c r="G788" s="127"/>
      <c r="H788" s="128"/>
      <c r="I788" s="31"/>
      <c r="K788" s="31">
        <f t="shared" si="95"/>
        <v>0</v>
      </c>
    </row>
    <row r="789" spans="1:16" s="2" customFormat="1" ht="15.75" customHeight="1" x14ac:dyDescent="0.35">
      <c r="A789" s="116" t="str">
        <f ca="1">N789</f>
        <v>201,..,1401</v>
      </c>
      <c r="B789" s="117"/>
      <c r="C789" s="64" t="s">
        <v>195</v>
      </c>
      <c r="D789" s="64">
        <f>(53.19+(0.6*(2.21+3.35))+2.13*0.75+1.5*3.05)*10.764</f>
        <v>674.88665399999991</v>
      </c>
      <c r="E789" s="64">
        <f>3.05*1.3*10.764</f>
        <v>42.679259999999999</v>
      </c>
      <c r="F789" s="64">
        <f>D789*(($F$472)+1)+E789</f>
        <v>1055.0092409999997</v>
      </c>
      <c r="G789" s="144" t="str">
        <f>A788</f>
        <v>2nd, 4th, 6th, 10th, 14th Floor</v>
      </c>
      <c r="H789" s="145"/>
      <c r="I789" s="31"/>
      <c r="K789" s="31">
        <f t="shared" si="95"/>
        <v>101280.88713599998</v>
      </c>
      <c r="N789" s="2" t="str">
        <f ca="1">O789&amp;""&amp;",..,"&amp;""&amp;P789</f>
        <v>201,..,1401</v>
      </c>
      <c r="O789" s="2">
        <f ca="1">(SUMPRODUCT(MID(0&amp;(LEFT(A788,SUM(LEN(A788)-LEN(SUBSTITUTE(A788,{"0","1","2"},""))))), LARGE(INDEX(ISNUMBER(--MID((LEFT(A788,SUM(LEN(A788)-LEN(SUBSTITUTE(A788,{"0","1","2"},""))))), ROW(INDIRECT("1:"&amp;LEN((LEFT(A788,SUM(LEN(A788)-LEN(SUBSTITUTE(A788,{"0","1","2"},"")))))))), 1)) * ROW(INDIRECT("1:"&amp;LEN((LEFT(A788,SUM(LEN(A788)-LEN(SUBSTITUTE(A788,{"0","1","2"},"")))))))), 0), ROW(INDIRECT("1:"&amp;LEN((LEFT(A788,SUM(LEN(A788)-LEN(SUBSTITUTE(A788,{"0","1","2"},"")))))))))+1, 1) * 10^ROW(INDIRECT("1:"&amp;LEN((LEFT(A788,SUM(LEN(A788)-LEN(SUBSTITUTE(A788,{"0","1","2"},""))))))))/10))*100+1</f>
        <v>201</v>
      </c>
      <c r="P789" s="2">
        <f ca="1">(SUMPRODUCT(MID(0&amp;(--TRIM(RIGHT(SUBSTITUTE(LEFT(A788,_xlfn.AGGREGATE(16,6,FIND({0,1,2,3,4,5,6,7,8,9},A788,ROW(INDIRECT("1:"&amp;LEN(A788)))),1))," ",REPT(" ",LEN(A788))),LEN(A788)))), LARGE(INDEX(ISNUMBER(--MID((--TRIM(RIGHT(SUBSTITUTE(LEFT(A788,_xlfn.AGGREGATE(16,6,FIND({0,1,2,3,4,5,6,7,8,9},A788,ROW(INDIRECT("1:"&amp;LEN(A788)))),1))," ",REPT(" ",LEN(A788))),LEN(A788)))), ROW(INDIRECT("1:"&amp;LEN((--TRIM(RIGHT(SUBSTITUTE(LEFT(A788,_xlfn.AGGREGATE(16,6,FIND({0,1,2,3,4,5,6,7,8,9},A788,ROW(INDIRECT("1:"&amp;LEN(A788)))),1))," ",REPT(" ",LEN(A788))),LEN(A788))))))), 1)) * ROW(INDIRECT("1:"&amp;LEN((--TRIM(RIGHT(SUBSTITUTE(LEFT(A788,_xlfn.AGGREGATE(16,6,FIND({0,1,2,3,4,5,6,7,8,9},A788,ROW(INDIRECT("1:"&amp;LEN(A788)))),1))," ",REPT(" ",LEN(A788))),LEN(A788))))))), 0), ROW(INDIRECT("1:"&amp;LEN((--TRIM(RIGHT(SUBSTITUTE(LEFT(A788,_xlfn.AGGREGATE(16,6,FIND({0,1,2,3,4,5,6,7,8,9},A788,ROW(INDIRECT("1:"&amp;LEN(A788)))),1))," ",REPT(" ",LEN(A788))),LEN(A788))))))))+1, 1) * 10^ROW(INDIRECT("1:"&amp;LEN((--TRIM(RIGHT(SUBSTITUTE(LEFT(A788,_xlfn.AGGREGATE(16,6,FIND({0,1,2,3,4,5,6,7,8,9},A788,ROW(INDIRECT("1:"&amp;LEN(A788)))),1))," ",REPT(" ",LEN(A788))),LEN(A788)))))))/10))*100+1</f>
        <v>1401</v>
      </c>
    </row>
    <row r="790" spans="1:16" s="2" customFormat="1" ht="15.75" customHeight="1" x14ac:dyDescent="0.35">
      <c r="A790" s="116" t="str">
        <f ca="1">N790</f>
        <v>202,..,1402</v>
      </c>
      <c r="B790" s="117"/>
      <c r="C790" s="64" t="s">
        <v>197</v>
      </c>
      <c r="D790" s="64">
        <f>(34.81+0.6*2.75+0.75*2.15)*10.764</f>
        <v>409.81238999999994</v>
      </c>
      <c r="E790" s="64">
        <f>3.05*1.3*10.764</f>
        <v>42.679259999999999</v>
      </c>
      <c r="F790" s="64">
        <f>D790*(($F$472)+1)+E790</f>
        <v>657.39784499999985</v>
      </c>
      <c r="G790" s="146" t="str">
        <f>G789</f>
        <v>2nd, 4th, 6th, 10th, 14th Floor</v>
      </c>
      <c r="H790" s="147"/>
      <c r="I790" s="31"/>
      <c r="K790" s="31">
        <f t="shared" si="95"/>
        <v>63110.193119999982</v>
      </c>
      <c r="N790" s="2" t="str">
        <f ca="1">O790&amp;""&amp;",..,"&amp;""&amp;P790</f>
        <v>202,..,1402</v>
      </c>
      <c r="O790" s="2">
        <f t="shared" ref="O790:P792" ca="1" si="98">O789+1</f>
        <v>202</v>
      </c>
      <c r="P790" s="2">
        <f t="shared" ca="1" si="98"/>
        <v>1402</v>
      </c>
    </row>
    <row r="791" spans="1:16" s="2" customFormat="1" ht="15.75" customHeight="1" x14ac:dyDescent="0.35">
      <c r="A791" s="116" t="str">
        <f ca="1">N791</f>
        <v>203,..,1403</v>
      </c>
      <c r="B791" s="117"/>
      <c r="C791" s="64" t="s">
        <v>195</v>
      </c>
      <c r="D791" s="64">
        <f>(53.5+(0.6*(2.21+3.35))+2.13*0.75+1.5*3.05)*10.764</f>
        <v>678.22349399999996</v>
      </c>
      <c r="E791" s="64">
        <f>3.05*1.3*10.764</f>
        <v>42.679259999999999</v>
      </c>
      <c r="F791" s="64">
        <f>D791*(($F$472)+1)+E791</f>
        <v>1060.0145010000001</v>
      </c>
      <c r="G791" s="146" t="str">
        <f>G790</f>
        <v>2nd, 4th, 6th, 10th, 14th Floor</v>
      </c>
      <c r="H791" s="147"/>
      <c r="I791" s="31"/>
      <c r="K791" s="31">
        <f t="shared" si="95"/>
        <v>101761.39209600001</v>
      </c>
      <c r="N791" s="2" t="str">
        <f ca="1">O791&amp;""&amp;",..,"&amp;""&amp;P791</f>
        <v>203,..,1403</v>
      </c>
      <c r="O791" s="2">
        <f t="shared" ca="1" si="98"/>
        <v>203</v>
      </c>
      <c r="P791" s="2">
        <f t="shared" ca="1" si="98"/>
        <v>1403</v>
      </c>
    </row>
    <row r="792" spans="1:16" s="2" customFormat="1" ht="15.75" customHeight="1" x14ac:dyDescent="0.35">
      <c r="A792" s="116" t="str">
        <f ca="1">N792</f>
        <v>204,..,1404</v>
      </c>
      <c r="B792" s="117"/>
      <c r="C792" s="64" t="s">
        <v>195</v>
      </c>
      <c r="D792" s="64">
        <f>(59.93+(0.6*(3.19+3.58))+2.69*0.75+1.5*3.57)*10.764</f>
        <v>768.16747800000007</v>
      </c>
      <c r="E792" s="64">
        <f>3.05*1.3*10.764</f>
        <v>42.679259999999999</v>
      </c>
      <c r="F792" s="64">
        <f>D792*(($F$472)+1)+E792</f>
        <v>1194.9304769999999</v>
      </c>
      <c r="G792" s="146" t="str">
        <f>G791</f>
        <v>2nd, 4th, 6th, 10th, 14th Floor</v>
      </c>
      <c r="H792" s="147"/>
      <c r="I792" s="31"/>
      <c r="J792" s="2">
        <f>185*F792</f>
        <v>221062.13824499998</v>
      </c>
      <c r="K792" s="31">
        <f t="shared" si="95"/>
        <v>114713.32579199999</v>
      </c>
      <c r="N792" s="2" t="str">
        <f ca="1">O792&amp;""&amp;",..,"&amp;""&amp;P792</f>
        <v>204,..,1404</v>
      </c>
      <c r="O792" s="2">
        <f t="shared" ca="1" si="98"/>
        <v>204</v>
      </c>
      <c r="P792" s="2">
        <f t="shared" ca="1" si="98"/>
        <v>1404</v>
      </c>
    </row>
    <row r="793" spans="1:16" s="2" customFormat="1" ht="15.75" customHeight="1" x14ac:dyDescent="0.35">
      <c r="A793" s="126" t="s">
        <v>193</v>
      </c>
      <c r="B793" s="127"/>
      <c r="C793" s="127"/>
      <c r="D793" s="127"/>
      <c r="E793" s="127"/>
      <c r="F793" s="127"/>
      <c r="G793" s="127"/>
      <c r="H793" s="128"/>
      <c r="I793" s="31"/>
      <c r="J793" s="2">
        <f t="shared" ref="J793:J839" si="99">185*F793</f>
        <v>0</v>
      </c>
      <c r="K793" s="31">
        <f t="shared" si="95"/>
        <v>0</v>
      </c>
    </row>
    <row r="794" spans="1:16" s="2" customFormat="1" ht="15.75" customHeight="1" x14ac:dyDescent="0.35">
      <c r="A794" s="116" t="str">
        <f ca="1">N794</f>
        <v>301,..,1301</v>
      </c>
      <c r="B794" s="117"/>
      <c r="C794" s="64" t="s">
        <v>195</v>
      </c>
      <c r="D794" s="64">
        <f>(53.19+(0.6*(2.21+3.35))+2.13*0.75+1.5*3.05)*10.764</f>
        <v>674.88665399999991</v>
      </c>
      <c r="E794" s="64">
        <f t="shared" ref="E794:E801" si="100">3.05*1.3*10.764</f>
        <v>42.679259999999999</v>
      </c>
      <c r="F794" s="64">
        <f>D794*(($F$472)+1)+E794</f>
        <v>1055.0092409999997</v>
      </c>
      <c r="G794" s="144" t="str">
        <f>A793</f>
        <v>3rd, 5th, 7th, 9th, 11th, 13th Floor</v>
      </c>
      <c r="H794" s="145"/>
      <c r="I794" s="31"/>
      <c r="J794" s="2">
        <f t="shared" si="99"/>
        <v>195176.70958499995</v>
      </c>
      <c r="K794" s="31">
        <f t="shared" ref="K794:K825" si="101">4*F794*24</f>
        <v>101280.88713599998</v>
      </c>
      <c r="N794" s="2" t="str">
        <f ca="1">O794&amp;""&amp;",..,"&amp;""&amp;P794</f>
        <v>301,..,1301</v>
      </c>
      <c r="O794" s="2">
        <f ca="1">(SUMPRODUCT(MID(0&amp;(LEFT(A793,SUM(LEN(A793)-LEN(SUBSTITUTE(A793,{"0","1","2"},""))))), LARGE(INDEX(ISNUMBER(--MID((LEFT(A793,SUM(LEN(A793)-LEN(SUBSTITUTE(A793,{"0","1","2"},""))))), ROW(INDIRECT("1:"&amp;LEN((LEFT(A793,SUM(LEN(A793)-LEN(SUBSTITUTE(A793,{"0","1","2"},"")))))))), 1)) * ROW(INDIRECT("1:"&amp;LEN((LEFT(A793,SUM(LEN(A793)-LEN(SUBSTITUTE(A793,{"0","1","2"},"")))))))), 0), ROW(INDIRECT("1:"&amp;LEN((LEFT(A793,SUM(LEN(A793)-LEN(SUBSTITUTE(A793,{"0","1","2"},"")))))))))+1, 1) * 10^ROW(INDIRECT("1:"&amp;LEN((LEFT(A793,SUM(LEN(A793)-LEN(SUBSTITUTE(A793,{"0","1","2"},""))))))))/10))*100+1</f>
        <v>301</v>
      </c>
      <c r="P794" s="2">
        <f ca="1">(SUMPRODUCT(MID(0&amp;(--TRIM(RIGHT(SUBSTITUTE(LEFT(A793,_xlfn.AGGREGATE(16,6,FIND({0,1,2,3,4,5,6,7,8,9},A793,ROW(INDIRECT("1:"&amp;LEN(A793)))),1))," ",REPT(" ",LEN(A793))),LEN(A793)))), LARGE(INDEX(ISNUMBER(--MID((--TRIM(RIGHT(SUBSTITUTE(LEFT(A793,_xlfn.AGGREGATE(16,6,FIND({0,1,2,3,4,5,6,7,8,9},A793,ROW(INDIRECT("1:"&amp;LEN(A793)))),1))," ",REPT(" ",LEN(A793))),LEN(A793)))), ROW(INDIRECT("1:"&amp;LEN((--TRIM(RIGHT(SUBSTITUTE(LEFT(A793,_xlfn.AGGREGATE(16,6,FIND({0,1,2,3,4,5,6,7,8,9},A793,ROW(INDIRECT("1:"&amp;LEN(A793)))),1))," ",REPT(" ",LEN(A793))),LEN(A793))))))), 1)) * ROW(INDIRECT("1:"&amp;LEN((--TRIM(RIGHT(SUBSTITUTE(LEFT(A793,_xlfn.AGGREGATE(16,6,FIND({0,1,2,3,4,5,6,7,8,9},A793,ROW(INDIRECT("1:"&amp;LEN(A793)))),1))," ",REPT(" ",LEN(A793))),LEN(A793))))))), 0), ROW(INDIRECT("1:"&amp;LEN((--TRIM(RIGHT(SUBSTITUTE(LEFT(A793,_xlfn.AGGREGATE(16,6,FIND({0,1,2,3,4,5,6,7,8,9},A793,ROW(INDIRECT("1:"&amp;LEN(A793)))),1))," ",REPT(" ",LEN(A793))),LEN(A793))))))))+1, 1) * 10^ROW(INDIRECT("1:"&amp;LEN((--TRIM(RIGHT(SUBSTITUTE(LEFT(A793,_xlfn.AGGREGATE(16,6,FIND({0,1,2,3,4,5,6,7,8,9},A793,ROW(INDIRECT("1:"&amp;LEN(A793)))),1))," ",REPT(" ",LEN(A793))),LEN(A793)))))))/10))*100+1</f>
        <v>1301</v>
      </c>
    </row>
    <row r="795" spans="1:16" s="2" customFormat="1" ht="15.75" customHeight="1" x14ac:dyDescent="0.35">
      <c r="A795" s="116" t="str">
        <f ca="1">N795</f>
        <v>302,..,1302</v>
      </c>
      <c r="B795" s="117"/>
      <c r="C795" s="64" t="s">
        <v>197</v>
      </c>
      <c r="D795" s="64">
        <f>(34.81+0.6*2.75+0.75*2.15)*10.764</f>
        <v>409.81238999999994</v>
      </c>
      <c r="E795" s="64">
        <f t="shared" si="100"/>
        <v>42.679259999999999</v>
      </c>
      <c r="F795" s="64">
        <f>D795*(($F$472)+1)+E795</f>
        <v>657.39784499999985</v>
      </c>
      <c r="G795" s="146" t="str">
        <f>G794</f>
        <v>3rd, 5th, 7th, 9th, 11th, 13th Floor</v>
      </c>
      <c r="H795" s="147"/>
      <c r="I795" s="31"/>
      <c r="J795" s="2">
        <f t="shared" si="99"/>
        <v>121618.60132499997</v>
      </c>
      <c r="K795" s="31">
        <f t="shared" si="101"/>
        <v>63110.193119999982</v>
      </c>
      <c r="N795" s="2" t="str">
        <f ca="1">O795&amp;""&amp;",..,"&amp;""&amp;P795</f>
        <v>302,..,1302</v>
      </c>
      <c r="O795" s="2">
        <f t="shared" ref="O795:P797" ca="1" si="102">O794+1</f>
        <v>302</v>
      </c>
      <c r="P795" s="2">
        <f t="shared" ca="1" si="102"/>
        <v>1302</v>
      </c>
    </row>
    <row r="796" spans="1:16" s="2" customFormat="1" ht="15.75" customHeight="1" x14ac:dyDescent="0.35">
      <c r="A796" s="116" t="str">
        <f ca="1">N796</f>
        <v>303,..,1303</v>
      </c>
      <c r="B796" s="117"/>
      <c r="C796" s="64" t="s">
        <v>195</v>
      </c>
      <c r="D796" s="64">
        <f>(53.5+(0.6*(2.21+3.35))+2.13*0.75+1.5*3.05)*10.764</f>
        <v>678.22349399999996</v>
      </c>
      <c r="E796" s="64">
        <f t="shared" si="100"/>
        <v>42.679259999999999</v>
      </c>
      <c r="F796" s="64">
        <f>D796*(($F$472)+1)+E796</f>
        <v>1060.0145010000001</v>
      </c>
      <c r="G796" s="146" t="str">
        <f>G795</f>
        <v>3rd, 5th, 7th, 9th, 11th, 13th Floor</v>
      </c>
      <c r="H796" s="147"/>
      <c r="I796" s="31"/>
      <c r="J796" s="2">
        <f t="shared" si="99"/>
        <v>196102.68268500001</v>
      </c>
      <c r="K796" s="31">
        <f t="shared" si="101"/>
        <v>101761.39209600001</v>
      </c>
      <c r="N796" s="2" t="str">
        <f ca="1">O796&amp;""&amp;",..,"&amp;""&amp;P796</f>
        <v>303,..,1303</v>
      </c>
      <c r="O796" s="2">
        <f t="shared" ca="1" si="102"/>
        <v>303</v>
      </c>
      <c r="P796" s="2">
        <f t="shared" ca="1" si="102"/>
        <v>1303</v>
      </c>
    </row>
    <row r="797" spans="1:16" s="2" customFormat="1" ht="15.75" customHeight="1" x14ac:dyDescent="0.35">
      <c r="A797" s="116" t="str">
        <f ca="1">N797</f>
        <v>304,..,1304</v>
      </c>
      <c r="B797" s="117"/>
      <c r="C797" s="64" t="s">
        <v>195</v>
      </c>
      <c r="D797" s="64">
        <f>(59.93+(0.6*(3.19+3.58))+2.69*0.75+1.5*3.57)*10.764</f>
        <v>768.16747800000007</v>
      </c>
      <c r="E797" s="64">
        <f>3.58*1.3*10.764</f>
        <v>50.095655999999998</v>
      </c>
      <c r="F797" s="64">
        <f>D797*(($F$472)+1)+E797</f>
        <v>1202.346873</v>
      </c>
      <c r="G797" s="146" t="str">
        <f>G796</f>
        <v>3rd, 5th, 7th, 9th, 11th, 13th Floor</v>
      </c>
      <c r="H797" s="147"/>
      <c r="I797" s="31"/>
      <c r="J797" s="2">
        <f t="shared" si="99"/>
        <v>222434.17150500001</v>
      </c>
      <c r="K797" s="31">
        <f t="shared" si="101"/>
        <v>115425.299808</v>
      </c>
      <c r="N797" s="2" t="str">
        <f ca="1">O797&amp;""&amp;",..,"&amp;""&amp;P797</f>
        <v>304,..,1304</v>
      </c>
      <c r="O797" s="2">
        <f t="shared" ca="1" si="102"/>
        <v>304</v>
      </c>
      <c r="P797" s="2">
        <f t="shared" ca="1" si="102"/>
        <v>1304</v>
      </c>
    </row>
    <row r="798" spans="1:16" s="2" customFormat="1" x14ac:dyDescent="0.35">
      <c r="A798" s="126" t="s">
        <v>217</v>
      </c>
      <c r="B798" s="127"/>
      <c r="C798" s="127"/>
      <c r="D798" s="127"/>
      <c r="E798" s="127"/>
      <c r="F798" s="127"/>
      <c r="G798" s="127"/>
      <c r="H798" s="128"/>
      <c r="I798" s="31"/>
      <c r="J798" s="2">
        <f t="shared" si="99"/>
        <v>0</v>
      </c>
      <c r="K798" s="31">
        <f t="shared" si="101"/>
        <v>0</v>
      </c>
    </row>
    <row r="799" spans="1:16" s="2" customFormat="1" ht="15.75" customHeight="1" x14ac:dyDescent="0.35">
      <c r="A799" s="116" t="str">
        <f ca="1">N799</f>
        <v>801 &amp; 1201</v>
      </c>
      <c r="B799" s="117"/>
      <c r="C799" s="64" t="s">
        <v>195</v>
      </c>
      <c r="D799" s="64">
        <f>(53.19+(0.6*(2.21+3.35))+2.13*0.75+1.5*3.05)*10.764</f>
        <v>674.88665399999991</v>
      </c>
      <c r="E799" s="64">
        <f t="shared" si="100"/>
        <v>42.679259999999999</v>
      </c>
      <c r="F799" s="64">
        <f>D799*(($F$472)+1)+E799</f>
        <v>1055.0092409999997</v>
      </c>
      <c r="G799" s="144" t="str">
        <f>A798</f>
        <v>8th &amp; 12th Floor (Part Refuge Area)</v>
      </c>
      <c r="H799" s="145"/>
      <c r="I799" s="31"/>
      <c r="J799" s="2">
        <f t="shared" si="99"/>
        <v>195176.70958499995</v>
      </c>
      <c r="K799" s="31">
        <f t="shared" si="101"/>
        <v>101280.88713599998</v>
      </c>
      <c r="N799" s="2" t="str">
        <f ca="1">O799&amp;""&amp;" &amp; "&amp;""&amp;P799</f>
        <v>801 &amp; 1201</v>
      </c>
      <c r="O799" s="2">
        <f ca="1">(SUMPRODUCT(MID(0&amp;(LEFT(A798,SUM(LEN(A798)-LEN(SUBSTITUTE(A798,{"0","1","2"},""))))), LARGE(INDEX(ISNUMBER(--MID((LEFT(A798,SUM(LEN(A798)-LEN(SUBSTITUTE(A798,{"0","1","2"},""))))), ROW(INDIRECT("1:"&amp;LEN((LEFT(A798,SUM(LEN(A798)-LEN(SUBSTITUTE(A798,{"0","1","2"},"")))))))), 1)) * ROW(INDIRECT("1:"&amp;LEN((LEFT(A798,SUM(LEN(A798)-LEN(SUBSTITUTE(A798,{"0","1","2"},"")))))))), 0), ROW(INDIRECT("1:"&amp;LEN((LEFT(A798,SUM(LEN(A798)-LEN(SUBSTITUTE(A798,{"0","1","2"},"")))))))))+1, 1) * 10^ROW(INDIRECT("1:"&amp;LEN((LEFT(A798,SUM(LEN(A798)-LEN(SUBSTITUTE(A798,{"0","1","2"},""))))))))/10))*100+1</f>
        <v>801</v>
      </c>
      <c r="P799" s="2">
        <f ca="1">(SUMPRODUCT(MID(0&amp;(--TRIM(RIGHT(SUBSTITUTE(LEFT(A798,_xlfn.AGGREGATE(16,6,FIND({0,1,2,3,4,5,6,7,8,9},A798,ROW(INDIRECT("1:"&amp;LEN(A798)))),1))," ",REPT(" ",LEN(A798))),LEN(A798)))), LARGE(INDEX(ISNUMBER(--MID((--TRIM(RIGHT(SUBSTITUTE(LEFT(A798,_xlfn.AGGREGATE(16,6,FIND({0,1,2,3,4,5,6,7,8,9},A798,ROW(INDIRECT("1:"&amp;LEN(A798)))),1))," ",REPT(" ",LEN(A798))),LEN(A798)))), ROW(INDIRECT("1:"&amp;LEN((--TRIM(RIGHT(SUBSTITUTE(LEFT(A798,_xlfn.AGGREGATE(16,6,FIND({0,1,2,3,4,5,6,7,8,9},A798,ROW(INDIRECT("1:"&amp;LEN(A798)))),1))," ",REPT(" ",LEN(A798))),LEN(A798))))))), 1)) * ROW(INDIRECT("1:"&amp;LEN((--TRIM(RIGHT(SUBSTITUTE(LEFT(A798,_xlfn.AGGREGATE(16,6,FIND({0,1,2,3,4,5,6,7,8,9},A798,ROW(INDIRECT("1:"&amp;LEN(A798)))),1))," ",REPT(" ",LEN(A798))),LEN(A798))))))), 0), ROW(INDIRECT("1:"&amp;LEN((--TRIM(RIGHT(SUBSTITUTE(LEFT(A798,_xlfn.AGGREGATE(16,6,FIND({0,1,2,3,4,5,6,7,8,9},A798,ROW(INDIRECT("1:"&amp;LEN(A798)))),1))," ",REPT(" ",LEN(A798))),LEN(A798))))))))+1, 1) * 10^ROW(INDIRECT("1:"&amp;LEN((--TRIM(RIGHT(SUBSTITUTE(LEFT(A798,_xlfn.AGGREGATE(16,6,FIND({0,1,2,3,4,5,6,7,8,9},A798,ROW(INDIRECT("1:"&amp;LEN(A798)))),1))," ",REPT(" ",LEN(A798))),LEN(A798)))))))/10))*100+1</f>
        <v>1201</v>
      </c>
    </row>
    <row r="800" spans="1:16" s="2" customFormat="1" ht="15.75" customHeight="1" x14ac:dyDescent="0.35">
      <c r="A800" s="116" t="str">
        <f ca="1">N800</f>
        <v>802 &amp; 1202</v>
      </c>
      <c r="B800" s="117"/>
      <c r="C800" s="64" t="s">
        <v>197</v>
      </c>
      <c r="D800" s="64">
        <f>(34.81+0.6*2.75+0.75*2.15)*10.764</f>
        <v>409.81238999999994</v>
      </c>
      <c r="E800" s="64">
        <f t="shared" si="100"/>
        <v>42.679259999999999</v>
      </c>
      <c r="F800" s="64">
        <f>D800*(($F$472)+1)+E800</f>
        <v>657.39784499999985</v>
      </c>
      <c r="G800" s="146" t="str">
        <f>G799</f>
        <v>8th &amp; 12th Floor (Part Refuge Area)</v>
      </c>
      <c r="H800" s="147"/>
      <c r="I800" s="31"/>
      <c r="J800" s="2">
        <f t="shared" si="99"/>
        <v>121618.60132499997</v>
      </c>
      <c r="K800" s="31">
        <f t="shared" si="101"/>
        <v>63110.193119999982</v>
      </c>
      <c r="N800" s="2" t="str">
        <f ca="1">O800&amp;""&amp;" &amp; "&amp;""&amp;P800</f>
        <v>802 &amp; 1202</v>
      </c>
      <c r="O800" s="2">
        <f ca="1">O799+1</f>
        <v>802</v>
      </c>
      <c r="P800" s="2">
        <f ca="1">P799+1</f>
        <v>1202</v>
      </c>
    </row>
    <row r="801" spans="1:16" s="2" customFormat="1" ht="15.75" customHeight="1" x14ac:dyDescent="0.35">
      <c r="A801" s="116" t="str">
        <f ca="1">N801</f>
        <v>803 &amp; 1203</v>
      </c>
      <c r="B801" s="117"/>
      <c r="C801" s="64" t="s">
        <v>195</v>
      </c>
      <c r="D801" s="64">
        <f>(53.5+(0.6*(2.21+3.35))+2.13*0.75+1.5*3.05)*10.764</f>
        <v>678.22349399999996</v>
      </c>
      <c r="E801" s="64">
        <f t="shared" si="100"/>
        <v>42.679259999999999</v>
      </c>
      <c r="F801" s="64">
        <f>D801*(($F$472)+1)+E801</f>
        <v>1060.0145010000001</v>
      </c>
      <c r="G801" s="146" t="str">
        <f>G800</f>
        <v>8th &amp; 12th Floor (Part Refuge Area)</v>
      </c>
      <c r="H801" s="147"/>
      <c r="I801" s="31"/>
      <c r="J801" s="2">
        <f t="shared" si="99"/>
        <v>196102.68268500001</v>
      </c>
      <c r="K801" s="31">
        <f t="shared" si="101"/>
        <v>101761.39209600001</v>
      </c>
      <c r="N801" s="2" t="str">
        <f ca="1">O801&amp;""&amp;" &amp; "&amp;""&amp;P801</f>
        <v>803 &amp; 1203</v>
      </c>
      <c r="O801" s="2">
        <f ca="1">O800+1</f>
        <v>803</v>
      </c>
      <c r="P801" s="2">
        <f ca="1">P800+1</f>
        <v>1203</v>
      </c>
    </row>
    <row r="802" spans="1:16" s="1" customFormat="1" x14ac:dyDescent="0.35">
      <c r="A802" s="134" t="s">
        <v>262</v>
      </c>
      <c r="B802" s="134"/>
      <c r="C802" s="134"/>
      <c r="D802" s="134"/>
      <c r="E802" s="134"/>
      <c r="F802" s="134"/>
      <c r="G802" s="134"/>
      <c r="H802" s="134"/>
      <c r="J802" s="2">
        <f t="shared" si="99"/>
        <v>0</v>
      </c>
      <c r="K802" s="31">
        <f t="shared" si="101"/>
        <v>0</v>
      </c>
    </row>
    <row r="803" spans="1:16" s="2" customFormat="1" x14ac:dyDescent="0.35">
      <c r="A803" s="126" t="s">
        <v>192</v>
      </c>
      <c r="B803" s="127"/>
      <c r="C803" s="127"/>
      <c r="D803" s="127"/>
      <c r="E803" s="127"/>
      <c r="F803" s="127"/>
      <c r="G803" s="127"/>
      <c r="H803" s="128"/>
      <c r="I803" s="31"/>
      <c r="J803" s="2">
        <f t="shared" si="99"/>
        <v>0</v>
      </c>
      <c r="K803" s="31">
        <f t="shared" si="101"/>
        <v>0</v>
      </c>
      <c r="L803" s="115"/>
      <c r="M803" s="115"/>
    </row>
    <row r="804" spans="1:16" s="2" customFormat="1" x14ac:dyDescent="0.35">
      <c r="A804" s="116">
        <f>LEFT(A803,SUM(LEN(A803)-LEN(SUBSTITUTE(A803,{"0","1","2","3","4","5","6","7","8","9"},""))))*100+1</f>
        <v>101</v>
      </c>
      <c r="B804" s="117"/>
      <c r="C804" s="64" t="s">
        <v>195</v>
      </c>
      <c r="D804" s="64">
        <f>(51.12+(0.6*(1.98+3.05))+2.13*0.75+1.5*3.05)*10.764</f>
        <v>649.18222199999991</v>
      </c>
      <c r="E804" s="64">
        <f>3.05*1.3*10.764</f>
        <v>42.679259999999999</v>
      </c>
      <c r="F804" s="64">
        <f>D804*(($F$472)+1)+E804</f>
        <v>1016.4525929999999</v>
      </c>
      <c r="G804" s="116" t="str">
        <f>A803</f>
        <v>1st Floor</v>
      </c>
      <c r="H804" s="117"/>
      <c r="I804" s="31"/>
      <c r="J804" s="2">
        <f t="shared" si="99"/>
        <v>188043.72970499998</v>
      </c>
      <c r="K804" s="31">
        <f t="shared" si="101"/>
        <v>97579.448927999983</v>
      </c>
      <c r="N804" s="31"/>
    </row>
    <row r="805" spans="1:16" s="2" customFormat="1" x14ac:dyDescent="0.35">
      <c r="A805" s="116">
        <f>A804+1</f>
        <v>102</v>
      </c>
      <c r="B805" s="117"/>
      <c r="C805" s="64" t="s">
        <v>195</v>
      </c>
      <c r="D805" s="64">
        <f>(51.12+(0.6*(1.98+3.05))+2.13*0.75+1.5*3.05)*10.764</f>
        <v>649.18222199999991</v>
      </c>
      <c r="E805" s="64">
        <f>3.05*1.3*10.764</f>
        <v>42.679259999999999</v>
      </c>
      <c r="F805" s="64">
        <f>D805*(($F$472)+1)+E805</f>
        <v>1016.4525929999999</v>
      </c>
      <c r="G805" s="116" t="str">
        <f>G804</f>
        <v>1st Floor</v>
      </c>
      <c r="H805" s="117"/>
      <c r="I805" s="36">
        <f>3.05*3.89+2.14*2.7+2.45*1.75+3.05*2.76+2.14*1.21+1.22*2.23+3.6*1+1.81*0.63+1.2*3.05</f>
        <v>44.058299999999996</v>
      </c>
      <c r="J805" s="2">
        <f t="shared" si="99"/>
        <v>188043.72970499998</v>
      </c>
      <c r="K805" s="31">
        <f t="shared" si="101"/>
        <v>97579.448927999983</v>
      </c>
      <c r="N805" s="31"/>
    </row>
    <row r="806" spans="1:16" s="2" customFormat="1" x14ac:dyDescent="0.35">
      <c r="A806" s="116">
        <f>A805+1</f>
        <v>103</v>
      </c>
      <c r="B806" s="117"/>
      <c r="C806" s="64" t="s">
        <v>195</v>
      </c>
      <c r="D806" s="64">
        <f>55.04*10.764</f>
        <v>592.45056</v>
      </c>
      <c r="E806" s="64">
        <f>18.96*10.764</f>
        <v>204.08544000000001</v>
      </c>
      <c r="F806" s="64">
        <f>D806*(($F$472)+1)+E806</f>
        <v>1092.7612799999999</v>
      </c>
      <c r="G806" s="116" t="str">
        <f>G805</f>
        <v>1st Floor</v>
      </c>
      <c r="H806" s="117"/>
      <c r="I806" s="31">
        <f>3.05*3.86+2.14*1.21+1.22*2.23+2.76*3.05+2.45*2.7+2.14*2.7+3.8*1+1.81*0.63+3.56</f>
        <v>46.394300000000001</v>
      </c>
      <c r="J806" s="2">
        <f t="shared" si="99"/>
        <v>202160.83679999999</v>
      </c>
      <c r="K806" s="31">
        <f t="shared" si="101"/>
        <v>104905.08288</v>
      </c>
      <c r="N806" s="31"/>
    </row>
    <row r="807" spans="1:16" s="2" customFormat="1" x14ac:dyDescent="0.35">
      <c r="A807" s="116">
        <f>A806+1</f>
        <v>104</v>
      </c>
      <c r="B807" s="117"/>
      <c r="C807" s="64" t="s">
        <v>195</v>
      </c>
      <c r="D807" s="64">
        <f>55.04*10.764</f>
        <v>592.45056</v>
      </c>
      <c r="E807" s="64">
        <f>18.96*10.764</f>
        <v>204.08544000000001</v>
      </c>
      <c r="F807" s="64">
        <f>D807*(($F$472)+1)+E807</f>
        <v>1092.7612799999999</v>
      </c>
      <c r="G807" s="116" t="str">
        <f>G806</f>
        <v>1st Floor</v>
      </c>
      <c r="H807" s="117"/>
      <c r="I807" s="31">
        <f>4.4*1.98+2.3*3.05+1.7*2.2</f>
        <v>19.466999999999999</v>
      </c>
      <c r="J807" s="2">
        <f t="shared" si="99"/>
        <v>202160.83679999999</v>
      </c>
      <c r="K807" s="31">
        <f t="shared" si="101"/>
        <v>104905.08288</v>
      </c>
      <c r="N807" s="31"/>
    </row>
    <row r="808" spans="1:16" s="2" customFormat="1" ht="15.75" customHeight="1" x14ac:dyDescent="0.35">
      <c r="A808" s="126" t="s">
        <v>194</v>
      </c>
      <c r="B808" s="127"/>
      <c r="C808" s="127"/>
      <c r="D808" s="127"/>
      <c r="E808" s="127"/>
      <c r="F808" s="127"/>
      <c r="G808" s="127"/>
      <c r="H808" s="128"/>
      <c r="I808" s="31"/>
      <c r="J808" s="2">
        <f t="shared" si="99"/>
        <v>0</v>
      </c>
      <c r="K808" s="31">
        <f t="shared" si="101"/>
        <v>0</v>
      </c>
    </row>
    <row r="809" spans="1:16" s="2" customFormat="1" ht="15.75" customHeight="1" x14ac:dyDescent="0.35">
      <c r="A809" s="116" t="str">
        <f ca="1">N809</f>
        <v>201,..,1001</v>
      </c>
      <c r="B809" s="117"/>
      <c r="C809" s="64" t="s">
        <v>195</v>
      </c>
      <c r="D809" s="64">
        <f>(51.12+(0.6*(1.98+3.05))+2.13*0.75+1.5*3.05)*10.764</f>
        <v>649.18222199999991</v>
      </c>
      <c r="E809" s="64">
        <f>3.05*1.3*10.764</f>
        <v>42.679259999999999</v>
      </c>
      <c r="F809" s="64">
        <f>D809*(($F$472)+1)+E809</f>
        <v>1016.4525929999999</v>
      </c>
      <c r="G809" s="144" t="str">
        <f>A808</f>
        <v>2nd, 4th, 6th, 10th Floor</v>
      </c>
      <c r="H809" s="145"/>
      <c r="I809" s="31"/>
      <c r="J809" s="2">
        <f t="shared" si="99"/>
        <v>188043.72970499998</v>
      </c>
      <c r="K809" s="31">
        <f t="shared" si="101"/>
        <v>97579.448927999983</v>
      </c>
      <c r="N809" s="2" t="str">
        <f ca="1">O809&amp;""&amp;",..,"&amp;""&amp;P809</f>
        <v>201,..,1001</v>
      </c>
      <c r="O809" s="2">
        <f ca="1">(SUMPRODUCT(MID(0&amp;(LEFT(A808,SUM(LEN(A808)-LEN(SUBSTITUTE(A808,{"0","1","2"},""))))), LARGE(INDEX(ISNUMBER(--MID((LEFT(A808,SUM(LEN(A808)-LEN(SUBSTITUTE(A808,{"0","1","2"},""))))), ROW(INDIRECT("1:"&amp;LEN((LEFT(A808,SUM(LEN(A808)-LEN(SUBSTITUTE(A808,{"0","1","2"},"")))))))), 1)) * ROW(INDIRECT("1:"&amp;LEN((LEFT(A808,SUM(LEN(A808)-LEN(SUBSTITUTE(A808,{"0","1","2"},"")))))))), 0), ROW(INDIRECT("1:"&amp;LEN((LEFT(A808,SUM(LEN(A808)-LEN(SUBSTITUTE(A808,{"0","1","2"},"")))))))))+1, 1) * 10^ROW(INDIRECT("1:"&amp;LEN((LEFT(A808,SUM(LEN(A808)-LEN(SUBSTITUTE(A808,{"0","1","2"},""))))))))/10))*100+1</f>
        <v>201</v>
      </c>
      <c r="P809" s="2">
        <f ca="1">(SUMPRODUCT(MID(0&amp;(--TRIM(RIGHT(SUBSTITUTE(LEFT(A808,_xlfn.AGGREGATE(16,6,FIND({0,1,2,3,4,5,6,7,8,9},A808,ROW(INDIRECT("1:"&amp;LEN(A808)))),1))," ",REPT(" ",LEN(A808))),LEN(A808)))), LARGE(INDEX(ISNUMBER(--MID((--TRIM(RIGHT(SUBSTITUTE(LEFT(A808,_xlfn.AGGREGATE(16,6,FIND({0,1,2,3,4,5,6,7,8,9},A808,ROW(INDIRECT("1:"&amp;LEN(A808)))),1))," ",REPT(" ",LEN(A808))),LEN(A808)))), ROW(INDIRECT("1:"&amp;LEN((--TRIM(RIGHT(SUBSTITUTE(LEFT(A808,_xlfn.AGGREGATE(16,6,FIND({0,1,2,3,4,5,6,7,8,9},A808,ROW(INDIRECT("1:"&amp;LEN(A808)))),1))," ",REPT(" ",LEN(A808))),LEN(A808))))))), 1)) * ROW(INDIRECT("1:"&amp;LEN((--TRIM(RIGHT(SUBSTITUTE(LEFT(A808,_xlfn.AGGREGATE(16,6,FIND({0,1,2,3,4,5,6,7,8,9},A808,ROW(INDIRECT("1:"&amp;LEN(A808)))),1))," ",REPT(" ",LEN(A808))),LEN(A808))))))), 0), ROW(INDIRECT("1:"&amp;LEN((--TRIM(RIGHT(SUBSTITUTE(LEFT(A808,_xlfn.AGGREGATE(16,6,FIND({0,1,2,3,4,5,6,7,8,9},A808,ROW(INDIRECT("1:"&amp;LEN(A808)))),1))," ",REPT(" ",LEN(A808))),LEN(A808))))))))+1, 1) * 10^ROW(INDIRECT("1:"&amp;LEN((--TRIM(RIGHT(SUBSTITUTE(LEFT(A808,_xlfn.AGGREGATE(16,6,FIND({0,1,2,3,4,5,6,7,8,9},A808,ROW(INDIRECT("1:"&amp;LEN(A808)))),1))," ",REPT(" ",LEN(A808))),LEN(A808)))))))/10))*100+1</f>
        <v>1001</v>
      </c>
    </row>
    <row r="810" spans="1:16" s="2" customFormat="1" ht="15.75" customHeight="1" x14ac:dyDescent="0.35">
      <c r="A810" s="116" t="str">
        <f ca="1">N810</f>
        <v>202,..,1002</v>
      </c>
      <c r="B810" s="117"/>
      <c r="C810" s="64" t="s">
        <v>195</v>
      </c>
      <c r="D810" s="64">
        <f>(51.12+(0.6*(1.98+3.05))+2.13*0.75+1.5*3.05)*10.764</f>
        <v>649.18222199999991</v>
      </c>
      <c r="E810" s="64">
        <f>3.05*1.3*10.764</f>
        <v>42.679259999999999</v>
      </c>
      <c r="F810" s="64">
        <f>D810*(($F$472)+1)+E810</f>
        <v>1016.4525929999999</v>
      </c>
      <c r="G810" s="146" t="str">
        <f>G809</f>
        <v>2nd, 4th, 6th, 10th Floor</v>
      </c>
      <c r="H810" s="147"/>
      <c r="I810" s="31"/>
      <c r="J810" s="2">
        <f t="shared" si="99"/>
        <v>188043.72970499998</v>
      </c>
      <c r="K810" s="31">
        <f t="shared" si="101"/>
        <v>97579.448927999983</v>
      </c>
      <c r="N810" s="2" t="str">
        <f ca="1">O810&amp;""&amp;",..,"&amp;""&amp;P810</f>
        <v>202,..,1002</v>
      </c>
      <c r="O810" s="2">
        <f t="shared" ref="O810:P812" ca="1" si="103">O809+1</f>
        <v>202</v>
      </c>
      <c r="P810" s="2">
        <f t="shared" ca="1" si="103"/>
        <v>1002</v>
      </c>
    </row>
    <row r="811" spans="1:16" s="2" customFormat="1" ht="15.75" customHeight="1" x14ac:dyDescent="0.35">
      <c r="A811" s="116" t="str">
        <f ca="1">N811</f>
        <v>203,..,1003</v>
      </c>
      <c r="B811" s="117"/>
      <c r="C811" s="64" t="s">
        <v>195</v>
      </c>
      <c r="D811" s="64">
        <f>(55.22+(0.6*(1.98+3.05))+2.13*0.75+1.5*3.05)*10.764</f>
        <v>693.31462199999999</v>
      </c>
      <c r="E811" s="64">
        <f>3.05*1.3*10.764</f>
        <v>42.679259999999999</v>
      </c>
      <c r="F811" s="64">
        <f>D811*(($F$472)+1)+E811</f>
        <v>1082.6511930000001</v>
      </c>
      <c r="G811" s="146" t="str">
        <f>G810</f>
        <v>2nd, 4th, 6th, 10th Floor</v>
      </c>
      <c r="H811" s="147"/>
      <c r="I811" s="31"/>
      <c r="J811" s="2">
        <f t="shared" si="99"/>
        <v>200290.47070500001</v>
      </c>
      <c r="K811" s="31">
        <f t="shared" si="101"/>
        <v>103934.51452800001</v>
      </c>
      <c r="N811" s="2" t="str">
        <f ca="1">O811&amp;""&amp;",..,"&amp;""&amp;P811</f>
        <v>203,..,1003</v>
      </c>
      <c r="O811" s="2">
        <f t="shared" ca="1" si="103"/>
        <v>203</v>
      </c>
      <c r="P811" s="2">
        <f t="shared" ca="1" si="103"/>
        <v>1003</v>
      </c>
    </row>
    <row r="812" spans="1:16" s="2" customFormat="1" ht="15.75" customHeight="1" x14ac:dyDescent="0.35">
      <c r="A812" s="116" t="str">
        <f ca="1">N812</f>
        <v>204,..,1004</v>
      </c>
      <c r="B812" s="117"/>
      <c r="C812" s="64" t="s">
        <v>195</v>
      </c>
      <c r="D812" s="64">
        <f>(55.22+(0.6*(1.98+3.05))+2.13*0.75+1.5*3.05)*10.764</f>
        <v>693.31462199999999</v>
      </c>
      <c r="E812" s="64">
        <f>3.05*1.3*10.764</f>
        <v>42.679259999999999</v>
      </c>
      <c r="F812" s="64">
        <f>D812*(($F$472)+1)+E812</f>
        <v>1082.6511930000001</v>
      </c>
      <c r="G812" s="146" t="str">
        <f>G811</f>
        <v>2nd, 4th, 6th, 10th Floor</v>
      </c>
      <c r="H812" s="147"/>
      <c r="I812" s="31"/>
      <c r="J812" s="2">
        <f t="shared" si="99"/>
        <v>200290.47070500001</v>
      </c>
      <c r="K812" s="31">
        <f t="shared" si="101"/>
        <v>103934.51452800001</v>
      </c>
      <c r="N812" s="2" t="str">
        <f ca="1">O812&amp;""&amp;",..,"&amp;""&amp;P812</f>
        <v>204,..,1004</v>
      </c>
      <c r="O812" s="2">
        <f t="shared" ca="1" si="103"/>
        <v>204</v>
      </c>
      <c r="P812" s="2">
        <f t="shared" ca="1" si="103"/>
        <v>1004</v>
      </c>
    </row>
    <row r="813" spans="1:16" s="2" customFormat="1" ht="15.75" customHeight="1" x14ac:dyDescent="0.35">
      <c r="A813" s="119" t="s">
        <v>193</v>
      </c>
      <c r="B813" s="119"/>
      <c r="C813" s="119"/>
      <c r="D813" s="119"/>
      <c r="E813" s="119"/>
      <c r="F813" s="119"/>
      <c r="G813" s="119"/>
      <c r="H813" s="119"/>
      <c r="I813" s="31"/>
      <c r="J813" s="2">
        <f t="shared" si="99"/>
        <v>0</v>
      </c>
      <c r="K813" s="31">
        <f t="shared" si="101"/>
        <v>0</v>
      </c>
    </row>
    <row r="814" spans="1:16" s="2" customFormat="1" ht="15.75" customHeight="1" x14ac:dyDescent="0.35">
      <c r="A814" s="118" t="str">
        <f ca="1">N814</f>
        <v>301,..,1301</v>
      </c>
      <c r="B814" s="118"/>
      <c r="C814" s="82" t="s">
        <v>195</v>
      </c>
      <c r="D814" s="82">
        <f>(51.12+(0.6*(1.98+3.05))+2.13*0.75+1.5*3.05)*10.764</f>
        <v>649.18222199999991</v>
      </c>
      <c r="E814" s="82">
        <f>3.05*1.3*10.764</f>
        <v>42.679259999999999</v>
      </c>
      <c r="F814" s="82">
        <f>D814*(($F$472)+1)+E814</f>
        <v>1016.4525929999999</v>
      </c>
      <c r="G814" s="118" t="str">
        <f>A813</f>
        <v>3rd, 5th, 7th, 9th, 11th, 13th Floor</v>
      </c>
      <c r="H814" s="118"/>
      <c r="I814" s="31"/>
      <c r="J814" s="2">
        <f t="shared" si="99"/>
        <v>188043.72970499998</v>
      </c>
      <c r="K814" s="31">
        <f t="shared" si="101"/>
        <v>97579.448927999983</v>
      </c>
      <c r="N814" s="2" t="str">
        <f ca="1">O814&amp;""&amp;",..,"&amp;""&amp;P814</f>
        <v>301,..,1301</v>
      </c>
      <c r="O814" s="2">
        <f ca="1">(SUMPRODUCT(MID(0&amp;(LEFT(A813,SUM(LEN(A813)-LEN(SUBSTITUTE(A813,{"0","1","2"},""))))), LARGE(INDEX(ISNUMBER(--MID((LEFT(A813,SUM(LEN(A813)-LEN(SUBSTITUTE(A813,{"0","1","2"},""))))), ROW(INDIRECT("1:"&amp;LEN((LEFT(A813,SUM(LEN(A813)-LEN(SUBSTITUTE(A813,{"0","1","2"},"")))))))), 1)) * ROW(INDIRECT("1:"&amp;LEN((LEFT(A813,SUM(LEN(A813)-LEN(SUBSTITUTE(A813,{"0","1","2"},"")))))))), 0), ROW(INDIRECT("1:"&amp;LEN((LEFT(A813,SUM(LEN(A813)-LEN(SUBSTITUTE(A813,{"0","1","2"},"")))))))))+1, 1) * 10^ROW(INDIRECT("1:"&amp;LEN((LEFT(A813,SUM(LEN(A813)-LEN(SUBSTITUTE(A813,{"0","1","2"},""))))))))/10))*100+1</f>
        <v>301</v>
      </c>
      <c r="P814" s="2">
        <f ca="1">(SUMPRODUCT(MID(0&amp;(--TRIM(RIGHT(SUBSTITUTE(LEFT(A813,_xlfn.AGGREGATE(16,6,FIND({0,1,2,3,4,5,6,7,8,9},A813,ROW(INDIRECT("1:"&amp;LEN(A813)))),1))," ",REPT(" ",LEN(A813))),LEN(A813)))), LARGE(INDEX(ISNUMBER(--MID((--TRIM(RIGHT(SUBSTITUTE(LEFT(A813,_xlfn.AGGREGATE(16,6,FIND({0,1,2,3,4,5,6,7,8,9},A813,ROW(INDIRECT("1:"&amp;LEN(A813)))),1))," ",REPT(" ",LEN(A813))),LEN(A813)))), ROW(INDIRECT("1:"&amp;LEN((--TRIM(RIGHT(SUBSTITUTE(LEFT(A813,_xlfn.AGGREGATE(16,6,FIND({0,1,2,3,4,5,6,7,8,9},A813,ROW(INDIRECT("1:"&amp;LEN(A813)))),1))," ",REPT(" ",LEN(A813))),LEN(A813))))))), 1)) * ROW(INDIRECT("1:"&amp;LEN((--TRIM(RIGHT(SUBSTITUTE(LEFT(A813,_xlfn.AGGREGATE(16,6,FIND({0,1,2,3,4,5,6,7,8,9},A813,ROW(INDIRECT("1:"&amp;LEN(A813)))),1))," ",REPT(" ",LEN(A813))),LEN(A813))))))), 0), ROW(INDIRECT("1:"&amp;LEN((--TRIM(RIGHT(SUBSTITUTE(LEFT(A813,_xlfn.AGGREGATE(16,6,FIND({0,1,2,3,4,5,6,7,8,9},A813,ROW(INDIRECT("1:"&amp;LEN(A813)))),1))," ",REPT(" ",LEN(A813))),LEN(A813))))))))+1, 1) * 10^ROW(INDIRECT("1:"&amp;LEN((--TRIM(RIGHT(SUBSTITUTE(LEFT(A813,_xlfn.AGGREGATE(16,6,FIND({0,1,2,3,4,5,6,7,8,9},A813,ROW(INDIRECT("1:"&amp;LEN(A813)))),1))," ",REPT(" ",LEN(A813))),LEN(A813)))))))/10))*100+1</f>
        <v>1301</v>
      </c>
    </row>
    <row r="815" spans="1:16" s="2" customFormat="1" ht="15.75" customHeight="1" x14ac:dyDescent="0.35">
      <c r="A815" s="118" t="str">
        <f ca="1">N815</f>
        <v>302,..,1302</v>
      </c>
      <c r="B815" s="118"/>
      <c r="C815" s="82" t="s">
        <v>195</v>
      </c>
      <c r="D815" s="82">
        <f>(51.12+(0.6*(1.98+3.05))+2.13*0.75+1.5*3.05)*10.764</f>
        <v>649.18222199999991</v>
      </c>
      <c r="E815" s="82">
        <f>3.05*1.3*10.764</f>
        <v>42.679259999999999</v>
      </c>
      <c r="F815" s="82">
        <f>D815*(($F$472)+1)+E815</f>
        <v>1016.4525929999999</v>
      </c>
      <c r="G815" s="118" t="str">
        <f>G814</f>
        <v>3rd, 5th, 7th, 9th, 11th, 13th Floor</v>
      </c>
      <c r="H815" s="118"/>
      <c r="I815" s="31"/>
      <c r="J815" s="2">
        <f t="shared" si="99"/>
        <v>188043.72970499998</v>
      </c>
      <c r="K815" s="31">
        <f t="shared" si="101"/>
        <v>97579.448927999983</v>
      </c>
      <c r="N815" s="2" t="str">
        <f ca="1">O815&amp;""&amp;",..,"&amp;""&amp;P815</f>
        <v>302,..,1302</v>
      </c>
      <c r="O815" s="2">
        <f t="shared" ref="O815:P817" ca="1" si="104">O814+1</f>
        <v>302</v>
      </c>
      <c r="P815" s="2">
        <f t="shared" ca="1" si="104"/>
        <v>1302</v>
      </c>
    </row>
    <row r="816" spans="1:16" s="2" customFormat="1" ht="15.75" customHeight="1" x14ac:dyDescent="0.35">
      <c r="A816" s="118" t="str">
        <f ca="1">N816</f>
        <v>303,..,1303</v>
      </c>
      <c r="B816" s="118"/>
      <c r="C816" s="82" t="s">
        <v>195</v>
      </c>
      <c r="D816" s="82">
        <f>(55.04+(0.6*(1.98+3.05))+2.13*0.75+1.5*3.05)*10.764</f>
        <v>691.37710199999992</v>
      </c>
      <c r="E816" s="82">
        <f>3.05*1.3*10.764</f>
        <v>42.679259999999999</v>
      </c>
      <c r="F816" s="82">
        <f>D816*(($F$472)+1)+E816</f>
        <v>1079.744913</v>
      </c>
      <c r="G816" s="118" t="str">
        <f>G815</f>
        <v>3rd, 5th, 7th, 9th, 11th, 13th Floor</v>
      </c>
      <c r="H816" s="118"/>
      <c r="I816" s="31"/>
      <c r="J816" s="2">
        <f t="shared" si="99"/>
        <v>199752.80890500001</v>
      </c>
      <c r="K816" s="31">
        <f t="shared" si="101"/>
        <v>103655.511648</v>
      </c>
      <c r="N816" s="2" t="str">
        <f ca="1">O816&amp;""&amp;",..,"&amp;""&amp;P816</f>
        <v>303,..,1303</v>
      </c>
      <c r="O816" s="2">
        <f t="shared" ca="1" si="104"/>
        <v>303</v>
      </c>
      <c r="P816" s="2">
        <f t="shared" ca="1" si="104"/>
        <v>1303</v>
      </c>
    </row>
    <row r="817" spans="1:16" s="2" customFormat="1" ht="15.75" customHeight="1" x14ac:dyDescent="0.35">
      <c r="A817" s="118" t="str">
        <f ca="1">N817</f>
        <v>304,..,1304</v>
      </c>
      <c r="B817" s="118"/>
      <c r="C817" s="82" t="s">
        <v>195</v>
      </c>
      <c r="D817" s="82">
        <f>(55.04+(0.6*(1.98+3.05))+2.13*0.75+1.5*3.05)*10.764</f>
        <v>691.37710199999992</v>
      </c>
      <c r="E817" s="82">
        <f>3.05*1.3*10.764</f>
        <v>42.679259999999999</v>
      </c>
      <c r="F817" s="82">
        <f>D817*(($F$472)+1)+E817</f>
        <v>1079.744913</v>
      </c>
      <c r="G817" s="118" t="str">
        <f>G816</f>
        <v>3rd, 5th, 7th, 9th, 11th, 13th Floor</v>
      </c>
      <c r="H817" s="118"/>
      <c r="I817" s="31"/>
      <c r="J817" s="2">
        <f t="shared" si="99"/>
        <v>199752.80890500001</v>
      </c>
      <c r="K817" s="31">
        <f t="shared" si="101"/>
        <v>103655.511648</v>
      </c>
      <c r="N817" s="2" t="str">
        <f ca="1">O817&amp;""&amp;",..,"&amp;""&amp;P817</f>
        <v>304,..,1304</v>
      </c>
      <c r="O817" s="2">
        <f t="shared" ca="1" si="104"/>
        <v>304</v>
      </c>
      <c r="P817" s="2">
        <f t="shared" ca="1" si="104"/>
        <v>1304</v>
      </c>
    </row>
    <row r="818" spans="1:16" s="2" customFormat="1" ht="15.75" customHeight="1" x14ac:dyDescent="0.35">
      <c r="A818" s="119" t="s">
        <v>217</v>
      </c>
      <c r="B818" s="119"/>
      <c r="C818" s="119"/>
      <c r="D818" s="119"/>
      <c r="E818" s="119"/>
      <c r="F818" s="119"/>
      <c r="G818" s="119"/>
      <c r="H818" s="119"/>
      <c r="I818" s="31"/>
      <c r="J818" s="2">
        <f t="shared" si="99"/>
        <v>0</v>
      </c>
      <c r="K818" s="31">
        <f t="shared" si="101"/>
        <v>0</v>
      </c>
    </row>
    <row r="819" spans="1:16" s="2" customFormat="1" ht="15.75" customHeight="1" x14ac:dyDescent="0.35">
      <c r="A819" s="116" t="str">
        <f ca="1">N819</f>
        <v>801 &amp; 1201</v>
      </c>
      <c r="B819" s="117"/>
      <c r="C819" s="64" t="s">
        <v>195</v>
      </c>
      <c r="D819" s="64">
        <f>(51.12+(0.6*(1.98+3.05))+2.13*0.75+1.5*3.05)*10.764</f>
        <v>649.18222199999991</v>
      </c>
      <c r="E819" s="64">
        <f>3.05*1.3*10.764</f>
        <v>42.679259999999999</v>
      </c>
      <c r="F819" s="64">
        <f>D819*(($F$472)+1)+E819</f>
        <v>1016.4525929999999</v>
      </c>
      <c r="G819" s="144" t="str">
        <f>A818</f>
        <v>8th &amp; 12th Floor (Part Refuge Area)</v>
      </c>
      <c r="H819" s="145"/>
      <c r="I819" s="31"/>
      <c r="J819" s="2">
        <f t="shared" si="99"/>
        <v>188043.72970499998</v>
      </c>
      <c r="K819" s="31">
        <f t="shared" si="101"/>
        <v>97579.448927999983</v>
      </c>
      <c r="N819" s="2" t="str">
        <f ca="1">O819&amp;""&amp;" &amp; "&amp;""&amp;P819</f>
        <v>801 &amp; 1201</v>
      </c>
      <c r="O819" s="2">
        <f ca="1">(SUMPRODUCT(MID(0&amp;(LEFT(A818,SUM(LEN(A818)-LEN(SUBSTITUTE(A818,{"0","1","2"},""))))), LARGE(INDEX(ISNUMBER(--MID((LEFT(A818,SUM(LEN(A818)-LEN(SUBSTITUTE(A818,{"0","1","2"},""))))), ROW(INDIRECT("1:"&amp;LEN((LEFT(A818,SUM(LEN(A818)-LEN(SUBSTITUTE(A818,{"0","1","2"},"")))))))), 1)) * ROW(INDIRECT("1:"&amp;LEN((LEFT(A818,SUM(LEN(A818)-LEN(SUBSTITUTE(A818,{"0","1","2"},"")))))))), 0), ROW(INDIRECT("1:"&amp;LEN((LEFT(A818,SUM(LEN(A818)-LEN(SUBSTITUTE(A818,{"0","1","2"},"")))))))))+1, 1) * 10^ROW(INDIRECT("1:"&amp;LEN((LEFT(A818,SUM(LEN(A818)-LEN(SUBSTITUTE(A818,{"0","1","2"},""))))))))/10))*100+1</f>
        <v>801</v>
      </c>
      <c r="P819" s="2">
        <f ca="1">(SUMPRODUCT(MID(0&amp;(--TRIM(RIGHT(SUBSTITUTE(LEFT(A818,_xlfn.AGGREGATE(16,6,FIND({0,1,2,3,4,5,6,7,8,9},A818,ROW(INDIRECT("1:"&amp;LEN(A818)))),1))," ",REPT(" ",LEN(A818))),LEN(A818)))), LARGE(INDEX(ISNUMBER(--MID((--TRIM(RIGHT(SUBSTITUTE(LEFT(A818,_xlfn.AGGREGATE(16,6,FIND({0,1,2,3,4,5,6,7,8,9},A818,ROW(INDIRECT("1:"&amp;LEN(A818)))),1))," ",REPT(" ",LEN(A818))),LEN(A818)))), ROW(INDIRECT("1:"&amp;LEN((--TRIM(RIGHT(SUBSTITUTE(LEFT(A818,_xlfn.AGGREGATE(16,6,FIND({0,1,2,3,4,5,6,7,8,9},A818,ROW(INDIRECT("1:"&amp;LEN(A818)))),1))," ",REPT(" ",LEN(A818))),LEN(A818))))))), 1)) * ROW(INDIRECT("1:"&amp;LEN((--TRIM(RIGHT(SUBSTITUTE(LEFT(A818,_xlfn.AGGREGATE(16,6,FIND({0,1,2,3,4,5,6,7,8,9},A818,ROW(INDIRECT("1:"&amp;LEN(A818)))),1))," ",REPT(" ",LEN(A818))),LEN(A818))))))), 0), ROW(INDIRECT("1:"&amp;LEN((--TRIM(RIGHT(SUBSTITUTE(LEFT(A818,_xlfn.AGGREGATE(16,6,FIND({0,1,2,3,4,5,6,7,8,9},A818,ROW(INDIRECT("1:"&amp;LEN(A818)))),1))," ",REPT(" ",LEN(A818))),LEN(A818))))))))+1, 1) * 10^ROW(INDIRECT("1:"&amp;LEN((--TRIM(RIGHT(SUBSTITUTE(LEFT(A818,_xlfn.AGGREGATE(16,6,FIND({0,1,2,3,4,5,6,7,8,9},A818,ROW(INDIRECT("1:"&amp;LEN(A818)))),1))," ",REPT(" ",LEN(A818))),LEN(A818)))))))/10))*100+1</f>
        <v>1201</v>
      </c>
    </row>
    <row r="820" spans="1:16" s="2" customFormat="1" ht="15.75" customHeight="1" x14ac:dyDescent="0.35">
      <c r="A820" s="116" t="str">
        <f ca="1">N820</f>
        <v>802 &amp; 1202</v>
      </c>
      <c r="B820" s="117"/>
      <c r="C820" s="64" t="s">
        <v>195</v>
      </c>
      <c r="D820" s="64">
        <f>(51.12+(0.6*(1.98+3.05))+2.13*0.75+1.5*3.05)*10.764</f>
        <v>649.18222199999991</v>
      </c>
      <c r="E820" s="64">
        <f>3.05*1.3*10.764</f>
        <v>42.679259999999999</v>
      </c>
      <c r="F820" s="64">
        <f>D820*(($F$472)+1)+E820</f>
        <v>1016.4525929999999</v>
      </c>
      <c r="G820" s="146" t="str">
        <f>G819</f>
        <v>8th &amp; 12th Floor (Part Refuge Area)</v>
      </c>
      <c r="H820" s="147"/>
      <c r="I820" s="31"/>
      <c r="J820" s="2">
        <f t="shared" si="99"/>
        <v>188043.72970499998</v>
      </c>
      <c r="K820" s="31">
        <f t="shared" si="101"/>
        <v>97579.448927999983</v>
      </c>
      <c r="N820" s="2" t="str">
        <f ca="1">O820&amp;""&amp;" &amp; "&amp;""&amp;P820</f>
        <v>802 &amp; 1202</v>
      </c>
      <c r="O820" s="2">
        <f ca="1">O819+1</f>
        <v>802</v>
      </c>
      <c r="P820" s="2">
        <f ca="1">P819+1</f>
        <v>1202</v>
      </c>
    </row>
    <row r="821" spans="1:16" s="2" customFormat="1" ht="15.75" customHeight="1" x14ac:dyDescent="0.35">
      <c r="A821" s="116" t="str">
        <f ca="1">N821</f>
        <v>803 &amp; 1203</v>
      </c>
      <c r="B821" s="117"/>
      <c r="C821" s="64" t="s">
        <v>195</v>
      </c>
      <c r="D821" s="64">
        <f>(55.04+(0.6*(1.98+3.05))+2.13*0.75+1.5*3.05)*10.764</f>
        <v>691.37710199999992</v>
      </c>
      <c r="E821" s="64">
        <f>3.05*1.3*10.764</f>
        <v>42.679259999999999</v>
      </c>
      <c r="F821" s="64">
        <f>D821*(($F$472)+1)+E821</f>
        <v>1079.744913</v>
      </c>
      <c r="G821" s="146" t="str">
        <f>G820</f>
        <v>8th &amp; 12th Floor (Part Refuge Area)</v>
      </c>
      <c r="H821" s="147"/>
      <c r="I821" s="31"/>
      <c r="J821" s="2">
        <f t="shared" si="99"/>
        <v>199752.80890500001</v>
      </c>
      <c r="K821" s="31">
        <f t="shared" si="101"/>
        <v>103655.511648</v>
      </c>
      <c r="N821" s="2" t="str">
        <f ca="1">O821&amp;""&amp;" &amp; "&amp;""&amp;P821</f>
        <v>803 &amp; 1203</v>
      </c>
      <c r="O821" s="2">
        <f ca="1">O820+1</f>
        <v>803</v>
      </c>
      <c r="P821" s="2">
        <f ca="1">P820+1</f>
        <v>1203</v>
      </c>
    </row>
    <row r="822" spans="1:16" s="2" customFormat="1" ht="15.75" customHeight="1" x14ac:dyDescent="0.35">
      <c r="A822" s="126" t="s">
        <v>218</v>
      </c>
      <c r="B822" s="127"/>
      <c r="C822" s="127"/>
      <c r="D822" s="127"/>
      <c r="E822" s="127"/>
      <c r="F822" s="127"/>
      <c r="G822" s="127"/>
      <c r="H822" s="128"/>
      <c r="I822" s="31"/>
      <c r="J822" s="2">
        <f t="shared" si="99"/>
        <v>0</v>
      </c>
      <c r="K822" s="31">
        <f t="shared" si="101"/>
        <v>0</v>
      </c>
      <c r="L822" s="115"/>
      <c r="M822" s="115"/>
    </row>
    <row r="823" spans="1:16" s="2" customFormat="1" ht="15.75" customHeight="1" x14ac:dyDescent="0.35">
      <c r="A823" s="116">
        <f>LEFT(A822,SUM(LEN(A822)-LEN(SUBSTITUTE(A822,{"0","1","2","3","4","5","6","7","8","9"},""))))*100+1</f>
        <v>1401</v>
      </c>
      <c r="B823" s="117"/>
      <c r="C823" s="65" t="s">
        <v>195</v>
      </c>
      <c r="D823" s="65">
        <f>(51.12+(0.6*(1.98+3.05))+2.13*0.75+1.5*3.05)*10.764</f>
        <v>649.18222199999991</v>
      </c>
      <c r="E823" s="64">
        <f>3.05*1.3*10.764</f>
        <v>42.679259999999999</v>
      </c>
      <c r="F823" s="64">
        <f>D823*(($F$472)+1)+E823</f>
        <v>1016.4525929999999</v>
      </c>
      <c r="G823" s="144" t="str">
        <f>A822</f>
        <v>14th Floor (Part Terrace Area)</v>
      </c>
      <c r="H823" s="145"/>
      <c r="I823" s="31"/>
      <c r="J823" s="2">
        <f t="shared" si="99"/>
        <v>188043.72970499998</v>
      </c>
      <c r="K823" s="31">
        <f t="shared" si="101"/>
        <v>97579.448927999983</v>
      </c>
      <c r="N823" s="31"/>
    </row>
    <row r="824" spans="1:16" s="2" customFormat="1" ht="15.75" customHeight="1" x14ac:dyDescent="0.35">
      <c r="A824" s="116">
        <f>A823+1</f>
        <v>1402</v>
      </c>
      <c r="B824" s="117"/>
      <c r="C824" s="116" t="s">
        <v>221</v>
      </c>
      <c r="D824" s="161"/>
      <c r="E824" s="161"/>
      <c r="F824" s="117"/>
      <c r="G824" s="146" t="str">
        <f>G823</f>
        <v>14th Floor (Part Terrace Area)</v>
      </c>
      <c r="H824" s="147"/>
      <c r="I824" s="31"/>
      <c r="J824" s="2">
        <f t="shared" si="99"/>
        <v>0</v>
      </c>
      <c r="K824" s="31">
        <f t="shared" si="101"/>
        <v>0</v>
      </c>
      <c r="N824" s="31"/>
    </row>
    <row r="825" spans="1:16" s="2" customFormat="1" ht="15.75" customHeight="1" x14ac:dyDescent="0.35">
      <c r="A825" s="116">
        <f>A824+1</f>
        <v>1403</v>
      </c>
      <c r="B825" s="117"/>
      <c r="C825" s="66" t="s">
        <v>195</v>
      </c>
      <c r="D825" s="66">
        <f>(55.04+(0.6*(1.98+3.05))+2.13*0.75+1.5*3.05)*10.764</f>
        <v>691.37710199999992</v>
      </c>
      <c r="E825" s="64">
        <f>3.05*1.3*10.764</f>
        <v>42.679259999999999</v>
      </c>
      <c r="F825" s="64">
        <f>D825*(($F$472)+1)+E825</f>
        <v>1079.744913</v>
      </c>
      <c r="G825" s="146" t="str">
        <f>G824</f>
        <v>14th Floor (Part Terrace Area)</v>
      </c>
      <c r="H825" s="147"/>
      <c r="I825" s="31"/>
      <c r="J825" s="2">
        <f t="shared" si="99"/>
        <v>199752.80890500001</v>
      </c>
      <c r="K825" s="31">
        <f t="shared" si="101"/>
        <v>103655.511648</v>
      </c>
      <c r="N825" s="31"/>
    </row>
    <row r="826" spans="1:16" s="2" customFormat="1" ht="15.75" customHeight="1" x14ac:dyDescent="0.35">
      <c r="A826" s="116">
        <f>A825+1</f>
        <v>1404</v>
      </c>
      <c r="B826" s="117"/>
      <c r="C826" s="64" t="s">
        <v>195</v>
      </c>
      <c r="D826" s="66">
        <f>(55.04+(0.6*(1.98+3.05))+2.13*0.75+1.5*3.05)*10.764</f>
        <v>691.37710199999992</v>
      </c>
      <c r="E826" s="64">
        <f>3.05*1.3*10.764</f>
        <v>42.679259999999999</v>
      </c>
      <c r="F826" s="64">
        <f>D826*(($F$472)+1)+E826</f>
        <v>1079.744913</v>
      </c>
      <c r="G826" s="146" t="str">
        <f>G825</f>
        <v>14th Floor (Part Terrace Area)</v>
      </c>
      <c r="H826" s="147"/>
      <c r="I826" s="31"/>
      <c r="J826" s="2">
        <f t="shared" si="99"/>
        <v>199752.80890500001</v>
      </c>
      <c r="N826" s="31"/>
    </row>
    <row r="827" spans="1:16" s="2" customFormat="1" ht="15.75" customHeight="1" x14ac:dyDescent="0.35">
      <c r="A827" s="126" t="s">
        <v>263</v>
      </c>
      <c r="B827" s="127"/>
      <c r="C827" s="127"/>
      <c r="D827" s="127"/>
      <c r="E827" s="127"/>
      <c r="F827" s="127"/>
      <c r="G827" s="127"/>
      <c r="H827" s="128"/>
      <c r="I827" s="31"/>
      <c r="J827" s="2">
        <f t="shared" si="99"/>
        <v>0</v>
      </c>
    </row>
    <row r="828" spans="1:16" s="46" customFormat="1" x14ac:dyDescent="0.35">
      <c r="A828" s="126" t="s">
        <v>264</v>
      </c>
      <c r="B828" s="127"/>
      <c r="C828" s="127"/>
      <c r="D828" s="127"/>
      <c r="E828" s="127"/>
      <c r="F828" s="127"/>
      <c r="G828" s="127"/>
      <c r="H828" s="128"/>
      <c r="I828" s="45"/>
      <c r="J828" s="2">
        <f t="shared" si="99"/>
        <v>0</v>
      </c>
      <c r="N828" s="45"/>
    </row>
    <row r="829" spans="1:16" s="2" customFormat="1" x14ac:dyDescent="0.35">
      <c r="A829" s="126" t="s">
        <v>200</v>
      </c>
      <c r="B829" s="127"/>
      <c r="C829" s="127"/>
      <c r="D829" s="127"/>
      <c r="E829" s="127"/>
      <c r="F829" s="127"/>
      <c r="G829" s="127"/>
      <c r="H829" s="128"/>
      <c r="J829" s="2">
        <f t="shared" si="99"/>
        <v>0</v>
      </c>
    </row>
    <row r="830" spans="1:16" s="2" customFormat="1" x14ac:dyDescent="0.35">
      <c r="A830" s="119" t="s">
        <v>192</v>
      </c>
      <c r="B830" s="119"/>
      <c r="C830" s="119"/>
      <c r="D830" s="119"/>
      <c r="E830" s="119"/>
      <c r="F830" s="119"/>
      <c r="G830" s="119"/>
      <c r="H830" s="119"/>
      <c r="I830" s="31"/>
      <c r="J830" s="2">
        <f t="shared" si="99"/>
        <v>0</v>
      </c>
      <c r="L830" s="115"/>
      <c r="M830" s="115"/>
    </row>
    <row r="831" spans="1:16" s="2" customFormat="1" x14ac:dyDescent="0.35">
      <c r="A831" s="118">
        <f>LEFT(A830,SUM(LEN(A830)-LEN(SUBSTITUTE(A830,{"0","1","2","3","4","5","6","7","8","9"},""))))*100+1</f>
        <v>101</v>
      </c>
      <c r="B831" s="118"/>
      <c r="C831" s="64" t="s">
        <v>195</v>
      </c>
      <c r="D831" s="64">
        <f>(44.58+(0.6*(1.89+3.05))+0.75*2.14+1.5*2.45)*10.764</f>
        <v>568.59753599999988</v>
      </c>
      <c r="E831" s="64">
        <f>2.45*1.3*10.764</f>
        <v>34.283340000000003</v>
      </c>
      <c r="F831" s="64">
        <f>D831*(($F$472)+1)+E831</f>
        <v>887.17964399999983</v>
      </c>
      <c r="G831" s="118" t="str">
        <f>A830</f>
        <v>1st Floor</v>
      </c>
      <c r="H831" s="118"/>
      <c r="I831" s="31"/>
      <c r="J831" s="2">
        <f t="shared" si="99"/>
        <v>164128.23413999996</v>
      </c>
      <c r="N831" s="31"/>
    </row>
    <row r="832" spans="1:16" s="2" customFormat="1" x14ac:dyDescent="0.35">
      <c r="A832" s="118">
        <f>A831+1</f>
        <v>102</v>
      </c>
      <c r="B832" s="118"/>
      <c r="C832" s="64" t="s">
        <v>195</v>
      </c>
      <c r="D832" s="64">
        <f>(44.58+(0.6*(1.89+3.05))+0.75*2.14+1.5*2.45)*10.764</f>
        <v>568.59753599999988</v>
      </c>
      <c r="E832" s="64">
        <f>2.45*1.3*10.764</f>
        <v>34.283340000000003</v>
      </c>
      <c r="F832" s="64">
        <f>D832*(($F$472)+1)+E832</f>
        <v>887.17964399999983</v>
      </c>
      <c r="G832" s="118" t="str">
        <f>G831</f>
        <v>1st Floor</v>
      </c>
      <c r="H832" s="118"/>
      <c r="I832" s="31"/>
      <c r="J832" s="2">
        <f t="shared" si="99"/>
        <v>164128.23413999996</v>
      </c>
      <c r="N832" s="31"/>
    </row>
    <row r="833" spans="1:16" s="2" customFormat="1" x14ac:dyDescent="0.35">
      <c r="A833" s="118">
        <f>A832+1</f>
        <v>103</v>
      </c>
      <c r="B833" s="118"/>
      <c r="C833" s="64" t="s">
        <v>195</v>
      </c>
      <c r="D833" s="64">
        <f>46.23*10.764</f>
        <v>497.61971999999992</v>
      </c>
      <c r="E833" s="64">
        <f>18.95*10.764</f>
        <v>203.97779999999997</v>
      </c>
      <c r="F833" s="64">
        <f>D833*(($F$472)+1)+E833</f>
        <v>950.40737999999988</v>
      </c>
      <c r="G833" s="118" t="str">
        <f>G832</f>
        <v>1st Floor</v>
      </c>
      <c r="H833" s="118"/>
      <c r="I833" s="31"/>
      <c r="J833" s="2">
        <f t="shared" si="99"/>
        <v>175825.36529999998</v>
      </c>
      <c r="N833" s="31"/>
    </row>
    <row r="834" spans="1:16" s="2" customFormat="1" x14ac:dyDescent="0.35">
      <c r="A834" s="118">
        <f>A833+1</f>
        <v>104</v>
      </c>
      <c r="B834" s="118"/>
      <c r="C834" s="64" t="s">
        <v>195</v>
      </c>
      <c r="D834" s="64">
        <f>46.23*10.764</f>
        <v>497.61971999999992</v>
      </c>
      <c r="E834" s="64">
        <f>18.95*10.764</f>
        <v>203.97779999999997</v>
      </c>
      <c r="F834" s="64">
        <f>D834*(($F$472)+1)+E834</f>
        <v>950.40737999999988</v>
      </c>
      <c r="G834" s="118" t="str">
        <f>G833</f>
        <v>1st Floor</v>
      </c>
      <c r="H834" s="118"/>
      <c r="I834" s="31"/>
      <c r="J834" s="2">
        <f t="shared" si="99"/>
        <v>175825.36529999998</v>
      </c>
      <c r="N834" s="31"/>
    </row>
    <row r="835" spans="1:16" s="2" customFormat="1" ht="15.75" customHeight="1" x14ac:dyDescent="0.35">
      <c r="A835" s="126" t="s">
        <v>199</v>
      </c>
      <c r="B835" s="127"/>
      <c r="C835" s="127"/>
      <c r="D835" s="127"/>
      <c r="E835" s="127"/>
      <c r="F835" s="127"/>
      <c r="G835" s="127"/>
      <c r="H835" s="128"/>
      <c r="I835" s="31"/>
      <c r="J835" s="2">
        <f t="shared" si="99"/>
        <v>0</v>
      </c>
    </row>
    <row r="836" spans="1:16" s="2" customFormat="1" ht="15.75" customHeight="1" x14ac:dyDescent="0.35">
      <c r="A836" s="116" t="str">
        <f ca="1">N836</f>
        <v>201,..,1401</v>
      </c>
      <c r="B836" s="117"/>
      <c r="C836" s="64" t="s">
        <v>195</v>
      </c>
      <c r="D836" s="64">
        <f>(44.68+(0.6*2.75)+2.14*0.75+1.5*3.05)*10.764</f>
        <v>565.21763999999985</v>
      </c>
      <c r="E836" s="64">
        <f>3.05*1.3*10.764</f>
        <v>42.679259999999999</v>
      </c>
      <c r="F836" s="64">
        <f>D836*(($F$472)+1)+E836</f>
        <v>890.50571999999977</v>
      </c>
      <c r="G836" s="144" t="str">
        <f>A835</f>
        <v>2nd, 4th, 6th, 10th, 14th Floor</v>
      </c>
      <c r="H836" s="145"/>
      <c r="I836" s="31"/>
      <c r="J836" s="2">
        <f t="shared" si="99"/>
        <v>164743.55819999997</v>
      </c>
      <c r="N836" s="2" t="str">
        <f ca="1">O836&amp;""&amp;",..,"&amp;""&amp;P836</f>
        <v>201,..,1401</v>
      </c>
      <c r="O836" s="2">
        <f ca="1">(SUMPRODUCT(MID(0&amp;(LEFT(A835,SUM(LEN(A835)-LEN(SUBSTITUTE(A835,{"0","1","2"},""))))), LARGE(INDEX(ISNUMBER(--MID((LEFT(A835,SUM(LEN(A835)-LEN(SUBSTITUTE(A835,{"0","1","2"},""))))), ROW(INDIRECT("1:"&amp;LEN((LEFT(A835,SUM(LEN(A835)-LEN(SUBSTITUTE(A835,{"0","1","2"},"")))))))), 1)) * ROW(INDIRECT("1:"&amp;LEN((LEFT(A835,SUM(LEN(A835)-LEN(SUBSTITUTE(A835,{"0","1","2"},"")))))))), 0), ROW(INDIRECT("1:"&amp;LEN((LEFT(A835,SUM(LEN(A835)-LEN(SUBSTITUTE(A835,{"0","1","2"},"")))))))))+1, 1) * 10^ROW(INDIRECT("1:"&amp;LEN((LEFT(A835,SUM(LEN(A835)-LEN(SUBSTITUTE(A835,{"0","1","2"},""))))))))/10))*100+1</f>
        <v>201</v>
      </c>
      <c r="P836" s="2">
        <f ca="1">(SUMPRODUCT(MID(0&amp;(--TRIM(RIGHT(SUBSTITUTE(LEFT(A835,_xlfn.AGGREGATE(16,6,FIND({0,1,2,3,4,5,6,7,8,9},A835,ROW(INDIRECT("1:"&amp;LEN(A835)))),1))," ",REPT(" ",LEN(A835))),LEN(A835)))), LARGE(INDEX(ISNUMBER(--MID((--TRIM(RIGHT(SUBSTITUTE(LEFT(A835,_xlfn.AGGREGATE(16,6,FIND({0,1,2,3,4,5,6,7,8,9},A835,ROW(INDIRECT("1:"&amp;LEN(A835)))),1))," ",REPT(" ",LEN(A835))),LEN(A835)))), ROW(INDIRECT("1:"&amp;LEN((--TRIM(RIGHT(SUBSTITUTE(LEFT(A835,_xlfn.AGGREGATE(16,6,FIND({0,1,2,3,4,5,6,7,8,9},A835,ROW(INDIRECT("1:"&amp;LEN(A835)))),1))," ",REPT(" ",LEN(A835))),LEN(A835))))))), 1)) * ROW(INDIRECT("1:"&amp;LEN((--TRIM(RIGHT(SUBSTITUTE(LEFT(A835,_xlfn.AGGREGATE(16,6,FIND({0,1,2,3,4,5,6,7,8,9},A835,ROW(INDIRECT("1:"&amp;LEN(A835)))),1))," ",REPT(" ",LEN(A835))),LEN(A835))))))), 0), ROW(INDIRECT("1:"&amp;LEN((--TRIM(RIGHT(SUBSTITUTE(LEFT(A835,_xlfn.AGGREGATE(16,6,FIND({0,1,2,3,4,5,6,7,8,9},A835,ROW(INDIRECT("1:"&amp;LEN(A835)))),1))," ",REPT(" ",LEN(A835))),LEN(A835))))))))+1, 1) * 10^ROW(INDIRECT("1:"&amp;LEN((--TRIM(RIGHT(SUBSTITUTE(LEFT(A835,_xlfn.AGGREGATE(16,6,FIND({0,1,2,3,4,5,6,7,8,9},A835,ROW(INDIRECT("1:"&amp;LEN(A835)))),1))," ",REPT(" ",LEN(A835))),LEN(A835)))))))/10))*100+1</f>
        <v>1401</v>
      </c>
    </row>
    <row r="837" spans="1:16" s="2" customFormat="1" ht="15.75" customHeight="1" x14ac:dyDescent="0.35">
      <c r="A837" s="116" t="str">
        <f ca="1">N837</f>
        <v>202,..,1402</v>
      </c>
      <c r="B837" s="117"/>
      <c r="C837" s="64" t="s">
        <v>195</v>
      </c>
      <c r="D837" s="64">
        <f>(44.68+(0.6*2.75)+2.14*0.75+1.5*3.05)*10.764</f>
        <v>565.21763999999985</v>
      </c>
      <c r="E837" s="64">
        <f>3.05*1.3*10.764</f>
        <v>42.679259999999999</v>
      </c>
      <c r="F837" s="64">
        <f>D837*(($F$472)+1)+E837</f>
        <v>890.50571999999977</v>
      </c>
      <c r="G837" s="146" t="str">
        <f>G836</f>
        <v>2nd, 4th, 6th, 10th, 14th Floor</v>
      </c>
      <c r="H837" s="147"/>
      <c r="I837" s="31"/>
      <c r="J837" s="2">
        <f t="shared" si="99"/>
        <v>164743.55819999997</v>
      </c>
      <c r="N837" s="2" t="str">
        <f ca="1">O837&amp;""&amp;",..,"&amp;""&amp;P837</f>
        <v>202,..,1402</v>
      </c>
      <c r="O837" s="2">
        <f t="shared" ref="O837:P839" ca="1" si="105">O836+1</f>
        <v>202</v>
      </c>
      <c r="P837" s="2">
        <f t="shared" ca="1" si="105"/>
        <v>1402</v>
      </c>
    </row>
    <row r="838" spans="1:16" s="2" customFormat="1" ht="15.75" customHeight="1" x14ac:dyDescent="0.35">
      <c r="A838" s="116" t="str">
        <f ca="1">N838</f>
        <v>203,..,1403</v>
      </c>
      <c r="B838" s="117"/>
      <c r="C838" s="64" t="s">
        <v>195</v>
      </c>
      <c r="D838" s="64">
        <f>(46.49+(0.6*(1.98+2.75))+2.15*0.75+1.5*3.05)*10.764</f>
        <v>597.56884200000002</v>
      </c>
      <c r="E838" s="64">
        <f>3.05*1.3*10.764</f>
        <v>42.679259999999999</v>
      </c>
      <c r="F838" s="64">
        <f>D838*(($F$472)+1)+E838</f>
        <v>939.03252299999997</v>
      </c>
      <c r="G838" s="146" t="str">
        <f>G837</f>
        <v>2nd, 4th, 6th, 10th, 14th Floor</v>
      </c>
      <c r="H838" s="147"/>
      <c r="I838" s="31"/>
      <c r="J838" s="2">
        <f t="shared" si="99"/>
        <v>173721.01675499999</v>
      </c>
      <c r="N838" s="2" t="str">
        <f ca="1">O838&amp;""&amp;",..,"&amp;""&amp;P838</f>
        <v>203,..,1403</v>
      </c>
      <c r="O838" s="2">
        <f t="shared" ca="1" si="105"/>
        <v>203</v>
      </c>
      <c r="P838" s="2">
        <f t="shared" ca="1" si="105"/>
        <v>1403</v>
      </c>
    </row>
    <row r="839" spans="1:16" s="2" customFormat="1" ht="15.75" customHeight="1" x14ac:dyDescent="0.35">
      <c r="A839" s="116" t="str">
        <f ca="1">N839</f>
        <v>204,..,1404</v>
      </c>
      <c r="B839" s="117"/>
      <c r="C839" s="64" t="s">
        <v>195</v>
      </c>
      <c r="D839" s="64">
        <f>(46.49+(0.6*(1.98+2.75))+2.15*0.75+1.5*3.05)*10.764</f>
        <v>597.56884200000002</v>
      </c>
      <c r="E839" s="64">
        <f>3.05*1.3*10.764</f>
        <v>42.679259999999999</v>
      </c>
      <c r="F839" s="64">
        <f>D839*(($F$472)+1)+E839</f>
        <v>939.03252299999997</v>
      </c>
      <c r="G839" s="146" t="str">
        <f>G838</f>
        <v>2nd, 4th, 6th, 10th, 14th Floor</v>
      </c>
      <c r="H839" s="147"/>
      <c r="I839" s="31"/>
      <c r="J839" s="2">
        <f t="shared" si="99"/>
        <v>173721.01675499999</v>
      </c>
      <c r="N839" s="2" t="str">
        <f ca="1">O839&amp;""&amp;",..,"&amp;""&amp;P839</f>
        <v>204,..,1404</v>
      </c>
      <c r="O839" s="2">
        <f t="shared" ca="1" si="105"/>
        <v>204</v>
      </c>
      <c r="P839" s="2">
        <f t="shared" ca="1" si="105"/>
        <v>1404</v>
      </c>
    </row>
    <row r="840" spans="1:16" s="2" customFormat="1" ht="15.75" customHeight="1" x14ac:dyDescent="0.35">
      <c r="A840" s="126" t="s">
        <v>268</v>
      </c>
      <c r="B840" s="127"/>
      <c r="C840" s="127"/>
      <c r="D840" s="127"/>
      <c r="E840" s="127"/>
      <c r="F840" s="127"/>
      <c r="G840" s="127"/>
      <c r="H840" s="128"/>
      <c r="I840" s="31"/>
    </row>
    <row r="841" spans="1:16" s="2" customFormat="1" ht="15.75" customHeight="1" x14ac:dyDescent="0.35">
      <c r="A841" s="116" t="str">
        <f ca="1">N841</f>
        <v>301,..,1301</v>
      </c>
      <c r="B841" s="117"/>
      <c r="C841" s="64" t="s">
        <v>195</v>
      </c>
      <c r="D841" s="64">
        <f>(44.68+(0.6*(1.89+3.05))+2.15*0.75+1.5*2.75)*10.764</f>
        <v>574.59846599999992</v>
      </c>
      <c r="E841" s="64">
        <f>2.45*1.3*10.764</f>
        <v>34.283340000000003</v>
      </c>
      <c r="F841" s="64">
        <f>D841*(($F$472)+1)+E841</f>
        <v>896.18103899999983</v>
      </c>
      <c r="G841" s="144" t="str">
        <f>A840</f>
        <v xml:space="preserve"> 3rd, 5th, 7th, 9th, 11th, 13th Floor</v>
      </c>
      <c r="H841" s="145"/>
      <c r="I841" s="31"/>
      <c r="N841" s="2" t="str">
        <f ca="1">O841&amp;""&amp;",..,"&amp;""&amp;P841</f>
        <v>301,..,1301</v>
      </c>
      <c r="O841" s="2">
        <f ca="1">(SUMPRODUCT(MID(0&amp;(LEFT(A840,SUM(LEN(A840)-LEN(SUBSTITUTE(A840,{"0","1","2"},""))))), LARGE(INDEX(ISNUMBER(--MID((LEFT(A840,SUM(LEN(A840)-LEN(SUBSTITUTE(A840,{"0","1","2"},""))))), ROW(INDIRECT("1:"&amp;LEN((LEFT(A840,SUM(LEN(A840)-LEN(SUBSTITUTE(A840,{"0","1","2"},"")))))))), 1)) * ROW(INDIRECT("1:"&amp;LEN((LEFT(A840,SUM(LEN(A840)-LEN(SUBSTITUTE(A840,{"0","1","2"},"")))))))), 0), ROW(INDIRECT("1:"&amp;LEN((LEFT(A840,SUM(LEN(A840)-LEN(SUBSTITUTE(A840,{"0","1","2"},"")))))))))+1, 1) * 10^ROW(INDIRECT("1:"&amp;LEN((LEFT(A840,SUM(LEN(A840)-LEN(SUBSTITUTE(A840,{"0","1","2"},""))))))))/10))*100+1</f>
        <v>301</v>
      </c>
      <c r="P841" s="2">
        <f ca="1">(SUMPRODUCT(MID(0&amp;(--TRIM(RIGHT(SUBSTITUTE(LEFT(A840,_xlfn.AGGREGATE(16,6,FIND({0,1,2,3,4,5,6,7,8,9},A840,ROW(INDIRECT("1:"&amp;LEN(A840)))),1))," ",REPT(" ",LEN(A840))),LEN(A840)))), LARGE(INDEX(ISNUMBER(--MID((--TRIM(RIGHT(SUBSTITUTE(LEFT(A840,_xlfn.AGGREGATE(16,6,FIND({0,1,2,3,4,5,6,7,8,9},A840,ROW(INDIRECT("1:"&amp;LEN(A840)))),1))," ",REPT(" ",LEN(A840))),LEN(A840)))), ROW(INDIRECT("1:"&amp;LEN((--TRIM(RIGHT(SUBSTITUTE(LEFT(A840,_xlfn.AGGREGATE(16,6,FIND({0,1,2,3,4,5,6,7,8,9},A840,ROW(INDIRECT("1:"&amp;LEN(A840)))),1))," ",REPT(" ",LEN(A840))),LEN(A840))))))), 1)) * ROW(INDIRECT("1:"&amp;LEN((--TRIM(RIGHT(SUBSTITUTE(LEFT(A840,_xlfn.AGGREGATE(16,6,FIND({0,1,2,3,4,5,6,7,8,9},A840,ROW(INDIRECT("1:"&amp;LEN(A840)))),1))," ",REPT(" ",LEN(A840))),LEN(A840))))))), 0), ROW(INDIRECT("1:"&amp;LEN((--TRIM(RIGHT(SUBSTITUTE(LEFT(A840,_xlfn.AGGREGATE(16,6,FIND({0,1,2,3,4,5,6,7,8,9},A840,ROW(INDIRECT("1:"&amp;LEN(A840)))),1))," ",REPT(" ",LEN(A840))),LEN(A840))))))))+1, 1) * 10^ROW(INDIRECT("1:"&amp;LEN((--TRIM(RIGHT(SUBSTITUTE(LEFT(A840,_xlfn.AGGREGATE(16,6,FIND({0,1,2,3,4,5,6,7,8,9},A840,ROW(INDIRECT("1:"&amp;LEN(A840)))),1))," ",REPT(" ",LEN(A840))),LEN(A840)))))))/10))*100+1</f>
        <v>1301</v>
      </c>
    </row>
    <row r="842" spans="1:16" s="2" customFormat="1" ht="15.75" customHeight="1" x14ac:dyDescent="0.35">
      <c r="A842" s="116" t="str">
        <f ca="1">N842</f>
        <v>302,..,1302</v>
      </c>
      <c r="B842" s="117"/>
      <c r="C842" s="64" t="s">
        <v>195</v>
      </c>
      <c r="D842" s="64">
        <f>(44.68+(0.6*(1.89+3.05))+2.15*0.75+1.5*2.75)*10.764</f>
        <v>574.59846599999992</v>
      </c>
      <c r="E842" s="64">
        <f>2.45*1.3*10.764</f>
        <v>34.283340000000003</v>
      </c>
      <c r="F842" s="64">
        <f>D842*(($F$472)+1)+E842</f>
        <v>896.18103899999983</v>
      </c>
      <c r="G842" s="146" t="str">
        <f>G841</f>
        <v xml:space="preserve"> 3rd, 5th, 7th, 9th, 11th, 13th Floor</v>
      </c>
      <c r="H842" s="147"/>
      <c r="I842" s="31"/>
      <c r="N842" s="2" t="str">
        <f ca="1">O842&amp;""&amp;",..,"&amp;""&amp;P842</f>
        <v>302,..,1302</v>
      </c>
      <c r="O842" s="2">
        <f t="shared" ref="O842:P844" ca="1" si="106">O841+1</f>
        <v>302</v>
      </c>
      <c r="P842" s="2">
        <f t="shared" ca="1" si="106"/>
        <v>1302</v>
      </c>
    </row>
    <row r="843" spans="1:16" s="2" customFormat="1" ht="15.75" customHeight="1" x14ac:dyDescent="0.35">
      <c r="A843" s="116" t="str">
        <f ca="1">N843</f>
        <v>303,..,1303</v>
      </c>
      <c r="B843" s="117"/>
      <c r="C843" s="64" t="s">
        <v>195</v>
      </c>
      <c r="D843" s="64">
        <f>(46.49+(0.6*(1.89+3.05))+2.15*0.75+1.5*2.75)*10.764</f>
        <v>594.08130599999993</v>
      </c>
      <c r="E843" s="64">
        <f>2.45*1.3*10.764</f>
        <v>34.283340000000003</v>
      </c>
      <c r="F843" s="64">
        <f>D843*(($F$472)+1)+E843</f>
        <v>925.40529899999979</v>
      </c>
      <c r="G843" s="146" t="str">
        <f>G842</f>
        <v xml:space="preserve"> 3rd, 5th, 7th, 9th, 11th, 13th Floor</v>
      </c>
      <c r="H843" s="147"/>
      <c r="I843" s="31"/>
      <c r="N843" s="2" t="str">
        <f ca="1">O843&amp;""&amp;",..,"&amp;""&amp;P843</f>
        <v>303,..,1303</v>
      </c>
      <c r="O843" s="2">
        <f t="shared" ca="1" si="106"/>
        <v>303</v>
      </c>
      <c r="P843" s="2">
        <f t="shared" ca="1" si="106"/>
        <v>1303</v>
      </c>
    </row>
    <row r="844" spans="1:16" s="2" customFormat="1" ht="15.75" customHeight="1" x14ac:dyDescent="0.35">
      <c r="A844" s="116" t="str">
        <f ca="1">N844</f>
        <v>304,..,1304</v>
      </c>
      <c r="B844" s="117"/>
      <c r="C844" s="64" t="s">
        <v>195</v>
      </c>
      <c r="D844" s="64">
        <f>(46.49+(0.6*(1.89+3.05))+2.15*0.75+1.5*2.75)*10.764</f>
        <v>594.08130599999993</v>
      </c>
      <c r="E844" s="64">
        <f>2.45*1.3*10.764</f>
        <v>34.283340000000003</v>
      </c>
      <c r="F844" s="64">
        <f>D844*(($F$472)+1)+E844</f>
        <v>925.40529899999979</v>
      </c>
      <c r="G844" s="146" t="str">
        <f>G843</f>
        <v xml:space="preserve"> 3rd, 5th, 7th, 9th, 11th, 13th Floor</v>
      </c>
      <c r="H844" s="147"/>
      <c r="I844" s="31"/>
      <c r="N844" s="2" t="str">
        <f ca="1">O844&amp;""&amp;",..,"&amp;""&amp;P844</f>
        <v>304,..,1304</v>
      </c>
      <c r="O844" s="2">
        <f t="shared" ca="1" si="106"/>
        <v>304</v>
      </c>
      <c r="P844" s="2">
        <f t="shared" ca="1" si="106"/>
        <v>1304</v>
      </c>
    </row>
    <row r="845" spans="1:16" s="2" customFormat="1" x14ac:dyDescent="0.35">
      <c r="A845" s="126" t="s">
        <v>219</v>
      </c>
      <c r="B845" s="127"/>
      <c r="C845" s="127"/>
      <c r="D845" s="127"/>
      <c r="E845" s="127"/>
      <c r="F845" s="127"/>
      <c r="G845" s="127"/>
      <c r="H845" s="128"/>
      <c r="I845" s="31">
        <f>3.05*3.27+3.51+1.54*1.33+1.22*2.11+1.2*2.11+3.06*2.88+3.05*2.8+2.13*3.06+2.29+3*1</f>
        <v>49.798499999999997</v>
      </c>
    </row>
    <row r="846" spans="1:16" s="2" customFormat="1" ht="15.75" customHeight="1" x14ac:dyDescent="0.35">
      <c r="A846" s="144" t="str">
        <f ca="1">N846</f>
        <v>801 &amp; 1201</v>
      </c>
      <c r="B846" s="145"/>
      <c r="C846" s="67" t="s">
        <v>195</v>
      </c>
      <c r="D846" s="67">
        <f>(44.68+(0.6*(1.98+2.45))+2.15*0.75+1.5*3.05)*10.764</f>
        <v>576.14848199999994</v>
      </c>
      <c r="E846" s="64">
        <f>3.05*1.3*10.764</f>
        <v>42.679259999999999</v>
      </c>
      <c r="F846" s="64">
        <f>D846*(($F$472)+1)+E846</f>
        <v>906.90198299999986</v>
      </c>
      <c r="G846" s="144" t="str">
        <f>A845</f>
        <v>8th &amp; 12th Floor ( Part Refuge Area)</v>
      </c>
      <c r="H846" s="145"/>
      <c r="I846" s="31"/>
      <c r="N846" s="2" t="str">
        <f ca="1">O846&amp;""&amp;" &amp; "&amp;""&amp;P846</f>
        <v>801 &amp; 1201</v>
      </c>
      <c r="O846" s="2">
        <f ca="1">(SUMPRODUCT(MID(0&amp;(LEFT(A845,SUM(LEN(A845)-LEN(SUBSTITUTE(A845,{"0","1","2"},""))))), LARGE(INDEX(ISNUMBER(--MID((LEFT(A845,SUM(LEN(A845)-LEN(SUBSTITUTE(A845,{"0","1","2"},""))))), ROW(INDIRECT("1:"&amp;LEN((LEFT(A845,SUM(LEN(A845)-LEN(SUBSTITUTE(A845,{"0","1","2"},"")))))))), 1)) * ROW(INDIRECT("1:"&amp;LEN((LEFT(A845,SUM(LEN(A845)-LEN(SUBSTITUTE(A845,{"0","1","2"},"")))))))), 0), ROW(INDIRECT("1:"&amp;LEN((LEFT(A845,SUM(LEN(A845)-LEN(SUBSTITUTE(A845,{"0","1","2"},"")))))))))+1, 1) * 10^ROW(INDIRECT("1:"&amp;LEN((LEFT(A845,SUM(LEN(A845)-LEN(SUBSTITUTE(A845,{"0","1","2"},""))))))))/10))*100+1</f>
        <v>801</v>
      </c>
      <c r="P846" s="2">
        <f ca="1">(SUMPRODUCT(MID(0&amp;(--TRIM(RIGHT(SUBSTITUTE(LEFT(A845,_xlfn.AGGREGATE(16,6,FIND({0,1,2,3,4,5,6,7,8,9},A845,ROW(INDIRECT("1:"&amp;LEN(A845)))),1))," ",REPT(" ",LEN(A845))),LEN(A845)))), LARGE(INDEX(ISNUMBER(--MID((--TRIM(RIGHT(SUBSTITUTE(LEFT(A845,_xlfn.AGGREGATE(16,6,FIND({0,1,2,3,4,5,6,7,8,9},A845,ROW(INDIRECT("1:"&amp;LEN(A845)))),1))," ",REPT(" ",LEN(A845))),LEN(A845)))), ROW(INDIRECT("1:"&amp;LEN((--TRIM(RIGHT(SUBSTITUTE(LEFT(A845,_xlfn.AGGREGATE(16,6,FIND({0,1,2,3,4,5,6,7,8,9},A845,ROW(INDIRECT("1:"&amp;LEN(A845)))),1))," ",REPT(" ",LEN(A845))),LEN(A845))))))), 1)) * ROW(INDIRECT("1:"&amp;LEN((--TRIM(RIGHT(SUBSTITUTE(LEFT(A845,_xlfn.AGGREGATE(16,6,FIND({0,1,2,3,4,5,6,7,8,9},A845,ROW(INDIRECT("1:"&amp;LEN(A845)))),1))," ",REPT(" ",LEN(A845))),LEN(A845))))))), 0), ROW(INDIRECT("1:"&amp;LEN((--TRIM(RIGHT(SUBSTITUTE(LEFT(A845,_xlfn.AGGREGATE(16,6,FIND({0,1,2,3,4,5,6,7,8,9},A845,ROW(INDIRECT("1:"&amp;LEN(A845)))),1))," ",REPT(" ",LEN(A845))),LEN(A845))))))))+1, 1) * 10^ROW(INDIRECT("1:"&amp;LEN((--TRIM(RIGHT(SUBSTITUTE(LEFT(A845,_xlfn.AGGREGATE(16,6,FIND({0,1,2,3,4,5,6,7,8,9},A845,ROW(INDIRECT("1:"&amp;LEN(A845)))),1))," ",REPT(" ",LEN(A845))),LEN(A845)))))))/10))*100+1</f>
        <v>1201</v>
      </c>
    </row>
    <row r="847" spans="1:16" s="2" customFormat="1" ht="15.75" customHeight="1" x14ac:dyDescent="0.35">
      <c r="A847" s="118" t="str">
        <f ca="1">N847</f>
        <v>802 &amp; 1202</v>
      </c>
      <c r="B847" s="118"/>
      <c r="C847" s="64" t="s">
        <v>195</v>
      </c>
      <c r="D847" s="67">
        <f>(44.68+(0.6*(1.98+2.45))+2.15*0.75+1.5*3.05)*10.764</f>
        <v>576.14848199999994</v>
      </c>
      <c r="E847" s="64">
        <f>3.05*1.3*10.764</f>
        <v>42.679259999999999</v>
      </c>
      <c r="F847" s="64">
        <f>D847*(($F$472)+1)+E847</f>
        <v>906.90198299999986</v>
      </c>
      <c r="G847" s="146" t="str">
        <f>G846</f>
        <v>8th &amp; 12th Floor ( Part Refuge Area)</v>
      </c>
      <c r="H847" s="147"/>
      <c r="I847" s="31"/>
      <c r="N847" s="2" t="str">
        <f ca="1">O847&amp;""&amp;" &amp; "&amp;""&amp;P847</f>
        <v>802 &amp; 1202</v>
      </c>
      <c r="O847" s="2">
        <f ca="1">O846+1</f>
        <v>802</v>
      </c>
      <c r="P847" s="2">
        <f ca="1">P846+1</f>
        <v>1202</v>
      </c>
    </row>
    <row r="848" spans="1:16" s="2" customFormat="1" ht="15.75" customHeight="1" x14ac:dyDescent="0.35">
      <c r="A848" s="148" t="str">
        <f ca="1">N848</f>
        <v>803 &amp; 1203</v>
      </c>
      <c r="B848" s="149"/>
      <c r="C848" s="66" t="s">
        <v>195</v>
      </c>
      <c r="D848" s="67">
        <f>(46.49+(0.6*(1.98+2.45))+2.15*0.75+1.5*3.05)*10.764</f>
        <v>595.63132199999995</v>
      </c>
      <c r="E848" s="64">
        <f>3.05*1.3*10.764</f>
        <v>42.679259999999999</v>
      </c>
      <c r="F848" s="64">
        <f>D848*(($F$472)+1)+E848</f>
        <v>936.12624299999993</v>
      </c>
      <c r="G848" s="146" t="str">
        <f>G847</f>
        <v>8th &amp; 12th Floor ( Part Refuge Area)</v>
      </c>
      <c r="H848" s="147"/>
      <c r="I848" s="31"/>
      <c r="N848" s="2" t="str">
        <f ca="1">O848&amp;""&amp;" &amp; "&amp;""&amp;P848</f>
        <v>803 &amp; 1203</v>
      </c>
      <c r="O848" s="2">
        <f ca="1">O847+1</f>
        <v>803</v>
      </c>
      <c r="P848" s="2">
        <f ca="1">P847+1</f>
        <v>1203</v>
      </c>
    </row>
    <row r="849" spans="1:16" s="46" customFormat="1" ht="15" x14ac:dyDescent="0.35">
      <c r="A849" s="126" t="s">
        <v>265</v>
      </c>
      <c r="B849" s="127"/>
      <c r="C849" s="127"/>
      <c r="D849" s="127"/>
      <c r="E849" s="127"/>
      <c r="F849" s="127"/>
      <c r="G849" s="127"/>
      <c r="H849" s="128"/>
      <c r="I849" s="45"/>
      <c r="N849" s="45"/>
    </row>
    <row r="850" spans="1:16" s="2" customFormat="1" x14ac:dyDescent="0.35">
      <c r="A850" s="126" t="s">
        <v>200</v>
      </c>
      <c r="B850" s="127"/>
      <c r="C850" s="127"/>
      <c r="D850" s="127"/>
      <c r="E850" s="127"/>
      <c r="F850" s="127"/>
      <c r="G850" s="127"/>
      <c r="H850" s="128"/>
    </row>
    <row r="851" spans="1:16" s="2" customFormat="1" x14ac:dyDescent="0.35">
      <c r="A851" s="119" t="s">
        <v>269</v>
      </c>
      <c r="B851" s="119"/>
      <c r="C851" s="119"/>
      <c r="D851" s="119"/>
      <c r="E851" s="119"/>
      <c r="F851" s="119"/>
      <c r="G851" s="119"/>
      <c r="H851" s="119"/>
      <c r="I851" s="31"/>
      <c r="L851" s="115"/>
      <c r="M851" s="115"/>
    </row>
    <row r="852" spans="1:16" s="2" customFormat="1" ht="15.75" customHeight="1" x14ac:dyDescent="0.35">
      <c r="A852" s="118">
        <f>LEFT(A851,SUM(LEN(A851)-LEN(SUBSTITUTE(A851,{"0","1","2","3","4","5","6","7","8","9"},""))))*100+1</f>
        <v>101</v>
      </c>
      <c r="B852" s="118"/>
      <c r="C852" s="64" t="s">
        <v>195</v>
      </c>
      <c r="D852" s="64">
        <f>(46.23)*10.764</f>
        <v>497.61971999999992</v>
      </c>
      <c r="E852" s="64">
        <f>19.1*10.764</f>
        <v>205.5924</v>
      </c>
      <c r="F852" s="64">
        <f>D852*(($F$472)+1)+E852</f>
        <v>952.02197999999987</v>
      </c>
      <c r="G852" s="144" t="str">
        <f>A851</f>
        <v>1st Floor( Part Terrace Area)</v>
      </c>
      <c r="H852" s="145"/>
      <c r="I852" s="31"/>
      <c r="N852" s="31"/>
    </row>
    <row r="853" spans="1:16" s="2" customFormat="1" ht="15.75" customHeight="1" x14ac:dyDescent="0.35">
      <c r="A853" s="118">
        <f>A852+1</f>
        <v>102</v>
      </c>
      <c r="B853" s="118"/>
      <c r="C853" s="64" t="s">
        <v>195</v>
      </c>
      <c r="D853" s="64">
        <f>(46.98)*10.764</f>
        <v>505.69271999999995</v>
      </c>
      <c r="E853" s="64">
        <f>19.05*10.764</f>
        <v>205.05420000000001</v>
      </c>
      <c r="F853" s="64">
        <f>D853*(($F$472)+1)+E853</f>
        <v>963.59327999999994</v>
      </c>
      <c r="G853" s="146" t="str">
        <f>G852</f>
        <v>1st Floor( Part Terrace Area)</v>
      </c>
      <c r="H853" s="147"/>
      <c r="I853" s="31"/>
      <c r="N853" s="31"/>
    </row>
    <row r="854" spans="1:16" s="2" customFormat="1" ht="15.75" customHeight="1" x14ac:dyDescent="0.35">
      <c r="A854" s="118">
        <f>A853+1</f>
        <v>103</v>
      </c>
      <c r="B854" s="118"/>
      <c r="C854" s="64" t="s">
        <v>195</v>
      </c>
      <c r="D854" s="64">
        <f>47.92*10.764</f>
        <v>515.81088</v>
      </c>
      <c r="E854" s="64">
        <f>57.07*10.764</f>
        <v>614.30147999999997</v>
      </c>
      <c r="F854" s="64">
        <f>D854*(($F$472)+1)+E854</f>
        <v>1388.0178000000001</v>
      </c>
      <c r="G854" s="146" t="str">
        <f>G853</f>
        <v>1st Floor( Part Terrace Area)</v>
      </c>
      <c r="H854" s="147"/>
      <c r="I854" s="31"/>
      <c r="N854" s="31"/>
    </row>
    <row r="855" spans="1:16" s="2" customFormat="1" ht="15.75" customHeight="1" x14ac:dyDescent="0.35">
      <c r="A855" s="118">
        <f>A854+1</f>
        <v>104</v>
      </c>
      <c r="B855" s="118"/>
      <c r="C855" s="64" t="s">
        <v>195</v>
      </c>
      <c r="D855" s="64">
        <f>45.12*10.764</f>
        <v>485.67167999999992</v>
      </c>
      <c r="E855" s="64">
        <f>19.09*10.764</f>
        <v>205.48475999999999</v>
      </c>
      <c r="F855" s="64">
        <f>D855*(($F$472)+1)+E855</f>
        <v>933.99227999999994</v>
      </c>
      <c r="G855" s="146" t="str">
        <f>G854</f>
        <v>1st Floor( Part Terrace Area)</v>
      </c>
      <c r="H855" s="147"/>
      <c r="I855" s="31"/>
      <c r="N855" s="31"/>
    </row>
    <row r="856" spans="1:16" s="2" customFormat="1" ht="15.75" customHeight="1" x14ac:dyDescent="0.35">
      <c r="A856" s="119" t="s">
        <v>199</v>
      </c>
      <c r="B856" s="119"/>
      <c r="C856" s="119"/>
      <c r="D856" s="119"/>
      <c r="E856" s="119"/>
      <c r="F856" s="119"/>
      <c r="G856" s="119"/>
      <c r="H856" s="119"/>
      <c r="I856" s="31"/>
    </row>
    <row r="857" spans="1:16" s="2" customFormat="1" ht="15.75" customHeight="1" x14ac:dyDescent="0.35">
      <c r="A857" s="118" t="str">
        <f ca="1">N857</f>
        <v>201,..,1401</v>
      </c>
      <c r="B857" s="118"/>
      <c r="C857" s="82" t="s">
        <v>195</v>
      </c>
      <c r="D857" s="82">
        <f>(45.6+(0.6*(1.98+2.45))+2.14*0.75+1.5*3.05)*10.764</f>
        <v>585.97063200000002</v>
      </c>
      <c r="E857" s="82">
        <f>3.05*1.3*10.764</f>
        <v>42.679259999999999</v>
      </c>
      <c r="F857" s="82">
        <f>D857*(($F$472)+1)+E857</f>
        <v>921.63520800000003</v>
      </c>
      <c r="G857" s="118" t="str">
        <f>A856</f>
        <v>2nd, 4th, 6th, 10th, 14th Floor</v>
      </c>
      <c r="H857" s="118"/>
      <c r="I857" s="31"/>
      <c r="N857" s="2" t="str">
        <f ca="1">O857&amp;""&amp;",..,"&amp;""&amp;P857</f>
        <v>201,..,1401</v>
      </c>
      <c r="O857" s="2">
        <f ca="1">(SUMPRODUCT(MID(0&amp;(LEFT(A856,SUM(LEN(A856)-LEN(SUBSTITUTE(A856,{"0","1","2"},""))))), LARGE(INDEX(ISNUMBER(--MID((LEFT(A856,SUM(LEN(A856)-LEN(SUBSTITUTE(A856,{"0","1","2"},""))))), ROW(INDIRECT("1:"&amp;LEN((LEFT(A856,SUM(LEN(A856)-LEN(SUBSTITUTE(A856,{"0","1","2"},"")))))))), 1)) * ROW(INDIRECT("1:"&amp;LEN((LEFT(A856,SUM(LEN(A856)-LEN(SUBSTITUTE(A856,{"0","1","2"},"")))))))), 0), ROW(INDIRECT("1:"&amp;LEN((LEFT(A856,SUM(LEN(A856)-LEN(SUBSTITUTE(A856,{"0","1","2"},"")))))))))+1, 1) * 10^ROW(INDIRECT("1:"&amp;LEN((LEFT(A856,SUM(LEN(A856)-LEN(SUBSTITUTE(A856,{"0","1","2"},""))))))))/10))*100+1</f>
        <v>201</v>
      </c>
      <c r="P857" s="2">
        <f ca="1">(SUMPRODUCT(MID(0&amp;(--TRIM(RIGHT(SUBSTITUTE(LEFT(A856,_xlfn.AGGREGATE(16,6,FIND({0,1,2,3,4,5,6,7,8,9},A856,ROW(INDIRECT("1:"&amp;LEN(A856)))),1))," ",REPT(" ",LEN(A856))),LEN(A856)))), LARGE(INDEX(ISNUMBER(--MID((--TRIM(RIGHT(SUBSTITUTE(LEFT(A856,_xlfn.AGGREGATE(16,6,FIND({0,1,2,3,4,5,6,7,8,9},A856,ROW(INDIRECT("1:"&amp;LEN(A856)))),1))," ",REPT(" ",LEN(A856))),LEN(A856)))), ROW(INDIRECT("1:"&amp;LEN((--TRIM(RIGHT(SUBSTITUTE(LEFT(A856,_xlfn.AGGREGATE(16,6,FIND({0,1,2,3,4,5,6,7,8,9},A856,ROW(INDIRECT("1:"&amp;LEN(A856)))),1))," ",REPT(" ",LEN(A856))),LEN(A856))))))), 1)) * ROW(INDIRECT("1:"&amp;LEN((--TRIM(RIGHT(SUBSTITUTE(LEFT(A856,_xlfn.AGGREGATE(16,6,FIND({0,1,2,3,4,5,6,7,8,9},A856,ROW(INDIRECT("1:"&amp;LEN(A856)))),1))," ",REPT(" ",LEN(A856))),LEN(A856))))))), 0), ROW(INDIRECT("1:"&amp;LEN((--TRIM(RIGHT(SUBSTITUTE(LEFT(A856,_xlfn.AGGREGATE(16,6,FIND({0,1,2,3,4,5,6,7,8,9},A856,ROW(INDIRECT("1:"&amp;LEN(A856)))),1))," ",REPT(" ",LEN(A856))),LEN(A856))))))))+1, 1) * 10^ROW(INDIRECT("1:"&amp;LEN((--TRIM(RIGHT(SUBSTITUTE(LEFT(A856,_xlfn.AGGREGATE(16,6,FIND({0,1,2,3,4,5,6,7,8,9},A856,ROW(INDIRECT("1:"&amp;LEN(A856)))),1))," ",REPT(" ",LEN(A856))),LEN(A856)))))))/10))*100+1</f>
        <v>1401</v>
      </c>
    </row>
    <row r="858" spans="1:16" s="2" customFormat="1" ht="15.75" customHeight="1" x14ac:dyDescent="0.35">
      <c r="A858" s="118" t="str">
        <f ca="1">N858</f>
        <v>202,..,1402</v>
      </c>
      <c r="B858" s="118"/>
      <c r="C858" s="82" t="s">
        <v>195</v>
      </c>
      <c r="D858" s="82">
        <f>(45.89+(0.6*(1.98+2.45))+2.14*0.75+1.5*3.05)*10.764</f>
        <v>589.09219199999995</v>
      </c>
      <c r="E858" s="82">
        <f>3.05*1.3*10.764</f>
        <v>42.679259999999999</v>
      </c>
      <c r="F858" s="82">
        <f>D858*(($F$472)+1)+E858</f>
        <v>926.31754799999987</v>
      </c>
      <c r="G858" s="118" t="str">
        <f>G857</f>
        <v>2nd, 4th, 6th, 10th, 14th Floor</v>
      </c>
      <c r="H858" s="118"/>
      <c r="I858" s="31"/>
      <c r="N858" s="2" t="str">
        <f ca="1">O858&amp;""&amp;",..,"&amp;""&amp;P858</f>
        <v>202,..,1402</v>
      </c>
      <c r="O858" s="2">
        <f t="shared" ref="O858:P860" ca="1" si="107">O857+1</f>
        <v>202</v>
      </c>
      <c r="P858" s="2">
        <f t="shared" ca="1" si="107"/>
        <v>1402</v>
      </c>
    </row>
    <row r="859" spans="1:16" s="2" customFormat="1" ht="15.75" customHeight="1" x14ac:dyDescent="0.35">
      <c r="A859" s="118" t="str">
        <f ca="1">N859</f>
        <v>203,..,1403</v>
      </c>
      <c r="B859" s="118"/>
      <c r="C859" s="82" t="s">
        <v>195</v>
      </c>
      <c r="D859" s="82">
        <f>(45.89+(0.6*(1.98+2.45))+2.14*0.75+1.5*3.05)*10.764</f>
        <v>589.09219199999995</v>
      </c>
      <c r="E859" s="82">
        <f>3.05*1.3*10.764</f>
        <v>42.679259999999999</v>
      </c>
      <c r="F859" s="82">
        <f>D859*(($F$472)+1)+E859</f>
        <v>926.31754799999987</v>
      </c>
      <c r="G859" s="118" t="str">
        <f>G858</f>
        <v>2nd, 4th, 6th, 10th, 14th Floor</v>
      </c>
      <c r="H859" s="118"/>
      <c r="I859" s="31"/>
      <c r="N859" s="2" t="str">
        <f ca="1">O859&amp;""&amp;",..,"&amp;""&amp;P859</f>
        <v>203,..,1403</v>
      </c>
      <c r="O859" s="2">
        <f t="shared" ca="1" si="107"/>
        <v>203</v>
      </c>
      <c r="P859" s="2">
        <f t="shared" ca="1" si="107"/>
        <v>1403</v>
      </c>
    </row>
    <row r="860" spans="1:16" s="2" customFormat="1" ht="15.75" customHeight="1" x14ac:dyDescent="0.35">
      <c r="A860" s="118" t="str">
        <f ca="1">N860</f>
        <v>204,..,1404</v>
      </c>
      <c r="B860" s="118"/>
      <c r="C860" s="82" t="s">
        <v>195</v>
      </c>
      <c r="D860" s="82">
        <f>(44.1+(0.6*(1.98+2.45))+2.14*0.75+1.5*3.05)*10.764</f>
        <v>569.82463199999995</v>
      </c>
      <c r="E860" s="82">
        <f>3.05*1.3*10.764</f>
        <v>42.679259999999999</v>
      </c>
      <c r="F860" s="82">
        <f>D860*(($F$472)+1)+E860</f>
        <v>897.41620799999998</v>
      </c>
      <c r="G860" s="118" t="str">
        <f>G859</f>
        <v>2nd, 4th, 6th, 10th, 14th Floor</v>
      </c>
      <c r="H860" s="118"/>
      <c r="I860" s="31"/>
      <c r="N860" s="2" t="str">
        <f ca="1">O860&amp;""&amp;",..,"&amp;""&amp;P860</f>
        <v>204,..,1404</v>
      </c>
      <c r="O860" s="2">
        <f t="shared" ca="1" si="107"/>
        <v>204</v>
      </c>
      <c r="P860" s="2">
        <f t="shared" ca="1" si="107"/>
        <v>1404</v>
      </c>
    </row>
    <row r="861" spans="1:16" s="2" customFormat="1" ht="15.75" customHeight="1" x14ac:dyDescent="0.35">
      <c r="A861" s="119" t="s">
        <v>268</v>
      </c>
      <c r="B861" s="119"/>
      <c r="C861" s="119"/>
      <c r="D861" s="119"/>
      <c r="E861" s="119"/>
      <c r="F861" s="119"/>
      <c r="G861" s="119"/>
      <c r="H861" s="119"/>
      <c r="I861" s="31"/>
    </row>
    <row r="862" spans="1:16" s="2" customFormat="1" ht="15.75" customHeight="1" x14ac:dyDescent="0.35">
      <c r="A862" s="118" t="str">
        <f ca="1">N862</f>
        <v>301,..,1301</v>
      </c>
      <c r="B862" s="118"/>
      <c r="C862" s="82" t="s">
        <v>195</v>
      </c>
      <c r="D862" s="82">
        <f>(45.89+(0.6*(1.89+3.05))+2.15*0.75+1.5*2.45)*10.764</f>
        <v>582.77910599999984</v>
      </c>
      <c r="E862" s="82">
        <f>2.45*1.3*10.764</f>
        <v>34.283340000000003</v>
      </c>
      <c r="F862" s="82">
        <f>D862*(($F$472)+1)+E862</f>
        <v>908.45199899999966</v>
      </c>
      <c r="G862" s="118" t="str">
        <f>A861</f>
        <v xml:space="preserve"> 3rd, 5th, 7th, 9th, 11th, 13th Floor</v>
      </c>
      <c r="H862" s="118"/>
      <c r="I862" s="31"/>
      <c r="N862" s="2" t="str">
        <f ca="1">O862&amp;""&amp;",..,"&amp;""&amp;P862</f>
        <v>301,..,1301</v>
      </c>
      <c r="O862" s="2">
        <f ca="1">(SUMPRODUCT(MID(0&amp;(LEFT(A861,SUM(LEN(A861)-LEN(SUBSTITUTE(A861,{"0","1","2"},""))))), LARGE(INDEX(ISNUMBER(--MID((LEFT(A861,SUM(LEN(A861)-LEN(SUBSTITUTE(A861,{"0","1","2"},""))))), ROW(INDIRECT("1:"&amp;LEN((LEFT(A861,SUM(LEN(A861)-LEN(SUBSTITUTE(A861,{"0","1","2"},"")))))))), 1)) * ROW(INDIRECT("1:"&amp;LEN((LEFT(A861,SUM(LEN(A861)-LEN(SUBSTITUTE(A861,{"0","1","2"},"")))))))), 0), ROW(INDIRECT("1:"&amp;LEN((LEFT(A861,SUM(LEN(A861)-LEN(SUBSTITUTE(A861,{"0","1","2"},"")))))))))+1, 1) * 10^ROW(INDIRECT("1:"&amp;LEN((LEFT(A861,SUM(LEN(A861)-LEN(SUBSTITUTE(A861,{"0","1","2"},""))))))))/10))*100+1</f>
        <v>301</v>
      </c>
      <c r="P862" s="2">
        <f ca="1">(SUMPRODUCT(MID(0&amp;(--TRIM(RIGHT(SUBSTITUTE(LEFT(A861,_xlfn.AGGREGATE(16,6,FIND({0,1,2,3,4,5,6,7,8,9},A861,ROW(INDIRECT("1:"&amp;LEN(A861)))),1))," ",REPT(" ",LEN(A861))),LEN(A861)))), LARGE(INDEX(ISNUMBER(--MID((--TRIM(RIGHT(SUBSTITUTE(LEFT(A861,_xlfn.AGGREGATE(16,6,FIND({0,1,2,3,4,5,6,7,8,9},A861,ROW(INDIRECT("1:"&amp;LEN(A861)))),1))," ",REPT(" ",LEN(A861))),LEN(A861)))), ROW(INDIRECT("1:"&amp;LEN((--TRIM(RIGHT(SUBSTITUTE(LEFT(A861,_xlfn.AGGREGATE(16,6,FIND({0,1,2,3,4,5,6,7,8,9},A861,ROW(INDIRECT("1:"&amp;LEN(A861)))),1))," ",REPT(" ",LEN(A861))),LEN(A861))))))), 1)) * ROW(INDIRECT("1:"&amp;LEN((--TRIM(RIGHT(SUBSTITUTE(LEFT(A861,_xlfn.AGGREGATE(16,6,FIND({0,1,2,3,4,5,6,7,8,9},A861,ROW(INDIRECT("1:"&amp;LEN(A861)))),1))," ",REPT(" ",LEN(A861))),LEN(A861))))))), 0), ROW(INDIRECT("1:"&amp;LEN((--TRIM(RIGHT(SUBSTITUTE(LEFT(A861,_xlfn.AGGREGATE(16,6,FIND({0,1,2,3,4,5,6,7,8,9},A861,ROW(INDIRECT("1:"&amp;LEN(A861)))),1))," ",REPT(" ",LEN(A861))),LEN(A861))))))))+1, 1) * 10^ROW(INDIRECT("1:"&amp;LEN((--TRIM(RIGHT(SUBSTITUTE(LEFT(A861,_xlfn.AGGREGATE(16,6,FIND({0,1,2,3,4,5,6,7,8,9},A861,ROW(INDIRECT("1:"&amp;LEN(A861)))),1))," ",REPT(" ",LEN(A861))),LEN(A861)))))))/10))*100+1</f>
        <v>1301</v>
      </c>
    </row>
    <row r="863" spans="1:16" s="2" customFormat="1" ht="15.75" customHeight="1" x14ac:dyDescent="0.35">
      <c r="A863" s="118" t="str">
        <f ca="1">N863</f>
        <v>302,..,1302</v>
      </c>
      <c r="B863" s="118"/>
      <c r="C863" s="82" t="s">
        <v>195</v>
      </c>
      <c r="D863" s="82">
        <f>(45.89+(0.6*(1.89+3.05))+2.15*0.75+1.5*2.45)*10.764</f>
        <v>582.77910599999984</v>
      </c>
      <c r="E863" s="82">
        <f>2.45*1.3*10.764</f>
        <v>34.283340000000003</v>
      </c>
      <c r="F863" s="82">
        <f>D863*(($F$472)+1)+E863</f>
        <v>908.45199899999966</v>
      </c>
      <c r="G863" s="118" t="str">
        <f>G862</f>
        <v xml:space="preserve"> 3rd, 5th, 7th, 9th, 11th, 13th Floor</v>
      </c>
      <c r="H863" s="118"/>
      <c r="I863" s="31"/>
      <c r="N863" s="2" t="str">
        <f ca="1">O863&amp;""&amp;",..,"&amp;""&amp;P863</f>
        <v>302,..,1302</v>
      </c>
      <c r="O863" s="2">
        <f t="shared" ref="O863:P865" ca="1" si="108">O862+1</f>
        <v>302</v>
      </c>
      <c r="P863" s="2">
        <f t="shared" ca="1" si="108"/>
        <v>1302</v>
      </c>
    </row>
    <row r="864" spans="1:16" s="2" customFormat="1" ht="15.75" customHeight="1" x14ac:dyDescent="0.35">
      <c r="A864" s="118" t="str">
        <f ca="1">N864</f>
        <v>303,..,1303</v>
      </c>
      <c r="B864" s="118"/>
      <c r="C864" s="82" t="s">
        <v>195</v>
      </c>
      <c r="D864" s="82">
        <f>(45.89+(0.6*(1.89+3.05))+2.15*0.75+1.5*2.45)*10.764</f>
        <v>582.77910599999984</v>
      </c>
      <c r="E864" s="82">
        <f>2.45*1.3*10.764</f>
        <v>34.283340000000003</v>
      </c>
      <c r="F864" s="82">
        <f>D864*(($F$472)+1)+E864</f>
        <v>908.45199899999966</v>
      </c>
      <c r="G864" s="118" t="str">
        <f>G863</f>
        <v xml:space="preserve"> 3rd, 5th, 7th, 9th, 11th, 13th Floor</v>
      </c>
      <c r="H864" s="118"/>
      <c r="I864" s="31"/>
      <c r="N864" s="2" t="str">
        <f ca="1">O864&amp;""&amp;",..,"&amp;""&amp;P864</f>
        <v>303,..,1303</v>
      </c>
      <c r="O864" s="2">
        <f t="shared" ca="1" si="108"/>
        <v>303</v>
      </c>
      <c r="P864" s="2">
        <f t="shared" ca="1" si="108"/>
        <v>1303</v>
      </c>
    </row>
    <row r="865" spans="1:16" s="2" customFormat="1" ht="15.75" customHeight="1" x14ac:dyDescent="0.35">
      <c r="A865" s="118" t="str">
        <f ca="1">N865</f>
        <v>304,..,1304</v>
      </c>
      <c r="B865" s="118"/>
      <c r="C865" s="82" t="s">
        <v>195</v>
      </c>
      <c r="D865" s="82">
        <f>(44.1+(0.6*(1.89+3.05))+2.15*0.75+1.5*2.45)*10.764</f>
        <v>563.51154599999995</v>
      </c>
      <c r="E865" s="82">
        <f>2.45*1.3*10.764</f>
        <v>34.283340000000003</v>
      </c>
      <c r="F865" s="82">
        <f>D865*(($F$472)+1)+E865</f>
        <v>879.55065899999988</v>
      </c>
      <c r="G865" s="118" t="str">
        <f>G864</f>
        <v xml:space="preserve"> 3rd, 5th, 7th, 9th, 11th, 13th Floor</v>
      </c>
      <c r="H865" s="118"/>
      <c r="I865" s="31"/>
      <c r="N865" s="2" t="str">
        <f ca="1">O865&amp;""&amp;",..,"&amp;""&amp;P865</f>
        <v>304,..,1304</v>
      </c>
      <c r="O865" s="2">
        <f t="shared" ca="1" si="108"/>
        <v>304</v>
      </c>
      <c r="P865" s="2">
        <f t="shared" ca="1" si="108"/>
        <v>1304</v>
      </c>
    </row>
    <row r="866" spans="1:16" s="2" customFormat="1" x14ac:dyDescent="0.35">
      <c r="A866" s="119" t="s">
        <v>219</v>
      </c>
      <c r="B866" s="119"/>
      <c r="C866" s="119"/>
      <c r="D866" s="119"/>
      <c r="E866" s="119"/>
      <c r="F866" s="119"/>
      <c r="G866" s="119"/>
      <c r="H866" s="119"/>
      <c r="I866" s="31">
        <f>3.05*3.27+3.51+1.54*1.33+1.22*2.11+1.2*2.11+3.06*2.88+3.05*2.8+2.13*3.06+2.29+3*1</f>
        <v>49.798499999999997</v>
      </c>
    </row>
    <row r="867" spans="1:16" s="2" customFormat="1" ht="15.75" customHeight="1" x14ac:dyDescent="0.35">
      <c r="A867" s="118" t="str">
        <f ca="1">N867</f>
        <v>801 &amp; 1201</v>
      </c>
      <c r="B867" s="118"/>
      <c r="C867" s="82" t="s">
        <v>195</v>
      </c>
      <c r="D867" s="82">
        <f>(45.89+(0.6*(1.98+2.45))+2.14*0.75+1.5*3.05)*10.764</f>
        <v>589.09219199999995</v>
      </c>
      <c r="E867" s="82">
        <f>3.05*1.3*10.764</f>
        <v>42.679259999999999</v>
      </c>
      <c r="F867" s="82">
        <f>D867*(($F$472)+1)+E867</f>
        <v>926.31754799999987</v>
      </c>
      <c r="G867" s="118" t="str">
        <f>A866</f>
        <v>8th &amp; 12th Floor ( Part Refuge Area)</v>
      </c>
      <c r="H867" s="118"/>
      <c r="I867" s="31"/>
      <c r="N867" s="2" t="str">
        <f ca="1">O867&amp;""&amp;" &amp; "&amp;""&amp;P867</f>
        <v>801 &amp; 1201</v>
      </c>
      <c r="O867" s="2">
        <f ca="1">(SUMPRODUCT(MID(0&amp;(LEFT(A866,SUM(LEN(A866)-LEN(SUBSTITUTE(A866,{"0","1","2"},""))))), LARGE(INDEX(ISNUMBER(--MID((LEFT(A866,SUM(LEN(A866)-LEN(SUBSTITUTE(A866,{"0","1","2"},""))))), ROW(INDIRECT("1:"&amp;LEN((LEFT(A866,SUM(LEN(A866)-LEN(SUBSTITUTE(A866,{"0","1","2"},"")))))))), 1)) * ROW(INDIRECT("1:"&amp;LEN((LEFT(A866,SUM(LEN(A866)-LEN(SUBSTITUTE(A866,{"0","1","2"},"")))))))), 0), ROW(INDIRECT("1:"&amp;LEN((LEFT(A866,SUM(LEN(A866)-LEN(SUBSTITUTE(A866,{"0","1","2"},"")))))))))+1, 1) * 10^ROW(INDIRECT("1:"&amp;LEN((LEFT(A866,SUM(LEN(A866)-LEN(SUBSTITUTE(A866,{"0","1","2"},""))))))))/10))*100+1</f>
        <v>801</v>
      </c>
      <c r="P867" s="2">
        <f ca="1">(SUMPRODUCT(MID(0&amp;(--TRIM(RIGHT(SUBSTITUTE(LEFT(A866,_xlfn.AGGREGATE(16,6,FIND({0,1,2,3,4,5,6,7,8,9},A866,ROW(INDIRECT("1:"&amp;LEN(A866)))),1))," ",REPT(" ",LEN(A866))),LEN(A866)))), LARGE(INDEX(ISNUMBER(--MID((--TRIM(RIGHT(SUBSTITUTE(LEFT(A866,_xlfn.AGGREGATE(16,6,FIND({0,1,2,3,4,5,6,7,8,9},A866,ROW(INDIRECT("1:"&amp;LEN(A866)))),1))," ",REPT(" ",LEN(A866))),LEN(A866)))), ROW(INDIRECT("1:"&amp;LEN((--TRIM(RIGHT(SUBSTITUTE(LEFT(A866,_xlfn.AGGREGATE(16,6,FIND({0,1,2,3,4,5,6,7,8,9},A866,ROW(INDIRECT("1:"&amp;LEN(A866)))),1))," ",REPT(" ",LEN(A866))),LEN(A866))))))), 1)) * ROW(INDIRECT("1:"&amp;LEN((--TRIM(RIGHT(SUBSTITUTE(LEFT(A866,_xlfn.AGGREGATE(16,6,FIND({0,1,2,3,4,5,6,7,8,9},A866,ROW(INDIRECT("1:"&amp;LEN(A866)))),1))," ",REPT(" ",LEN(A866))),LEN(A866))))))), 0), ROW(INDIRECT("1:"&amp;LEN((--TRIM(RIGHT(SUBSTITUTE(LEFT(A866,_xlfn.AGGREGATE(16,6,FIND({0,1,2,3,4,5,6,7,8,9},A866,ROW(INDIRECT("1:"&amp;LEN(A866)))),1))," ",REPT(" ",LEN(A866))),LEN(A866))))))))+1, 1) * 10^ROW(INDIRECT("1:"&amp;LEN((--TRIM(RIGHT(SUBSTITUTE(LEFT(A866,_xlfn.AGGREGATE(16,6,FIND({0,1,2,3,4,5,6,7,8,9},A866,ROW(INDIRECT("1:"&amp;LEN(A866)))),1))," ",REPT(" ",LEN(A866))),LEN(A866)))))))/10))*100+1</f>
        <v>1201</v>
      </c>
    </row>
    <row r="868" spans="1:16" s="2" customFormat="1" ht="15.75" customHeight="1" x14ac:dyDescent="0.35">
      <c r="A868" s="118" t="str">
        <f ca="1">N868</f>
        <v>802 &amp; 1202</v>
      </c>
      <c r="B868" s="118"/>
      <c r="C868" s="82" t="s">
        <v>195</v>
      </c>
      <c r="D868" s="82">
        <f>(45.89+(0.6*(1.98+2.45))+2.14*0.75+1.5*3.05)*10.764</f>
        <v>589.09219199999995</v>
      </c>
      <c r="E868" s="82">
        <f>3.05*1.3*10.764</f>
        <v>42.679259999999999</v>
      </c>
      <c r="F868" s="82">
        <f>D868*(($F$472)+1)+E868</f>
        <v>926.31754799999987</v>
      </c>
      <c r="G868" s="118" t="str">
        <f>G867</f>
        <v>8th &amp; 12th Floor ( Part Refuge Area)</v>
      </c>
      <c r="H868" s="118"/>
      <c r="I868" s="31"/>
      <c r="N868" s="2" t="str">
        <f ca="1">O868&amp;""&amp;" &amp; "&amp;""&amp;P868</f>
        <v>802 &amp; 1202</v>
      </c>
      <c r="O868" s="2">
        <f t="shared" ref="O868:P870" ca="1" si="109">O867+1</f>
        <v>802</v>
      </c>
      <c r="P868" s="2">
        <f t="shared" ca="1" si="109"/>
        <v>1202</v>
      </c>
    </row>
    <row r="869" spans="1:16" s="2" customFormat="1" ht="15.75" customHeight="1" x14ac:dyDescent="0.35">
      <c r="A869" s="118" t="str">
        <f ca="1">N869</f>
        <v>803 &amp; 1203</v>
      </c>
      <c r="B869" s="118"/>
      <c r="C869" s="118" t="s">
        <v>270</v>
      </c>
      <c r="D869" s="118"/>
      <c r="E869" s="118"/>
      <c r="F869" s="118"/>
      <c r="G869" s="118" t="str">
        <f>G868</f>
        <v>8th &amp; 12th Floor ( Part Refuge Area)</v>
      </c>
      <c r="H869" s="118"/>
      <c r="I869" s="31"/>
      <c r="N869" s="2" t="str">
        <f ca="1">O869&amp;""&amp;" &amp; "&amp;""&amp;P869</f>
        <v>803 &amp; 1203</v>
      </c>
      <c r="O869" s="2">
        <f t="shared" ca="1" si="109"/>
        <v>803</v>
      </c>
      <c r="P869" s="2">
        <f t="shared" ca="1" si="109"/>
        <v>1203</v>
      </c>
    </row>
    <row r="870" spans="1:16" s="2" customFormat="1" ht="15.75" customHeight="1" x14ac:dyDescent="0.35">
      <c r="A870" s="118" t="str">
        <f ca="1">N870</f>
        <v>804 &amp; 1204</v>
      </c>
      <c r="B870" s="118"/>
      <c r="C870" s="82" t="s">
        <v>195</v>
      </c>
      <c r="D870" s="82">
        <f>(44.1+(0.6*(1.98+2.45))+2.14*0.75+1.5*3.05)*10.764</f>
        <v>569.82463199999995</v>
      </c>
      <c r="E870" s="82">
        <f>3.05*1.3*10.764</f>
        <v>42.679259999999999</v>
      </c>
      <c r="F870" s="82">
        <f>D870*(($F$472)+1)+E870</f>
        <v>897.41620799999998</v>
      </c>
      <c r="G870" s="118" t="str">
        <f>G869</f>
        <v>8th &amp; 12th Floor ( Part Refuge Area)</v>
      </c>
      <c r="H870" s="118"/>
      <c r="I870" s="31"/>
      <c r="N870" s="2" t="str">
        <f ca="1">O870&amp;""&amp;" &amp; "&amp;""&amp;P870</f>
        <v>804 &amp; 1204</v>
      </c>
      <c r="O870" s="2">
        <f t="shared" ca="1" si="109"/>
        <v>804</v>
      </c>
      <c r="P870" s="2">
        <f t="shared" ca="1" si="109"/>
        <v>1204</v>
      </c>
    </row>
    <row r="871" spans="1:16" s="46" customFormat="1" ht="15" x14ac:dyDescent="0.35">
      <c r="A871" s="126" t="s">
        <v>266</v>
      </c>
      <c r="B871" s="127"/>
      <c r="C871" s="127"/>
      <c r="D871" s="127"/>
      <c r="E871" s="127"/>
      <c r="F871" s="127"/>
      <c r="G871" s="127"/>
      <c r="H871" s="128"/>
      <c r="I871" s="45"/>
      <c r="N871" s="45"/>
    </row>
    <row r="872" spans="1:16" s="2" customFormat="1" x14ac:dyDescent="0.35">
      <c r="A872" s="126" t="s">
        <v>200</v>
      </c>
      <c r="B872" s="127"/>
      <c r="C872" s="127"/>
      <c r="D872" s="127"/>
      <c r="E872" s="127"/>
      <c r="F872" s="127"/>
      <c r="G872" s="127"/>
      <c r="H872" s="128"/>
    </row>
    <row r="873" spans="1:16" s="2" customFormat="1" x14ac:dyDescent="0.35">
      <c r="A873" s="119" t="s">
        <v>192</v>
      </c>
      <c r="B873" s="119"/>
      <c r="C873" s="119"/>
      <c r="D873" s="119"/>
      <c r="E873" s="119"/>
      <c r="F873" s="119"/>
      <c r="G873" s="119"/>
      <c r="H873" s="119"/>
      <c r="I873" s="31"/>
      <c r="L873" s="115"/>
      <c r="M873" s="115"/>
    </row>
    <row r="874" spans="1:16" s="2" customFormat="1" x14ac:dyDescent="0.35">
      <c r="A874" s="118">
        <f>LEFT(A873,SUM(LEN(A873)-LEN(SUBSTITUTE(A873,{"0","1","2","3","4","5","6","7","8","9"},""))))*100+1</f>
        <v>101</v>
      </c>
      <c r="B874" s="118"/>
      <c r="C874" s="64" t="s">
        <v>195</v>
      </c>
      <c r="D874" s="64">
        <f>(44.58+(0.6*(1.89+3.05))+0.75*2.14+1.5*2.45)*10.764</f>
        <v>568.59753599999988</v>
      </c>
      <c r="E874" s="64">
        <f>2.45*1.3*10.764</f>
        <v>34.283340000000003</v>
      </c>
      <c r="F874" s="64">
        <f>D874*(($F$472)+1)+E874</f>
        <v>887.17964399999983</v>
      </c>
      <c r="G874" s="118" t="str">
        <f>A873</f>
        <v>1st Floor</v>
      </c>
      <c r="H874" s="118"/>
      <c r="I874" s="31"/>
      <c r="N874" s="31"/>
    </row>
    <row r="875" spans="1:16" s="2" customFormat="1" x14ac:dyDescent="0.35">
      <c r="A875" s="118">
        <f>A874+1</f>
        <v>102</v>
      </c>
      <c r="B875" s="118"/>
      <c r="C875" s="64" t="s">
        <v>195</v>
      </c>
      <c r="D875" s="64">
        <f>(44.58+(0.6*(1.89+3.05))+0.75*2.14+1.5*2.45)*10.764</f>
        <v>568.59753599999988</v>
      </c>
      <c r="E875" s="64">
        <f>2.45*1.3*10.764</f>
        <v>34.283340000000003</v>
      </c>
      <c r="F875" s="64">
        <f>D875*(($F$472)+1)+E875</f>
        <v>887.17964399999983</v>
      </c>
      <c r="G875" s="118" t="str">
        <f>G874</f>
        <v>1st Floor</v>
      </c>
      <c r="H875" s="118"/>
      <c r="I875" s="31"/>
      <c r="N875" s="31"/>
    </row>
    <row r="876" spans="1:16" s="2" customFormat="1" x14ac:dyDescent="0.35">
      <c r="A876" s="118">
        <f>A875+1</f>
        <v>103</v>
      </c>
      <c r="B876" s="118"/>
      <c r="C876" s="64" t="s">
        <v>195</v>
      </c>
      <c r="D876" s="64">
        <f>46.23*10.764</f>
        <v>497.61971999999992</v>
      </c>
      <c r="E876" s="64">
        <f>18.95*10.764</f>
        <v>203.97779999999997</v>
      </c>
      <c r="F876" s="64">
        <f>D876*(($F$472)+1)+E876</f>
        <v>950.40737999999988</v>
      </c>
      <c r="G876" s="118" t="str">
        <f>G875</f>
        <v>1st Floor</v>
      </c>
      <c r="H876" s="118"/>
      <c r="I876" s="31"/>
      <c r="N876" s="31"/>
    </row>
    <row r="877" spans="1:16" s="2" customFormat="1" x14ac:dyDescent="0.35">
      <c r="A877" s="118">
        <f>A876+1</f>
        <v>104</v>
      </c>
      <c r="B877" s="118"/>
      <c r="C877" s="64" t="s">
        <v>195</v>
      </c>
      <c r="D877" s="64">
        <f>46.23*10.764</f>
        <v>497.61971999999992</v>
      </c>
      <c r="E877" s="64">
        <f>18.95*10.764</f>
        <v>203.97779999999997</v>
      </c>
      <c r="F877" s="64">
        <f>D877*(($F$472)+1)+E877</f>
        <v>950.40737999999988</v>
      </c>
      <c r="G877" s="118" t="str">
        <f>G876</f>
        <v>1st Floor</v>
      </c>
      <c r="H877" s="118"/>
      <c r="I877" s="31"/>
      <c r="N877" s="31"/>
    </row>
    <row r="878" spans="1:16" s="2" customFormat="1" ht="15.75" customHeight="1" x14ac:dyDescent="0.35">
      <c r="A878" s="126" t="s">
        <v>199</v>
      </c>
      <c r="B878" s="127"/>
      <c r="C878" s="127"/>
      <c r="D878" s="127"/>
      <c r="E878" s="127"/>
      <c r="F878" s="127"/>
      <c r="G878" s="127"/>
      <c r="H878" s="128"/>
      <c r="I878" s="31"/>
    </row>
    <row r="879" spans="1:16" s="2" customFormat="1" ht="15.75" customHeight="1" x14ac:dyDescent="0.35">
      <c r="A879" s="116" t="str">
        <f ca="1">N879</f>
        <v>201,..,1401</v>
      </c>
      <c r="B879" s="117"/>
      <c r="C879" s="64" t="s">
        <v>195</v>
      </c>
      <c r="D879" s="64">
        <f>(44.68+(0.6*2.75)+2.14*0.75+1.5*3.05)*10.764</f>
        <v>565.21763999999985</v>
      </c>
      <c r="E879" s="64">
        <f>3.05*1.3*10.764</f>
        <v>42.679259999999999</v>
      </c>
      <c r="F879" s="64">
        <f>D879*(($F$472)+1)+E879</f>
        <v>890.50571999999977</v>
      </c>
      <c r="G879" s="144" t="str">
        <f>A878</f>
        <v>2nd, 4th, 6th, 10th, 14th Floor</v>
      </c>
      <c r="H879" s="145"/>
      <c r="I879" s="31"/>
      <c r="N879" s="2" t="str">
        <f ca="1">O879&amp;""&amp;",..,"&amp;""&amp;P879</f>
        <v>201,..,1401</v>
      </c>
      <c r="O879" s="2">
        <f ca="1">(SUMPRODUCT(MID(0&amp;(LEFT(A878,SUM(LEN(A878)-LEN(SUBSTITUTE(A878,{"0","1","2"},""))))), LARGE(INDEX(ISNUMBER(--MID((LEFT(A878,SUM(LEN(A878)-LEN(SUBSTITUTE(A878,{"0","1","2"},""))))), ROW(INDIRECT("1:"&amp;LEN((LEFT(A878,SUM(LEN(A878)-LEN(SUBSTITUTE(A878,{"0","1","2"},"")))))))), 1)) * ROW(INDIRECT("1:"&amp;LEN((LEFT(A878,SUM(LEN(A878)-LEN(SUBSTITUTE(A878,{"0","1","2"},"")))))))), 0), ROW(INDIRECT("1:"&amp;LEN((LEFT(A878,SUM(LEN(A878)-LEN(SUBSTITUTE(A878,{"0","1","2"},"")))))))))+1, 1) * 10^ROW(INDIRECT("1:"&amp;LEN((LEFT(A878,SUM(LEN(A878)-LEN(SUBSTITUTE(A878,{"0","1","2"},""))))))))/10))*100+1</f>
        <v>201</v>
      </c>
      <c r="P879" s="2">
        <f ca="1">(SUMPRODUCT(MID(0&amp;(--TRIM(RIGHT(SUBSTITUTE(LEFT(A878,_xlfn.AGGREGATE(16,6,FIND({0,1,2,3,4,5,6,7,8,9},A878,ROW(INDIRECT("1:"&amp;LEN(A878)))),1))," ",REPT(" ",LEN(A878))),LEN(A878)))), LARGE(INDEX(ISNUMBER(--MID((--TRIM(RIGHT(SUBSTITUTE(LEFT(A878,_xlfn.AGGREGATE(16,6,FIND({0,1,2,3,4,5,6,7,8,9},A878,ROW(INDIRECT("1:"&amp;LEN(A878)))),1))," ",REPT(" ",LEN(A878))),LEN(A878)))), ROW(INDIRECT("1:"&amp;LEN((--TRIM(RIGHT(SUBSTITUTE(LEFT(A878,_xlfn.AGGREGATE(16,6,FIND({0,1,2,3,4,5,6,7,8,9},A878,ROW(INDIRECT("1:"&amp;LEN(A878)))),1))," ",REPT(" ",LEN(A878))),LEN(A878))))))), 1)) * ROW(INDIRECT("1:"&amp;LEN((--TRIM(RIGHT(SUBSTITUTE(LEFT(A878,_xlfn.AGGREGATE(16,6,FIND({0,1,2,3,4,5,6,7,8,9},A878,ROW(INDIRECT("1:"&amp;LEN(A878)))),1))," ",REPT(" ",LEN(A878))),LEN(A878))))))), 0), ROW(INDIRECT("1:"&amp;LEN((--TRIM(RIGHT(SUBSTITUTE(LEFT(A878,_xlfn.AGGREGATE(16,6,FIND({0,1,2,3,4,5,6,7,8,9},A878,ROW(INDIRECT("1:"&amp;LEN(A878)))),1))," ",REPT(" ",LEN(A878))),LEN(A878))))))))+1, 1) * 10^ROW(INDIRECT("1:"&amp;LEN((--TRIM(RIGHT(SUBSTITUTE(LEFT(A878,_xlfn.AGGREGATE(16,6,FIND({0,1,2,3,4,5,6,7,8,9},A878,ROW(INDIRECT("1:"&amp;LEN(A878)))),1))," ",REPT(" ",LEN(A878))),LEN(A878)))))))/10))*100+1</f>
        <v>1401</v>
      </c>
    </row>
    <row r="880" spans="1:16" s="2" customFormat="1" ht="15.75" customHeight="1" x14ac:dyDescent="0.35">
      <c r="A880" s="116" t="str">
        <f ca="1">N880</f>
        <v>202,..,1402</v>
      </c>
      <c r="B880" s="117"/>
      <c r="C880" s="64" t="s">
        <v>195</v>
      </c>
      <c r="D880" s="64">
        <f>(44.68+(0.6*2.75)+2.14*0.75+1.5*3.05)*10.764</f>
        <v>565.21763999999985</v>
      </c>
      <c r="E880" s="64">
        <f>3.05*1.3*10.764</f>
        <v>42.679259999999999</v>
      </c>
      <c r="F880" s="64">
        <f>D880*(($F$472)+1)+E880</f>
        <v>890.50571999999977</v>
      </c>
      <c r="G880" s="146" t="str">
        <f>G879</f>
        <v>2nd, 4th, 6th, 10th, 14th Floor</v>
      </c>
      <c r="H880" s="147"/>
      <c r="I880" s="31"/>
      <c r="N880" s="2" t="str">
        <f ca="1">O880&amp;""&amp;",..,"&amp;""&amp;P880</f>
        <v>202,..,1402</v>
      </c>
      <c r="O880" s="2">
        <f t="shared" ref="O880:P882" ca="1" si="110">O879+1</f>
        <v>202</v>
      </c>
      <c r="P880" s="2">
        <f t="shared" ca="1" si="110"/>
        <v>1402</v>
      </c>
    </row>
    <row r="881" spans="1:16" s="2" customFormat="1" ht="15.75" customHeight="1" x14ac:dyDescent="0.35">
      <c r="A881" s="116" t="str">
        <f ca="1">N881</f>
        <v>203,..,1403</v>
      </c>
      <c r="B881" s="117"/>
      <c r="C881" s="64" t="s">
        <v>195</v>
      </c>
      <c r="D881" s="64">
        <f>(46.49+(0.6*(1.98+2.75))+2.15*0.75+1.5*3.05)*10.764</f>
        <v>597.56884200000002</v>
      </c>
      <c r="E881" s="64">
        <f>3.05*1.3*10.764</f>
        <v>42.679259999999999</v>
      </c>
      <c r="F881" s="64">
        <f>D881*(($F$472)+1)+E881</f>
        <v>939.03252299999997</v>
      </c>
      <c r="G881" s="146" t="str">
        <f>G880</f>
        <v>2nd, 4th, 6th, 10th, 14th Floor</v>
      </c>
      <c r="H881" s="147"/>
      <c r="I881" s="31"/>
      <c r="N881" s="2" t="str">
        <f ca="1">O881&amp;""&amp;",..,"&amp;""&amp;P881</f>
        <v>203,..,1403</v>
      </c>
      <c r="O881" s="2">
        <f t="shared" ca="1" si="110"/>
        <v>203</v>
      </c>
      <c r="P881" s="2">
        <f t="shared" ca="1" si="110"/>
        <v>1403</v>
      </c>
    </row>
    <row r="882" spans="1:16" s="2" customFormat="1" ht="15.75" customHeight="1" x14ac:dyDescent="0.35">
      <c r="A882" s="116" t="str">
        <f ca="1">N882</f>
        <v>204,..,1404</v>
      </c>
      <c r="B882" s="117"/>
      <c r="C882" s="64" t="s">
        <v>195</v>
      </c>
      <c r="D882" s="64">
        <f>(46.49+(0.6*(1.98+2.75))+2.15*0.75+1.5*3.05)*10.764</f>
        <v>597.56884200000002</v>
      </c>
      <c r="E882" s="64">
        <f>3.05*1.3*10.764</f>
        <v>42.679259999999999</v>
      </c>
      <c r="F882" s="64">
        <f>D882*(($F$472)+1)+E882</f>
        <v>939.03252299999997</v>
      </c>
      <c r="G882" s="146" t="str">
        <f>G881</f>
        <v>2nd, 4th, 6th, 10th, 14th Floor</v>
      </c>
      <c r="H882" s="147"/>
      <c r="I882" s="31"/>
      <c r="N882" s="2" t="str">
        <f ca="1">O882&amp;""&amp;",..,"&amp;""&amp;P882</f>
        <v>204,..,1404</v>
      </c>
      <c r="O882" s="2">
        <f t="shared" ca="1" si="110"/>
        <v>204</v>
      </c>
      <c r="P882" s="2">
        <f t="shared" ca="1" si="110"/>
        <v>1404</v>
      </c>
    </row>
    <row r="883" spans="1:16" s="2" customFormat="1" ht="15.75" customHeight="1" x14ac:dyDescent="0.35">
      <c r="A883" s="126" t="s">
        <v>268</v>
      </c>
      <c r="B883" s="127"/>
      <c r="C883" s="127"/>
      <c r="D883" s="127"/>
      <c r="E883" s="127"/>
      <c r="F883" s="127"/>
      <c r="G883" s="127"/>
      <c r="H883" s="128"/>
      <c r="I883" s="31"/>
    </row>
    <row r="884" spans="1:16" s="2" customFormat="1" ht="15.75" customHeight="1" x14ac:dyDescent="0.35">
      <c r="A884" s="116" t="str">
        <f ca="1">N884</f>
        <v>301,..,1301</v>
      </c>
      <c r="B884" s="117"/>
      <c r="C884" s="64" t="s">
        <v>195</v>
      </c>
      <c r="D884" s="64">
        <f>(44.68+(0.6*(1.89+3.05))+2.15*0.75+1.5*2.75)*10.764</f>
        <v>574.59846599999992</v>
      </c>
      <c r="E884" s="64">
        <f>2.45*1.3*10.764</f>
        <v>34.283340000000003</v>
      </c>
      <c r="F884" s="64">
        <f>D884*(($F$472)+1)+E884</f>
        <v>896.18103899999983</v>
      </c>
      <c r="G884" s="144" t="str">
        <f>A883</f>
        <v xml:space="preserve"> 3rd, 5th, 7th, 9th, 11th, 13th Floor</v>
      </c>
      <c r="H884" s="145"/>
      <c r="I884" s="31"/>
      <c r="N884" s="2" t="str">
        <f ca="1">O884&amp;""&amp;",..,"&amp;""&amp;P884</f>
        <v>301,..,1301</v>
      </c>
      <c r="O884" s="2">
        <f ca="1">(SUMPRODUCT(MID(0&amp;(LEFT(A883,SUM(LEN(A883)-LEN(SUBSTITUTE(A883,{"0","1","2"},""))))), LARGE(INDEX(ISNUMBER(--MID((LEFT(A883,SUM(LEN(A883)-LEN(SUBSTITUTE(A883,{"0","1","2"},""))))), ROW(INDIRECT("1:"&amp;LEN((LEFT(A883,SUM(LEN(A883)-LEN(SUBSTITUTE(A883,{"0","1","2"},"")))))))), 1)) * ROW(INDIRECT("1:"&amp;LEN((LEFT(A883,SUM(LEN(A883)-LEN(SUBSTITUTE(A883,{"0","1","2"},"")))))))), 0), ROW(INDIRECT("1:"&amp;LEN((LEFT(A883,SUM(LEN(A883)-LEN(SUBSTITUTE(A883,{"0","1","2"},"")))))))))+1, 1) * 10^ROW(INDIRECT("1:"&amp;LEN((LEFT(A883,SUM(LEN(A883)-LEN(SUBSTITUTE(A883,{"0","1","2"},""))))))))/10))*100+1</f>
        <v>301</v>
      </c>
      <c r="P884" s="2">
        <f ca="1">(SUMPRODUCT(MID(0&amp;(--TRIM(RIGHT(SUBSTITUTE(LEFT(A883,_xlfn.AGGREGATE(16,6,FIND({0,1,2,3,4,5,6,7,8,9},A883,ROW(INDIRECT("1:"&amp;LEN(A883)))),1))," ",REPT(" ",LEN(A883))),LEN(A883)))), LARGE(INDEX(ISNUMBER(--MID((--TRIM(RIGHT(SUBSTITUTE(LEFT(A883,_xlfn.AGGREGATE(16,6,FIND({0,1,2,3,4,5,6,7,8,9},A883,ROW(INDIRECT("1:"&amp;LEN(A883)))),1))," ",REPT(" ",LEN(A883))),LEN(A883)))), ROW(INDIRECT("1:"&amp;LEN((--TRIM(RIGHT(SUBSTITUTE(LEFT(A883,_xlfn.AGGREGATE(16,6,FIND({0,1,2,3,4,5,6,7,8,9},A883,ROW(INDIRECT("1:"&amp;LEN(A883)))),1))," ",REPT(" ",LEN(A883))),LEN(A883))))))), 1)) * ROW(INDIRECT("1:"&amp;LEN((--TRIM(RIGHT(SUBSTITUTE(LEFT(A883,_xlfn.AGGREGATE(16,6,FIND({0,1,2,3,4,5,6,7,8,9},A883,ROW(INDIRECT("1:"&amp;LEN(A883)))),1))," ",REPT(" ",LEN(A883))),LEN(A883))))))), 0), ROW(INDIRECT("1:"&amp;LEN((--TRIM(RIGHT(SUBSTITUTE(LEFT(A883,_xlfn.AGGREGATE(16,6,FIND({0,1,2,3,4,5,6,7,8,9},A883,ROW(INDIRECT("1:"&amp;LEN(A883)))),1))," ",REPT(" ",LEN(A883))),LEN(A883))))))))+1, 1) * 10^ROW(INDIRECT("1:"&amp;LEN((--TRIM(RIGHT(SUBSTITUTE(LEFT(A883,_xlfn.AGGREGATE(16,6,FIND({0,1,2,3,4,5,6,7,8,9},A883,ROW(INDIRECT("1:"&amp;LEN(A883)))),1))," ",REPT(" ",LEN(A883))),LEN(A883)))))))/10))*100+1</f>
        <v>1301</v>
      </c>
    </row>
    <row r="885" spans="1:16" s="2" customFormat="1" ht="15.75" customHeight="1" x14ac:dyDescent="0.35">
      <c r="A885" s="116" t="str">
        <f ca="1">N885</f>
        <v>302,..,1302</v>
      </c>
      <c r="B885" s="117"/>
      <c r="C885" s="64" t="s">
        <v>195</v>
      </c>
      <c r="D885" s="64">
        <f>(44.68+(0.6*(1.89+3.05))+2.15*0.75+1.5*2.75)*10.764</f>
        <v>574.59846599999992</v>
      </c>
      <c r="E885" s="64">
        <f>2.45*1.3*10.764</f>
        <v>34.283340000000003</v>
      </c>
      <c r="F885" s="64">
        <f>D885*(($F$472)+1)+E885</f>
        <v>896.18103899999983</v>
      </c>
      <c r="G885" s="146" t="str">
        <f>G884</f>
        <v xml:space="preserve"> 3rd, 5th, 7th, 9th, 11th, 13th Floor</v>
      </c>
      <c r="H885" s="147"/>
      <c r="I885" s="31"/>
      <c r="N885" s="2" t="str">
        <f ca="1">O885&amp;""&amp;",..,"&amp;""&amp;P885</f>
        <v>302,..,1302</v>
      </c>
      <c r="O885" s="2">
        <f t="shared" ref="O885:P887" ca="1" si="111">O884+1</f>
        <v>302</v>
      </c>
      <c r="P885" s="2">
        <f t="shared" ca="1" si="111"/>
        <v>1302</v>
      </c>
    </row>
    <row r="886" spans="1:16" s="2" customFormat="1" ht="15.75" customHeight="1" x14ac:dyDescent="0.35">
      <c r="A886" s="116" t="str">
        <f ca="1">N886</f>
        <v>303,..,1303</v>
      </c>
      <c r="B886" s="117"/>
      <c r="C886" s="64" t="s">
        <v>195</v>
      </c>
      <c r="D886" s="64">
        <f>(46.49+(0.6*(1.89+3.05))+2.15*0.75+1.5*2.75)*10.764</f>
        <v>594.08130599999993</v>
      </c>
      <c r="E886" s="64">
        <f>2.45*1.3*10.764</f>
        <v>34.283340000000003</v>
      </c>
      <c r="F886" s="64">
        <f>D886*(($F$472)+1)+E886</f>
        <v>925.40529899999979</v>
      </c>
      <c r="G886" s="146" t="str">
        <f>G885</f>
        <v xml:space="preserve"> 3rd, 5th, 7th, 9th, 11th, 13th Floor</v>
      </c>
      <c r="H886" s="147"/>
      <c r="I886" s="31"/>
      <c r="N886" s="2" t="str">
        <f ca="1">O886&amp;""&amp;",..,"&amp;""&amp;P886</f>
        <v>303,..,1303</v>
      </c>
      <c r="O886" s="2">
        <f t="shared" ca="1" si="111"/>
        <v>303</v>
      </c>
      <c r="P886" s="2">
        <f t="shared" ca="1" si="111"/>
        <v>1303</v>
      </c>
    </row>
    <row r="887" spans="1:16" s="2" customFormat="1" ht="15.75" customHeight="1" x14ac:dyDescent="0.35">
      <c r="A887" s="116" t="str">
        <f ca="1">N887</f>
        <v>304,..,1304</v>
      </c>
      <c r="B887" s="117"/>
      <c r="C887" s="64" t="s">
        <v>195</v>
      </c>
      <c r="D887" s="64">
        <f>(46.49+(0.6*(1.89+3.05))+2.15*0.75+1.5*2.75)*10.764</f>
        <v>594.08130599999993</v>
      </c>
      <c r="E887" s="64">
        <f>2.45*1.3*10.764</f>
        <v>34.283340000000003</v>
      </c>
      <c r="F887" s="64">
        <f>D887*(($F$472)+1)+E887</f>
        <v>925.40529899999979</v>
      </c>
      <c r="G887" s="146" t="str">
        <f>G886</f>
        <v xml:space="preserve"> 3rd, 5th, 7th, 9th, 11th, 13th Floor</v>
      </c>
      <c r="H887" s="147"/>
      <c r="I887" s="31"/>
      <c r="N887" s="2" t="str">
        <f ca="1">O887&amp;""&amp;",..,"&amp;""&amp;P887</f>
        <v>304,..,1304</v>
      </c>
      <c r="O887" s="2">
        <f t="shared" ca="1" si="111"/>
        <v>304</v>
      </c>
      <c r="P887" s="2">
        <f t="shared" ca="1" si="111"/>
        <v>1304</v>
      </c>
    </row>
    <row r="888" spans="1:16" s="2" customFormat="1" x14ac:dyDescent="0.35">
      <c r="A888" s="126" t="s">
        <v>219</v>
      </c>
      <c r="B888" s="127"/>
      <c r="C888" s="127"/>
      <c r="D888" s="127"/>
      <c r="E888" s="127"/>
      <c r="F888" s="127"/>
      <c r="G888" s="127"/>
      <c r="H888" s="128"/>
      <c r="I888" s="31">
        <f>3.05*3.27+3.51+1.54*1.33+1.22*2.11+1.2*2.11+3.06*2.88+3.05*2.8+2.13*3.06+2.29+3*1</f>
        <v>49.798499999999997</v>
      </c>
    </row>
    <row r="889" spans="1:16" s="2" customFormat="1" ht="15.75" customHeight="1" x14ac:dyDescent="0.35">
      <c r="A889" s="144" t="str">
        <f ca="1">N889</f>
        <v>801 &amp; 1201</v>
      </c>
      <c r="B889" s="145"/>
      <c r="C889" s="67" t="s">
        <v>195</v>
      </c>
      <c r="D889" s="67">
        <f>(44.68+(0.6*(1.98+2.45))+2.15*0.75+1.5*3.05)*10.764</f>
        <v>576.14848199999994</v>
      </c>
      <c r="E889" s="64">
        <f>3.05*1.3*10.764</f>
        <v>42.679259999999999</v>
      </c>
      <c r="F889" s="64">
        <f>D889*(($F$472)+1)+E889</f>
        <v>906.90198299999986</v>
      </c>
      <c r="G889" s="144" t="str">
        <f>A888</f>
        <v>8th &amp; 12th Floor ( Part Refuge Area)</v>
      </c>
      <c r="H889" s="145"/>
      <c r="I889" s="31"/>
      <c r="N889" s="2" t="str">
        <f ca="1">O889&amp;""&amp;" &amp; "&amp;""&amp;P889</f>
        <v>801 &amp; 1201</v>
      </c>
      <c r="O889" s="2">
        <f ca="1">(SUMPRODUCT(MID(0&amp;(LEFT(A888,SUM(LEN(A888)-LEN(SUBSTITUTE(A888,{"0","1","2"},""))))), LARGE(INDEX(ISNUMBER(--MID((LEFT(A888,SUM(LEN(A888)-LEN(SUBSTITUTE(A888,{"0","1","2"},""))))), ROW(INDIRECT("1:"&amp;LEN((LEFT(A888,SUM(LEN(A888)-LEN(SUBSTITUTE(A888,{"0","1","2"},"")))))))), 1)) * ROW(INDIRECT("1:"&amp;LEN((LEFT(A888,SUM(LEN(A888)-LEN(SUBSTITUTE(A888,{"0","1","2"},"")))))))), 0), ROW(INDIRECT("1:"&amp;LEN((LEFT(A888,SUM(LEN(A888)-LEN(SUBSTITUTE(A888,{"0","1","2"},"")))))))))+1, 1) * 10^ROW(INDIRECT("1:"&amp;LEN((LEFT(A888,SUM(LEN(A888)-LEN(SUBSTITUTE(A888,{"0","1","2"},""))))))))/10))*100+1</f>
        <v>801</v>
      </c>
      <c r="P889" s="2">
        <f ca="1">(SUMPRODUCT(MID(0&amp;(--TRIM(RIGHT(SUBSTITUTE(LEFT(A888,_xlfn.AGGREGATE(16,6,FIND({0,1,2,3,4,5,6,7,8,9},A888,ROW(INDIRECT("1:"&amp;LEN(A888)))),1))," ",REPT(" ",LEN(A888))),LEN(A888)))), LARGE(INDEX(ISNUMBER(--MID((--TRIM(RIGHT(SUBSTITUTE(LEFT(A888,_xlfn.AGGREGATE(16,6,FIND({0,1,2,3,4,5,6,7,8,9},A888,ROW(INDIRECT("1:"&amp;LEN(A888)))),1))," ",REPT(" ",LEN(A888))),LEN(A888)))), ROW(INDIRECT("1:"&amp;LEN((--TRIM(RIGHT(SUBSTITUTE(LEFT(A888,_xlfn.AGGREGATE(16,6,FIND({0,1,2,3,4,5,6,7,8,9},A888,ROW(INDIRECT("1:"&amp;LEN(A888)))),1))," ",REPT(" ",LEN(A888))),LEN(A888))))))), 1)) * ROW(INDIRECT("1:"&amp;LEN((--TRIM(RIGHT(SUBSTITUTE(LEFT(A888,_xlfn.AGGREGATE(16,6,FIND({0,1,2,3,4,5,6,7,8,9},A888,ROW(INDIRECT("1:"&amp;LEN(A888)))),1))," ",REPT(" ",LEN(A888))),LEN(A888))))))), 0), ROW(INDIRECT("1:"&amp;LEN((--TRIM(RIGHT(SUBSTITUTE(LEFT(A888,_xlfn.AGGREGATE(16,6,FIND({0,1,2,3,4,5,6,7,8,9},A888,ROW(INDIRECT("1:"&amp;LEN(A888)))),1))," ",REPT(" ",LEN(A888))),LEN(A888))))))))+1, 1) * 10^ROW(INDIRECT("1:"&amp;LEN((--TRIM(RIGHT(SUBSTITUTE(LEFT(A888,_xlfn.AGGREGATE(16,6,FIND({0,1,2,3,4,5,6,7,8,9},A888,ROW(INDIRECT("1:"&amp;LEN(A888)))),1))," ",REPT(" ",LEN(A888))),LEN(A888)))))))/10))*100+1</f>
        <v>1201</v>
      </c>
    </row>
    <row r="890" spans="1:16" s="2" customFormat="1" ht="15.75" customHeight="1" x14ac:dyDescent="0.35">
      <c r="A890" s="118" t="str">
        <f ca="1">N890</f>
        <v>802 &amp; 1202</v>
      </c>
      <c r="B890" s="118"/>
      <c r="C890" s="64" t="s">
        <v>195</v>
      </c>
      <c r="D890" s="67">
        <f>(44.68+(0.6*(1.98+2.45))+2.15*0.75+1.5*3.05)*10.764</f>
        <v>576.14848199999994</v>
      </c>
      <c r="E890" s="64">
        <f>3.05*1.3*10.764</f>
        <v>42.679259999999999</v>
      </c>
      <c r="F890" s="64">
        <f>D890*(($F$472)+1)+E890</f>
        <v>906.90198299999986</v>
      </c>
      <c r="G890" s="146" t="str">
        <f>G889</f>
        <v>8th &amp; 12th Floor ( Part Refuge Area)</v>
      </c>
      <c r="H890" s="147"/>
      <c r="I890" s="31"/>
      <c r="N890" s="2" t="str">
        <f ca="1">O890&amp;""&amp;" &amp; "&amp;""&amp;P890</f>
        <v>802 &amp; 1202</v>
      </c>
      <c r="O890" s="2">
        <f ca="1">O889+1</f>
        <v>802</v>
      </c>
      <c r="P890" s="2">
        <f ca="1">P889+1</f>
        <v>1202</v>
      </c>
    </row>
    <row r="891" spans="1:16" s="2" customFormat="1" ht="15.75" customHeight="1" x14ac:dyDescent="0.35">
      <c r="A891" s="148" t="str">
        <f ca="1">N891</f>
        <v>803 &amp; 1203</v>
      </c>
      <c r="B891" s="149"/>
      <c r="C891" s="66" t="s">
        <v>195</v>
      </c>
      <c r="D891" s="67">
        <f>(46.49+(0.6*(1.98+2.45))+2.15*0.75+1.5*3.05)*10.764</f>
        <v>595.63132199999995</v>
      </c>
      <c r="E891" s="64">
        <f>3.05*1.3*10.764</f>
        <v>42.679259999999999</v>
      </c>
      <c r="F891" s="64">
        <f>D891*(($F$472)+1)+E891</f>
        <v>936.12624299999993</v>
      </c>
      <c r="G891" s="148" t="str">
        <f>G890</f>
        <v>8th &amp; 12th Floor ( Part Refuge Area)</v>
      </c>
      <c r="H891" s="149"/>
      <c r="I891" s="31"/>
      <c r="N891" s="2" t="str">
        <f ca="1">O891&amp;""&amp;" &amp; "&amp;""&amp;P891</f>
        <v>803 &amp; 1203</v>
      </c>
      <c r="O891" s="2">
        <f ca="1">O890+1</f>
        <v>803</v>
      </c>
      <c r="P891" s="2">
        <f ca="1">P890+1</f>
        <v>1203</v>
      </c>
    </row>
    <row r="892" spans="1:16" s="46" customFormat="1" ht="15" x14ac:dyDescent="0.35">
      <c r="A892" s="126" t="s">
        <v>267</v>
      </c>
      <c r="B892" s="127"/>
      <c r="C892" s="127"/>
      <c r="D892" s="127"/>
      <c r="E892" s="127"/>
      <c r="F892" s="127"/>
      <c r="G892" s="127"/>
      <c r="H892" s="128"/>
      <c r="I892" s="45"/>
      <c r="N892" s="45"/>
    </row>
    <row r="893" spans="1:16" s="2" customFormat="1" x14ac:dyDescent="0.35">
      <c r="A893" s="126" t="s">
        <v>200</v>
      </c>
      <c r="B893" s="127"/>
      <c r="C893" s="127"/>
      <c r="D893" s="127"/>
      <c r="E893" s="127"/>
      <c r="F893" s="127"/>
      <c r="G893" s="127"/>
      <c r="H893" s="128"/>
    </row>
    <row r="894" spans="1:16" s="2" customFormat="1" x14ac:dyDescent="0.35">
      <c r="A894" s="126" t="s">
        <v>192</v>
      </c>
      <c r="B894" s="127"/>
      <c r="C894" s="127"/>
      <c r="D894" s="127"/>
      <c r="E894" s="127"/>
      <c r="F894" s="127"/>
      <c r="G894" s="127"/>
      <c r="H894" s="128"/>
      <c r="I894" s="31"/>
      <c r="L894" s="115"/>
      <c r="M894" s="115"/>
    </row>
    <row r="895" spans="1:16" s="2" customFormat="1" x14ac:dyDescent="0.35">
      <c r="A895" s="116">
        <f>LEFT(A894,SUM(LEN(A894)-LEN(SUBSTITUTE(A894,{"0","1","2","3","4","5","6","7","8","9"},""))))*100+1</f>
        <v>101</v>
      </c>
      <c r="B895" s="117"/>
      <c r="C895" s="64" t="s">
        <v>195</v>
      </c>
      <c r="D895" s="64">
        <f>(44.58+(0.6*(1.89+3.05))+0.75*2.14+1.5*2.45)*10.764</f>
        <v>568.59753599999988</v>
      </c>
      <c r="E895" s="64">
        <f>2.45*1.3*10.764</f>
        <v>34.283340000000003</v>
      </c>
      <c r="F895" s="64">
        <f>D895*(($F$472)+1)+E895</f>
        <v>887.17964399999983</v>
      </c>
      <c r="G895" s="116" t="str">
        <f>A894</f>
        <v>1st Floor</v>
      </c>
      <c r="H895" s="117"/>
      <c r="I895" s="31"/>
      <c r="N895" s="31"/>
    </row>
    <row r="896" spans="1:16" s="2" customFormat="1" x14ac:dyDescent="0.35">
      <c r="A896" s="116">
        <f>A895+1</f>
        <v>102</v>
      </c>
      <c r="B896" s="117"/>
      <c r="C896" s="64" t="s">
        <v>195</v>
      </c>
      <c r="D896" s="64">
        <f>(44.58+(0.6*(1.89+3.05))+0.75*2.14+1.5*2.45)*10.764</f>
        <v>568.59753599999988</v>
      </c>
      <c r="E896" s="64">
        <f>2.45*1.3*10.764</f>
        <v>34.283340000000003</v>
      </c>
      <c r="F896" s="64">
        <f>D896*(($F$472)+1)+E896</f>
        <v>887.17964399999983</v>
      </c>
      <c r="G896" s="116" t="str">
        <f>G895</f>
        <v>1st Floor</v>
      </c>
      <c r="H896" s="117"/>
      <c r="I896" s="31"/>
      <c r="N896" s="31"/>
    </row>
    <row r="897" spans="1:16" s="2" customFormat="1" x14ac:dyDescent="0.35">
      <c r="A897" s="118">
        <f>A896+1</f>
        <v>103</v>
      </c>
      <c r="B897" s="118"/>
      <c r="C897" s="64" t="s">
        <v>195</v>
      </c>
      <c r="D897" s="64">
        <f>46.23*10.764</f>
        <v>497.61971999999992</v>
      </c>
      <c r="E897" s="64">
        <f>18.95*10.764</f>
        <v>203.97779999999997</v>
      </c>
      <c r="F897" s="64">
        <f>D897*(($F$472)+1)+E897</f>
        <v>950.40737999999988</v>
      </c>
      <c r="G897" s="118" t="str">
        <f>G896</f>
        <v>1st Floor</v>
      </c>
      <c r="H897" s="118"/>
      <c r="I897" s="31"/>
      <c r="N897" s="31"/>
    </row>
    <row r="898" spans="1:16" s="2" customFormat="1" x14ac:dyDescent="0.35">
      <c r="A898" s="118">
        <f>A897+1</f>
        <v>104</v>
      </c>
      <c r="B898" s="118"/>
      <c r="C898" s="64" t="s">
        <v>195</v>
      </c>
      <c r="D898" s="64">
        <f>46.23*10.764</f>
        <v>497.61971999999992</v>
      </c>
      <c r="E898" s="64">
        <f>18.95*10.764</f>
        <v>203.97779999999997</v>
      </c>
      <c r="F898" s="64">
        <f>D898*(($F$472)+1)+E898</f>
        <v>950.40737999999988</v>
      </c>
      <c r="G898" s="118" t="str">
        <f>G897</f>
        <v>1st Floor</v>
      </c>
      <c r="H898" s="118"/>
      <c r="I898" s="31"/>
      <c r="N898" s="31"/>
    </row>
    <row r="899" spans="1:16" s="2" customFormat="1" ht="15.75" customHeight="1" x14ac:dyDescent="0.35">
      <c r="A899" s="126" t="s">
        <v>199</v>
      </c>
      <c r="B899" s="127"/>
      <c r="C899" s="127"/>
      <c r="D899" s="127"/>
      <c r="E899" s="127"/>
      <c r="F899" s="127"/>
      <c r="G899" s="127"/>
      <c r="H899" s="128"/>
      <c r="I899" s="31"/>
    </row>
    <row r="900" spans="1:16" s="2" customFormat="1" ht="15.75" customHeight="1" x14ac:dyDescent="0.35">
      <c r="A900" s="116" t="str">
        <f ca="1">N900</f>
        <v>201,..,1401</v>
      </c>
      <c r="B900" s="117"/>
      <c r="C900" s="64" t="s">
        <v>195</v>
      </c>
      <c r="D900" s="64">
        <f>(44.68+(0.6*2.75)+2.14*0.75+1.5*3.05)*10.764</f>
        <v>565.21763999999985</v>
      </c>
      <c r="E900" s="64">
        <f>3.05*1.3*10.764</f>
        <v>42.679259999999999</v>
      </c>
      <c r="F900" s="64">
        <f>D900*(($F$472)+1)+E900</f>
        <v>890.50571999999977</v>
      </c>
      <c r="G900" s="144" t="str">
        <f>A899</f>
        <v>2nd, 4th, 6th, 10th, 14th Floor</v>
      </c>
      <c r="H900" s="145"/>
      <c r="I900" s="31"/>
      <c r="N900" s="2" t="str">
        <f ca="1">O900&amp;""&amp;",..,"&amp;""&amp;P900</f>
        <v>201,..,1401</v>
      </c>
      <c r="O900" s="2">
        <f ca="1">(SUMPRODUCT(MID(0&amp;(LEFT(A899,SUM(LEN(A899)-LEN(SUBSTITUTE(A899,{"0","1","2"},""))))), LARGE(INDEX(ISNUMBER(--MID((LEFT(A899,SUM(LEN(A899)-LEN(SUBSTITUTE(A899,{"0","1","2"},""))))), ROW(INDIRECT("1:"&amp;LEN((LEFT(A899,SUM(LEN(A899)-LEN(SUBSTITUTE(A899,{"0","1","2"},"")))))))), 1)) * ROW(INDIRECT("1:"&amp;LEN((LEFT(A899,SUM(LEN(A899)-LEN(SUBSTITUTE(A899,{"0","1","2"},"")))))))), 0), ROW(INDIRECT("1:"&amp;LEN((LEFT(A899,SUM(LEN(A899)-LEN(SUBSTITUTE(A899,{"0","1","2"},"")))))))))+1, 1) * 10^ROW(INDIRECT("1:"&amp;LEN((LEFT(A899,SUM(LEN(A899)-LEN(SUBSTITUTE(A899,{"0","1","2"},""))))))))/10))*100+1</f>
        <v>201</v>
      </c>
      <c r="P900" s="2">
        <f ca="1">(SUMPRODUCT(MID(0&amp;(--TRIM(RIGHT(SUBSTITUTE(LEFT(A899,_xlfn.AGGREGATE(16,6,FIND({0,1,2,3,4,5,6,7,8,9},A899,ROW(INDIRECT("1:"&amp;LEN(A899)))),1))," ",REPT(" ",LEN(A899))),LEN(A899)))), LARGE(INDEX(ISNUMBER(--MID((--TRIM(RIGHT(SUBSTITUTE(LEFT(A899,_xlfn.AGGREGATE(16,6,FIND({0,1,2,3,4,5,6,7,8,9},A899,ROW(INDIRECT("1:"&amp;LEN(A899)))),1))," ",REPT(" ",LEN(A899))),LEN(A899)))), ROW(INDIRECT("1:"&amp;LEN((--TRIM(RIGHT(SUBSTITUTE(LEFT(A899,_xlfn.AGGREGATE(16,6,FIND({0,1,2,3,4,5,6,7,8,9},A899,ROW(INDIRECT("1:"&amp;LEN(A899)))),1))," ",REPT(" ",LEN(A899))),LEN(A899))))))), 1)) * ROW(INDIRECT("1:"&amp;LEN((--TRIM(RIGHT(SUBSTITUTE(LEFT(A899,_xlfn.AGGREGATE(16,6,FIND({0,1,2,3,4,5,6,7,8,9},A899,ROW(INDIRECT("1:"&amp;LEN(A899)))),1))," ",REPT(" ",LEN(A899))),LEN(A899))))))), 0), ROW(INDIRECT("1:"&amp;LEN((--TRIM(RIGHT(SUBSTITUTE(LEFT(A899,_xlfn.AGGREGATE(16,6,FIND({0,1,2,3,4,5,6,7,8,9},A899,ROW(INDIRECT("1:"&amp;LEN(A899)))),1))," ",REPT(" ",LEN(A899))),LEN(A899))))))))+1, 1) * 10^ROW(INDIRECT("1:"&amp;LEN((--TRIM(RIGHT(SUBSTITUTE(LEFT(A899,_xlfn.AGGREGATE(16,6,FIND({0,1,2,3,4,5,6,7,8,9},A899,ROW(INDIRECT("1:"&amp;LEN(A899)))),1))," ",REPT(" ",LEN(A899))),LEN(A899)))))))/10))*100+1</f>
        <v>1401</v>
      </c>
    </row>
    <row r="901" spans="1:16" s="2" customFormat="1" ht="15.75" customHeight="1" x14ac:dyDescent="0.35">
      <c r="A901" s="116" t="str">
        <f ca="1">N901</f>
        <v>202,..,1402</v>
      </c>
      <c r="B901" s="117"/>
      <c r="C901" s="64" t="s">
        <v>195</v>
      </c>
      <c r="D901" s="64">
        <f>(44.68+(0.6*2.75)+2.14*0.75+1.5*3.05)*10.764</f>
        <v>565.21763999999985</v>
      </c>
      <c r="E901" s="64">
        <f>3.05*1.3*10.764</f>
        <v>42.679259999999999</v>
      </c>
      <c r="F901" s="64">
        <f>D901*(($F$472)+1)+E901</f>
        <v>890.50571999999977</v>
      </c>
      <c r="G901" s="146" t="str">
        <f>G900</f>
        <v>2nd, 4th, 6th, 10th, 14th Floor</v>
      </c>
      <c r="H901" s="147"/>
      <c r="I901" s="31"/>
      <c r="N901" s="2" t="str">
        <f ca="1">O901&amp;""&amp;",..,"&amp;""&amp;P901</f>
        <v>202,..,1402</v>
      </c>
      <c r="O901" s="2">
        <f t="shared" ref="O901:P903" ca="1" si="112">O900+1</f>
        <v>202</v>
      </c>
      <c r="P901" s="2">
        <f t="shared" ca="1" si="112"/>
        <v>1402</v>
      </c>
    </row>
    <row r="902" spans="1:16" s="2" customFormat="1" ht="15.75" customHeight="1" x14ac:dyDescent="0.35">
      <c r="A902" s="116" t="str">
        <f ca="1">N902</f>
        <v>203,..,1403</v>
      </c>
      <c r="B902" s="117"/>
      <c r="C902" s="64" t="s">
        <v>195</v>
      </c>
      <c r="D902" s="64">
        <f>(46.49+(0.6*(1.98+2.75))+2.15*0.75+1.5*3.05)*10.764</f>
        <v>597.56884200000002</v>
      </c>
      <c r="E902" s="64">
        <f>3.05*1.3*10.764</f>
        <v>42.679259999999999</v>
      </c>
      <c r="F902" s="64">
        <f>D902*(($F$472)+1)+E902</f>
        <v>939.03252299999997</v>
      </c>
      <c r="G902" s="146" t="str">
        <f>G901</f>
        <v>2nd, 4th, 6th, 10th, 14th Floor</v>
      </c>
      <c r="H902" s="147"/>
      <c r="I902" s="31"/>
      <c r="N902" s="2" t="str">
        <f ca="1">O902&amp;""&amp;",..,"&amp;""&amp;P902</f>
        <v>203,..,1403</v>
      </c>
      <c r="O902" s="2">
        <f t="shared" ca="1" si="112"/>
        <v>203</v>
      </c>
      <c r="P902" s="2">
        <f t="shared" ca="1" si="112"/>
        <v>1403</v>
      </c>
    </row>
    <row r="903" spans="1:16" s="2" customFormat="1" ht="15.75" customHeight="1" x14ac:dyDescent="0.35">
      <c r="A903" s="116" t="str">
        <f ca="1">N903</f>
        <v>204,..,1404</v>
      </c>
      <c r="B903" s="117"/>
      <c r="C903" s="64" t="s">
        <v>195</v>
      </c>
      <c r="D903" s="64">
        <f>(46.49+(0.6*(1.98+2.75))+2.15*0.75+1.5*3.05)*10.764</f>
        <v>597.56884200000002</v>
      </c>
      <c r="E903" s="64">
        <f>3.05*1.3*10.764</f>
        <v>42.679259999999999</v>
      </c>
      <c r="F903" s="64">
        <f>D903*(($F$472)+1)+E903</f>
        <v>939.03252299999997</v>
      </c>
      <c r="G903" s="146" t="str">
        <f>G902</f>
        <v>2nd, 4th, 6th, 10th, 14th Floor</v>
      </c>
      <c r="H903" s="147"/>
      <c r="I903" s="31"/>
      <c r="N903" s="2" t="str">
        <f ca="1">O903&amp;""&amp;",..,"&amp;""&amp;P903</f>
        <v>204,..,1404</v>
      </c>
      <c r="O903" s="2">
        <f t="shared" ca="1" si="112"/>
        <v>204</v>
      </c>
      <c r="P903" s="2">
        <f t="shared" ca="1" si="112"/>
        <v>1404</v>
      </c>
    </row>
    <row r="904" spans="1:16" s="2" customFormat="1" ht="15.75" customHeight="1" x14ac:dyDescent="0.35">
      <c r="A904" s="126" t="s">
        <v>268</v>
      </c>
      <c r="B904" s="127"/>
      <c r="C904" s="127"/>
      <c r="D904" s="127"/>
      <c r="E904" s="127"/>
      <c r="F904" s="127"/>
      <c r="G904" s="127"/>
      <c r="H904" s="128"/>
      <c r="I904" s="31"/>
    </row>
    <row r="905" spans="1:16" s="2" customFormat="1" ht="15.75" customHeight="1" x14ac:dyDescent="0.35">
      <c r="A905" s="118" t="str">
        <f ca="1">N905</f>
        <v>301,..,1301</v>
      </c>
      <c r="B905" s="118"/>
      <c r="C905" s="82" t="s">
        <v>195</v>
      </c>
      <c r="D905" s="82">
        <f>(44.68+(0.6*(1.89+3.05))+2.15*0.75+1.5*2.75)*10.764</f>
        <v>574.59846599999992</v>
      </c>
      <c r="E905" s="82">
        <f>2.45*1.3*10.764</f>
        <v>34.283340000000003</v>
      </c>
      <c r="F905" s="82">
        <f>D905*(($F$472)+1)+E905</f>
        <v>896.18103899999983</v>
      </c>
      <c r="G905" s="118" t="str">
        <f>A904</f>
        <v xml:space="preserve"> 3rd, 5th, 7th, 9th, 11th, 13th Floor</v>
      </c>
      <c r="H905" s="118"/>
      <c r="I905" s="31"/>
      <c r="N905" s="2" t="str">
        <f ca="1">O905&amp;""&amp;",..,"&amp;""&amp;P905</f>
        <v>301,..,1301</v>
      </c>
      <c r="O905" s="2">
        <f ca="1">(SUMPRODUCT(MID(0&amp;(LEFT(A904,SUM(LEN(A904)-LEN(SUBSTITUTE(A904,{"0","1","2"},""))))), LARGE(INDEX(ISNUMBER(--MID((LEFT(A904,SUM(LEN(A904)-LEN(SUBSTITUTE(A904,{"0","1","2"},""))))), ROW(INDIRECT("1:"&amp;LEN((LEFT(A904,SUM(LEN(A904)-LEN(SUBSTITUTE(A904,{"0","1","2"},"")))))))), 1)) * ROW(INDIRECT("1:"&amp;LEN((LEFT(A904,SUM(LEN(A904)-LEN(SUBSTITUTE(A904,{"0","1","2"},"")))))))), 0), ROW(INDIRECT("1:"&amp;LEN((LEFT(A904,SUM(LEN(A904)-LEN(SUBSTITUTE(A904,{"0","1","2"},"")))))))))+1, 1) * 10^ROW(INDIRECT("1:"&amp;LEN((LEFT(A904,SUM(LEN(A904)-LEN(SUBSTITUTE(A904,{"0","1","2"},""))))))))/10))*100+1</f>
        <v>301</v>
      </c>
      <c r="P905" s="2">
        <f ca="1">(SUMPRODUCT(MID(0&amp;(--TRIM(RIGHT(SUBSTITUTE(LEFT(A904,_xlfn.AGGREGATE(16,6,FIND({0,1,2,3,4,5,6,7,8,9},A904,ROW(INDIRECT("1:"&amp;LEN(A904)))),1))," ",REPT(" ",LEN(A904))),LEN(A904)))), LARGE(INDEX(ISNUMBER(--MID((--TRIM(RIGHT(SUBSTITUTE(LEFT(A904,_xlfn.AGGREGATE(16,6,FIND({0,1,2,3,4,5,6,7,8,9},A904,ROW(INDIRECT("1:"&amp;LEN(A904)))),1))," ",REPT(" ",LEN(A904))),LEN(A904)))), ROW(INDIRECT("1:"&amp;LEN((--TRIM(RIGHT(SUBSTITUTE(LEFT(A904,_xlfn.AGGREGATE(16,6,FIND({0,1,2,3,4,5,6,7,8,9},A904,ROW(INDIRECT("1:"&amp;LEN(A904)))),1))," ",REPT(" ",LEN(A904))),LEN(A904))))))), 1)) * ROW(INDIRECT("1:"&amp;LEN((--TRIM(RIGHT(SUBSTITUTE(LEFT(A904,_xlfn.AGGREGATE(16,6,FIND({0,1,2,3,4,5,6,7,8,9},A904,ROW(INDIRECT("1:"&amp;LEN(A904)))),1))," ",REPT(" ",LEN(A904))),LEN(A904))))))), 0), ROW(INDIRECT("1:"&amp;LEN((--TRIM(RIGHT(SUBSTITUTE(LEFT(A904,_xlfn.AGGREGATE(16,6,FIND({0,1,2,3,4,5,6,7,8,9},A904,ROW(INDIRECT("1:"&amp;LEN(A904)))),1))," ",REPT(" ",LEN(A904))),LEN(A904))))))))+1, 1) * 10^ROW(INDIRECT("1:"&amp;LEN((--TRIM(RIGHT(SUBSTITUTE(LEFT(A904,_xlfn.AGGREGATE(16,6,FIND({0,1,2,3,4,5,6,7,8,9},A904,ROW(INDIRECT("1:"&amp;LEN(A904)))),1))," ",REPT(" ",LEN(A904))),LEN(A904)))))))/10))*100+1</f>
        <v>1301</v>
      </c>
    </row>
    <row r="906" spans="1:16" s="2" customFormat="1" ht="15.75" customHeight="1" x14ac:dyDescent="0.35">
      <c r="A906" s="118" t="str">
        <f ca="1">N906</f>
        <v>302,..,1302</v>
      </c>
      <c r="B906" s="118"/>
      <c r="C906" s="82" t="s">
        <v>195</v>
      </c>
      <c r="D906" s="82">
        <f>(44.68+(0.6*(1.89+3.05))+2.15*0.75+1.5*2.75)*10.764</f>
        <v>574.59846599999992</v>
      </c>
      <c r="E906" s="82">
        <f>2.45*1.3*10.764</f>
        <v>34.283340000000003</v>
      </c>
      <c r="F906" s="82">
        <f>D906*(($F$472)+1)+E906</f>
        <v>896.18103899999983</v>
      </c>
      <c r="G906" s="118" t="str">
        <f>G905</f>
        <v xml:space="preserve"> 3rd, 5th, 7th, 9th, 11th, 13th Floor</v>
      </c>
      <c r="H906" s="118"/>
      <c r="I906" s="31"/>
      <c r="N906" s="2" t="str">
        <f ca="1">O906&amp;""&amp;",..,"&amp;""&amp;P906</f>
        <v>302,..,1302</v>
      </c>
      <c r="O906" s="2">
        <f t="shared" ref="O906:P908" ca="1" si="113">O905+1</f>
        <v>302</v>
      </c>
      <c r="P906" s="2">
        <f t="shared" ca="1" si="113"/>
        <v>1302</v>
      </c>
    </row>
    <row r="907" spans="1:16" s="2" customFormat="1" ht="15.75" customHeight="1" x14ac:dyDescent="0.35">
      <c r="A907" s="118" t="str">
        <f ca="1">N907</f>
        <v>303,..,1303</v>
      </c>
      <c r="B907" s="118"/>
      <c r="C907" s="82" t="s">
        <v>195</v>
      </c>
      <c r="D907" s="82">
        <f>(46.49+(0.6*(1.89+3.05))+2.15*0.75+1.5*2.75)*10.764</f>
        <v>594.08130599999993</v>
      </c>
      <c r="E907" s="82">
        <f>2.45*1.3*10.764</f>
        <v>34.283340000000003</v>
      </c>
      <c r="F907" s="82">
        <f>D907*(($F$472)+1)+E907</f>
        <v>925.40529899999979</v>
      </c>
      <c r="G907" s="118" t="str">
        <f>G906</f>
        <v xml:space="preserve"> 3rd, 5th, 7th, 9th, 11th, 13th Floor</v>
      </c>
      <c r="H907" s="118"/>
      <c r="I907" s="31"/>
      <c r="N907" s="2" t="str">
        <f ca="1">O907&amp;""&amp;",..,"&amp;""&amp;P907</f>
        <v>303,..,1303</v>
      </c>
      <c r="O907" s="2">
        <f t="shared" ca="1" si="113"/>
        <v>303</v>
      </c>
      <c r="P907" s="2">
        <f t="shared" ca="1" si="113"/>
        <v>1303</v>
      </c>
    </row>
    <row r="908" spans="1:16" s="2" customFormat="1" ht="15.75" customHeight="1" x14ac:dyDescent="0.35">
      <c r="A908" s="118" t="str">
        <f ca="1">N908</f>
        <v>304,..,1304</v>
      </c>
      <c r="B908" s="118"/>
      <c r="C908" s="82" t="s">
        <v>195</v>
      </c>
      <c r="D908" s="82">
        <f>(46.49+(0.6*(1.89+3.05))+2.15*0.75+1.5*2.75)*10.764</f>
        <v>594.08130599999993</v>
      </c>
      <c r="E908" s="82">
        <f>2.45*1.3*10.764</f>
        <v>34.283340000000003</v>
      </c>
      <c r="F908" s="82">
        <f>D908*(($F$472)+1)+E908</f>
        <v>925.40529899999979</v>
      </c>
      <c r="G908" s="118" t="str">
        <f>G907</f>
        <v xml:space="preserve"> 3rd, 5th, 7th, 9th, 11th, 13th Floor</v>
      </c>
      <c r="H908" s="118"/>
      <c r="I908" s="31"/>
      <c r="N908" s="2" t="str">
        <f ca="1">O908&amp;""&amp;",..,"&amp;""&amp;P908</f>
        <v>304,..,1304</v>
      </c>
      <c r="O908" s="2">
        <f t="shared" ca="1" si="113"/>
        <v>304</v>
      </c>
      <c r="P908" s="2">
        <f t="shared" ca="1" si="113"/>
        <v>1304</v>
      </c>
    </row>
    <row r="909" spans="1:16" s="2" customFormat="1" ht="15.75" customHeight="1" x14ac:dyDescent="0.35">
      <c r="A909" s="119" t="s">
        <v>219</v>
      </c>
      <c r="B909" s="119"/>
      <c r="C909" s="119"/>
      <c r="D909" s="119"/>
      <c r="E909" s="119"/>
      <c r="F909" s="119"/>
      <c r="G909" s="119"/>
      <c r="H909" s="119"/>
      <c r="I909" s="31">
        <f>3.05*3.27+3.51+1.54*1.33+1.22*2.11+1.2*2.11+3.06*2.88+3.05*2.8+2.13*3.06+2.29+3*1</f>
        <v>49.798499999999997</v>
      </c>
    </row>
    <row r="910" spans="1:16" s="2" customFormat="1" ht="15.75" customHeight="1" x14ac:dyDescent="0.35">
      <c r="A910" s="118" t="str">
        <f ca="1">N910</f>
        <v>801 &amp; 1201</v>
      </c>
      <c r="B910" s="118"/>
      <c r="C910" s="82" t="s">
        <v>195</v>
      </c>
      <c r="D910" s="82">
        <f>(44.68+(0.6*(1.98+2.45))+2.15*0.75+1.5*3.05)*10.764</f>
        <v>576.14848199999994</v>
      </c>
      <c r="E910" s="82">
        <f>3.05*1.3*10.764</f>
        <v>42.679259999999999</v>
      </c>
      <c r="F910" s="82">
        <f>D910*(($F$472)+1)+E910</f>
        <v>906.90198299999986</v>
      </c>
      <c r="G910" s="118" t="str">
        <f>A909</f>
        <v>8th &amp; 12th Floor ( Part Refuge Area)</v>
      </c>
      <c r="H910" s="118"/>
      <c r="I910" s="31"/>
      <c r="N910" s="2" t="str">
        <f ca="1">O910&amp;""&amp;" &amp; "&amp;""&amp;P910</f>
        <v>801 &amp; 1201</v>
      </c>
      <c r="O910" s="2">
        <f ca="1">(SUMPRODUCT(MID(0&amp;(LEFT(A909,SUM(LEN(A909)-LEN(SUBSTITUTE(A909,{"0","1","2"},""))))), LARGE(INDEX(ISNUMBER(--MID((LEFT(A909,SUM(LEN(A909)-LEN(SUBSTITUTE(A909,{"0","1","2"},""))))), ROW(INDIRECT("1:"&amp;LEN((LEFT(A909,SUM(LEN(A909)-LEN(SUBSTITUTE(A909,{"0","1","2"},"")))))))), 1)) * ROW(INDIRECT("1:"&amp;LEN((LEFT(A909,SUM(LEN(A909)-LEN(SUBSTITUTE(A909,{"0","1","2"},"")))))))), 0), ROW(INDIRECT("1:"&amp;LEN((LEFT(A909,SUM(LEN(A909)-LEN(SUBSTITUTE(A909,{"0","1","2"},"")))))))))+1, 1) * 10^ROW(INDIRECT("1:"&amp;LEN((LEFT(A909,SUM(LEN(A909)-LEN(SUBSTITUTE(A909,{"0","1","2"},""))))))))/10))*100+1</f>
        <v>801</v>
      </c>
      <c r="P910" s="2">
        <f ca="1">(SUMPRODUCT(MID(0&amp;(--TRIM(RIGHT(SUBSTITUTE(LEFT(A909,_xlfn.AGGREGATE(16,6,FIND({0,1,2,3,4,5,6,7,8,9},A909,ROW(INDIRECT("1:"&amp;LEN(A909)))),1))," ",REPT(" ",LEN(A909))),LEN(A909)))), LARGE(INDEX(ISNUMBER(--MID((--TRIM(RIGHT(SUBSTITUTE(LEFT(A909,_xlfn.AGGREGATE(16,6,FIND({0,1,2,3,4,5,6,7,8,9},A909,ROW(INDIRECT("1:"&amp;LEN(A909)))),1))," ",REPT(" ",LEN(A909))),LEN(A909)))), ROW(INDIRECT("1:"&amp;LEN((--TRIM(RIGHT(SUBSTITUTE(LEFT(A909,_xlfn.AGGREGATE(16,6,FIND({0,1,2,3,4,5,6,7,8,9},A909,ROW(INDIRECT("1:"&amp;LEN(A909)))),1))," ",REPT(" ",LEN(A909))),LEN(A909))))))), 1)) * ROW(INDIRECT("1:"&amp;LEN((--TRIM(RIGHT(SUBSTITUTE(LEFT(A909,_xlfn.AGGREGATE(16,6,FIND({0,1,2,3,4,5,6,7,8,9},A909,ROW(INDIRECT("1:"&amp;LEN(A909)))),1))," ",REPT(" ",LEN(A909))),LEN(A909))))))), 0), ROW(INDIRECT("1:"&amp;LEN((--TRIM(RIGHT(SUBSTITUTE(LEFT(A909,_xlfn.AGGREGATE(16,6,FIND({0,1,2,3,4,5,6,7,8,9},A909,ROW(INDIRECT("1:"&amp;LEN(A909)))),1))," ",REPT(" ",LEN(A909))),LEN(A909))))))))+1, 1) * 10^ROW(INDIRECT("1:"&amp;LEN((--TRIM(RIGHT(SUBSTITUTE(LEFT(A909,_xlfn.AGGREGATE(16,6,FIND({0,1,2,3,4,5,6,7,8,9},A909,ROW(INDIRECT("1:"&amp;LEN(A909)))),1))," ",REPT(" ",LEN(A909))),LEN(A909)))))))/10))*100+1</f>
        <v>1201</v>
      </c>
    </row>
    <row r="911" spans="1:16" s="2" customFormat="1" ht="15.75" customHeight="1" x14ac:dyDescent="0.35">
      <c r="A911" s="118" t="str">
        <f ca="1">N911</f>
        <v>802 &amp; 1202</v>
      </c>
      <c r="B911" s="118"/>
      <c r="C911" s="82" t="s">
        <v>195</v>
      </c>
      <c r="D911" s="82">
        <f>(44.68+(0.6*(1.98+2.45))+2.15*0.75+1.5*3.05)*10.764</f>
        <v>576.14848199999994</v>
      </c>
      <c r="E911" s="82">
        <f>3.05*1.3*10.764</f>
        <v>42.679259999999999</v>
      </c>
      <c r="F911" s="82">
        <f>D911*(($F$472)+1)+E911</f>
        <v>906.90198299999986</v>
      </c>
      <c r="G911" s="118" t="str">
        <f>G910</f>
        <v>8th &amp; 12th Floor ( Part Refuge Area)</v>
      </c>
      <c r="H911" s="118"/>
      <c r="I911" s="31"/>
      <c r="N911" s="2" t="str">
        <f ca="1">O911&amp;""&amp;" &amp; "&amp;""&amp;P911</f>
        <v>802 &amp; 1202</v>
      </c>
      <c r="O911" s="2">
        <f ca="1">O910+1</f>
        <v>802</v>
      </c>
      <c r="P911" s="2">
        <f ca="1">P910+1</f>
        <v>1202</v>
      </c>
    </row>
    <row r="912" spans="1:16" s="2" customFormat="1" ht="15.75" customHeight="1" x14ac:dyDescent="0.35">
      <c r="A912" s="118" t="str">
        <f ca="1">N912</f>
        <v>803 &amp; 1203</v>
      </c>
      <c r="B912" s="118"/>
      <c r="C912" s="82" t="s">
        <v>195</v>
      </c>
      <c r="D912" s="82">
        <f>(46.49+(0.6*(1.98+2.45))+2.15*0.75+1.5*3.05)*10.764</f>
        <v>595.63132199999995</v>
      </c>
      <c r="E912" s="82">
        <f>3.05*1.3*10.764</f>
        <v>42.679259999999999</v>
      </c>
      <c r="F912" s="82">
        <f>D912*(($F$472)+1)+E912</f>
        <v>936.12624299999993</v>
      </c>
      <c r="G912" s="118" t="str">
        <f>G911</f>
        <v>8th &amp; 12th Floor ( Part Refuge Area)</v>
      </c>
      <c r="H912" s="118"/>
      <c r="I912" s="31"/>
      <c r="N912" s="2" t="str">
        <f ca="1">O912&amp;""&amp;" &amp; "&amp;""&amp;P912</f>
        <v>803 &amp; 1203</v>
      </c>
      <c r="O912" s="2">
        <f ca="1">O911+1</f>
        <v>803</v>
      </c>
      <c r="P912" s="2">
        <f ca="1">P911+1</f>
        <v>1203</v>
      </c>
    </row>
    <row r="913" spans="1:16" s="1" customFormat="1" x14ac:dyDescent="0.35">
      <c r="A913" s="134" t="s">
        <v>271</v>
      </c>
      <c r="B913" s="134"/>
      <c r="C913" s="134"/>
      <c r="D913" s="134"/>
      <c r="E913" s="134"/>
      <c r="F913" s="134"/>
      <c r="G913" s="134"/>
      <c r="H913" s="134"/>
    </row>
    <row r="914" spans="1:16" s="2" customFormat="1" x14ac:dyDescent="0.35">
      <c r="A914" s="119" t="s">
        <v>200</v>
      </c>
      <c r="B914" s="119"/>
      <c r="C914" s="119"/>
      <c r="D914" s="119"/>
      <c r="E914" s="119"/>
      <c r="F914" s="119"/>
      <c r="G914" s="119"/>
      <c r="H914" s="119"/>
      <c r="I914" s="31"/>
      <c r="L914" s="115"/>
      <c r="M914" s="115"/>
    </row>
    <row r="915" spans="1:16" s="2" customFormat="1" ht="15.75" customHeight="1" x14ac:dyDescent="0.35">
      <c r="A915" s="126" t="s">
        <v>198</v>
      </c>
      <c r="B915" s="127"/>
      <c r="C915" s="127"/>
      <c r="D915" s="127"/>
      <c r="E915" s="127"/>
      <c r="F915" s="127"/>
      <c r="G915" s="127"/>
      <c r="H915" s="128"/>
      <c r="I915" s="31"/>
    </row>
    <row r="916" spans="1:16" s="2" customFormat="1" ht="15.75" customHeight="1" x14ac:dyDescent="0.35">
      <c r="A916" s="116" t="str">
        <f t="shared" ref="A916:A923" ca="1" si="114">N916</f>
        <v>101,..,1301</v>
      </c>
      <c r="B916" s="117"/>
      <c r="C916" s="64" t="s">
        <v>197</v>
      </c>
      <c r="D916" s="64">
        <f>(37.39+(0.6*3.05)+2.15*0.75+1.5*2.75)*10.764</f>
        <v>483.92252999999994</v>
      </c>
      <c r="E916" s="64">
        <v>0</v>
      </c>
      <c r="F916" s="64">
        <f t="shared" ref="F916:F923" si="115">D916*(($F$472)+1)+E916</f>
        <v>725.88379499999996</v>
      </c>
      <c r="G916" s="144" t="str">
        <f>A915</f>
        <v>1st, 3rd, 5th, 7th, 9th, 11th, 13th Floor</v>
      </c>
      <c r="H916" s="145"/>
      <c r="I916" s="31"/>
      <c r="N916" s="2" t="str">
        <f t="shared" ref="N916:N923" ca="1" si="116">O916&amp;""&amp;",..,"&amp;""&amp;P916</f>
        <v>101,..,1301</v>
      </c>
      <c r="O916" s="2">
        <f ca="1">(SUMPRODUCT(MID(0&amp;(LEFT(A915,SUM(LEN(A915)-LEN(SUBSTITUTE(A915,{"0","1","2"},""))))), LARGE(INDEX(ISNUMBER(--MID((LEFT(A915,SUM(LEN(A915)-LEN(SUBSTITUTE(A915,{"0","1","2"},""))))), ROW(INDIRECT("1:"&amp;LEN((LEFT(A915,SUM(LEN(A915)-LEN(SUBSTITUTE(A915,{"0","1","2"},"")))))))), 1)) * ROW(INDIRECT("1:"&amp;LEN((LEFT(A915,SUM(LEN(A915)-LEN(SUBSTITUTE(A915,{"0","1","2"},"")))))))), 0), ROW(INDIRECT("1:"&amp;LEN((LEFT(A915,SUM(LEN(A915)-LEN(SUBSTITUTE(A915,{"0","1","2"},"")))))))))+1, 1) * 10^ROW(INDIRECT("1:"&amp;LEN((LEFT(A915,SUM(LEN(A915)-LEN(SUBSTITUTE(A915,{"0","1","2"},""))))))))/10))*100+1</f>
        <v>101</v>
      </c>
      <c r="P916" s="2">
        <f ca="1">(SUMPRODUCT(MID(0&amp;(--TRIM(RIGHT(SUBSTITUTE(LEFT(A915,_xlfn.AGGREGATE(16,6,FIND({0,1,2,3,4,5,6,7,8,9},A915,ROW(INDIRECT("1:"&amp;LEN(A915)))),1))," ",REPT(" ",LEN(A915))),LEN(A915)))), LARGE(INDEX(ISNUMBER(--MID((--TRIM(RIGHT(SUBSTITUTE(LEFT(A915,_xlfn.AGGREGATE(16,6,FIND({0,1,2,3,4,5,6,7,8,9},A915,ROW(INDIRECT("1:"&amp;LEN(A915)))),1))," ",REPT(" ",LEN(A915))),LEN(A915)))), ROW(INDIRECT("1:"&amp;LEN((--TRIM(RIGHT(SUBSTITUTE(LEFT(A915,_xlfn.AGGREGATE(16,6,FIND({0,1,2,3,4,5,6,7,8,9},A915,ROW(INDIRECT("1:"&amp;LEN(A915)))),1))," ",REPT(" ",LEN(A915))),LEN(A915))))))), 1)) * ROW(INDIRECT("1:"&amp;LEN((--TRIM(RIGHT(SUBSTITUTE(LEFT(A915,_xlfn.AGGREGATE(16,6,FIND({0,1,2,3,4,5,6,7,8,9},A915,ROW(INDIRECT("1:"&amp;LEN(A915)))),1))," ",REPT(" ",LEN(A915))),LEN(A915))))))), 0), ROW(INDIRECT("1:"&amp;LEN((--TRIM(RIGHT(SUBSTITUTE(LEFT(A915,_xlfn.AGGREGATE(16,6,FIND({0,1,2,3,4,5,6,7,8,9},A915,ROW(INDIRECT("1:"&amp;LEN(A915)))),1))," ",REPT(" ",LEN(A915))),LEN(A915))))))))+1, 1) * 10^ROW(INDIRECT("1:"&amp;LEN((--TRIM(RIGHT(SUBSTITUTE(LEFT(A915,_xlfn.AGGREGATE(16,6,FIND({0,1,2,3,4,5,6,7,8,9},A915,ROW(INDIRECT("1:"&amp;LEN(A915)))),1))," ",REPT(" ",LEN(A915))),LEN(A915)))))))/10))*100+1</f>
        <v>1301</v>
      </c>
    </row>
    <row r="917" spans="1:16" s="2" customFormat="1" ht="15.75" customHeight="1" x14ac:dyDescent="0.35">
      <c r="A917" s="116" t="str">
        <f t="shared" ca="1" si="114"/>
        <v>102,..,1302</v>
      </c>
      <c r="B917" s="117"/>
      <c r="C917" s="64" t="s">
        <v>197</v>
      </c>
      <c r="D917" s="64">
        <f>(37.39+(0.6*3.05)+2.15*0.75+1.5*2.75)*10.764</f>
        <v>483.92252999999994</v>
      </c>
      <c r="E917" s="64">
        <v>0</v>
      </c>
      <c r="F917" s="64">
        <f t="shared" si="115"/>
        <v>725.88379499999996</v>
      </c>
      <c r="G917" s="146" t="str">
        <f t="shared" ref="G917:G923" si="117">G916</f>
        <v>1st, 3rd, 5th, 7th, 9th, 11th, 13th Floor</v>
      </c>
      <c r="H917" s="147"/>
      <c r="I917" s="31"/>
      <c r="N917" s="2" t="str">
        <f t="shared" ca="1" si="116"/>
        <v>102,..,1302</v>
      </c>
      <c r="O917" s="2">
        <f t="shared" ref="O917:P923" ca="1" si="118">O916+1</f>
        <v>102</v>
      </c>
      <c r="P917" s="2">
        <f t="shared" ca="1" si="118"/>
        <v>1302</v>
      </c>
    </row>
    <row r="918" spans="1:16" s="2" customFormat="1" ht="15.75" customHeight="1" x14ac:dyDescent="0.35">
      <c r="A918" s="116" t="str">
        <f t="shared" ca="1" si="114"/>
        <v>103,..,1303</v>
      </c>
      <c r="B918" s="117"/>
      <c r="C918" s="64" t="s">
        <v>197</v>
      </c>
      <c r="D918" s="64">
        <f>(33.82+(0.6*3.05)+2.15*0.75+1.5*2.9)*10.764</f>
        <v>447.91694999999993</v>
      </c>
      <c r="E918" s="64">
        <v>0</v>
      </c>
      <c r="F918" s="64">
        <f t="shared" si="115"/>
        <v>671.87542499999995</v>
      </c>
      <c r="G918" s="146" t="str">
        <f t="shared" si="117"/>
        <v>1st, 3rd, 5th, 7th, 9th, 11th, 13th Floor</v>
      </c>
      <c r="H918" s="147"/>
      <c r="I918" s="31"/>
      <c r="N918" s="2" t="str">
        <f t="shared" ca="1" si="116"/>
        <v>103,..,1303</v>
      </c>
      <c r="O918" s="2">
        <f t="shared" ca="1" si="118"/>
        <v>103</v>
      </c>
      <c r="P918" s="2">
        <f t="shared" ca="1" si="118"/>
        <v>1303</v>
      </c>
    </row>
    <row r="919" spans="1:16" s="2" customFormat="1" ht="15.75" customHeight="1" x14ac:dyDescent="0.35">
      <c r="A919" s="116" t="str">
        <f t="shared" ca="1" si="114"/>
        <v>104,..,1304</v>
      </c>
      <c r="B919" s="117"/>
      <c r="C919" s="64" t="s">
        <v>197</v>
      </c>
      <c r="D919" s="64">
        <f>(33.82+(0.6*3.05)+2.15*0.75+1.5*2.9)*10.764</f>
        <v>447.91694999999993</v>
      </c>
      <c r="E919" s="64">
        <v>0</v>
      </c>
      <c r="F919" s="64">
        <f t="shared" si="115"/>
        <v>671.87542499999995</v>
      </c>
      <c r="G919" s="146" t="str">
        <f t="shared" si="117"/>
        <v>1st, 3rd, 5th, 7th, 9th, 11th, 13th Floor</v>
      </c>
      <c r="H919" s="147"/>
      <c r="I919" s="31"/>
      <c r="N919" s="2" t="str">
        <f t="shared" ca="1" si="116"/>
        <v>104,..,1304</v>
      </c>
      <c r="O919" s="2">
        <f t="shared" ca="1" si="118"/>
        <v>104</v>
      </c>
      <c r="P919" s="2">
        <f t="shared" ca="1" si="118"/>
        <v>1304</v>
      </c>
    </row>
    <row r="920" spans="1:16" s="2" customFormat="1" ht="15.75" customHeight="1" x14ac:dyDescent="0.35">
      <c r="A920" s="116" t="str">
        <f t="shared" ca="1" si="114"/>
        <v>105,..,1305</v>
      </c>
      <c r="B920" s="117"/>
      <c r="C920" s="64" t="s">
        <v>197</v>
      </c>
      <c r="D920" s="64">
        <f>(35.78+(0.6*3.05)+2.15*0.75+1.5*2.75)*10.764</f>
        <v>466.59248999999994</v>
      </c>
      <c r="E920" s="64">
        <v>0</v>
      </c>
      <c r="F920" s="64">
        <f t="shared" si="115"/>
        <v>699.88873499999988</v>
      </c>
      <c r="G920" s="146" t="str">
        <f t="shared" si="117"/>
        <v>1st, 3rd, 5th, 7th, 9th, 11th, 13th Floor</v>
      </c>
      <c r="H920" s="147"/>
      <c r="I920" s="31"/>
      <c r="N920" s="2" t="str">
        <f t="shared" ca="1" si="116"/>
        <v>105,..,1305</v>
      </c>
      <c r="O920" s="2">
        <f t="shared" ca="1" si="118"/>
        <v>105</v>
      </c>
      <c r="P920" s="2">
        <f t="shared" ca="1" si="118"/>
        <v>1305</v>
      </c>
    </row>
    <row r="921" spans="1:16" s="2" customFormat="1" ht="15.75" customHeight="1" x14ac:dyDescent="0.35">
      <c r="A921" s="116" t="str">
        <f t="shared" ca="1" si="114"/>
        <v>106,..,1306</v>
      </c>
      <c r="B921" s="117"/>
      <c r="C921" s="64" t="s">
        <v>197</v>
      </c>
      <c r="D921" s="64">
        <f>(37.39+(0.6*3.05)+2.15*0.75+1.5*2.75)*10.764</f>
        <v>483.92252999999994</v>
      </c>
      <c r="E921" s="64">
        <v>0</v>
      </c>
      <c r="F921" s="64">
        <f t="shared" si="115"/>
        <v>725.88379499999996</v>
      </c>
      <c r="G921" s="146" t="str">
        <f t="shared" si="117"/>
        <v>1st, 3rd, 5th, 7th, 9th, 11th, 13th Floor</v>
      </c>
      <c r="H921" s="147"/>
      <c r="I921" s="31"/>
      <c r="N921" s="2" t="str">
        <f t="shared" ca="1" si="116"/>
        <v>106,..,1306</v>
      </c>
      <c r="O921" s="2">
        <f t="shared" ca="1" si="118"/>
        <v>106</v>
      </c>
      <c r="P921" s="2">
        <f t="shared" ca="1" si="118"/>
        <v>1306</v>
      </c>
    </row>
    <row r="922" spans="1:16" s="2" customFormat="1" ht="15.75" customHeight="1" x14ac:dyDescent="0.35">
      <c r="A922" s="116" t="str">
        <f t="shared" ca="1" si="114"/>
        <v>107,..,1307</v>
      </c>
      <c r="B922" s="117"/>
      <c r="C922" s="64" t="s">
        <v>197</v>
      </c>
      <c r="D922" s="64">
        <f>(33.82+(0.6*3.05)+2.15*0.75+1.5*2.9)*10.764</f>
        <v>447.91694999999993</v>
      </c>
      <c r="E922" s="64">
        <v>0</v>
      </c>
      <c r="F922" s="64">
        <f t="shared" si="115"/>
        <v>671.87542499999995</v>
      </c>
      <c r="G922" s="146" t="str">
        <f t="shared" si="117"/>
        <v>1st, 3rd, 5th, 7th, 9th, 11th, 13th Floor</v>
      </c>
      <c r="H922" s="147"/>
      <c r="I922" s="31"/>
      <c r="N922" s="2" t="str">
        <f t="shared" ca="1" si="116"/>
        <v>107,..,1307</v>
      </c>
      <c r="O922" s="2">
        <f t="shared" ca="1" si="118"/>
        <v>107</v>
      </c>
      <c r="P922" s="2">
        <f t="shared" ca="1" si="118"/>
        <v>1307</v>
      </c>
    </row>
    <row r="923" spans="1:16" s="2" customFormat="1" ht="15.75" customHeight="1" x14ac:dyDescent="0.35">
      <c r="A923" s="116" t="str">
        <f t="shared" ca="1" si="114"/>
        <v>108,..,1308</v>
      </c>
      <c r="B923" s="117"/>
      <c r="C923" s="64" t="s">
        <v>197</v>
      </c>
      <c r="D923" s="64">
        <f>(33.82+(0.6*3.05)+2.15*0.75+1.5*2.9)*10.764</f>
        <v>447.91694999999993</v>
      </c>
      <c r="E923" s="64">
        <v>0</v>
      </c>
      <c r="F923" s="64">
        <f t="shared" si="115"/>
        <v>671.87542499999995</v>
      </c>
      <c r="G923" s="148" t="str">
        <f t="shared" si="117"/>
        <v>1st, 3rd, 5th, 7th, 9th, 11th, 13th Floor</v>
      </c>
      <c r="H923" s="149"/>
      <c r="I923" s="31"/>
      <c r="N923" s="2" t="str">
        <f t="shared" ca="1" si="116"/>
        <v>108,..,1308</v>
      </c>
      <c r="O923" s="2">
        <f t="shared" ca="1" si="118"/>
        <v>108</v>
      </c>
      <c r="P923" s="2">
        <f t="shared" ca="1" si="118"/>
        <v>1308</v>
      </c>
    </row>
    <row r="924" spans="1:16" s="2" customFormat="1" ht="15.75" customHeight="1" x14ac:dyDescent="0.35">
      <c r="A924" s="126" t="s">
        <v>199</v>
      </c>
      <c r="B924" s="127"/>
      <c r="C924" s="127"/>
      <c r="D924" s="127"/>
      <c r="E924" s="127"/>
      <c r="F924" s="127"/>
      <c r="G924" s="127"/>
      <c r="H924" s="128"/>
      <c r="I924" s="31"/>
    </row>
    <row r="925" spans="1:16" s="2" customFormat="1" ht="15.75" customHeight="1" x14ac:dyDescent="0.35">
      <c r="A925" s="116" t="str">
        <f t="shared" ref="A925:A932" ca="1" si="119">N925</f>
        <v>201,..,1401</v>
      </c>
      <c r="B925" s="117"/>
      <c r="C925" s="64" t="s">
        <v>197</v>
      </c>
      <c r="D925" s="64">
        <f>(37.39+(0.6*2.75)+2.15*0.75+1.5*3.05)*10.764</f>
        <v>486.82880999999986</v>
      </c>
      <c r="E925" s="64">
        <v>0</v>
      </c>
      <c r="F925" s="64">
        <f t="shared" ref="F925:F932" si="120">D925*(($F$472)+1)+E925</f>
        <v>730.24321499999974</v>
      </c>
      <c r="G925" s="144" t="str">
        <f>A924</f>
        <v>2nd, 4th, 6th, 10th, 14th Floor</v>
      </c>
      <c r="H925" s="145"/>
      <c r="I925" s="31"/>
      <c r="N925" s="2" t="str">
        <f t="shared" ref="N925:N932" ca="1" si="121">O925&amp;""&amp;",..,"&amp;""&amp;P925</f>
        <v>201,..,1401</v>
      </c>
      <c r="O925" s="2">
        <f ca="1">(SUMPRODUCT(MID(0&amp;(LEFT(A924,SUM(LEN(A924)-LEN(SUBSTITUTE(A924,{"0","1","2"},""))))), LARGE(INDEX(ISNUMBER(--MID((LEFT(A924,SUM(LEN(A924)-LEN(SUBSTITUTE(A924,{"0","1","2"},""))))), ROW(INDIRECT("1:"&amp;LEN((LEFT(A924,SUM(LEN(A924)-LEN(SUBSTITUTE(A924,{"0","1","2"},"")))))))), 1)) * ROW(INDIRECT("1:"&amp;LEN((LEFT(A924,SUM(LEN(A924)-LEN(SUBSTITUTE(A924,{"0","1","2"},"")))))))), 0), ROW(INDIRECT("1:"&amp;LEN((LEFT(A924,SUM(LEN(A924)-LEN(SUBSTITUTE(A924,{"0","1","2"},"")))))))))+1, 1) * 10^ROW(INDIRECT("1:"&amp;LEN((LEFT(A924,SUM(LEN(A924)-LEN(SUBSTITUTE(A924,{"0","1","2"},""))))))))/10))*100+1</f>
        <v>201</v>
      </c>
      <c r="P925" s="2">
        <f ca="1">(SUMPRODUCT(MID(0&amp;(--TRIM(RIGHT(SUBSTITUTE(LEFT(A924,_xlfn.AGGREGATE(16,6,FIND({0,1,2,3,4,5,6,7,8,9},A924,ROW(INDIRECT("1:"&amp;LEN(A924)))),1))," ",REPT(" ",LEN(A924))),LEN(A924)))), LARGE(INDEX(ISNUMBER(--MID((--TRIM(RIGHT(SUBSTITUTE(LEFT(A924,_xlfn.AGGREGATE(16,6,FIND({0,1,2,3,4,5,6,7,8,9},A924,ROW(INDIRECT("1:"&amp;LEN(A924)))),1))," ",REPT(" ",LEN(A924))),LEN(A924)))), ROW(INDIRECT("1:"&amp;LEN((--TRIM(RIGHT(SUBSTITUTE(LEFT(A924,_xlfn.AGGREGATE(16,6,FIND({0,1,2,3,4,5,6,7,8,9},A924,ROW(INDIRECT("1:"&amp;LEN(A924)))),1))," ",REPT(" ",LEN(A924))),LEN(A924))))))), 1)) * ROW(INDIRECT("1:"&amp;LEN((--TRIM(RIGHT(SUBSTITUTE(LEFT(A924,_xlfn.AGGREGATE(16,6,FIND({0,1,2,3,4,5,6,7,8,9},A924,ROW(INDIRECT("1:"&amp;LEN(A924)))),1))," ",REPT(" ",LEN(A924))),LEN(A924))))))), 0), ROW(INDIRECT("1:"&amp;LEN((--TRIM(RIGHT(SUBSTITUTE(LEFT(A924,_xlfn.AGGREGATE(16,6,FIND({0,1,2,3,4,5,6,7,8,9},A924,ROW(INDIRECT("1:"&amp;LEN(A924)))),1))," ",REPT(" ",LEN(A924))),LEN(A924))))))))+1, 1) * 10^ROW(INDIRECT("1:"&amp;LEN((--TRIM(RIGHT(SUBSTITUTE(LEFT(A924,_xlfn.AGGREGATE(16,6,FIND({0,1,2,3,4,5,6,7,8,9},A924,ROW(INDIRECT("1:"&amp;LEN(A924)))),1))," ",REPT(" ",LEN(A924))),LEN(A924)))))))/10))*100+1</f>
        <v>1401</v>
      </c>
    </row>
    <row r="926" spans="1:16" s="2" customFormat="1" ht="15.75" customHeight="1" x14ac:dyDescent="0.35">
      <c r="A926" s="116" t="str">
        <f t="shared" ca="1" si="119"/>
        <v>202,..,1402</v>
      </c>
      <c r="B926" s="117"/>
      <c r="C926" s="64" t="s">
        <v>197</v>
      </c>
      <c r="D926" s="64">
        <f>(37.39+(0.6*2.75)+2.15*0.75+1.5*3.05)*10.764</f>
        <v>486.82880999999986</v>
      </c>
      <c r="E926" s="64">
        <v>0</v>
      </c>
      <c r="F926" s="64">
        <f t="shared" si="120"/>
        <v>730.24321499999974</v>
      </c>
      <c r="G926" s="146" t="str">
        <f t="shared" ref="G926:G932" si="122">G925</f>
        <v>2nd, 4th, 6th, 10th, 14th Floor</v>
      </c>
      <c r="H926" s="147"/>
      <c r="I926" s="31"/>
      <c r="N926" s="2" t="str">
        <f t="shared" ca="1" si="121"/>
        <v>202,..,1402</v>
      </c>
      <c r="O926" s="2">
        <f t="shared" ref="O926:P932" ca="1" si="123">O925+1</f>
        <v>202</v>
      </c>
      <c r="P926" s="2">
        <f t="shared" ca="1" si="123"/>
        <v>1402</v>
      </c>
    </row>
    <row r="927" spans="1:16" s="2" customFormat="1" ht="15.75" customHeight="1" x14ac:dyDescent="0.35">
      <c r="A927" s="116" t="str">
        <f t="shared" ca="1" si="119"/>
        <v>203,..,1403</v>
      </c>
      <c r="B927" s="117"/>
      <c r="C927" s="64" t="s">
        <v>197</v>
      </c>
      <c r="D927" s="64">
        <f>(33.82+(0.6*2.9)+2.15*0.75+1.5*3.05)*10.764</f>
        <v>449.37009</v>
      </c>
      <c r="E927" s="64">
        <v>0</v>
      </c>
      <c r="F927" s="64">
        <f t="shared" si="120"/>
        <v>674.05513500000006</v>
      </c>
      <c r="G927" s="146" t="str">
        <f t="shared" si="122"/>
        <v>2nd, 4th, 6th, 10th, 14th Floor</v>
      </c>
      <c r="H927" s="147"/>
      <c r="I927" s="31"/>
      <c r="N927" s="2" t="str">
        <f t="shared" ca="1" si="121"/>
        <v>203,..,1403</v>
      </c>
      <c r="O927" s="2">
        <f t="shared" ca="1" si="123"/>
        <v>203</v>
      </c>
      <c r="P927" s="2">
        <f t="shared" ca="1" si="123"/>
        <v>1403</v>
      </c>
    </row>
    <row r="928" spans="1:16" s="2" customFormat="1" ht="15.75" customHeight="1" x14ac:dyDescent="0.35">
      <c r="A928" s="116" t="str">
        <f t="shared" ca="1" si="119"/>
        <v>204,..,1404</v>
      </c>
      <c r="B928" s="117"/>
      <c r="C928" s="64" t="s">
        <v>197</v>
      </c>
      <c r="D928" s="64">
        <f>(33.82+(0.6*2.9)+2.15*0.75+1.5*3.05)*10.764</f>
        <v>449.37009</v>
      </c>
      <c r="E928" s="64">
        <v>0</v>
      </c>
      <c r="F928" s="64">
        <f t="shared" si="120"/>
        <v>674.05513500000006</v>
      </c>
      <c r="G928" s="146" t="str">
        <f t="shared" si="122"/>
        <v>2nd, 4th, 6th, 10th, 14th Floor</v>
      </c>
      <c r="H928" s="147"/>
      <c r="I928" s="31"/>
      <c r="N928" s="2" t="str">
        <f t="shared" ca="1" si="121"/>
        <v>204,..,1404</v>
      </c>
      <c r="O928" s="2">
        <f t="shared" ca="1" si="123"/>
        <v>204</v>
      </c>
      <c r="P928" s="2">
        <f t="shared" ca="1" si="123"/>
        <v>1404</v>
      </c>
    </row>
    <row r="929" spans="1:16" s="2" customFormat="1" ht="15.75" customHeight="1" x14ac:dyDescent="0.35">
      <c r="A929" s="116" t="str">
        <f t="shared" ca="1" si="119"/>
        <v>205,..,1405</v>
      </c>
      <c r="B929" s="117"/>
      <c r="C929" s="64" t="s">
        <v>197</v>
      </c>
      <c r="D929" s="64">
        <f>(35.78+(0.6*2.75)+2.15*0.75+1.5*3.05)*10.764</f>
        <v>469.49876999999987</v>
      </c>
      <c r="E929" s="64">
        <v>0</v>
      </c>
      <c r="F929" s="64">
        <f t="shared" si="120"/>
        <v>704.24815499999977</v>
      </c>
      <c r="G929" s="146" t="str">
        <f t="shared" si="122"/>
        <v>2nd, 4th, 6th, 10th, 14th Floor</v>
      </c>
      <c r="H929" s="147"/>
      <c r="I929" s="31"/>
      <c r="N929" s="2" t="str">
        <f t="shared" ca="1" si="121"/>
        <v>205,..,1405</v>
      </c>
      <c r="O929" s="2">
        <f t="shared" ca="1" si="123"/>
        <v>205</v>
      </c>
      <c r="P929" s="2">
        <f t="shared" ca="1" si="123"/>
        <v>1405</v>
      </c>
    </row>
    <row r="930" spans="1:16" s="2" customFormat="1" ht="15.75" customHeight="1" x14ac:dyDescent="0.35">
      <c r="A930" s="116" t="str">
        <f t="shared" ca="1" si="119"/>
        <v>206,..,1406</v>
      </c>
      <c r="B930" s="117"/>
      <c r="C930" s="64" t="s">
        <v>197</v>
      </c>
      <c r="D930" s="64">
        <f>(37.78+(0.6*2.75)+2.15*0.75+1.5*3.05)*10.764</f>
        <v>491.02676999999989</v>
      </c>
      <c r="E930" s="64">
        <v>0</v>
      </c>
      <c r="F930" s="64">
        <f t="shared" si="120"/>
        <v>736.5401549999998</v>
      </c>
      <c r="G930" s="146" t="str">
        <f t="shared" si="122"/>
        <v>2nd, 4th, 6th, 10th, 14th Floor</v>
      </c>
      <c r="H930" s="147"/>
      <c r="I930" s="31"/>
      <c r="N930" s="2" t="str">
        <f t="shared" ca="1" si="121"/>
        <v>206,..,1406</v>
      </c>
      <c r="O930" s="2">
        <f t="shared" ca="1" si="123"/>
        <v>206</v>
      </c>
      <c r="P930" s="2">
        <f t="shared" ca="1" si="123"/>
        <v>1406</v>
      </c>
    </row>
    <row r="931" spans="1:16" s="2" customFormat="1" ht="15.75" customHeight="1" x14ac:dyDescent="0.35">
      <c r="A931" s="116" t="str">
        <f t="shared" ca="1" si="119"/>
        <v>207,..,1407</v>
      </c>
      <c r="B931" s="117"/>
      <c r="C931" s="64" t="s">
        <v>197</v>
      </c>
      <c r="D931" s="64">
        <f>(33.82+(0.6*2.9)+2.15*0.75+1.5*3.05)*10.764</f>
        <v>449.37009</v>
      </c>
      <c r="E931" s="64">
        <v>0</v>
      </c>
      <c r="F931" s="64">
        <f t="shared" si="120"/>
        <v>674.05513500000006</v>
      </c>
      <c r="G931" s="146" t="str">
        <f t="shared" si="122"/>
        <v>2nd, 4th, 6th, 10th, 14th Floor</v>
      </c>
      <c r="H931" s="147"/>
      <c r="I931" s="31"/>
      <c r="N931" s="2" t="str">
        <f t="shared" ca="1" si="121"/>
        <v>207,..,1407</v>
      </c>
      <c r="O931" s="2">
        <f t="shared" ca="1" si="123"/>
        <v>207</v>
      </c>
      <c r="P931" s="2">
        <f t="shared" ca="1" si="123"/>
        <v>1407</v>
      </c>
    </row>
    <row r="932" spans="1:16" s="2" customFormat="1" ht="15.75" customHeight="1" x14ac:dyDescent="0.35">
      <c r="A932" s="116" t="str">
        <f t="shared" ca="1" si="119"/>
        <v>208,..,1408</v>
      </c>
      <c r="B932" s="117"/>
      <c r="C932" s="64" t="s">
        <v>197</v>
      </c>
      <c r="D932" s="64">
        <f>(33.82+(0.6*2.9)+2.15*0.75+1.5*3.05)*10.764</f>
        <v>449.37009</v>
      </c>
      <c r="E932" s="64">
        <v>0</v>
      </c>
      <c r="F932" s="64">
        <f t="shared" si="120"/>
        <v>674.05513500000006</v>
      </c>
      <c r="G932" s="148" t="str">
        <f t="shared" si="122"/>
        <v>2nd, 4th, 6th, 10th, 14th Floor</v>
      </c>
      <c r="H932" s="149"/>
      <c r="I932" s="31"/>
      <c r="N932" s="2" t="str">
        <f t="shared" ca="1" si="121"/>
        <v>208,..,1408</v>
      </c>
      <c r="O932" s="2">
        <f t="shared" ca="1" si="123"/>
        <v>208</v>
      </c>
      <c r="P932" s="2">
        <f t="shared" ca="1" si="123"/>
        <v>1408</v>
      </c>
    </row>
    <row r="933" spans="1:16" s="2" customFormat="1" x14ac:dyDescent="0.35">
      <c r="A933" s="126" t="s">
        <v>219</v>
      </c>
      <c r="B933" s="127"/>
      <c r="C933" s="127"/>
      <c r="D933" s="127"/>
      <c r="E933" s="127"/>
      <c r="F933" s="127"/>
      <c r="G933" s="127"/>
      <c r="H933" s="128"/>
      <c r="I933" s="31">
        <f>3.05*3.27+3.51+1.54*1.33+1.22*2.11+1.2*2.11+3.06*2.88+3.05*2.8+2.13*3.06+2.29+3*1</f>
        <v>49.798499999999997</v>
      </c>
    </row>
    <row r="934" spans="1:16" s="2" customFormat="1" ht="15.75" customHeight="1" x14ac:dyDescent="0.35">
      <c r="A934" s="116" t="str">
        <f t="shared" ref="A934:A941" ca="1" si="124">N934</f>
        <v>801 &amp; 1201</v>
      </c>
      <c r="B934" s="117"/>
      <c r="C934" s="64" t="s">
        <v>197</v>
      </c>
      <c r="D934" s="64">
        <f>(37.39+(0.6*2.75)+2.15*0.75+1.5*3.05)*10.764</f>
        <v>486.82880999999986</v>
      </c>
      <c r="E934" s="64">
        <v>0</v>
      </c>
      <c r="F934" s="64">
        <f>D934*(($F$472)+1)+E934</f>
        <v>730.24321499999974</v>
      </c>
      <c r="G934" s="144" t="str">
        <f>A933</f>
        <v>8th &amp; 12th Floor ( Part Refuge Area)</v>
      </c>
      <c r="H934" s="145"/>
      <c r="I934" s="31"/>
      <c r="N934" s="2" t="str">
        <f t="shared" ref="N934:N941" ca="1" si="125">O934&amp;""&amp;" &amp; "&amp;""&amp;P934</f>
        <v>801 &amp; 1201</v>
      </c>
      <c r="O934" s="2">
        <f ca="1">(SUMPRODUCT(MID(0&amp;(LEFT(A933,SUM(LEN(A933)-LEN(SUBSTITUTE(A933,{"0","1","2"},""))))), LARGE(INDEX(ISNUMBER(--MID((LEFT(A933,SUM(LEN(A933)-LEN(SUBSTITUTE(A933,{"0","1","2"},""))))), ROW(INDIRECT("1:"&amp;LEN((LEFT(A933,SUM(LEN(A933)-LEN(SUBSTITUTE(A933,{"0","1","2"},"")))))))), 1)) * ROW(INDIRECT("1:"&amp;LEN((LEFT(A933,SUM(LEN(A933)-LEN(SUBSTITUTE(A933,{"0","1","2"},"")))))))), 0), ROW(INDIRECT("1:"&amp;LEN((LEFT(A933,SUM(LEN(A933)-LEN(SUBSTITUTE(A933,{"0","1","2"},"")))))))))+1, 1) * 10^ROW(INDIRECT("1:"&amp;LEN((LEFT(A933,SUM(LEN(A933)-LEN(SUBSTITUTE(A933,{"0","1","2"},""))))))))/10))*100+1</f>
        <v>801</v>
      </c>
      <c r="P934" s="2">
        <f ca="1">(SUMPRODUCT(MID(0&amp;(--TRIM(RIGHT(SUBSTITUTE(LEFT(A933,_xlfn.AGGREGATE(16,6,FIND({0,1,2,3,4,5,6,7,8,9},A933,ROW(INDIRECT("1:"&amp;LEN(A933)))),1))," ",REPT(" ",LEN(A933))),LEN(A933)))), LARGE(INDEX(ISNUMBER(--MID((--TRIM(RIGHT(SUBSTITUTE(LEFT(A933,_xlfn.AGGREGATE(16,6,FIND({0,1,2,3,4,5,6,7,8,9},A933,ROW(INDIRECT("1:"&amp;LEN(A933)))),1))," ",REPT(" ",LEN(A933))),LEN(A933)))), ROW(INDIRECT("1:"&amp;LEN((--TRIM(RIGHT(SUBSTITUTE(LEFT(A933,_xlfn.AGGREGATE(16,6,FIND({0,1,2,3,4,5,6,7,8,9},A933,ROW(INDIRECT("1:"&amp;LEN(A933)))),1))," ",REPT(" ",LEN(A933))),LEN(A933))))))), 1)) * ROW(INDIRECT("1:"&amp;LEN((--TRIM(RIGHT(SUBSTITUTE(LEFT(A933,_xlfn.AGGREGATE(16,6,FIND({0,1,2,3,4,5,6,7,8,9},A933,ROW(INDIRECT("1:"&amp;LEN(A933)))),1))," ",REPT(" ",LEN(A933))),LEN(A933))))))), 0), ROW(INDIRECT("1:"&amp;LEN((--TRIM(RIGHT(SUBSTITUTE(LEFT(A933,_xlfn.AGGREGATE(16,6,FIND({0,1,2,3,4,5,6,7,8,9},A933,ROW(INDIRECT("1:"&amp;LEN(A933)))),1))," ",REPT(" ",LEN(A933))),LEN(A933))))))))+1, 1) * 10^ROW(INDIRECT("1:"&amp;LEN((--TRIM(RIGHT(SUBSTITUTE(LEFT(A933,_xlfn.AGGREGATE(16,6,FIND({0,1,2,3,4,5,6,7,8,9},A933,ROW(INDIRECT("1:"&amp;LEN(A933)))),1))," ",REPT(" ",LEN(A933))),LEN(A933)))))))/10))*100+1</f>
        <v>1201</v>
      </c>
    </row>
    <row r="935" spans="1:16" s="2" customFormat="1" ht="15.75" customHeight="1" x14ac:dyDescent="0.35">
      <c r="A935" s="116" t="str">
        <f t="shared" ca="1" si="124"/>
        <v>802 &amp; 1202</v>
      </c>
      <c r="B935" s="117"/>
      <c r="C935" s="116" t="s">
        <v>220</v>
      </c>
      <c r="D935" s="161"/>
      <c r="E935" s="161"/>
      <c r="F935" s="117"/>
      <c r="G935" s="146" t="str">
        <f t="shared" ref="G935:G941" si="126">G934</f>
        <v>8th &amp; 12th Floor ( Part Refuge Area)</v>
      </c>
      <c r="H935" s="147"/>
      <c r="I935" s="31"/>
      <c r="N935" s="2" t="str">
        <f t="shared" ca="1" si="125"/>
        <v>802 &amp; 1202</v>
      </c>
      <c r="O935" s="2">
        <f t="shared" ref="O935:P941" ca="1" si="127">O934+1</f>
        <v>802</v>
      </c>
      <c r="P935" s="2">
        <f t="shared" ca="1" si="127"/>
        <v>1202</v>
      </c>
    </row>
    <row r="936" spans="1:16" s="2" customFormat="1" ht="15.75" customHeight="1" x14ac:dyDescent="0.35">
      <c r="A936" s="116" t="str">
        <f t="shared" ca="1" si="124"/>
        <v>803 &amp; 1203</v>
      </c>
      <c r="B936" s="117"/>
      <c r="C936" s="64" t="s">
        <v>197</v>
      </c>
      <c r="D936" s="64">
        <f>(33.82+0.6*2.9+2.15*0.75+1.5*3.05)*10.764</f>
        <v>449.37009</v>
      </c>
      <c r="E936" s="64">
        <v>0</v>
      </c>
      <c r="F936" s="64">
        <f t="shared" ref="F936:F941" si="128">D936*(($F$472)+1)+E936</f>
        <v>674.05513500000006</v>
      </c>
      <c r="G936" s="146" t="str">
        <f t="shared" si="126"/>
        <v>8th &amp; 12th Floor ( Part Refuge Area)</v>
      </c>
      <c r="H936" s="147"/>
      <c r="I936" s="31"/>
      <c r="N936" s="2" t="str">
        <f t="shared" ca="1" si="125"/>
        <v>803 &amp; 1203</v>
      </c>
      <c r="O936" s="2">
        <f t="shared" ca="1" si="127"/>
        <v>803</v>
      </c>
      <c r="P936" s="2">
        <f t="shared" ca="1" si="127"/>
        <v>1203</v>
      </c>
    </row>
    <row r="937" spans="1:16" s="2" customFormat="1" ht="15.75" customHeight="1" x14ac:dyDescent="0.35">
      <c r="A937" s="116" t="str">
        <f t="shared" ca="1" si="124"/>
        <v>804 &amp; 1204</v>
      </c>
      <c r="B937" s="117"/>
      <c r="C937" s="64" t="s">
        <v>197</v>
      </c>
      <c r="D937" s="64">
        <f>(33.82+0.6*2.9+2.15*0.75+1.5*3.05)*10.764</f>
        <v>449.37009</v>
      </c>
      <c r="E937" s="64">
        <v>0</v>
      </c>
      <c r="F937" s="64">
        <f t="shared" si="128"/>
        <v>674.05513500000006</v>
      </c>
      <c r="G937" s="146" t="str">
        <f t="shared" si="126"/>
        <v>8th &amp; 12th Floor ( Part Refuge Area)</v>
      </c>
      <c r="H937" s="147"/>
      <c r="I937" s="31"/>
      <c r="N937" s="2" t="str">
        <f t="shared" ca="1" si="125"/>
        <v>804 &amp; 1204</v>
      </c>
      <c r="O937" s="2">
        <f t="shared" ca="1" si="127"/>
        <v>804</v>
      </c>
      <c r="P937" s="2">
        <f t="shared" ca="1" si="127"/>
        <v>1204</v>
      </c>
    </row>
    <row r="938" spans="1:16" s="2" customFormat="1" ht="15.75" customHeight="1" x14ac:dyDescent="0.35">
      <c r="A938" s="116" t="str">
        <f t="shared" ca="1" si="124"/>
        <v>805 &amp; 1205</v>
      </c>
      <c r="B938" s="117"/>
      <c r="C938" s="64" t="s">
        <v>197</v>
      </c>
      <c r="D938" s="64">
        <f>(35.78+0.6*2.75+2.15*0.75+1.5*3.05)*10.764</f>
        <v>469.49876999999987</v>
      </c>
      <c r="E938" s="64">
        <v>0</v>
      </c>
      <c r="F938" s="64">
        <f t="shared" si="128"/>
        <v>704.24815499999977</v>
      </c>
      <c r="G938" s="146" t="str">
        <f t="shared" si="126"/>
        <v>8th &amp; 12th Floor ( Part Refuge Area)</v>
      </c>
      <c r="H938" s="147"/>
      <c r="I938" s="31"/>
      <c r="N938" s="2" t="str">
        <f t="shared" ca="1" si="125"/>
        <v>805 &amp; 1205</v>
      </c>
      <c r="O938" s="2">
        <f t="shared" ca="1" si="127"/>
        <v>805</v>
      </c>
      <c r="P938" s="2">
        <f t="shared" ca="1" si="127"/>
        <v>1205</v>
      </c>
    </row>
    <row r="939" spans="1:16" s="2" customFormat="1" ht="15.75" customHeight="1" x14ac:dyDescent="0.35">
      <c r="A939" s="116" t="str">
        <f t="shared" ca="1" si="124"/>
        <v>806 &amp; 1206</v>
      </c>
      <c r="B939" s="117"/>
      <c r="C939" s="64" t="s">
        <v>197</v>
      </c>
      <c r="D939" s="64">
        <f>(37.39+0.6*2.75+2.15*0.75+1.5*3.05)*10.764</f>
        <v>486.82880999999986</v>
      </c>
      <c r="E939" s="64">
        <v>0</v>
      </c>
      <c r="F939" s="64">
        <f t="shared" si="128"/>
        <v>730.24321499999974</v>
      </c>
      <c r="G939" s="146" t="str">
        <f t="shared" si="126"/>
        <v>8th &amp; 12th Floor ( Part Refuge Area)</v>
      </c>
      <c r="H939" s="147"/>
      <c r="I939" s="31"/>
      <c r="N939" s="2" t="str">
        <f t="shared" ca="1" si="125"/>
        <v>806 &amp; 1206</v>
      </c>
      <c r="O939" s="2">
        <f t="shared" ca="1" si="127"/>
        <v>806</v>
      </c>
      <c r="P939" s="2">
        <f t="shared" ca="1" si="127"/>
        <v>1206</v>
      </c>
    </row>
    <row r="940" spans="1:16" s="2" customFormat="1" ht="15.75" customHeight="1" x14ac:dyDescent="0.35">
      <c r="A940" s="116" t="str">
        <f t="shared" ca="1" si="124"/>
        <v>807 &amp; 1207</v>
      </c>
      <c r="B940" s="117"/>
      <c r="C940" s="64" t="s">
        <v>197</v>
      </c>
      <c r="D940" s="64">
        <f>(33.82+0.6*2.9+2.15*0.75+1.5*3.05)*10.764</f>
        <v>449.37009</v>
      </c>
      <c r="E940" s="64">
        <v>0</v>
      </c>
      <c r="F940" s="64">
        <f t="shared" si="128"/>
        <v>674.05513500000006</v>
      </c>
      <c r="G940" s="146" t="str">
        <f t="shared" si="126"/>
        <v>8th &amp; 12th Floor ( Part Refuge Area)</v>
      </c>
      <c r="H940" s="147"/>
      <c r="I940" s="31"/>
      <c r="N940" s="2" t="str">
        <f t="shared" ca="1" si="125"/>
        <v>807 &amp; 1207</v>
      </c>
      <c r="O940" s="2">
        <f t="shared" ca="1" si="127"/>
        <v>807</v>
      </c>
      <c r="P940" s="2">
        <f t="shared" ca="1" si="127"/>
        <v>1207</v>
      </c>
    </row>
    <row r="941" spans="1:16" s="2" customFormat="1" ht="15.75" customHeight="1" x14ac:dyDescent="0.35">
      <c r="A941" s="116" t="str">
        <f t="shared" ca="1" si="124"/>
        <v>808 &amp; 1208</v>
      </c>
      <c r="B941" s="117"/>
      <c r="C941" s="64" t="s">
        <v>197</v>
      </c>
      <c r="D941" s="64">
        <f>(33.82+0.6*2.9+2.15*0.75+1.5*3.05)*10.764</f>
        <v>449.37009</v>
      </c>
      <c r="E941" s="64">
        <v>0</v>
      </c>
      <c r="F941" s="64">
        <f t="shared" si="128"/>
        <v>674.05513500000006</v>
      </c>
      <c r="G941" s="148" t="str">
        <f t="shared" si="126"/>
        <v>8th &amp; 12th Floor ( Part Refuge Area)</v>
      </c>
      <c r="H941" s="149"/>
      <c r="I941" s="31"/>
      <c r="N941" s="2" t="str">
        <f t="shared" ca="1" si="125"/>
        <v>808 &amp; 1208</v>
      </c>
      <c r="O941" s="2">
        <f t="shared" ca="1" si="127"/>
        <v>808</v>
      </c>
      <c r="P941" s="2">
        <f t="shared" ca="1" si="127"/>
        <v>1208</v>
      </c>
    </row>
    <row r="942" spans="1:16" s="1" customFormat="1" x14ac:dyDescent="0.35">
      <c r="A942" s="134" t="s">
        <v>272</v>
      </c>
      <c r="B942" s="134"/>
      <c r="C942" s="134"/>
      <c r="D942" s="134"/>
      <c r="E942" s="134"/>
      <c r="F942" s="134"/>
      <c r="G942" s="134"/>
      <c r="H942" s="134"/>
    </row>
    <row r="943" spans="1:16" s="78" customFormat="1" x14ac:dyDescent="0.35">
      <c r="A943" s="126" t="s">
        <v>200</v>
      </c>
      <c r="B943" s="127"/>
      <c r="C943" s="127"/>
      <c r="D943" s="127"/>
      <c r="E943" s="127"/>
      <c r="F943" s="127"/>
      <c r="G943" s="127"/>
      <c r="H943" s="128"/>
      <c r="I943" s="31"/>
      <c r="L943" s="115"/>
      <c r="M943" s="115"/>
    </row>
    <row r="944" spans="1:16" s="78" customFormat="1" ht="15.75" customHeight="1" x14ac:dyDescent="0.35">
      <c r="A944" s="126" t="s">
        <v>198</v>
      </c>
      <c r="B944" s="127"/>
      <c r="C944" s="127"/>
      <c r="D944" s="127"/>
      <c r="E944" s="127"/>
      <c r="F944" s="127"/>
      <c r="G944" s="127"/>
      <c r="H944" s="128"/>
      <c r="I944" s="31"/>
    </row>
    <row r="945" spans="1:16" s="78" customFormat="1" ht="15.75" customHeight="1" x14ac:dyDescent="0.35">
      <c r="A945" s="116" t="str">
        <f t="shared" ref="A945:A952" ca="1" si="129">N945</f>
        <v>101,..,1301</v>
      </c>
      <c r="B945" s="117"/>
      <c r="C945" s="79" t="s">
        <v>197</v>
      </c>
      <c r="D945" s="79">
        <f>(37.39+(0.6*3.05)+2.15*0.75+1.5*2.75)*10.764</f>
        <v>483.92252999999994</v>
      </c>
      <c r="E945" s="79">
        <f t="shared" ref="E945:E952" si="130">3.05*1.5*10.764</f>
        <v>49.245299999999986</v>
      </c>
      <c r="F945" s="79">
        <f t="shared" ref="F945:F952" si="131">D945*(($F$472)+1)+E945</f>
        <v>775.12909500000001</v>
      </c>
      <c r="G945" s="144" t="str">
        <f>A944</f>
        <v>1st, 3rd, 5th, 7th, 9th, 11th, 13th Floor</v>
      </c>
      <c r="H945" s="145"/>
      <c r="I945" s="31"/>
      <c r="J945" s="78">
        <f>3850000/F945</f>
        <v>4966.9145756940006</v>
      </c>
      <c r="N945" s="78" t="str">
        <f t="shared" ref="N945:N952" ca="1" si="132">O945&amp;""&amp;",..,"&amp;""&amp;P945</f>
        <v>101,..,1301</v>
      </c>
      <c r="O945" s="78">
        <f ca="1">(SUMPRODUCT(MID(0&amp;(LEFT(A944,SUM(LEN(A944)-LEN(SUBSTITUTE(A944,{"0","1","2"},""))))), LARGE(INDEX(ISNUMBER(--MID((LEFT(A944,SUM(LEN(A944)-LEN(SUBSTITUTE(A944,{"0","1","2"},""))))), ROW(INDIRECT("1:"&amp;LEN((LEFT(A944,SUM(LEN(A944)-LEN(SUBSTITUTE(A944,{"0","1","2"},"")))))))), 1)) * ROW(INDIRECT("1:"&amp;LEN((LEFT(A944,SUM(LEN(A944)-LEN(SUBSTITUTE(A944,{"0","1","2"},"")))))))), 0), ROW(INDIRECT("1:"&amp;LEN((LEFT(A944,SUM(LEN(A944)-LEN(SUBSTITUTE(A944,{"0","1","2"},"")))))))))+1, 1) * 10^ROW(INDIRECT("1:"&amp;LEN((LEFT(A944,SUM(LEN(A944)-LEN(SUBSTITUTE(A944,{"0","1","2"},""))))))))/10))*100+1</f>
        <v>101</v>
      </c>
      <c r="P945" s="78">
        <f ca="1">(SUMPRODUCT(MID(0&amp;(--TRIM(RIGHT(SUBSTITUTE(LEFT(A944,_xlfn.AGGREGATE(16,6,FIND({0,1,2,3,4,5,6,7,8,9},A944,ROW(INDIRECT("1:"&amp;LEN(A944)))),1))," ",REPT(" ",LEN(A944))),LEN(A944)))), LARGE(INDEX(ISNUMBER(--MID((--TRIM(RIGHT(SUBSTITUTE(LEFT(A944,_xlfn.AGGREGATE(16,6,FIND({0,1,2,3,4,5,6,7,8,9},A944,ROW(INDIRECT("1:"&amp;LEN(A944)))),1))," ",REPT(" ",LEN(A944))),LEN(A944)))), ROW(INDIRECT("1:"&amp;LEN((--TRIM(RIGHT(SUBSTITUTE(LEFT(A944,_xlfn.AGGREGATE(16,6,FIND({0,1,2,3,4,5,6,7,8,9},A944,ROW(INDIRECT("1:"&amp;LEN(A944)))),1))," ",REPT(" ",LEN(A944))),LEN(A944))))))), 1)) * ROW(INDIRECT("1:"&amp;LEN((--TRIM(RIGHT(SUBSTITUTE(LEFT(A944,_xlfn.AGGREGATE(16,6,FIND({0,1,2,3,4,5,6,7,8,9},A944,ROW(INDIRECT("1:"&amp;LEN(A944)))),1))," ",REPT(" ",LEN(A944))),LEN(A944))))))), 0), ROW(INDIRECT("1:"&amp;LEN((--TRIM(RIGHT(SUBSTITUTE(LEFT(A944,_xlfn.AGGREGATE(16,6,FIND({0,1,2,3,4,5,6,7,8,9},A944,ROW(INDIRECT("1:"&amp;LEN(A944)))),1))," ",REPT(" ",LEN(A944))),LEN(A944))))))))+1, 1) * 10^ROW(INDIRECT("1:"&amp;LEN((--TRIM(RIGHT(SUBSTITUTE(LEFT(A944,_xlfn.AGGREGATE(16,6,FIND({0,1,2,3,4,5,6,7,8,9},A944,ROW(INDIRECT("1:"&amp;LEN(A944)))),1))," ",REPT(" ",LEN(A944))),LEN(A944)))))))/10))*100+1</f>
        <v>1301</v>
      </c>
    </row>
    <row r="946" spans="1:16" s="78" customFormat="1" ht="15.75" customHeight="1" x14ac:dyDescent="0.35">
      <c r="A946" s="116" t="str">
        <f t="shared" ca="1" si="129"/>
        <v>102,..,1302</v>
      </c>
      <c r="B946" s="117"/>
      <c r="C946" s="79" t="s">
        <v>197</v>
      </c>
      <c r="D946" s="79">
        <f>(37.39+(0.6*3.05)+2.15*0.75+1.5*2.75)*10.764</f>
        <v>483.92252999999994</v>
      </c>
      <c r="E946" s="79">
        <f t="shared" si="130"/>
        <v>49.245299999999986</v>
      </c>
      <c r="F946" s="79">
        <f t="shared" si="131"/>
        <v>775.12909500000001</v>
      </c>
      <c r="G946" s="146"/>
      <c r="H946" s="147"/>
      <c r="I946" s="31"/>
      <c r="N946" s="78" t="str">
        <f t="shared" ca="1" si="132"/>
        <v>102,..,1302</v>
      </c>
      <c r="O946" s="78">
        <f t="shared" ref="O946:P946" ca="1" si="133">O945+1</f>
        <v>102</v>
      </c>
      <c r="P946" s="78">
        <f t="shared" ca="1" si="133"/>
        <v>1302</v>
      </c>
    </row>
    <row r="947" spans="1:16" s="78" customFormat="1" ht="15.75" customHeight="1" x14ac:dyDescent="0.35">
      <c r="A947" s="116" t="str">
        <f t="shared" ca="1" si="129"/>
        <v>103,..,1303</v>
      </c>
      <c r="B947" s="117"/>
      <c r="C947" s="79" t="s">
        <v>197</v>
      </c>
      <c r="D947" s="79">
        <f>(33.82+(0.6*3.05)+2.15*0.75+1.5*2.9)*10.764</f>
        <v>447.91694999999993</v>
      </c>
      <c r="E947" s="79">
        <f t="shared" si="130"/>
        <v>49.245299999999986</v>
      </c>
      <c r="F947" s="79">
        <f t="shared" si="131"/>
        <v>721.12072499999999</v>
      </c>
      <c r="G947" s="146"/>
      <c r="H947" s="147"/>
      <c r="I947" s="31"/>
      <c r="N947" s="78" t="str">
        <f t="shared" ca="1" si="132"/>
        <v>103,..,1303</v>
      </c>
      <c r="O947" s="78">
        <f t="shared" ref="O947:P947" ca="1" si="134">O946+1</f>
        <v>103</v>
      </c>
      <c r="P947" s="78">
        <f t="shared" ca="1" si="134"/>
        <v>1303</v>
      </c>
    </row>
    <row r="948" spans="1:16" s="78" customFormat="1" ht="15.75" customHeight="1" x14ac:dyDescent="0.35">
      <c r="A948" s="116" t="str">
        <f t="shared" ca="1" si="129"/>
        <v>104,..,1304</v>
      </c>
      <c r="B948" s="117"/>
      <c r="C948" s="79" t="s">
        <v>197</v>
      </c>
      <c r="D948" s="79">
        <f>(33.82+(0.6*3.05)+2.15*0.75+1.5*2.9)*10.764</f>
        <v>447.91694999999993</v>
      </c>
      <c r="E948" s="79">
        <f t="shared" si="130"/>
        <v>49.245299999999986</v>
      </c>
      <c r="F948" s="79">
        <f t="shared" si="131"/>
        <v>721.12072499999999</v>
      </c>
      <c r="G948" s="146"/>
      <c r="H948" s="147"/>
      <c r="I948" s="31"/>
      <c r="N948" s="78" t="str">
        <f t="shared" ca="1" si="132"/>
        <v>104,..,1304</v>
      </c>
      <c r="O948" s="78">
        <f t="shared" ref="O948:P948" ca="1" si="135">O947+1</f>
        <v>104</v>
      </c>
      <c r="P948" s="78">
        <f t="shared" ca="1" si="135"/>
        <v>1304</v>
      </c>
    </row>
    <row r="949" spans="1:16" s="78" customFormat="1" ht="15.75" customHeight="1" x14ac:dyDescent="0.35">
      <c r="A949" s="116" t="str">
        <f t="shared" ca="1" si="129"/>
        <v>105,..,1305</v>
      </c>
      <c r="B949" s="117"/>
      <c r="C949" s="79" t="s">
        <v>197</v>
      </c>
      <c r="D949" s="79">
        <f>(37.39+(0.6*3.05)+2.15*0.75+1.5*2.75)*10.764</f>
        <v>483.92252999999994</v>
      </c>
      <c r="E949" s="79">
        <f t="shared" si="130"/>
        <v>49.245299999999986</v>
      </c>
      <c r="F949" s="79">
        <f t="shared" si="131"/>
        <v>775.12909500000001</v>
      </c>
      <c r="G949" s="146"/>
      <c r="H949" s="147"/>
      <c r="I949" s="31"/>
      <c r="N949" s="78" t="str">
        <f t="shared" ca="1" si="132"/>
        <v>105,..,1305</v>
      </c>
      <c r="O949" s="78">
        <f t="shared" ref="O949:P949" ca="1" si="136">O948+1</f>
        <v>105</v>
      </c>
      <c r="P949" s="78">
        <f t="shared" ca="1" si="136"/>
        <v>1305</v>
      </c>
    </row>
    <row r="950" spans="1:16" s="78" customFormat="1" ht="15.75" customHeight="1" x14ac:dyDescent="0.35">
      <c r="A950" s="116" t="str">
        <f t="shared" ca="1" si="129"/>
        <v>106,..,1306</v>
      </c>
      <c r="B950" s="117"/>
      <c r="C950" s="79" t="s">
        <v>197</v>
      </c>
      <c r="D950" s="79">
        <f>(37.39+(0.6*3.05)+2.15*0.75+1.5*2.75)*10.764</f>
        <v>483.92252999999994</v>
      </c>
      <c r="E950" s="79">
        <f t="shared" si="130"/>
        <v>49.245299999999986</v>
      </c>
      <c r="F950" s="79">
        <f t="shared" si="131"/>
        <v>775.12909500000001</v>
      </c>
      <c r="G950" s="146"/>
      <c r="H950" s="147"/>
      <c r="I950" s="31"/>
      <c r="N950" s="78" t="str">
        <f t="shared" ca="1" si="132"/>
        <v>106,..,1306</v>
      </c>
      <c r="O950" s="78">
        <f t="shared" ref="O950:P950" ca="1" si="137">O949+1</f>
        <v>106</v>
      </c>
      <c r="P950" s="78">
        <f t="shared" ca="1" si="137"/>
        <v>1306</v>
      </c>
    </row>
    <row r="951" spans="1:16" s="78" customFormat="1" ht="15.75" customHeight="1" x14ac:dyDescent="0.35">
      <c r="A951" s="116" t="str">
        <f t="shared" ca="1" si="129"/>
        <v>107,..,1307</v>
      </c>
      <c r="B951" s="117"/>
      <c r="C951" s="79" t="s">
        <v>197</v>
      </c>
      <c r="D951" s="79">
        <f>(33.82+(0.6*3.05)+2.15*0.75+1.5*2.9)*10.764</f>
        <v>447.91694999999993</v>
      </c>
      <c r="E951" s="79">
        <f t="shared" si="130"/>
        <v>49.245299999999986</v>
      </c>
      <c r="F951" s="79">
        <f t="shared" si="131"/>
        <v>721.12072499999999</v>
      </c>
      <c r="G951" s="146"/>
      <c r="H951" s="147"/>
      <c r="I951" s="31"/>
      <c r="N951" s="78" t="str">
        <f t="shared" ca="1" si="132"/>
        <v>107,..,1307</v>
      </c>
      <c r="O951" s="78">
        <f t="shared" ref="O951:P951" ca="1" si="138">O950+1</f>
        <v>107</v>
      </c>
      <c r="P951" s="78">
        <f t="shared" ca="1" si="138"/>
        <v>1307</v>
      </c>
    </row>
    <row r="952" spans="1:16" s="78" customFormat="1" ht="15.75" customHeight="1" x14ac:dyDescent="0.35">
      <c r="A952" s="116" t="str">
        <f t="shared" ca="1" si="129"/>
        <v>108,..,1308</v>
      </c>
      <c r="B952" s="117"/>
      <c r="C952" s="79" t="s">
        <v>197</v>
      </c>
      <c r="D952" s="79">
        <f>(33.82+(0.6*3.05)+2.15*0.75+1.5*2.9)*10.764</f>
        <v>447.91694999999993</v>
      </c>
      <c r="E952" s="79">
        <f t="shared" si="130"/>
        <v>49.245299999999986</v>
      </c>
      <c r="F952" s="79">
        <f t="shared" si="131"/>
        <v>721.12072499999999</v>
      </c>
      <c r="G952" s="148"/>
      <c r="H952" s="149"/>
      <c r="I952" s="31"/>
      <c r="N952" s="78" t="str">
        <f t="shared" ca="1" si="132"/>
        <v>108,..,1308</v>
      </c>
      <c r="O952" s="78">
        <f t="shared" ref="O952:P952" ca="1" si="139">O951+1</f>
        <v>108</v>
      </c>
      <c r="P952" s="78">
        <f t="shared" ca="1" si="139"/>
        <v>1308</v>
      </c>
    </row>
    <row r="953" spans="1:16" s="78" customFormat="1" ht="15.75" customHeight="1" x14ac:dyDescent="0.35">
      <c r="A953" s="119" t="s">
        <v>199</v>
      </c>
      <c r="B953" s="119"/>
      <c r="C953" s="119"/>
      <c r="D953" s="119"/>
      <c r="E953" s="119"/>
      <c r="F953" s="119"/>
      <c r="G953" s="119"/>
      <c r="H953" s="119"/>
      <c r="I953" s="31"/>
    </row>
    <row r="954" spans="1:16" s="78" customFormat="1" ht="15.75" customHeight="1" x14ac:dyDescent="0.35">
      <c r="A954" s="118" t="str">
        <f t="shared" ref="A954:A961" ca="1" si="140">N954</f>
        <v>201,..,1401</v>
      </c>
      <c r="B954" s="118"/>
      <c r="C954" s="82" t="s">
        <v>197</v>
      </c>
      <c r="D954" s="82">
        <f>(35.78+(0.6*2.75)+2.15*0.75+1.5*3.05)*10.764</f>
        <v>469.49876999999987</v>
      </c>
      <c r="E954" s="82">
        <f t="shared" ref="E954:E970" si="141">3.05*1.5*10.764</f>
        <v>49.245299999999986</v>
      </c>
      <c r="F954" s="82">
        <f t="shared" ref="F954:F956" si="142">D954*(($F$472)+1)+E954</f>
        <v>753.49345499999981</v>
      </c>
      <c r="G954" s="118" t="str">
        <f>A953</f>
        <v>2nd, 4th, 6th, 10th, 14th Floor</v>
      </c>
      <c r="H954" s="118"/>
      <c r="I954" s="31"/>
      <c r="N954" s="78" t="str">
        <f t="shared" ref="N954:N961" ca="1" si="143">O954&amp;""&amp;",..,"&amp;""&amp;P954</f>
        <v>201,..,1401</v>
      </c>
      <c r="O954" s="78">
        <f ca="1">(SUMPRODUCT(MID(0&amp;(LEFT(A953,SUM(LEN(A953)-LEN(SUBSTITUTE(A953,{"0","1","2"},""))))), LARGE(INDEX(ISNUMBER(--MID((LEFT(A953,SUM(LEN(A953)-LEN(SUBSTITUTE(A953,{"0","1","2"},""))))), ROW(INDIRECT("1:"&amp;LEN((LEFT(A953,SUM(LEN(A953)-LEN(SUBSTITUTE(A953,{"0","1","2"},"")))))))), 1)) * ROW(INDIRECT("1:"&amp;LEN((LEFT(A953,SUM(LEN(A953)-LEN(SUBSTITUTE(A953,{"0","1","2"},"")))))))), 0), ROW(INDIRECT("1:"&amp;LEN((LEFT(A953,SUM(LEN(A953)-LEN(SUBSTITUTE(A953,{"0","1","2"},"")))))))))+1, 1) * 10^ROW(INDIRECT("1:"&amp;LEN((LEFT(A953,SUM(LEN(A953)-LEN(SUBSTITUTE(A953,{"0","1","2"},""))))))))/10))*100+1</f>
        <v>201</v>
      </c>
      <c r="P954" s="78">
        <f ca="1">(SUMPRODUCT(MID(0&amp;(--TRIM(RIGHT(SUBSTITUTE(LEFT(A953,_xlfn.AGGREGATE(16,6,FIND({0,1,2,3,4,5,6,7,8,9},A953,ROW(INDIRECT("1:"&amp;LEN(A953)))),1))," ",REPT(" ",LEN(A953))),LEN(A953)))), LARGE(INDEX(ISNUMBER(--MID((--TRIM(RIGHT(SUBSTITUTE(LEFT(A953,_xlfn.AGGREGATE(16,6,FIND({0,1,2,3,4,5,6,7,8,9},A953,ROW(INDIRECT("1:"&amp;LEN(A953)))),1))," ",REPT(" ",LEN(A953))),LEN(A953)))), ROW(INDIRECT("1:"&amp;LEN((--TRIM(RIGHT(SUBSTITUTE(LEFT(A953,_xlfn.AGGREGATE(16,6,FIND({0,1,2,3,4,5,6,7,8,9},A953,ROW(INDIRECT("1:"&amp;LEN(A953)))),1))," ",REPT(" ",LEN(A953))),LEN(A953))))))), 1)) * ROW(INDIRECT("1:"&amp;LEN((--TRIM(RIGHT(SUBSTITUTE(LEFT(A953,_xlfn.AGGREGATE(16,6,FIND({0,1,2,3,4,5,6,7,8,9},A953,ROW(INDIRECT("1:"&amp;LEN(A953)))),1))," ",REPT(" ",LEN(A953))),LEN(A953))))))), 0), ROW(INDIRECT("1:"&amp;LEN((--TRIM(RIGHT(SUBSTITUTE(LEFT(A953,_xlfn.AGGREGATE(16,6,FIND({0,1,2,3,4,5,6,7,8,9},A953,ROW(INDIRECT("1:"&amp;LEN(A953)))),1))," ",REPT(" ",LEN(A953))),LEN(A953))))))))+1, 1) * 10^ROW(INDIRECT("1:"&amp;LEN((--TRIM(RIGHT(SUBSTITUTE(LEFT(A953,_xlfn.AGGREGATE(16,6,FIND({0,1,2,3,4,5,6,7,8,9},A953,ROW(INDIRECT("1:"&amp;LEN(A953)))),1))," ",REPT(" ",LEN(A953))),LEN(A953)))))))/10))*100+1</f>
        <v>1401</v>
      </c>
    </row>
    <row r="955" spans="1:16" s="78" customFormat="1" ht="15.75" customHeight="1" x14ac:dyDescent="0.35">
      <c r="A955" s="118" t="str">
        <f t="shared" ca="1" si="140"/>
        <v>202,..,1402</v>
      </c>
      <c r="B955" s="118"/>
      <c r="C955" s="82" t="s">
        <v>197</v>
      </c>
      <c r="D955" s="82">
        <f>(37.39+(0.6*2.75)+2.15*0.75+1.5*3.05)*10.764</f>
        <v>486.82880999999986</v>
      </c>
      <c r="E955" s="82">
        <f t="shared" si="141"/>
        <v>49.245299999999986</v>
      </c>
      <c r="F955" s="82">
        <f t="shared" si="142"/>
        <v>779.48851499999978</v>
      </c>
      <c r="G955" s="118"/>
      <c r="H955" s="118"/>
      <c r="I955" s="31"/>
      <c r="N955" s="78" t="str">
        <f t="shared" ca="1" si="143"/>
        <v>202,..,1402</v>
      </c>
      <c r="O955" s="78">
        <f t="shared" ref="O955:P955" ca="1" si="144">O954+1</f>
        <v>202</v>
      </c>
      <c r="P955" s="78">
        <f t="shared" ca="1" si="144"/>
        <v>1402</v>
      </c>
    </row>
    <row r="956" spans="1:16" s="78" customFormat="1" ht="15.75" customHeight="1" x14ac:dyDescent="0.35">
      <c r="A956" s="118" t="str">
        <f t="shared" ca="1" si="140"/>
        <v>203,..,1403</v>
      </c>
      <c r="B956" s="118"/>
      <c r="C956" s="82" t="s">
        <v>197</v>
      </c>
      <c r="D956" s="82">
        <f>(33.82+(0.6*2.9)+2.15*0.75+1.5*3.05)*10.764</f>
        <v>449.37009</v>
      </c>
      <c r="E956" s="82">
        <f t="shared" si="141"/>
        <v>49.245299999999986</v>
      </c>
      <c r="F956" s="82">
        <f t="shared" si="142"/>
        <v>723.30043500000011</v>
      </c>
      <c r="G956" s="118"/>
      <c r="H956" s="118"/>
      <c r="I956" s="31"/>
      <c r="N956" s="78" t="str">
        <f t="shared" ca="1" si="143"/>
        <v>203,..,1403</v>
      </c>
      <c r="O956" s="78">
        <f t="shared" ref="O956:P956" ca="1" si="145">O955+1</f>
        <v>203</v>
      </c>
      <c r="P956" s="78">
        <f t="shared" ca="1" si="145"/>
        <v>1403</v>
      </c>
    </row>
    <row r="957" spans="1:16" s="78" customFormat="1" ht="15.75" customHeight="1" x14ac:dyDescent="0.35">
      <c r="A957" s="118" t="str">
        <f t="shared" ca="1" si="140"/>
        <v>204,..,1404</v>
      </c>
      <c r="B957" s="118"/>
      <c r="C957" s="82" t="s">
        <v>197</v>
      </c>
      <c r="D957" s="82">
        <f>(33.82+(0.6*2.9)+2.15*0.75+1.5*3.05)*10.764</f>
        <v>449.37009</v>
      </c>
      <c r="E957" s="82">
        <f t="shared" si="141"/>
        <v>49.245299999999986</v>
      </c>
      <c r="F957" s="82">
        <f>D957*(($F$472)+1)+E957</f>
        <v>723.30043500000011</v>
      </c>
      <c r="G957" s="118"/>
      <c r="H957" s="118"/>
      <c r="I957" s="31"/>
      <c r="N957" s="78" t="str">
        <f t="shared" ca="1" si="143"/>
        <v>204,..,1404</v>
      </c>
      <c r="O957" s="78">
        <f t="shared" ref="O957:P957" ca="1" si="146">O956+1</f>
        <v>204</v>
      </c>
      <c r="P957" s="78">
        <f t="shared" ca="1" si="146"/>
        <v>1404</v>
      </c>
    </row>
    <row r="958" spans="1:16" s="78" customFormat="1" ht="15.75" customHeight="1" x14ac:dyDescent="0.35">
      <c r="A958" s="118" t="str">
        <f t="shared" ca="1" si="140"/>
        <v>205,..,1405</v>
      </c>
      <c r="B958" s="118"/>
      <c r="C958" s="82" t="s">
        <v>197</v>
      </c>
      <c r="D958" s="82">
        <f>(37.39+(0.6*2.75)+2.15*0.75+1.5*3.05)*10.764</f>
        <v>486.82880999999986</v>
      </c>
      <c r="E958" s="82">
        <f t="shared" si="141"/>
        <v>49.245299999999986</v>
      </c>
      <c r="F958" s="82">
        <f t="shared" ref="F958:F961" si="147">D958*(($F$472)+1)+E958</f>
        <v>779.48851499999978</v>
      </c>
      <c r="G958" s="118"/>
      <c r="H958" s="118"/>
      <c r="I958" s="31"/>
      <c r="N958" s="78" t="str">
        <f t="shared" ca="1" si="143"/>
        <v>205,..,1405</v>
      </c>
      <c r="O958" s="78">
        <f t="shared" ref="O958:P958" ca="1" si="148">O957+1</f>
        <v>205</v>
      </c>
      <c r="P958" s="78">
        <f t="shared" ca="1" si="148"/>
        <v>1405</v>
      </c>
    </row>
    <row r="959" spans="1:16" s="78" customFormat="1" ht="15.75" customHeight="1" x14ac:dyDescent="0.35">
      <c r="A959" s="118" t="str">
        <f t="shared" ca="1" si="140"/>
        <v>206,..,1406</v>
      </c>
      <c r="B959" s="118"/>
      <c r="C959" s="82" t="s">
        <v>197</v>
      </c>
      <c r="D959" s="82">
        <f>(37.39+(0.6*2.75)+2.15*0.75+1.5*3.05)*10.764</f>
        <v>486.82880999999986</v>
      </c>
      <c r="E959" s="82">
        <f t="shared" si="141"/>
        <v>49.245299999999986</v>
      </c>
      <c r="F959" s="82">
        <f t="shared" si="147"/>
        <v>779.48851499999978</v>
      </c>
      <c r="G959" s="118"/>
      <c r="H959" s="118"/>
      <c r="I959" s="31"/>
      <c r="N959" s="78" t="str">
        <f t="shared" ca="1" si="143"/>
        <v>206,..,1406</v>
      </c>
      <c r="O959" s="78">
        <f t="shared" ref="O959:P959" ca="1" si="149">O958+1</f>
        <v>206</v>
      </c>
      <c r="P959" s="78">
        <f t="shared" ca="1" si="149"/>
        <v>1406</v>
      </c>
    </row>
    <row r="960" spans="1:16" s="78" customFormat="1" ht="15.75" customHeight="1" x14ac:dyDescent="0.35">
      <c r="A960" s="118" t="str">
        <f t="shared" ca="1" si="140"/>
        <v>207,..,1407</v>
      </c>
      <c r="B960" s="118"/>
      <c r="C960" s="82" t="s">
        <v>197</v>
      </c>
      <c r="D960" s="82">
        <f>(33.82+(0.6*2.9)+2.15*0.75+1.5*3.05)*10.764</f>
        <v>449.37009</v>
      </c>
      <c r="E960" s="82">
        <f t="shared" si="141"/>
        <v>49.245299999999986</v>
      </c>
      <c r="F960" s="82">
        <f t="shared" si="147"/>
        <v>723.30043500000011</v>
      </c>
      <c r="G960" s="118"/>
      <c r="H960" s="118"/>
      <c r="I960" s="31"/>
      <c r="N960" s="78" t="str">
        <f t="shared" ca="1" si="143"/>
        <v>207,..,1407</v>
      </c>
      <c r="O960" s="78">
        <f t="shared" ref="O960:P960" ca="1" si="150">O959+1</f>
        <v>207</v>
      </c>
      <c r="P960" s="78">
        <f t="shared" ca="1" si="150"/>
        <v>1407</v>
      </c>
    </row>
    <row r="961" spans="1:16" s="78" customFormat="1" ht="15.75" customHeight="1" x14ac:dyDescent="0.35">
      <c r="A961" s="118" t="str">
        <f t="shared" ca="1" si="140"/>
        <v>208,..,1408</v>
      </c>
      <c r="B961" s="118"/>
      <c r="C961" s="82" t="s">
        <v>197</v>
      </c>
      <c r="D961" s="82">
        <f>(33.82+(0.6*2.9)+2.15*0.75+1.5*3.05)*10.764</f>
        <v>449.37009</v>
      </c>
      <c r="E961" s="82">
        <f t="shared" si="141"/>
        <v>49.245299999999986</v>
      </c>
      <c r="F961" s="82">
        <f t="shared" si="147"/>
        <v>723.30043500000011</v>
      </c>
      <c r="G961" s="118"/>
      <c r="H961" s="118"/>
      <c r="I961" s="31"/>
      <c r="N961" s="78" t="str">
        <f t="shared" ca="1" si="143"/>
        <v>208,..,1408</v>
      </c>
      <c r="O961" s="78">
        <f t="shared" ref="O961:P961" ca="1" si="151">O960+1</f>
        <v>208</v>
      </c>
      <c r="P961" s="78">
        <f t="shared" ca="1" si="151"/>
        <v>1408</v>
      </c>
    </row>
    <row r="962" spans="1:16" s="78" customFormat="1" ht="15.75" customHeight="1" x14ac:dyDescent="0.35">
      <c r="A962" s="126" t="s">
        <v>219</v>
      </c>
      <c r="B962" s="127"/>
      <c r="C962" s="127"/>
      <c r="D962" s="127"/>
      <c r="E962" s="127"/>
      <c r="F962" s="127"/>
      <c r="G962" s="127"/>
      <c r="H962" s="128"/>
      <c r="I962" s="31"/>
    </row>
    <row r="963" spans="1:16" s="78" customFormat="1" ht="15.75" customHeight="1" x14ac:dyDescent="0.35">
      <c r="A963" s="116" t="str">
        <f t="shared" ref="A963:A970" ca="1" si="152">N963</f>
        <v>801,..,1201</v>
      </c>
      <c r="B963" s="117"/>
      <c r="C963" s="79" t="s">
        <v>197</v>
      </c>
      <c r="D963" s="79">
        <f>(35.78+(0.6*2.75)+2.15*0.75+1.5*3.05)*10.764</f>
        <v>469.49876999999987</v>
      </c>
      <c r="E963" s="79">
        <f t="shared" si="141"/>
        <v>49.245299999999986</v>
      </c>
      <c r="F963" s="79">
        <f t="shared" ref="F963:F965" si="153">D963*(($F$472)+1)+E963</f>
        <v>753.49345499999981</v>
      </c>
      <c r="G963" s="144" t="str">
        <f>A962</f>
        <v>8th &amp; 12th Floor ( Part Refuge Area)</v>
      </c>
      <c r="H963" s="145"/>
      <c r="I963" s="31"/>
      <c r="N963" s="78" t="str">
        <f t="shared" ref="N963:N970" ca="1" si="154">O963&amp;""&amp;",..,"&amp;""&amp;P963</f>
        <v>801,..,1201</v>
      </c>
      <c r="O963" s="78">
        <f ca="1">(SUMPRODUCT(MID(0&amp;(LEFT(A962,SUM(LEN(A962)-LEN(SUBSTITUTE(A962,{"0","1","2"},""))))), LARGE(INDEX(ISNUMBER(--MID((LEFT(A962,SUM(LEN(A962)-LEN(SUBSTITUTE(A962,{"0","1","2"},""))))), ROW(INDIRECT("1:"&amp;LEN((LEFT(A962,SUM(LEN(A962)-LEN(SUBSTITUTE(A962,{"0","1","2"},"")))))))), 1)) * ROW(INDIRECT("1:"&amp;LEN((LEFT(A962,SUM(LEN(A962)-LEN(SUBSTITUTE(A962,{"0","1","2"},"")))))))), 0), ROW(INDIRECT("1:"&amp;LEN((LEFT(A962,SUM(LEN(A962)-LEN(SUBSTITUTE(A962,{"0","1","2"},"")))))))))+1, 1) * 10^ROW(INDIRECT("1:"&amp;LEN((LEFT(A962,SUM(LEN(A962)-LEN(SUBSTITUTE(A962,{"0","1","2"},""))))))))/10))*100+1</f>
        <v>801</v>
      </c>
      <c r="P963" s="78">
        <f ca="1">(SUMPRODUCT(MID(0&amp;(--TRIM(RIGHT(SUBSTITUTE(LEFT(A962,_xlfn.AGGREGATE(16,6,FIND({0,1,2,3,4,5,6,7,8,9},A962,ROW(INDIRECT("1:"&amp;LEN(A962)))),1))," ",REPT(" ",LEN(A962))),LEN(A962)))), LARGE(INDEX(ISNUMBER(--MID((--TRIM(RIGHT(SUBSTITUTE(LEFT(A962,_xlfn.AGGREGATE(16,6,FIND({0,1,2,3,4,5,6,7,8,9},A962,ROW(INDIRECT("1:"&amp;LEN(A962)))),1))," ",REPT(" ",LEN(A962))),LEN(A962)))), ROW(INDIRECT("1:"&amp;LEN((--TRIM(RIGHT(SUBSTITUTE(LEFT(A962,_xlfn.AGGREGATE(16,6,FIND({0,1,2,3,4,5,6,7,8,9},A962,ROW(INDIRECT("1:"&amp;LEN(A962)))),1))," ",REPT(" ",LEN(A962))),LEN(A962))))))), 1)) * ROW(INDIRECT("1:"&amp;LEN((--TRIM(RIGHT(SUBSTITUTE(LEFT(A962,_xlfn.AGGREGATE(16,6,FIND({0,1,2,3,4,5,6,7,8,9},A962,ROW(INDIRECT("1:"&amp;LEN(A962)))),1))," ",REPT(" ",LEN(A962))),LEN(A962))))))), 0), ROW(INDIRECT("1:"&amp;LEN((--TRIM(RIGHT(SUBSTITUTE(LEFT(A962,_xlfn.AGGREGATE(16,6,FIND({0,1,2,3,4,5,6,7,8,9},A962,ROW(INDIRECT("1:"&amp;LEN(A962)))),1))," ",REPT(" ",LEN(A962))),LEN(A962))))))))+1, 1) * 10^ROW(INDIRECT("1:"&amp;LEN((--TRIM(RIGHT(SUBSTITUTE(LEFT(A962,_xlfn.AGGREGATE(16,6,FIND({0,1,2,3,4,5,6,7,8,9},A962,ROW(INDIRECT("1:"&amp;LEN(A962)))),1))," ",REPT(" ",LEN(A962))),LEN(A962)))))))/10))*100+1</f>
        <v>1201</v>
      </c>
    </row>
    <row r="964" spans="1:16" s="78" customFormat="1" ht="15.75" customHeight="1" x14ac:dyDescent="0.35">
      <c r="A964" s="116" t="str">
        <f t="shared" ca="1" si="152"/>
        <v>802,..,1202</v>
      </c>
      <c r="B964" s="117"/>
      <c r="C964" s="79" t="s">
        <v>197</v>
      </c>
      <c r="D964" s="79">
        <f>(37.39+(0.6*2.75)+2.15*0.75+1.5*3.05)*10.764</f>
        <v>486.82880999999986</v>
      </c>
      <c r="E964" s="79">
        <f t="shared" si="141"/>
        <v>49.245299999999986</v>
      </c>
      <c r="F964" s="79">
        <f t="shared" si="153"/>
        <v>779.48851499999978</v>
      </c>
      <c r="G964" s="146"/>
      <c r="H964" s="147"/>
      <c r="I964" s="31"/>
      <c r="N964" s="78" t="str">
        <f t="shared" ca="1" si="154"/>
        <v>802,..,1202</v>
      </c>
      <c r="O964" s="78">
        <f t="shared" ref="O964:P964" ca="1" si="155">O963+1</f>
        <v>802</v>
      </c>
      <c r="P964" s="78">
        <f t="shared" ca="1" si="155"/>
        <v>1202</v>
      </c>
    </row>
    <row r="965" spans="1:16" s="78" customFormat="1" ht="15.75" customHeight="1" x14ac:dyDescent="0.35">
      <c r="A965" s="116" t="str">
        <f t="shared" ca="1" si="152"/>
        <v>803,..,1203</v>
      </c>
      <c r="B965" s="117"/>
      <c r="C965" s="79" t="s">
        <v>197</v>
      </c>
      <c r="D965" s="79">
        <f>(33.82+(0.6*2.9)+2.15*0.75+1.5*3.05)*10.764</f>
        <v>449.37009</v>
      </c>
      <c r="E965" s="79">
        <f t="shared" si="141"/>
        <v>49.245299999999986</v>
      </c>
      <c r="F965" s="79">
        <f t="shared" si="153"/>
        <v>723.30043500000011</v>
      </c>
      <c r="G965" s="146"/>
      <c r="H965" s="147"/>
      <c r="I965" s="31"/>
      <c r="N965" s="78" t="str">
        <f t="shared" ca="1" si="154"/>
        <v>803,..,1203</v>
      </c>
      <c r="O965" s="78">
        <f t="shared" ref="O965:P965" ca="1" si="156">O964+1</f>
        <v>803</v>
      </c>
      <c r="P965" s="78">
        <f t="shared" ca="1" si="156"/>
        <v>1203</v>
      </c>
    </row>
    <row r="966" spans="1:16" s="78" customFormat="1" ht="15.75" customHeight="1" x14ac:dyDescent="0.35">
      <c r="A966" s="116" t="str">
        <f t="shared" ca="1" si="152"/>
        <v>804,..,1204</v>
      </c>
      <c r="B966" s="117"/>
      <c r="C966" s="79" t="s">
        <v>197</v>
      </c>
      <c r="D966" s="79">
        <f>(33.82+(0.6*2.9)+2.15*0.75+1.5*3.05)*10.764</f>
        <v>449.37009</v>
      </c>
      <c r="E966" s="79">
        <f t="shared" si="141"/>
        <v>49.245299999999986</v>
      </c>
      <c r="F966" s="79">
        <f>D966*(($F$472)+1)+E966</f>
        <v>723.30043500000011</v>
      </c>
      <c r="G966" s="146"/>
      <c r="H966" s="147"/>
      <c r="I966" s="31"/>
      <c r="N966" s="78" t="str">
        <f t="shared" ca="1" si="154"/>
        <v>804,..,1204</v>
      </c>
      <c r="O966" s="78">
        <f t="shared" ref="O966:P966" ca="1" si="157">O965+1</f>
        <v>804</v>
      </c>
      <c r="P966" s="78">
        <f t="shared" ca="1" si="157"/>
        <v>1204</v>
      </c>
    </row>
    <row r="967" spans="1:16" s="78" customFormat="1" ht="15.75" customHeight="1" x14ac:dyDescent="0.35">
      <c r="A967" s="116" t="str">
        <f t="shared" ca="1" si="152"/>
        <v>805,..,1205</v>
      </c>
      <c r="B967" s="117"/>
      <c r="C967" s="79" t="s">
        <v>197</v>
      </c>
      <c r="D967" s="79">
        <f>(37.39+(0.6*2.75)+2.15*0.75+1.5*3.05)*10.764</f>
        <v>486.82880999999986</v>
      </c>
      <c r="E967" s="79">
        <f t="shared" si="141"/>
        <v>49.245299999999986</v>
      </c>
      <c r="F967" s="79">
        <f t="shared" ref="F967" si="158">D967*(($F$472)+1)+E967</f>
        <v>779.48851499999978</v>
      </c>
      <c r="G967" s="146"/>
      <c r="H967" s="147"/>
      <c r="I967" s="31"/>
      <c r="N967" s="78" t="str">
        <f t="shared" ca="1" si="154"/>
        <v>805,..,1205</v>
      </c>
      <c r="O967" s="78">
        <f t="shared" ref="O967:P967" ca="1" si="159">O966+1</f>
        <v>805</v>
      </c>
      <c r="P967" s="78">
        <f t="shared" ca="1" si="159"/>
        <v>1205</v>
      </c>
    </row>
    <row r="968" spans="1:16" s="78" customFormat="1" ht="15.75" customHeight="1" x14ac:dyDescent="0.35">
      <c r="A968" s="116" t="str">
        <f t="shared" ca="1" si="152"/>
        <v>806,..,1206</v>
      </c>
      <c r="B968" s="117"/>
      <c r="C968" s="116" t="s">
        <v>220</v>
      </c>
      <c r="D968" s="161"/>
      <c r="E968" s="161"/>
      <c r="F968" s="117"/>
      <c r="G968" s="146"/>
      <c r="H968" s="147"/>
      <c r="I968" s="31"/>
      <c r="N968" s="78" t="str">
        <f t="shared" ca="1" si="154"/>
        <v>806,..,1206</v>
      </c>
      <c r="O968" s="78">
        <f t="shared" ref="O968:P968" ca="1" si="160">O967+1</f>
        <v>806</v>
      </c>
      <c r="P968" s="78">
        <f t="shared" ca="1" si="160"/>
        <v>1206</v>
      </c>
    </row>
    <row r="969" spans="1:16" s="78" customFormat="1" ht="15.75" customHeight="1" x14ac:dyDescent="0.35">
      <c r="A969" s="116" t="str">
        <f t="shared" ca="1" si="152"/>
        <v>807,..,1207</v>
      </c>
      <c r="B969" s="117"/>
      <c r="C969" s="79" t="s">
        <v>197</v>
      </c>
      <c r="D969" s="79">
        <f>(33.82+(0.6*2.9)+2.15*0.75+1.5*3.05)*10.764</f>
        <v>449.37009</v>
      </c>
      <c r="E969" s="79">
        <f t="shared" si="141"/>
        <v>49.245299999999986</v>
      </c>
      <c r="F969" s="79">
        <f t="shared" ref="F969:F970" si="161">D969*(($F$472)+1)+E969</f>
        <v>723.30043500000011</v>
      </c>
      <c r="G969" s="146"/>
      <c r="H969" s="147"/>
      <c r="I969" s="31"/>
      <c r="N969" s="78" t="str">
        <f t="shared" ca="1" si="154"/>
        <v>807,..,1207</v>
      </c>
      <c r="O969" s="78">
        <f t="shared" ref="O969:P969" ca="1" si="162">O968+1</f>
        <v>807</v>
      </c>
      <c r="P969" s="78">
        <f t="shared" ca="1" si="162"/>
        <v>1207</v>
      </c>
    </row>
    <row r="970" spans="1:16" s="78" customFormat="1" ht="15.75" customHeight="1" x14ac:dyDescent="0.35">
      <c r="A970" s="116" t="str">
        <f t="shared" ca="1" si="152"/>
        <v>808,..,1208</v>
      </c>
      <c r="B970" s="117"/>
      <c r="C970" s="79" t="s">
        <v>197</v>
      </c>
      <c r="D970" s="79">
        <f>(33.82+(0.6*2.9)+2.15*0.75+1.5*3.05)*10.764</f>
        <v>449.37009</v>
      </c>
      <c r="E970" s="79">
        <f t="shared" si="141"/>
        <v>49.245299999999986</v>
      </c>
      <c r="F970" s="79">
        <f t="shared" si="161"/>
        <v>723.30043500000011</v>
      </c>
      <c r="G970" s="148"/>
      <c r="H970" s="149"/>
      <c r="I970" s="31"/>
      <c r="N970" s="78" t="str">
        <f t="shared" ca="1" si="154"/>
        <v>808,..,1208</v>
      </c>
      <c r="O970" s="78">
        <f t="shared" ref="O970:P970" ca="1" si="163">O969+1</f>
        <v>808</v>
      </c>
      <c r="P970" s="78">
        <f t="shared" ca="1" si="163"/>
        <v>1208</v>
      </c>
    </row>
    <row r="971" spans="1:16" s="1" customFormat="1" x14ac:dyDescent="0.35">
      <c r="A971" s="134" t="s">
        <v>273</v>
      </c>
      <c r="B971" s="134"/>
      <c r="C971" s="134"/>
      <c r="D971" s="134"/>
      <c r="E971" s="134"/>
      <c r="F971" s="134"/>
      <c r="G971" s="134"/>
      <c r="H971" s="134"/>
    </row>
    <row r="972" spans="1:16" s="78" customFormat="1" x14ac:dyDescent="0.35">
      <c r="A972" s="126" t="s">
        <v>200</v>
      </c>
      <c r="B972" s="127"/>
      <c r="C972" s="127"/>
      <c r="D972" s="127"/>
      <c r="E972" s="127"/>
      <c r="F972" s="127"/>
      <c r="G972" s="127"/>
      <c r="H972" s="128"/>
      <c r="I972" s="31"/>
      <c r="L972" s="115"/>
      <c r="M972" s="115"/>
    </row>
    <row r="973" spans="1:16" s="78" customFormat="1" ht="15.75" customHeight="1" x14ac:dyDescent="0.35">
      <c r="A973" s="126" t="s">
        <v>198</v>
      </c>
      <c r="B973" s="127"/>
      <c r="C973" s="127"/>
      <c r="D973" s="127"/>
      <c r="E973" s="127"/>
      <c r="F973" s="127"/>
      <c r="G973" s="127"/>
      <c r="H973" s="128"/>
      <c r="I973" s="31"/>
    </row>
    <row r="974" spans="1:16" s="78" customFormat="1" ht="15.75" customHeight="1" x14ac:dyDescent="0.35">
      <c r="A974" s="116" t="str">
        <f t="shared" ref="A974:A981" ca="1" si="164">N974</f>
        <v>101,..,1301</v>
      </c>
      <c r="B974" s="117"/>
      <c r="C974" s="79" t="s">
        <v>197</v>
      </c>
      <c r="D974" s="79">
        <f>(37.39+(0.6*3.05)+2.15*0.75+1.5*2.75)*10.764</f>
        <v>483.92252999999994</v>
      </c>
      <c r="E974" s="79">
        <f t="shared" ref="E974:E981" si="165">3.05*1.5*10.764</f>
        <v>49.245299999999986</v>
      </c>
      <c r="F974" s="79">
        <f t="shared" ref="F974:F981" si="166">D974*(($F$472)+1)+E974</f>
        <v>775.12909500000001</v>
      </c>
      <c r="G974" s="144" t="str">
        <f>A973</f>
        <v>1st, 3rd, 5th, 7th, 9th, 11th, 13th Floor</v>
      </c>
      <c r="H974" s="145"/>
      <c r="I974" s="31"/>
      <c r="J974" s="78">
        <f>3850000/F974</f>
        <v>4966.9145756940006</v>
      </c>
      <c r="N974" s="78" t="str">
        <f t="shared" ref="N974:N981" ca="1" si="167">O974&amp;""&amp;",..,"&amp;""&amp;P974</f>
        <v>101,..,1301</v>
      </c>
      <c r="O974" s="78">
        <f ca="1">(SUMPRODUCT(MID(0&amp;(LEFT(A973,SUM(LEN(A973)-LEN(SUBSTITUTE(A973,{"0","1","2"},""))))), LARGE(INDEX(ISNUMBER(--MID((LEFT(A973,SUM(LEN(A973)-LEN(SUBSTITUTE(A973,{"0","1","2"},""))))), ROW(INDIRECT("1:"&amp;LEN((LEFT(A973,SUM(LEN(A973)-LEN(SUBSTITUTE(A973,{"0","1","2"},"")))))))), 1)) * ROW(INDIRECT("1:"&amp;LEN((LEFT(A973,SUM(LEN(A973)-LEN(SUBSTITUTE(A973,{"0","1","2"},"")))))))), 0), ROW(INDIRECT("1:"&amp;LEN((LEFT(A973,SUM(LEN(A973)-LEN(SUBSTITUTE(A973,{"0","1","2"},"")))))))))+1, 1) * 10^ROW(INDIRECT("1:"&amp;LEN((LEFT(A973,SUM(LEN(A973)-LEN(SUBSTITUTE(A973,{"0","1","2"},""))))))))/10))*100+1</f>
        <v>101</v>
      </c>
      <c r="P974" s="78">
        <f ca="1">(SUMPRODUCT(MID(0&amp;(--TRIM(RIGHT(SUBSTITUTE(LEFT(A973,_xlfn.AGGREGATE(16,6,FIND({0,1,2,3,4,5,6,7,8,9},A973,ROW(INDIRECT("1:"&amp;LEN(A973)))),1))," ",REPT(" ",LEN(A973))),LEN(A973)))), LARGE(INDEX(ISNUMBER(--MID((--TRIM(RIGHT(SUBSTITUTE(LEFT(A973,_xlfn.AGGREGATE(16,6,FIND({0,1,2,3,4,5,6,7,8,9},A973,ROW(INDIRECT("1:"&amp;LEN(A973)))),1))," ",REPT(" ",LEN(A973))),LEN(A973)))), ROW(INDIRECT("1:"&amp;LEN((--TRIM(RIGHT(SUBSTITUTE(LEFT(A973,_xlfn.AGGREGATE(16,6,FIND({0,1,2,3,4,5,6,7,8,9},A973,ROW(INDIRECT("1:"&amp;LEN(A973)))),1))," ",REPT(" ",LEN(A973))),LEN(A973))))))), 1)) * ROW(INDIRECT("1:"&amp;LEN((--TRIM(RIGHT(SUBSTITUTE(LEFT(A973,_xlfn.AGGREGATE(16,6,FIND({0,1,2,3,4,5,6,7,8,9},A973,ROW(INDIRECT("1:"&amp;LEN(A973)))),1))," ",REPT(" ",LEN(A973))),LEN(A973))))))), 0), ROW(INDIRECT("1:"&amp;LEN((--TRIM(RIGHT(SUBSTITUTE(LEFT(A973,_xlfn.AGGREGATE(16,6,FIND({0,1,2,3,4,5,6,7,8,9},A973,ROW(INDIRECT("1:"&amp;LEN(A973)))),1))," ",REPT(" ",LEN(A973))),LEN(A973))))))))+1, 1) * 10^ROW(INDIRECT("1:"&amp;LEN((--TRIM(RIGHT(SUBSTITUTE(LEFT(A973,_xlfn.AGGREGATE(16,6,FIND({0,1,2,3,4,5,6,7,8,9},A973,ROW(INDIRECT("1:"&amp;LEN(A973)))),1))," ",REPT(" ",LEN(A973))),LEN(A973)))))))/10))*100+1</f>
        <v>1301</v>
      </c>
    </row>
    <row r="975" spans="1:16" s="78" customFormat="1" ht="15.75" customHeight="1" x14ac:dyDescent="0.35">
      <c r="A975" s="116" t="str">
        <f t="shared" ca="1" si="164"/>
        <v>102,..,1302</v>
      </c>
      <c r="B975" s="117"/>
      <c r="C975" s="79" t="s">
        <v>197</v>
      </c>
      <c r="D975" s="79">
        <f>(37.39+(0.6*3.05)+2.15*0.75+1.5*2.75)*10.764</f>
        <v>483.92252999999994</v>
      </c>
      <c r="E975" s="79">
        <f t="shared" si="165"/>
        <v>49.245299999999986</v>
      </c>
      <c r="F975" s="79">
        <f t="shared" si="166"/>
        <v>775.12909500000001</v>
      </c>
      <c r="G975" s="146"/>
      <c r="H975" s="147"/>
      <c r="I975" s="31"/>
      <c r="N975" s="78" t="str">
        <f t="shared" ca="1" si="167"/>
        <v>102,..,1302</v>
      </c>
      <c r="O975" s="78">
        <f t="shared" ref="O975:P975" ca="1" si="168">O974+1</f>
        <v>102</v>
      </c>
      <c r="P975" s="78">
        <f t="shared" ca="1" si="168"/>
        <v>1302</v>
      </c>
    </row>
    <row r="976" spans="1:16" s="78" customFormat="1" ht="15.75" customHeight="1" x14ac:dyDescent="0.35">
      <c r="A976" s="116" t="str">
        <f t="shared" ca="1" si="164"/>
        <v>103,..,1303</v>
      </c>
      <c r="B976" s="117"/>
      <c r="C976" s="79" t="s">
        <v>197</v>
      </c>
      <c r="D976" s="79">
        <f>(33.82+(0.6*3.05)+2.15*0.75+1.5*2.9)*10.764</f>
        <v>447.91694999999993</v>
      </c>
      <c r="E976" s="79">
        <f t="shared" si="165"/>
        <v>49.245299999999986</v>
      </c>
      <c r="F976" s="79">
        <f t="shared" si="166"/>
        <v>721.12072499999999</v>
      </c>
      <c r="G976" s="146"/>
      <c r="H976" s="147"/>
      <c r="I976" s="31"/>
      <c r="N976" s="78" t="str">
        <f t="shared" ca="1" si="167"/>
        <v>103,..,1303</v>
      </c>
      <c r="O976" s="78">
        <f t="shared" ref="O976:P976" ca="1" si="169">O975+1</f>
        <v>103</v>
      </c>
      <c r="P976" s="78">
        <f t="shared" ca="1" si="169"/>
        <v>1303</v>
      </c>
    </row>
    <row r="977" spans="1:16" s="78" customFormat="1" ht="15.75" customHeight="1" x14ac:dyDescent="0.35">
      <c r="A977" s="116" t="str">
        <f t="shared" ca="1" si="164"/>
        <v>104,..,1304</v>
      </c>
      <c r="B977" s="117"/>
      <c r="C977" s="79" t="s">
        <v>197</v>
      </c>
      <c r="D977" s="79">
        <f>(33.82+(0.6*3.05)+2.15*0.75+1.5*2.9)*10.764</f>
        <v>447.91694999999993</v>
      </c>
      <c r="E977" s="79">
        <f t="shared" si="165"/>
        <v>49.245299999999986</v>
      </c>
      <c r="F977" s="79">
        <f t="shared" si="166"/>
        <v>721.12072499999999</v>
      </c>
      <c r="G977" s="146"/>
      <c r="H977" s="147"/>
      <c r="I977" s="31"/>
      <c r="N977" s="78" t="str">
        <f t="shared" ca="1" si="167"/>
        <v>104,..,1304</v>
      </c>
      <c r="O977" s="78">
        <f t="shared" ref="O977:P977" ca="1" si="170">O976+1</f>
        <v>104</v>
      </c>
      <c r="P977" s="78">
        <f t="shared" ca="1" si="170"/>
        <v>1304</v>
      </c>
    </row>
    <row r="978" spans="1:16" s="78" customFormat="1" ht="15.75" customHeight="1" x14ac:dyDescent="0.35">
      <c r="A978" s="116" t="str">
        <f t="shared" ca="1" si="164"/>
        <v>105,..,1305</v>
      </c>
      <c r="B978" s="117"/>
      <c r="C978" s="79" t="s">
        <v>197</v>
      </c>
      <c r="D978" s="79">
        <f>(37.39+(0.6*3.05)+2.15*0.75+1.5*2.75)*10.764</f>
        <v>483.92252999999994</v>
      </c>
      <c r="E978" s="79">
        <f t="shared" si="165"/>
        <v>49.245299999999986</v>
      </c>
      <c r="F978" s="79">
        <f t="shared" si="166"/>
        <v>775.12909500000001</v>
      </c>
      <c r="G978" s="146"/>
      <c r="H978" s="147"/>
      <c r="I978" s="31"/>
      <c r="N978" s="78" t="str">
        <f t="shared" ca="1" si="167"/>
        <v>105,..,1305</v>
      </c>
      <c r="O978" s="78">
        <f t="shared" ref="O978:P978" ca="1" si="171">O977+1</f>
        <v>105</v>
      </c>
      <c r="P978" s="78">
        <f t="shared" ca="1" si="171"/>
        <v>1305</v>
      </c>
    </row>
    <row r="979" spans="1:16" s="78" customFormat="1" ht="15.75" customHeight="1" x14ac:dyDescent="0.35">
      <c r="A979" s="116" t="str">
        <f t="shared" ca="1" si="164"/>
        <v>106,..,1306</v>
      </c>
      <c r="B979" s="117"/>
      <c r="C979" s="79" t="s">
        <v>197</v>
      </c>
      <c r="D979" s="79">
        <f>(37.39+(0.6*3.05)+2.15*0.75+1.5*2.75)*10.764</f>
        <v>483.92252999999994</v>
      </c>
      <c r="E979" s="79">
        <f t="shared" si="165"/>
        <v>49.245299999999986</v>
      </c>
      <c r="F979" s="79">
        <f t="shared" si="166"/>
        <v>775.12909500000001</v>
      </c>
      <c r="G979" s="146"/>
      <c r="H979" s="147"/>
      <c r="I979" s="31"/>
      <c r="N979" s="78" t="str">
        <f t="shared" ca="1" si="167"/>
        <v>106,..,1306</v>
      </c>
      <c r="O979" s="78">
        <f t="shared" ref="O979:P979" ca="1" si="172">O978+1</f>
        <v>106</v>
      </c>
      <c r="P979" s="78">
        <f t="shared" ca="1" si="172"/>
        <v>1306</v>
      </c>
    </row>
    <row r="980" spans="1:16" s="78" customFormat="1" ht="15.75" customHeight="1" x14ac:dyDescent="0.35">
      <c r="A980" s="116" t="str">
        <f t="shared" ca="1" si="164"/>
        <v>107,..,1307</v>
      </c>
      <c r="B980" s="117"/>
      <c r="C980" s="79" t="s">
        <v>197</v>
      </c>
      <c r="D980" s="79">
        <f>(33.82+(0.6*3.05)+2.15*0.75+1.5*2.9)*10.764</f>
        <v>447.91694999999993</v>
      </c>
      <c r="E980" s="79">
        <f t="shared" si="165"/>
        <v>49.245299999999986</v>
      </c>
      <c r="F980" s="79">
        <f t="shared" si="166"/>
        <v>721.12072499999999</v>
      </c>
      <c r="G980" s="146"/>
      <c r="H980" s="147"/>
      <c r="I980" s="31"/>
      <c r="N980" s="78" t="str">
        <f t="shared" ca="1" si="167"/>
        <v>107,..,1307</v>
      </c>
      <c r="O980" s="78">
        <f t="shared" ref="O980:P980" ca="1" si="173">O979+1</f>
        <v>107</v>
      </c>
      <c r="P980" s="78">
        <f t="shared" ca="1" si="173"/>
        <v>1307</v>
      </c>
    </row>
    <row r="981" spans="1:16" s="78" customFormat="1" ht="15.75" customHeight="1" x14ac:dyDescent="0.35">
      <c r="A981" s="116" t="str">
        <f t="shared" ca="1" si="164"/>
        <v>108,..,1308</v>
      </c>
      <c r="B981" s="117"/>
      <c r="C981" s="79" t="s">
        <v>197</v>
      </c>
      <c r="D981" s="79">
        <f>(33.82+(0.6*3.05)+2.15*0.75+1.5*2.9)*10.764</f>
        <v>447.91694999999993</v>
      </c>
      <c r="E981" s="79">
        <f t="shared" si="165"/>
        <v>49.245299999999986</v>
      </c>
      <c r="F981" s="79">
        <f t="shared" si="166"/>
        <v>721.12072499999999</v>
      </c>
      <c r="G981" s="148"/>
      <c r="H981" s="149"/>
      <c r="I981" s="31"/>
      <c r="N981" s="78" t="str">
        <f t="shared" ca="1" si="167"/>
        <v>108,..,1308</v>
      </c>
      <c r="O981" s="78">
        <f t="shared" ref="O981:P981" ca="1" si="174">O980+1</f>
        <v>108</v>
      </c>
      <c r="P981" s="78">
        <f t="shared" ca="1" si="174"/>
        <v>1308</v>
      </c>
    </row>
    <row r="982" spans="1:16" s="78" customFormat="1" ht="15.75" customHeight="1" x14ac:dyDescent="0.35">
      <c r="A982" s="126" t="s">
        <v>199</v>
      </c>
      <c r="B982" s="127"/>
      <c r="C982" s="127"/>
      <c r="D982" s="127"/>
      <c r="E982" s="127"/>
      <c r="F982" s="127"/>
      <c r="G982" s="127"/>
      <c r="H982" s="128"/>
      <c r="I982" s="31"/>
    </row>
    <row r="983" spans="1:16" s="78" customFormat="1" ht="15.75" customHeight="1" x14ac:dyDescent="0.35">
      <c r="A983" s="116" t="str">
        <f t="shared" ref="A983:A990" ca="1" si="175">N983</f>
        <v>201,..,1401</v>
      </c>
      <c r="B983" s="117"/>
      <c r="C983" s="79" t="s">
        <v>197</v>
      </c>
      <c r="D983" s="79">
        <f>(35.78+(0.6*2.75)+2.15*0.75+1.5*3.05)*10.764</f>
        <v>469.49876999999987</v>
      </c>
      <c r="E983" s="79">
        <f t="shared" ref="E983:E990" si="176">3.05*1.5*10.764</f>
        <v>49.245299999999986</v>
      </c>
      <c r="F983" s="79">
        <f t="shared" ref="F983:F985" si="177">D983*(($F$472)+1)+E983</f>
        <v>753.49345499999981</v>
      </c>
      <c r="G983" s="144" t="str">
        <f>A982</f>
        <v>2nd, 4th, 6th, 10th, 14th Floor</v>
      </c>
      <c r="H983" s="145"/>
      <c r="I983" s="31"/>
      <c r="N983" s="78" t="str">
        <f t="shared" ref="N983:N990" ca="1" si="178">O983&amp;""&amp;",..,"&amp;""&amp;P983</f>
        <v>201,..,1401</v>
      </c>
      <c r="O983" s="78">
        <f ca="1">(SUMPRODUCT(MID(0&amp;(LEFT(A982,SUM(LEN(A982)-LEN(SUBSTITUTE(A982,{"0","1","2"},""))))), LARGE(INDEX(ISNUMBER(--MID((LEFT(A982,SUM(LEN(A982)-LEN(SUBSTITUTE(A982,{"0","1","2"},""))))), ROW(INDIRECT("1:"&amp;LEN((LEFT(A982,SUM(LEN(A982)-LEN(SUBSTITUTE(A982,{"0","1","2"},"")))))))), 1)) * ROW(INDIRECT("1:"&amp;LEN((LEFT(A982,SUM(LEN(A982)-LEN(SUBSTITUTE(A982,{"0","1","2"},"")))))))), 0), ROW(INDIRECT("1:"&amp;LEN((LEFT(A982,SUM(LEN(A982)-LEN(SUBSTITUTE(A982,{"0","1","2"},"")))))))))+1, 1) * 10^ROW(INDIRECT("1:"&amp;LEN((LEFT(A982,SUM(LEN(A982)-LEN(SUBSTITUTE(A982,{"0","1","2"},""))))))))/10))*100+1</f>
        <v>201</v>
      </c>
      <c r="P983" s="78">
        <f ca="1">(SUMPRODUCT(MID(0&amp;(--TRIM(RIGHT(SUBSTITUTE(LEFT(A982,_xlfn.AGGREGATE(16,6,FIND({0,1,2,3,4,5,6,7,8,9},A982,ROW(INDIRECT("1:"&amp;LEN(A982)))),1))," ",REPT(" ",LEN(A982))),LEN(A982)))), LARGE(INDEX(ISNUMBER(--MID((--TRIM(RIGHT(SUBSTITUTE(LEFT(A982,_xlfn.AGGREGATE(16,6,FIND({0,1,2,3,4,5,6,7,8,9},A982,ROW(INDIRECT("1:"&amp;LEN(A982)))),1))," ",REPT(" ",LEN(A982))),LEN(A982)))), ROW(INDIRECT("1:"&amp;LEN((--TRIM(RIGHT(SUBSTITUTE(LEFT(A982,_xlfn.AGGREGATE(16,6,FIND({0,1,2,3,4,5,6,7,8,9},A982,ROW(INDIRECT("1:"&amp;LEN(A982)))),1))," ",REPT(" ",LEN(A982))),LEN(A982))))))), 1)) * ROW(INDIRECT("1:"&amp;LEN((--TRIM(RIGHT(SUBSTITUTE(LEFT(A982,_xlfn.AGGREGATE(16,6,FIND({0,1,2,3,4,5,6,7,8,9},A982,ROW(INDIRECT("1:"&amp;LEN(A982)))),1))," ",REPT(" ",LEN(A982))),LEN(A982))))))), 0), ROW(INDIRECT("1:"&amp;LEN((--TRIM(RIGHT(SUBSTITUTE(LEFT(A982,_xlfn.AGGREGATE(16,6,FIND({0,1,2,3,4,5,6,7,8,9},A982,ROW(INDIRECT("1:"&amp;LEN(A982)))),1))," ",REPT(" ",LEN(A982))),LEN(A982))))))))+1, 1) * 10^ROW(INDIRECT("1:"&amp;LEN((--TRIM(RIGHT(SUBSTITUTE(LEFT(A982,_xlfn.AGGREGATE(16,6,FIND({0,1,2,3,4,5,6,7,8,9},A982,ROW(INDIRECT("1:"&amp;LEN(A982)))),1))," ",REPT(" ",LEN(A982))),LEN(A982)))))))/10))*100+1</f>
        <v>1401</v>
      </c>
    </row>
    <row r="984" spans="1:16" s="78" customFormat="1" ht="15.75" customHeight="1" x14ac:dyDescent="0.35">
      <c r="A984" s="116" t="str">
        <f t="shared" ca="1" si="175"/>
        <v>202,..,1402</v>
      </c>
      <c r="B984" s="117"/>
      <c r="C984" s="79" t="s">
        <v>197</v>
      </c>
      <c r="D984" s="79">
        <f>(37.39+(0.6*2.75)+2.15*0.75+1.5*3.05)*10.764</f>
        <v>486.82880999999986</v>
      </c>
      <c r="E984" s="79">
        <f t="shared" si="176"/>
        <v>49.245299999999986</v>
      </c>
      <c r="F984" s="79">
        <f t="shared" si="177"/>
        <v>779.48851499999978</v>
      </c>
      <c r="G984" s="146"/>
      <c r="H984" s="147"/>
      <c r="I984" s="31"/>
      <c r="N984" s="78" t="str">
        <f t="shared" ca="1" si="178"/>
        <v>202,..,1402</v>
      </c>
      <c r="O984" s="78">
        <f t="shared" ref="O984:P984" ca="1" si="179">O983+1</f>
        <v>202</v>
      </c>
      <c r="P984" s="78">
        <f t="shared" ca="1" si="179"/>
        <v>1402</v>
      </c>
    </row>
    <row r="985" spans="1:16" s="78" customFormat="1" ht="15.75" customHeight="1" x14ac:dyDescent="0.35">
      <c r="A985" s="116" t="str">
        <f t="shared" ca="1" si="175"/>
        <v>203,..,1403</v>
      </c>
      <c r="B985" s="117"/>
      <c r="C985" s="79" t="s">
        <v>197</v>
      </c>
      <c r="D985" s="79">
        <f>(33.82+(0.6*2.9)+2.15*0.75+1.5*3.05)*10.764</f>
        <v>449.37009</v>
      </c>
      <c r="E985" s="79">
        <f t="shared" si="176"/>
        <v>49.245299999999986</v>
      </c>
      <c r="F985" s="79">
        <f t="shared" si="177"/>
        <v>723.30043500000011</v>
      </c>
      <c r="G985" s="146"/>
      <c r="H985" s="147"/>
      <c r="I985" s="31"/>
      <c r="N985" s="78" t="str">
        <f t="shared" ca="1" si="178"/>
        <v>203,..,1403</v>
      </c>
      <c r="O985" s="78">
        <f t="shared" ref="O985:P985" ca="1" si="180">O984+1</f>
        <v>203</v>
      </c>
      <c r="P985" s="78">
        <f t="shared" ca="1" si="180"/>
        <v>1403</v>
      </c>
    </row>
    <row r="986" spans="1:16" s="78" customFormat="1" ht="15.75" customHeight="1" x14ac:dyDescent="0.35">
      <c r="A986" s="116" t="str">
        <f t="shared" ca="1" si="175"/>
        <v>204,..,1404</v>
      </c>
      <c r="B986" s="117"/>
      <c r="C986" s="79" t="s">
        <v>197</v>
      </c>
      <c r="D986" s="79">
        <f>(33.82+(0.6*2.9)+2.15*0.75+1.5*3.05)*10.764</f>
        <v>449.37009</v>
      </c>
      <c r="E986" s="79">
        <f t="shared" si="176"/>
        <v>49.245299999999986</v>
      </c>
      <c r="F986" s="79">
        <f>D986*(($F$472)+1)+E986</f>
        <v>723.30043500000011</v>
      </c>
      <c r="G986" s="146"/>
      <c r="H986" s="147"/>
      <c r="I986" s="31"/>
      <c r="N986" s="78" t="str">
        <f t="shared" ca="1" si="178"/>
        <v>204,..,1404</v>
      </c>
      <c r="O986" s="78">
        <f t="shared" ref="O986:P986" ca="1" si="181">O985+1</f>
        <v>204</v>
      </c>
      <c r="P986" s="78">
        <f t="shared" ca="1" si="181"/>
        <v>1404</v>
      </c>
    </row>
    <row r="987" spans="1:16" s="78" customFormat="1" ht="15.75" customHeight="1" x14ac:dyDescent="0.35">
      <c r="A987" s="116" t="str">
        <f t="shared" ca="1" si="175"/>
        <v>205,..,1405</v>
      </c>
      <c r="B987" s="117"/>
      <c r="C987" s="79" t="s">
        <v>197</v>
      </c>
      <c r="D987" s="79">
        <f>(37.39+(0.6*2.75)+2.15*0.75+1.5*3.05)*10.764</f>
        <v>486.82880999999986</v>
      </c>
      <c r="E987" s="79">
        <f t="shared" si="176"/>
        <v>49.245299999999986</v>
      </c>
      <c r="F987" s="79">
        <f t="shared" ref="F987:F990" si="182">D987*(($F$472)+1)+E987</f>
        <v>779.48851499999978</v>
      </c>
      <c r="G987" s="146"/>
      <c r="H987" s="147"/>
      <c r="I987" s="31"/>
      <c r="N987" s="78" t="str">
        <f t="shared" ca="1" si="178"/>
        <v>205,..,1405</v>
      </c>
      <c r="O987" s="78">
        <f t="shared" ref="O987:P987" ca="1" si="183">O986+1</f>
        <v>205</v>
      </c>
      <c r="P987" s="78">
        <f t="shared" ca="1" si="183"/>
        <v>1405</v>
      </c>
    </row>
    <row r="988" spans="1:16" s="78" customFormat="1" ht="15.75" customHeight="1" x14ac:dyDescent="0.35">
      <c r="A988" s="116" t="str">
        <f t="shared" ca="1" si="175"/>
        <v>206,..,1406</v>
      </c>
      <c r="B988" s="117"/>
      <c r="C988" s="79" t="s">
        <v>197</v>
      </c>
      <c r="D988" s="79">
        <f>(37.39+(0.6*2.75)+2.15*0.75+1.5*3.05)*10.764</f>
        <v>486.82880999999986</v>
      </c>
      <c r="E988" s="79">
        <f t="shared" si="176"/>
        <v>49.245299999999986</v>
      </c>
      <c r="F988" s="79">
        <f t="shared" si="182"/>
        <v>779.48851499999978</v>
      </c>
      <c r="G988" s="146"/>
      <c r="H988" s="147"/>
      <c r="I988" s="31"/>
      <c r="N988" s="78" t="str">
        <f t="shared" ca="1" si="178"/>
        <v>206,..,1406</v>
      </c>
      <c r="O988" s="78">
        <f t="shared" ref="O988:P988" ca="1" si="184">O987+1</f>
        <v>206</v>
      </c>
      <c r="P988" s="78">
        <f t="shared" ca="1" si="184"/>
        <v>1406</v>
      </c>
    </row>
    <row r="989" spans="1:16" s="78" customFormat="1" ht="15.75" customHeight="1" x14ac:dyDescent="0.35">
      <c r="A989" s="116" t="str">
        <f t="shared" ca="1" si="175"/>
        <v>207,..,1407</v>
      </c>
      <c r="B989" s="117"/>
      <c r="C989" s="79" t="s">
        <v>197</v>
      </c>
      <c r="D989" s="79">
        <f>(33.82+(0.6*2.9)+2.15*0.75+1.5*3.05)*10.764</f>
        <v>449.37009</v>
      </c>
      <c r="E989" s="79">
        <f t="shared" si="176"/>
        <v>49.245299999999986</v>
      </c>
      <c r="F989" s="79">
        <f t="shared" si="182"/>
        <v>723.30043500000011</v>
      </c>
      <c r="G989" s="146"/>
      <c r="H989" s="147"/>
      <c r="I989" s="31"/>
      <c r="N989" s="78" t="str">
        <f t="shared" ca="1" si="178"/>
        <v>207,..,1407</v>
      </c>
      <c r="O989" s="78">
        <f t="shared" ref="O989:P989" ca="1" si="185">O988+1</f>
        <v>207</v>
      </c>
      <c r="P989" s="78">
        <f t="shared" ca="1" si="185"/>
        <v>1407</v>
      </c>
    </row>
    <row r="990" spans="1:16" s="78" customFormat="1" ht="15.75" customHeight="1" x14ac:dyDescent="0.35">
      <c r="A990" s="116" t="str">
        <f t="shared" ca="1" si="175"/>
        <v>208,..,1408</v>
      </c>
      <c r="B990" s="117"/>
      <c r="C990" s="79" t="s">
        <v>197</v>
      </c>
      <c r="D990" s="79">
        <f>(33.82+(0.6*2.9)+2.15*0.75+1.5*3.05)*10.764</f>
        <v>449.37009</v>
      </c>
      <c r="E990" s="79">
        <f t="shared" si="176"/>
        <v>49.245299999999986</v>
      </c>
      <c r="F990" s="79">
        <f t="shared" si="182"/>
        <v>723.30043500000011</v>
      </c>
      <c r="G990" s="148"/>
      <c r="H990" s="149"/>
      <c r="I990" s="31"/>
      <c r="N990" s="78" t="str">
        <f t="shared" ca="1" si="178"/>
        <v>208,..,1408</v>
      </c>
      <c r="O990" s="78">
        <f t="shared" ref="O990:P990" ca="1" si="186">O989+1</f>
        <v>208</v>
      </c>
      <c r="P990" s="78">
        <f t="shared" ca="1" si="186"/>
        <v>1408</v>
      </c>
    </row>
    <row r="991" spans="1:16" s="78" customFormat="1" ht="15.75" customHeight="1" x14ac:dyDescent="0.35">
      <c r="A991" s="126" t="s">
        <v>219</v>
      </c>
      <c r="B991" s="127"/>
      <c r="C991" s="127"/>
      <c r="D991" s="127"/>
      <c r="E991" s="127"/>
      <c r="F991" s="127"/>
      <c r="G991" s="127"/>
      <c r="H991" s="128"/>
      <c r="I991" s="31"/>
    </row>
    <row r="992" spans="1:16" s="78" customFormat="1" ht="15.75" customHeight="1" x14ac:dyDescent="0.35">
      <c r="A992" s="116" t="str">
        <f t="shared" ref="A992:A999" ca="1" si="187">N992</f>
        <v>801,..,1201</v>
      </c>
      <c r="B992" s="117"/>
      <c r="C992" s="79" t="s">
        <v>197</v>
      </c>
      <c r="D992" s="79">
        <f>(35.78+(0.6*2.75)+2.15*0.75+1.5*3.05)*10.764</f>
        <v>469.49876999999987</v>
      </c>
      <c r="E992" s="79">
        <f t="shared" ref="E992:E996" si="188">3.05*1.5*10.764</f>
        <v>49.245299999999986</v>
      </c>
      <c r="F992" s="79">
        <f t="shared" ref="F992:F994" si="189">D992*(($F$472)+1)+E992</f>
        <v>753.49345499999981</v>
      </c>
      <c r="G992" s="144" t="str">
        <f>A991</f>
        <v>8th &amp; 12th Floor ( Part Refuge Area)</v>
      </c>
      <c r="H992" s="145"/>
      <c r="I992" s="31"/>
      <c r="N992" s="78" t="str">
        <f t="shared" ref="N992:N999" ca="1" si="190">O992&amp;""&amp;",..,"&amp;""&amp;P992</f>
        <v>801,..,1201</v>
      </c>
      <c r="O992" s="78">
        <f ca="1">(SUMPRODUCT(MID(0&amp;(LEFT(A991,SUM(LEN(A991)-LEN(SUBSTITUTE(A991,{"0","1","2"},""))))), LARGE(INDEX(ISNUMBER(--MID((LEFT(A991,SUM(LEN(A991)-LEN(SUBSTITUTE(A991,{"0","1","2"},""))))), ROW(INDIRECT("1:"&amp;LEN((LEFT(A991,SUM(LEN(A991)-LEN(SUBSTITUTE(A991,{"0","1","2"},"")))))))), 1)) * ROW(INDIRECT("1:"&amp;LEN((LEFT(A991,SUM(LEN(A991)-LEN(SUBSTITUTE(A991,{"0","1","2"},"")))))))), 0), ROW(INDIRECT("1:"&amp;LEN((LEFT(A991,SUM(LEN(A991)-LEN(SUBSTITUTE(A991,{"0","1","2"},"")))))))))+1, 1) * 10^ROW(INDIRECT("1:"&amp;LEN((LEFT(A991,SUM(LEN(A991)-LEN(SUBSTITUTE(A991,{"0","1","2"},""))))))))/10))*100+1</f>
        <v>801</v>
      </c>
      <c r="P992" s="78">
        <f ca="1">(SUMPRODUCT(MID(0&amp;(--TRIM(RIGHT(SUBSTITUTE(LEFT(A991,_xlfn.AGGREGATE(16,6,FIND({0,1,2,3,4,5,6,7,8,9},A991,ROW(INDIRECT("1:"&amp;LEN(A991)))),1))," ",REPT(" ",LEN(A991))),LEN(A991)))), LARGE(INDEX(ISNUMBER(--MID((--TRIM(RIGHT(SUBSTITUTE(LEFT(A991,_xlfn.AGGREGATE(16,6,FIND({0,1,2,3,4,5,6,7,8,9},A991,ROW(INDIRECT("1:"&amp;LEN(A991)))),1))," ",REPT(" ",LEN(A991))),LEN(A991)))), ROW(INDIRECT("1:"&amp;LEN((--TRIM(RIGHT(SUBSTITUTE(LEFT(A991,_xlfn.AGGREGATE(16,6,FIND({0,1,2,3,4,5,6,7,8,9},A991,ROW(INDIRECT("1:"&amp;LEN(A991)))),1))," ",REPT(" ",LEN(A991))),LEN(A991))))))), 1)) * ROW(INDIRECT("1:"&amp;LEN((--TRIM(RIGHT(SUBSTITUTE(LEFT(A991,_xlfn.AGGREGATE(16,6,FIND({0,1,2,3,4,5,6,7,8,9},A991,ROW(INDIRECT("1:"&amp;LEN(A991)))),1))," ",REPT(" ",LEN(A991))),LEN(A991))))))), 0), ROW(INDIRECT("1:"&amp;LEN((--TRIM(RIGHT(SUBSTITUTE(LEFT(A991,_xlfn.AGGREGATE(16,6,FIND({0,1,2,3,4,5,6,7,8,9},A991,ROW(INDIRECT("1:"&amp;LEN(A991)))),1))," ",REPT(" ",LEN(A991))),LEN(A991))))))))+1, 1) * 10^ROW(INDIRECT("1:"&amp;LEN((--TRIM(RIGHT(SUBSTITUTE(LEFT(A991,_xlfn.AGGREGATE(16,6,FIND({0,1,2,3,4,5,6,7,8,9},A991,ROW(INDIRECT("1:"&amp;LEN(A991)))),1))," ",REPT(" ",LEN(A991))),LEN(A991)))))))/10))*100+1</f>
        <v>1201</v>
      </c>
    </row>
    <row r="993" spans="1:16" s="78" customFormat="1" ht="15.75" customHeight="1" x14ac:dyDescent="0.35">
      <c r="A993" s="116" t="str">
        <f t="shared" ca="1" si="187"/>
        <v>802,..,1202</v>
      </c>
      <c r="B993" s="117"/>
      <c r="C993" s="79" t="s">
        <v>197</v>
      </c>
      <c r="D993" s="79">
        <f>(37.39+(0.6*2.75)+2.15*0.75+1.5*3.05)*10.764</f>
        <v>486.82880999999986</v>
      </c>
      <c r="E993" s="79">
        <f t="shared" si="188"/>
        <v>49.245299999999986</v>
      </c>
      <c r="F993" s="79">
        <f t="shared" si="189"/>
        <v>779.48851499999978</v>
      </c>
      <c r="G993" s="146"/>
      <c r="H993" s="147"/>
      <c r="I993" s="31"/>
      <c r="N993" s="78" t="str">
        <f t="shared" ca="1" si="190"/>
        <v>802,..,1202</v>
      </c>
      <c r="O993" s="78">
        <f t="shared" ref="O993:P993" ca="1" si="191">O992+1</f>
        <v>802</v>
      </c>
      <c r="P993" s="78">
        <f t="shared" ca="1" si="191"/>
        <v>1202</v>
      </c>
    </row>
    <row r="994" spans="1:16" s="78" customFormat="1" ht="15.75" customHeight="1" x14ac:dyDescent="0.35">
      <c r="A994" s="116" t="str">
        <f t="shared" ca="1" si="187"/>
        <v>803,..,1203</v>
      </c>
      <c r="B994" s="117"/>
      <c r="C994" s="79" t="s">
        <v>197</v>
      </c>
      <c r="D994" s="79">
        <f>(33.82+(0.6*2.9)+2.15*0.75+1.5*3.05)*10.764</f>
        <v>449.37009</v>
      </c>
      <c r="E994" s="79">
        <f t="shared" si="188"/>
        <v>49.245299999999986</v>
      </c>
      <c r="F994" s="79">
        <f t="shared" si="189"/>
        <v>723.30043500000011</v>
      </c>
      <c r="G994" s="146"/>
      <c r="H994" s="147"/>
      <c r="I994" s="31"/>
      <c r="N994" s="78" t="str">
        <f t="shared" ca="1" si="190"/>
        <v>803,..,1203</v>
      </c>
      <c r="O994" s="78">
        <f t="shared" ref="O994:P994" ca="1" si="192">O993+1</f>
        <v>803</v>
      </c>
      <c r="P994" s="78">
        <f t="shared" ca="1" si="192"/>
        <v>1203</v>
      </c>
    </row>
    <row r="995" spans="1:16" s="78" customFormat="1" ht="15.75" customHeight="1" x14ac:dyDescent="0.35">
      <c r="A995" s="116" t="str">
        <f t="shared" ca="1" si="187"/>
        <v>804,..,1204</v>
      </c>
      <c r="B995" s="117"/>
      <c r="C995" s="79" t="s">
        <v>197</v>
      </c>
      <c r="D995" s="79">
        <f>(33.82+(0.6*2.9)+2.15*0.75+1.5*3.05)*10.764</f>
        <v>449.37009</v>
      </c>
      <c r="E995" s="79">
        <f t="shared" si="188"/>
        <v>49.245299999999986</v>
      </c>
      <c r="F995" s="79">
        <f>D995*(($F$472)+1)+E995</f>
        <v>723.30043500000011</v>
      </c>
      <c r="G995" s="146"/>
      <c r="H995" s="147"/>
      <c r="I995" s="31"/>
      <c r="N995" s="78" t="str">
        <f t="shared" ca="1" si="190"/>
        <v>804,..,1204</v>
      </c>
      <c r="O995" s="78">
        <f t="shared" ref="O995:P995" ca="1" si="193">O994+1</f>
        <v>804</v>
      </c>
      <c r="P995" s="78">
        <f t="shared" ca="1" si="193"/>
        <v>1204</v>
      </c>
    </row>
    <row r="996" spans="1:16" s="78" customFormat="1" ht="15.75" customHeight="1" x14ac:dyDescent="0.35">
      <c r="A996" s="116" t="str">
        <f t="shared" ca="1" si="187"/>
        <v>805,..,1205</v>
      </c>
      <c r="B996" s="117"/>
      <c r="C996" s="79" t="s">
        <v>197</v>
      </c>
      <c r="D996" s="79">
        <f>(37.39+(0.6*2.75)+2.15*0.75+1.5*3.05)*10.764</f>
        <v>486.82880999999986</v>
      </c>
      <c r="E996" s="79">
        <f t="shared" si="188"/>
        <v>49.245299999999986</v>
      </c>
      <c r="F996" s="79">
        <f t="shared" ref="F996" si="194">D996*(($F$472)+1)+E996</f>
        <v>779.48851499999978</v>
      </c>
      <c r="G996" s="146"/>
      <c r="H996" s="147"/>
      <c r="I996" s="31"/>
      <c r="N996" s="78" t="str">
        <f t="shared" ca="1" si="190"/>
        <v>805,..,1205</v>
      </c>
      <c r="O996" s="78">
        <f t="shared" ref="O996:P996" ca="1" si="195">O995+1</f>
        <v>805</v>
      </c>
      <c r="P996" s="78">
        <f t="shared" ca="1" si="195"/>
        <v>1205</v>
      </c>
    </row>
    <row r="997" spans="1:16" s="78" customFormat="1" ht="15.75" customHeight="1" x14ac:dyDescent="0.35">
      <c r="A997" s="116" t="str">
        <f t="shared" ca="1" si="187"/>
        <v>806,..,1206</v>
      </c>
      <c r="B997" s="117"/>
      <c r="C997" s="116" t="s">
        <v>220</v>
      </c>
      <c r="D997" s="161"/>
      <c r="E997" s="161"/>
      <c r="F997" s="117"/>
      <c r="G997" s="146"/>
      <c r="H997" s="147"/>
      <c r="I997" s="31"/>
      <c r="N997" s="78" t="str">
        <f t="shared" ca="1" si="190"/>
        <v>806,..,1206</v>
      </c>
      <c r="O997" s="78">
        <f t="shared" ref="O997:P997" ca="1" si="196">O996+1</f>
        <v>806</v>
      </c>
      <c r="P997" s="78">
        <f t="shared" ca="1" si="196"/>
        <v>1206</v>
      </c>
    </row>
    <row r="998" spans="1:16" s="78" customFormat="1" ht="15.75" customHeight="1" x14ac:dyDescent="0.35">
      <c r="A998" s="116" t="str">
        <f t="shared" ca="1" si="187"/>
        <v>807,..,1207</v>
      </c>
      <c r="B998" s="117"/>
      <c r="C998" s="79" t="s">
        <v>197</v>
      </c>
      <c r="D998" s="79">
        <f>(33.82+(0.6*2.9)+2.15*0.75+1.5*3.05)*10.764</f>
        <v>449.37009</v>
      </c>
      <c r="E998" s="79">
        <f t="shared" ref="E998:E999" si="197">3.05*1.5*10.764</f>
        <v>49.245299999999986</v>
      </c>
      <c r="F998" s="79">
        <f t="shared" ref="F998:F999" si="198">D998*(($F$472)+1)+E998</f>
        <v>723.30043500000011</v>
      </c>
      <c r="G998" s="146"/>
      <c r="H998" s="147"/>
      <c r="I998" s="31"/>
      <c r="N998" s="78" t="str">
        <f t="shared" ca="1" si="190"/>
        <v>807,..,1207</v>
      </c>
      <c r="O998" s="78">
        <f t="shared" ref="O998:P998" ca="1" si="199">O997+1</f>
        <v>807</v>
      </c>
      <c r="P998" s="78">
        <f t="shared" ca="1" si="199"/>
        <v>1207</v>
      </c>
    </row>
    <row r="999" spans="1:16" s="78" customFormat="1" ht="15.75" customHeight="1" x14ac:dyDescent="0.35">
      <c r="A999" s="116" t="str">
        <f t="shared" ca="1" si="187"/>
        <v>808,..,1208</v>
      </c>
      <c r="B999" s="117"/>
      <c r="C999" s="79" t="s">
        <v>197</v>
      </c>
      <c r="D999" s="79">
        <f>(33.82+(0.6*2.9)+2.15*0.75+1.5*3.05)*10.764</f>
        <v>449.37009</v>
      </c>
      <c r="E999" s="79">
        <f t="shared" si="197"/>
        <v>49.245299999999986</v>
      </c>
      <c r="F999" s="79">
        <f t="shared" si="198"/>
        <v>723.30043500000011</v>
      </c>
      <c r="G999" s="148"/>
      <c r="H999" s="149"/>
      <c r="I999" s="31"/>
      <c r="N999" s="78" t="str">
        <f t="shared" ca="1" si="190"/>
        <v>808,..,1208</v>
      </c>
      <c r="O999" s="78">
        <f t="shared" ref="O999:P999" ca="1" si="200">O998+1</f>
        <v>808</v>
      </c>
      <c r="P999" s="78">
        <f t="shared" ca="1" si="200"/>
        <v>1208</v>
      </c>
    </row>
    <row r="1000" spans="1:16" s="1" customFormat="1" x14ac:dyDescent="0.35">
      <c r="A1000" s="205" t="s">
        <v>74</v>
      </c>
      <c r="B1000" s="205"/>
      <c r="C1000" s="205"/>
      <c r="D1000" s="205"/>
      <c r="E1000" s="205"/>
      <c r="F1000" s="205"/>
      <c r="G1000" s="205"/>
      <c r="H1000" s="205"/>
    </row>
    <row r="1001" spans="1:16" s="1" customFormat="1" ht="36.75" customHeight="1" x14ac:dyDescent="0.35">
      <c r="A1001" s="150">
        <v>1</v>
      </c>
      <c r="B1001" s="93" t="s">
        <v>310</v>
      </c>
      <c r="C1001" s="93"/>
      <c r="D1001" s="93" t="s">
        <v>358</v>
      </c>
      <c r="E1001" s="93"/>
      <c r="F1001" s="93"/>
      <c r="G1001" s="93"/>
      <c r="H1001" s="93"/>
    </row>
    <row r="1002" spans="1:16" s="1" customFormat="1" ht="32.25" customHeight="1" x14ac:dyDescent="0.35">
      <c r="A1002" s="150"/>
      <c r="B1002" s="93" t="s">
        <v>311</v>
      </c>
      <c r="C1002" s="93"/>
      <c r="D1002" s="93" t="s">
        <v>358</v>
      </c>
      <c r="E1002" s="93"/>
      <c r="F1002" s="93"/>
      <c r="G1002" s="93"/>
      <c r="H1002" s="93"/>
      <c r="M1002" s="47"/>
    </row>
    <row r="1003" spans="1:16" s="1" customFormat="1" ht="30.75" customHeight="1" x14ac:dyDescent="0.35">
      <c r="A1003" s="150"/>
      <c r="B1003" s="93" t="s">
        <v>375</v>
      </c>
      <c r="C1003" s="93"/>
      <c r="D1003" s="93" t="s">
        <v>338</v>
      </c>
      <c r="E1003" s="93"/>
      <c r="F1003" s="93"/>
      <c r="G1003" s="93"/>
      <c r="H1003" s="93"/>
    </row>
    <row r="1004" spans="1:16" s="1" customFormat="1" ht="30.75" customHeight="1" x14ac:dyDescent="0.35">
      <c r="A1004" s="90"/>
      <c r="B1004" s="93" t="s">
        <v>374</v>
      </c>
      <c r="C1004" s="93"/>
      <c r="D1004" s="93" t="s">
        <v>373</v>
      </c>
      <c r="E1004" s="93"/>
      <c r="F1004" s="93"/>
      <c r="G1004" s="93"/>
      <c r="H1004" s="93"/>
    </row>
    <row r="1005" spans="1:16" s="1" customFormat="1" ht="30.75" customHeight="1" x14ac:dyDescent="0.35">
      <c r="A1005" s="68"/>
      <c r="B1005" s="93" t="s">
        <v>366</v>
      </c>
      <c r="C1005" s="93"/>
      <c r="D1005" s="93" t="s">
        <v>338</v>
      </c>
      <c r="E1005" s="93"/>
      <c r="F1005" s="93"/>
      <c r="G1005" s="93"/>
      <c r="H1005" s="93"/>
    </row>
    <row r="1006" spans="1:16" s="1" customFormat="1" x14ac:dyDescent="0.35">
      <c r="A1006" s="68">
        <f>A1001+1</f>
        <v>2</v>
      </c>
      <c r="B1006" s="222" t="s">
        <v>314</v>
      </c>
      <c r="C1006" s="222"/>
      <c r="D1006" s="222"/>
      <c r="E1006" s="222"/>
      <c r="F1006" s="222"/>
      <c r="G1006" s="222"/>
      <c r="H1006" s="222"/>
    </row>
    <row r="1007" spans="1:16" s="1" customFormat="1" x14ac:dyDescent="0.35">
      <c r="A1007" s="81">
        <f>A1006+1</f>
        <v>3</v>
      </c>
      <c r="B1007" s="227" t="s">
        <v>154</v>
      </c>
      <c r="C1007" s="227"/>
      <c r="D1007" s="227"/>
      <c r="E1007" s="227"/>
      <c r="F1007" s="227"/>
      <c r="G1007" s="227"/>
      <c r="H1007" s="227"/>
    </row>
    <row r="1008" spans="1:16" s="43" customFormat="1" x14ac:dyDescent="0.35">
      <c r="A1008" s="70">
        <f>A1007+1</f>
        <v>4</v>
      </c>
      <c r="B1008" s="224" t="s">
        <v>223</v>
      </c>
      <c r="C1008" s="225"/>
      <c r="D1008" s="225"/>
      <c r="E1008" s="225"/>
      <c r="F1008" s="225"/>
      <c r="G1008" s="225"/>
      <c r="H1008" s="226"/>
    </row>
    <row r="1009" spans="1:8" s="1" customFormat="1" x14ac:dyDescent="0.35">
      <c r="A1009" s="70">
        <v>5</v>
      </c>
      <c r="B1009" s="224" t="s">
        <v>155</v>
      </c>
      <c r="C1009" s="225"/>
      <c r="D1009" s="225"/>
      <c r="E1009" s="225"/>
      <c r="F1009" s="225"/>
      <c r="G1009" s="225"/>
      <c r="H1009" s="226"/>
    </row>
    <row r="1010" spans="1:8" s="1" customFormat="1" x14ac:dyDescent="0.35">
      <c r="A1010" s="69">
        <f>A1009+1</f>
        <v>6</v>
      </c>
      <c r="B1010" s="210" t="s">
        <v>156</v>
      </c>
      <c r="C1010" s="211"/>
      <c r="D1010" s="211"/>
      <c r="E1010" s="211"/>
      <c r="F1010" s="211"/>
      <c r="G1010" s="211"/>
      <c r="H1010" s="212"/>
    </row>
    <row r="1011" spans="1:8" s="1" customFormat="1" x14ac:dyDescent="0.35">
      <c r="A1011" s="69">
        <f>A1010+1</f>
        <v>7</v>
      </c>
      <c r="B1011" s="210" t="s">
        <v>157</v>
      </c>
      <c r="C1011" s="211"/>
      <c r="D1011" s="211"/>
      <c r="E1011" s="211"/>
      <c r="F1011" s="211"/>
      <c r="G1011" s="211"/>
      <c r="H1011" s="212"/>
    </row>
    <row r="1012" spans="1:8" s="1" customFormat="1" hidden="1" x14ac:dyDescent="0.35">
      <c r="A1012" s="68">
        <f>A1011+1</f>
        <v>8</v>
      </c>
      <c r="B1012" s="94" t="s">
        <v>309</v>
      </c>
      <c r="C1012" s="95"/>
      <c r="D1012" s="95"/>
      <c r="E1012" s="95"/>
      <c r="F1012" s="95"/>
      <c r="G1012" s="95"/>
      <c r="H1012" s="96"/>
    </row>
    <row r="1013" spans="1:8" s="1" customFormat="1" hidden="1" x14ac:dyDescent="0.35">
      <c r="A1013" s="68">
        <f>A1012+1</f>
        <v>9</v>
      </c>
      <c r="B1013" s="94" t="s">
        <v>251</v>
      </c>
      <c r="C1013" s="95"/>
      <c r="D1013" s="95"/>
      <c r="E1013" s="95"/>
      <c r="F1013" s="95"/>
      <c r="G1013" s="95"/>
      <c r="H1013" s="96"/>
    </row>
    <row r="1014" spans="1:8" s="1" customFormat="1" x14ac:dyDescent="0.35">
      <c r="A1014" s="68">
        <v>8</v>
      </c>
      <c r="B1014" s="94" t="s">
        <v>315</v>
      </c>
      <c r="C1014" s="95"/>
      <c r="D1014" s="95"/>
      <c r="E1014" s="95"/>
      <c r="F1014" s="95"/>
      <c r="G1014" s="95"/>
      <c r="H1014" s="96"/>
    </row>
    <row r="1015" spans="1:8" s="1" customFormat="1" x14ac:dyDescent="0.35">
      <c r="A1015" s="68">
        <v>9</v>
      </c>
      <c r="B1015" s="94" t="s">
        <v>326</v>
      </c>
      <c r="C1015" s="95"/>
      <c r="D1015" s="95"/>
      <c r="E1015" s="95"/>
      <c r="F1015" s="95"/>
      <c r="G1015" s="95"/>
      <c r="H1015" s="96"/>
    </row>
    <row r="1016" spans="1:8" s="1" customFormat="1" x14ac:dyDescent="0.35">
      <c r="A1016" s="68">
        <v>10</v>
      </c>
      <c r="B1016" s="94" t="s">
        <v>349</v>
      </c>
      <c r="C1016" s="95"/>
      <c r="D1016" s="95"/>
      <c r="E1016" s="95"/>
      <c r="F1016" s="95"/>
      <c r="G1016" s="95"/>
      <c r="H1016" s="96"/>
    </row>
    <row r="1017" spans="1:8" s="1" customFormat="1" x14ac:dyDescent="0.35">
      <c r="A1017" s="68">
        <v>11</v>
      </c>
      <c r="B1017" s="94" t="s">
        <v>359</v>
      </c>
      <c r="C1017" s="95"/>
      <c r="D1017" s="95"/>
      <c r="E1017" s="95"/>
      <c r="F1017" s="95"/>
      <c r="G1017" s="95"/>
      <c r="H1017" s="96"/>
    </row>
    <row r="1018" spans="1:8" s="1" customFormat="1" ht="30.65" customHeight="1" x14ac:dyDescent="0.35">
      <c r="A1018" s="68">
        <v>12</v>
      </c>
      <c r="B1018" s="94" t="s">
        <v>371</v>
      </c>
      <c r="C1018" s="95"/>
      <c r="D1018" s="95"/>
      <c r="E1018" s="95"/>
      <c r="F1018" s="95"/>
      <c r="G1018" s="95"/>
      <c r="H1018" s="96"/>
    </row>
    <row r="1019" spans="1:8" x14ac:dyDescent="0.35">
      <c r="A1019" s="219" t="s">
        <v>67</v>
      </c>
      <c r="B1019" s="220"/>
      <c r="C1019" s="220"/>
      <c r="D1019" s="220"/>
      <c r="E1019" s="220"/>
      <c r="F1019" s="220"/>
      <c r="G1019" s="220"/>
      <c r="H1019" s="221"/>
    </row>
    <row r="1020" spans="1:8" x14ac:dyDescent="0.35">
      <c r="A1020" s="133" t="s">
        <v>68</v>
      </c>
      <c r="B1020" s="133"/>
      <c r="C1020" s="133"/>
      <c r="D1020" s="133"/>
      <c r="E1020" s="133"/>
      <c r="F1020" s="133"/>
      <c r="G1020" s="133"/>
      <c r="H1020" s="133"/>
    </row>
    <row r="1021" spans="1:8" ht="15.75" customHeight="1" x14ac:dyDescent="0.35">
      <c r="A1021" s="218" t="s">
        <v>69</v>
      </c>
      <c r="B1021" s="218"/>
      <c r="C1021" s="218"/>
      <c r="D1021" s="218"/>
      <c r="E1021" s="218"/>
      <c r="F1021" s="218"/>
      <c r="G1021" s="218"/>
      <c r="H1021" s="218"/>
    </row>
    <row r="1022" spans="1:8" x14ac:dyDescent="0.35">
      <c r="A1022" s="133" t="s">
        <v>70</v>
      </c>
      <c r="B1022" s="133"/>
      <c r="C1022" s="133"/>
      <c r="D1022" s="133"/>
      <c r="E1022" s="133"/>
      <c r="F1022" s="133"/>
      <c r="G1022" s="133"/>
      <c r="H1022" s="133"/>
    </row>
    <row r="1023" spans="1:8" x14ac:dyDescent="0.35">
      <c r="A1023" s="133" t="s">
        <v>71</v>
      </c>
      <c r="B1023" s="133"/>
      <c r="C1023" s="133"/>
      <c r="D1023" s="133"/>
      <c r="E1023" s="133"/>
      <c r="F1023" s="133"/>
      <c r="G1023" s="133"/>
      <c r="H1023" s="133"/>
    </row>
    <row r="1024" spans="1:8" x14ac:dyDescent="0.35">
      <c r="A1024" s="133" t="s">
        <v>158</v>
      </c>
      <c r="B1024" s="133"/>
      <c r="C1024" s="133"/>
      <c r="D1024" s="133"/>
      <c r="E1024" s="133"/>
      <c r="F1024" s="133"/>
      <c r="G1024" s="133"/>
      <c r="H1024" s="133"/>
    </row>
    <row r="1025" spans="1:8" ht="35.25" customHeight="1" x14ac:dyDescent="0.35">
      <c r="A1025" s="181" t="s">
        <v>159</v>
      </c>
      <c r="B1025" s="181"/>
      <c r="C1025" s="181"/>
      <c r="D1025" s="181"/>
      <c r="E1025" s="181"/>
      <c r="F1025" s="181"/>
      <c r="G1025" s="181"/>
      <c r="H1025" s="181"/>
    </row>
    <row r="1026" spans="1:8" x14ac:dyDescent="0.35">
      <c r="A1026" s="215" t="s">
        <v>105</v>
      </c>
      <c r="B1026" s="215"/>
      <c r="C1026" s="215" t="s">
        <v>351</v>
      </c>
      <c r="D1026" s="215"/>
      <c r="E1026" s="215" t="s">
        <v>133</v>
      </c>
      <c r="F1026" s="215"/>
      <c r="G1026" s="215" t="s">
        <v>376</v>
      </c>
      <c r="H1026" s="215"/>
    </row>
    <row r="1027" spans="1:8" x14ac:dyDescent="0.35">
      <c r="A1027" s="214" t="s">
        <v>107</v>
      </c>
      <c r="B1027" s="214"/>
      <c r="C1027" s="214"/>
      <c r="D1027" s="214"/>
      <c r="E1027" s="214"/>
      <c r="F1027" s="214"/>
      <c r="G1027" s="214"/>
      <c r="H1027" s="214"/>
    </row>
    <row r="1028" spans="1:8" x14ac:dyDescent="0.35">
      <c r="A1028" s="214"/>
      <c r="B1028" s="214"/>
      <c r="C1028" s="214"/>
      <c r="D1028" s="214"/>
      <c r="E1028" s="214"/>
      <c r="F1028" s="214"/>
      <c r="G1028" s="214"/>
      <c r="H1028" s="214"/>
    </row>
    <row r="1029" spans="1:8" x14ac:dyDescent="0.35">
      <c r="A1029" s="214"/>
      <c r="B1029" s="214"/>
      <c r="C1029" s="214"/>
      <c r="D1029" s="214"/>
      <c r="E1029" s="214"/>
      <c r="F1029" s="214"/>
      <c r="G1029" s="214"/>
      <c r="H1029" s="214"/>
    </row>
    <row r="1030" spans="1:8" x14ac:dyDescent="0.35">
      <c r="A1030" s="214"/>
      <c r="B1030" s="214"/>
      <c r="C1030" s="214"/>
      <c r="D1030" s="214"/>
      <c r="E1030" s="214"/>
      <c r="F1030" s="214"/>
      <c r="G1030" s="214"/>
      <c r="H1030" s="214"/>
    </row>
    <row r="1031" spans="1:8" x14ac:dyDescent="0.35">
      <c r="A1031" s="71" t="s">
        <v>72</v>
      </c>
      <c r="B1031" s="72"/>
      <c r="C1031" s="72"/>
      <c r="D1031" s="71" t="s">
        <v>320</v>
      </c>
      <c r="E1031" s="73"/>
      <c r="F1031" s="72"/>
      <c r="G1031" s="72"/>
      <c r="H1031" s="72"/>
    </row>
    <row r="1032" spans="1:8" x14ac:dyDescent="0.35">
      <c r="A1032" s="72"/>
      <c r="B1032" s="72"/>
      <c r="C1032" s="72"/>
      <c r="D1032" s="72"/>
      <c r="E1032" s="72"/>
      <c r="F1032" s="72"/>
      <c r="G1032" s="72"/>
      <c r="H1032" s="72"/>
    </row>
    <row r="1033" spans="1:8" x14ac:dyDescent="0.35">
      <c r="A1033" s="72"/>
      <c r="B1033" s="72"/>
      <c r="C1033" s="72"/>
      <c r="D1033" s="72"/>
      <c r="E1033" s="72"/>
      <c r="F1033" s="72"/>
      <c r="G1033" s="72"/>
      <c r="H1033" s="72"/>
    </row>
    <row r="1034" spans="1:8" ht="15" customHeight="1" x14ac:dyDescent="0.35">
      <c r="A1034" s="73"/>
      <c r="B1034" s="73"/>
      <c r="C1034" s="73"/>
      <c r="D1034" s="73"/>
      <c r="E1034" s="73"/>
      <c r="F1034" s="73"/>
      <c r="G1034" s="73"/>
      <c r="H1034" s="73"/>
    </row>
    <row r="1035" spans="1:8" x14ac:dyDescent="0.35">
      <c r="A1035" s="73"/>
      <c r="B1035" s="73"/>
      <c r="C1035" s="73"/>
      <c r="D1035" s="73"/>
      <c r="E1035" s="73"/>
      <c r="F1035" s="73"/>
      <c r="G1035" s="73"/>
      <c r="H1035" s="73"/>
    </row>
    <row r="1036" spans="1:8" x14ac:dyDescent="0.35">
      <c r="A1036" s="73"/>
      <c r="B1036" s="73"/>
      <c r="C1036" s="73"/>
      <c r="D1036" s="73"/>
      <c r="E1036" s="73"/>
      <c r="F1036" s="73"/>
      <c r="G1036" s="73"/>
      <c r="H1036" s="73"/>
    </row>
    <row r="1037" spans="1:8" x14ac:dyDescent="0.35">
      <c r="A1037" s="73"/>
      <c r="B1037" s="73"/>
      <c r="C1037" s="73"/>
      <c r="D1037" s="73"/>
      <c r="E1037" s="73"/>
      <c r="F1037" s="73"/>
      <c r="G1037" s="73"/>
      <c r="H1037" s="73"/>
    </row>
    <row r="1038" spans="1:8" x14ac:dyDescent="0.35">
      <c r="A1038" s="73"/>
      <c r="B1038" s="73"/>
      <c r="C1038" s="73"/>
      <c r="D1038" s="73"/>
      <c r="E1038" s="73"/>
      <c r="F1038" s="73"/>
      <c r="G1038" s="73"/>
      <c r="H1038" s="73"/>
    </row>
    <row r="1039" spans="1:8" x14ac:dyDescent="0.35">
      <c r="A1039" s="73"/>
      <c r="B1039" s="73"/>
      <c r="C1039" s="73"/>
      <c r="D1039" s="73"/>
      <c r="E1039" s="73"/>
      <c r="F1039" s="73"/>
      <c r="G1039" s="73"/>
      <c r="H1039" s="73"/>
    </row>
    <row r="1040" spans="1:8" x14ac:dyDescent="0.35">
      <c r="A1040" s="73"/>
      <c r="B1040" s="73"/>
      <c r="C1040" s="73"/>
      <c r="D1040" s="73"/>
      <c r="E1040" s="73"/>
      <c r="F1040" s="73"/>
      <c r="G1040" s="73"/>
      <c r="H1040" s="73"/>
    </row>
    <row r="1041" spans="1:8" x14ac:dyDescent="0.35">
      <c r="A1041" s="73"/>
      <c r="B1041" s="73"/>
      <c r="C1041" s="73"/>
      <c r="D1041" s="73"/>
      <c r="E1041" s="73"/>
      <c r="F1041" s="73"/>
      <c r="G1041" s="73"/>
      <c r="H1041" s="73"/>
    </row>
    <row r="1042" spans="1:8" x14ac:dyDescent="0.35">
      <c r="A1042" s="73"/>
      <c r="B1042" s="73"/>
      <c r="C1042" s="73"/>
      <c r="D1042" s="73"/>
      <c r="E1042" s="73"/>
      <c r="F1042" s="73"/>
      <c r="G1042" s="73"/>
      <c r="H1042" s="73"/>
    </row>
    <row r="1043" spans="1:8" x14ac:dyDescent="0.35">
      <c r="A1043" s="73"/>
      <c r="B1043" s="73"/>
      <c r="C1043" s="73"/>
      <c r="D1043" s="73"/>
      <c r="E1043" s="73"/>
      <c r="F1043" s="73"/>
      <c r="G1043" s="73"/>
      <c r="H1043" s="73"/>
    </row>
    <row r="1044" spans="1:8" x14ac:dyDescent="0.35">
      <c r="A1044" s="73"/>
      <c r="B1044" s="73"/>
      <c r="C1044" s="73"/>
      <c r="D1044" s="73"/>
      <c r="E1044" s="73"/>
      <c r="F1044" s="73"/>
      <c r="G1044" s="73"/>
      <c r="H1044" s="73"/>
    </row>
    <row r="1045" spans="1:8" x14ac:dyDescent="0.35">
      <c r="A1045" s="73"/>
      <c r="B1045" s="73"/>
      <c r="C1045" s="73"/>
      <c r="D1045" s="73"/>
      <c r="E1045" s="73"/>
      <c r="F1045" s="73"/>
      <c r="G1045" s="73"/>
      <c r="H1045" s="73"/>
    </row>
    <row r="1046" spans="1:8" x14ac:dyDescent="0.35">
      <c r="A1046" s="73"/>
      <c r="B1046" s="73"/>
      <c r="C1046" s="73"/>
      <c r="D1046" s="73"/>
      <c r="E1046" s="73"/>
      <c r="F1046" s="73"/>
      <c r="G1046" s="73"/>
      <c r="H1046" s="73"/>
    </row>
    <row r="1047" spans="1:8" x14ac:dyDescent="0.35">
      <c r="A1047" s="73"/>
      <c r="B1047" s="73"/>
      <c r="C1047" s="73"/>
      <c r="D1047" s="73"/>
      <c r="E1047" s="73"/>
      <c r="F1047" s="73"/>
      <c r="G1047" s="73"/>
      <c r="H1047" s="73"/>
    </row>
    <row r="1048" spans="1:8" x14ac:dyDescent="0.35">
      <c r="A1048" s="73"/>
      <c r="B1048" s="73"/>
      <c r="C1048" s="73"/>
      <c r="D1048" s="73"/>
      <c r="E1048" s="73"/>
      <c r="F1048" s="73"/>
      <c r="G1048" s="73"/>
      <c r="H1048" s="73"/>
    </row>
    <row r="1049" spans="1:8" x14ac:dyDescent="0.35">
      <c r="A1049" s="73"/>
      <c r="B1049" s="73"/>
      <c r="C1049" s="73"/>
      <c r="D1049" s="73"/>
      <c r="E1049" s="73"/>
      <c r="F1049" s="73"/>
      <c r="G1049" s="73"/>
      <c r="H1049" s="73"/>
    </row>
    <row r="1050" spans="1:8" x14ac:dyDescent="0.35">
      <c r="A1050" s="73"/>
      <c r="B1050" s="73"/>
      <c r="C1050" s="73"/>
      <c r="D1050" s="73"/>
      <c r="E1050" s="73"/>
      <c r="F1050" s="73"/>
      <c r="G1050" s="73"/>
      <c r="H1050" s="73"/>
    </row>
    <row r="1051" spans="1:8" x14ac:dyDescent="0.35">
      <c r="A1051" s="73"/>
      <c r="B1051" s="73"/>
      <c r="C1051" s="73"/>
      <c r="D1051" s="73"/>
      <c r="E1051" s="73"/>
      <c r="F1051" s="73"/>
      <c r="G1051" s="73"/>
      <c r="H1051" s="73"/>
    </row>
    <row r="1052" spans="1:8" x14ac:dyDescent="0.35">
      <c r="A1052" s="73"/>
      <c r="B1052" s="73"/>
      <c r="C1052" s="73"/>
      <c r="D1052" s="73"/>
      <c r="E1052" s="73"/>
      <c r="F1052" s="73"/>
      <c r="G1052" s="73"/>
      <c r="H1052" s="73"/>
    </row>
    <row r="1053" spans="1:8" x14ac:dyDescent="0.35">
      <c r="A1053" s="73"/>
      <c r="B1053" s="73"/>
      <c r="C1053" s="73"/>
      <c r="D1053" s="73"/>
      <c r="E1053" s="73"/>
      <c r="F1053" s="73"/>
      <c r="G1053" s="73"/>
      <c r="H1053" s="73"/>
    </row>
    <row r="1054" spans="1:8" x14ac:dyDescent="0.35">
      <c r="A1054" s="73"/>
      <c r="B1054" s="73"/>
      <c r="C1054" s="73"/>
      <c r="D1054" s="73"/>
      <c r="E1054" s="73"/>
      <c r="F1054" s="73"/>
      <c r="G1054" s="73"/>
      <c r="H1054" s="73"/>
    </row>
    <row r="1055" spans="1:8" x14ac:dyDescent="0.35">
      <c r="A1055" s="73"/>
      <c r="B1055" s="73"/>
      <c r="C1055" s="73"/>
      <c r="D1055" s="73"/>
      <c r="E1055" s="73"/>
      <c r="F1055" s="73"/>
      <c r="G1055" s="73"/>
      <c r="H1055" s="73"/>
    </row>
    <row r="1056" spans="1:8" x14ac:dyDescent="0.35">
      <c r="A1056" s="73"/>
      <c r="B1056" s="73"/>
      <c r="C1056" s="73"/>
      <c r="D1056" s="73"/>
      <c r="E1056" s="73"/>
      <c r="F1056" s="73"/>
      <c r="G1056" s="73"/>
      <c r="H1056" s="73"/>
    </row>
    <row r="1057" spans="1:8" x14ac:dyDescent="0.35">
      <c r="A1057" s="73"/>
      <c r="B1057" s="73"/>
      <c r="C1057" s="73"/>
      <c r="D1057" s="73"/>
      <c r="E1057" s="73"/>
      <c r="F1057" s="73"/>
      <c r="G1057" s="73"/>
      <c r="H1057" s="73"/>
    </row>
    <row r="1058" spans="1:8" x14ac:dyDescent="0.35">
      <c r="A1058" s="73"/>
      <c r="B1058" s="73"/>
      <c r="C1058" s="73"/>
      <c r="D1058" s="73"/>
      <c r="E1058" s="73"/>
      <c r="F1058" s="73"/>
      <c r="G1058" s="73"/>
      <c r="H1058" s="73"/>
    </row>
    <row r="1059" spans="1:8" x14ac:dyDescent="0.35">
      <c r="A1059" s="73"/>
      <c r="B1059" s="73"/>
      <c r="C1059" s="73"/>
      <c r="D1059" s="73"/>
      <c r="E1059" s="73"/>
      <c r="F1059" s="73"/>
      <c r="G1059" s="73"/>
      <c r="H1059" s="73"/>
    </row>
    <row r="1060" spans="1:8" x14ac:dyDescent="0.35">
      <c r="A1060" s="73"/>
      <c r="B1060" s="73"/>
      <c r="C1060" s="73"/>
      <c r="D1060" s="73"/>
      <c r="E1060" s="73"/>
      <c r="F1060" s="73"/>
      <c r="G1060" s="73"/>
      <c r="H1060" s="73"/>
    </row>
    <row r="1061" spans="1:8" x14ac:dyDescent="0.35">
      <c r="A1061" s="73"/>
      <c r="B1061" s="73"/>
      <c r="C1061" s="73"/>
      <c r="D1061" s="73"/>
      <c r="E1061" s="73"/>
      <c r="F1061" s="73"/>
      <c r="G1061" s="73"/>
      <c r="H1061" s="73"/>
    </row>
    <row r="1062" spans="1:8" x14ac:dyDescent="0.35">
      <c r="A1062" s="73"/>
      <c r="B1062" s="73"/>
      <c r="C1062" s="73"/>
      <c r="D1062" s="73"/>
      <c r="E1062" s="73"/>
      <c r="F1062" s="73"/>
      <c r="G1062" s="73"/>
      <c r="H1062" s="73"/>
    </row>
    <row r="1063" spans="1:8" x14ac:dyDescent="0.35">
      <c r="A1063" s="73"/>
      <c r="B1063" s="73"/>
      <c r="C1063" s="73"/>
      <c r="D1063" s="73"/>
      <c r="E1063" s="73"/>
      <c r="F1063" s="73"/>
      <c r="G1063" s="73"/>
      <c r="H1063" s="73"/>
    </row>
    <row r="1064" spans="1:8" x14ac:dyDescent="0.35">
      <c r="A1064" s="73"/>
      <c r="B1064" s="73"/>
      <c r="C1064" s="73"/>
      <c r="D1064" s="73"/>
      <c r="E1064" s="73"/>
      <c r="F1064" s="73"/>
      <c r="G1064" s="73"/>
      <c r="H1064" s="73"/>
    </row>
    <row r="1065" spans="1:8" x14ac:dyDescent="0.35">
      <c r="A1065" s="73"/>
      <c r="B1065" s="73"/>
      <c r="C1065" s="73"/>
      <c r="D1065" s="73"/>
      <c r="E1065" s="73"/>
      <c r="F1065" s="73"/>
      <c r="G1065" s="73"/>
      <c r="H1065" s="73"/>
    </row>
    <row r="1066" spans="1:8" x14ac:dyDescent="0.35">
      <c r="A1066" s="73"/>
      <c r="B1066" s="73"/>
      <c r="C1066" s="73"/>
      <c r="D1066" s="73"/>
      <c r="E1066" s="73"/>
      <c r="F1066" s="73"/>
      <c r="G1066" s="73"/>
      <c r="H1066" s="73"/>
    </row>
    <row r="1067" spans="1:8" x14ac:dyDescent="0.35">
      <c r="A1067" s="73"/>
      <c r="B1067" s="73"/>
      <c r="C1067" s="73"/>
      <c r="D1067" s="73"/>
      <c r="E1067" s="73"/>
      <c r="F1067" s="73"/>
      <c r="G1067" s="73"/>
      <c r="H1067" s="73"/>
    </row>
    <row r="1068" spans="1:8" x14ac:dyDescent="0.35">
      <c r="A1068" s="73"/>
      <c r="B1068" s="73"/>
      <c r="C1068" s="73"/>
      <c r="D1068" s="73"/>
      <c r="E1068" s="73"/>
      <c r="F1068" s="73"/>
      <c r="G1068" s="73"/>
      <c r="H1068" s="73"/>
    </row>
    <row r="1069" spans="1:8" x14ac:dyDescent="0.35">
      <c r="A1069" s="73"/>
      <c r="B1069" s="73"/>
      <c r="C1069" s="73"/>
      <c r="D1069" s="73"/>
      <c r="E1069" s="73"/>
      <c r="F1069" s="73"/>
      <c r="G1069" s="73"/>
      <c r="H1069" s="73"/>
    </row>
    <row r="1070" spans="1:8" x14ac:dyDescent="0.35">
      <c r="A1070" s="73"/>
      <c r="B1070" s="73"/>
      <c r="C1070" s="73"/>
      <c r="D1070" s="73"/>
      <c r="E1070" s="73"/>
      <c r="F1070" s="73"/>
      <c r="G1070" s="73"/>
      <c r="H1070" s="73"/>
    </row>
    <row r="1071" spans="1:8" x14ac:dyDescent="0.35">
      <c r="A1071" s="73"/>
      <c r="B1071" s="73"/>
      <c r="C1071" s="73"/>
      <c r="D1071" s="73"/>
      <c r="E1071" s="73"/>
      <c r="F1071" s="73"/>
      <c r="G1071" s="73"/>
      <c r="H1071" s="73"/>
    </row>
    <row r="1072" spans="1:8" x14ac:dyDescent="0.35">
      <c r="A1072" s="73"/>
      <c r="B1072" s="73"/>
      <c r="C1072" s="73"/>
      <c r="D1072" s="73"/>
      <c r="E1072" s="73"/>
      <c r="F1072" s="73"/>
      <c r="G1072" s="73"/>
      <c r="H1072" s="73"/>
    </row>
    <row r="1073" spans="1:8" x14ac:dyDescent="0.35">
      <c r="A1073" s="73"/>
      <c r="B1073" s="73"/>
      <c r="C1073" s="73"/>
      <c r="D1073" s="73"/>
      <c r="E1073" s="73"/>
      <c r="F1073" s="73"/>
      <c r="G1073" s="73"/>
      <c r="H1073" s="73"/>
    </row>
    <row r="1074" spans="1:8" x14ac:dyDescent="0.35">
      <c r="A1074" s="73"/>
      <c r="B1074" s="73"/>
      <c r="C1074" s="73"/>
      <c r="D1074" s="73"/>
      <c r="E1074" s="73"/>
      <c r="F1074" s="73"/>
      <c r="G1074" s="73"/>
      <c r="H1074" s="73"/>
    </row>
    <row r="1075" spans="1:8" x14ac:dyDescent="0.35">
      <c r="A1075" s="73"/>
      <c r="B1075" s="73"/>
      <c r="C1075" s="73"/>
      <c r="D1075" s="73"/>
      <c r="E1075" s="73"/>
      <c r="F1075" s="73"/>
      <c r="G1075" s="73"/>
      <c r="H1075" s="73"/>
    </row>
    <row r="1076" spans="1:8" x14ac:dyDescent="0.35">
      <c r="A1076" s="73"/>
      <c r="B1076" s="73"/>
      <c r="C1076" s="73"/>
      <c r="D1076" s="73"/>
      <c r="E1076" s="73"/>
      <c r="F1076" s="73"/>
      <c r="G1076" s="73"/>
      <c r="H1076" s="73"/>
    </row>
    <row r="1077" spans="1:8" x14ac:dyDescent="0.35">
      <c r="A1077" s="73"/>
      <c r="B1077" s="73"/>
      <c r="C1077" s="73"/>
      <c r="D1077" s="73"/>
      <c r="E1077" s="73"/>
      <c r="F1077" s="73"/>
      <c r="G1077" s="73"/>
      <c r="H1077" s="73"/>
    </row>
    <row r="1078" spans="1:8" x14ac:dyDescent="0.35">
      <c r="A1078" s="73"/>
      <c r="B1078" s="73"/>
      <c r="C1078" s="73"/>
      <c r="D1078" s="73"/>
      <c r="E1078" s="73"/>
      <c r="F1078" s="73"/>
      <c r="G1078" s="73"/>
      <c r="H1078" s="73"/>
    </row>
    <row r="1079" spans="1:8" x14ac:dyDescent="0.35">
      <c r="A1079" s="74" t="s">
        <v>73</v>
      </c>
      <c r="B1079" s="73"/>
      <c r="C1079" s="73"/>
      <c r="D1079" s="73"/>
      <c r="E1079" s="73"/>
      <c r="F1079" s="73"/>
      <c r="G1079" s="73"/>
      <c r="H1079" s="73"/>
    </row>
    <row r="1080" spans="1:8" x14ac:dyDescent="0.35">
      <c r="A1080" s="73"/>
      <c r="B1080" s="73"/>
      <c r="C1080" s="73"/>
      <c r="D1080" s="73"/>
      <c r="E1080" s="73"/>
      <c r="F1080" s="73"/>
      <c r="G1080" s="73"/>
      <c r="H1080" s="73"/>
    </row>
    <row r="1081" spans="1:8" x14ac:dyDescent="0.35">
      <c r="A1081" s="73"/>
      <c r="B1081" s="73"/>
      <c r="C1081" s="73"/>
      <c r="D1081" s="73"/>
      <c r="E1081" s="73"/>
      <c r="F1081" s="73"/>
      <c r="G1081" s="73"/>
      <c r="H1081" s="73"/>
    </row>
    <row r="1082" spans="1:8" x14ac:dyDescent="0.35">
      <c r="A1082" s="73"/>
      <c r="B1082" s="73"/>
      <c r="C1082" s="73"/>
      <c r="D1082" s="73"/>
      <c r="E1082" s="73"/>
      <c r="F1082" s="73"/>
      <c r="G1082" s="73"/>
      <c r="H1082" s="73"/>
    </row>
    <row r="1083" spans="1:8" x14ac:dyDescent="0.35">
      <c r="A1083" s="73"/>
      <c r="B1083" s="73"/>
      <c r="C1083" s="73"/>
      <c r="D1083" s="73"/>
      <c r="E1083" s="73"/>
      <c r="F1083" s="73"/>
      <c r="G1083" s="73"/>
      <c r="H1083" s="73"/>
    </row>
    <row r="1084" spans="1:8" x14ac:dyDescent="0.35">
      <c r="A1084" s="73"/>
      <c r="B1084" s="73"/>
      <c r="C1084" s="73"/>
      <c r="D1084" s="73"/>
      <c r="E1084" s="73"/>
      <c r="F1084" s="73"/>
      <c r="G1084" s="73"/>
      <c r="H1084" s="73"/>
    </row>
    <row r="1085" spans="1:8" x14ac:dyDescent="0.35">
      <c r="A1085" s="73"/>
      <c r="B1085" s="73"/>
      <c r="C1085" s="73"/>
      <c r="D1085" s="73"/>
      <c r="E1085" s="73"/>
      <c r="F1085" s="73"/>
      <c r="G1085" s="73"/>
      <c r="H1085" s="73"/>
    </row>
    <row r="1086" spans="1:8" x14ac:dyDescent="0.35">
      <c r="A1086" s="73"/>
      <c r="B1086" s="73"/>
      <c r="C1086" s="73"/>
      <c r="D1086" s="73"/>
      <c r="E1086" s="73"/>
      <c r="F1086" s="73"/>
      <c r="G1086" s="73"/>
      <c r="H1086" s="73"/>
    </row>
    <row r="1087" spans="1:8" x14ac:dyDescent="0.35">
      <c r="A1087" s="73"/>
      <c r="B1087" s="73"/>
      <c r="C1087" s="73"/>
      <c r="D1087" s="73"/>
      <c r="E1087" s="73"/>
      <c r="F1087" s="73"/>
      <c r="G1087" s="73"/>
      <c r="H1087" s="73"/>
    </row>
    <row r="1088" spans="1:8" x14ac:dyDescent="0.35">
      <c r="A1088" s="73"/>
      <c r="B1088" s="73"/>
      <c r="C1088" s="73"/>
      <c r="D1088" s="73"/>
      <c r="E1088" s="73"/>
      <c r="F1088" s="73"/>
      <c r="G1088" s="73"/>
      <c r="H1088" s="73"/>
    </row>
    <row r="1089" spans="1:8" x14ac:dyDescent="0.35">
      <c r="A1089" s="73"/>
      <c r="B1089" s="73"/>
      <c r="C1089" s="73"/>
      <c r="D1089" s="73"/>
      <c r="E1089" s="73"/>
      <c r="F1089" s="73"/>
      <c r="G1089" s="73"/>
      <c r="H1089" s="73"/>
    </row>
    <row r="1090" spans="1:8" x14ac:dyDescent="0.35">
      <c r="A1090" s="73"/>
      <c r="B1090" s="73"/>
      <c r="C1090" s="73"/>
      <c r="D1090" s="73"/>
      <c r="E1090" s="73"/>
      <c r="F1090" s="73"/>
      <c r="G1090" s="73"/>
      <c r="H1090" s="73"/>
    </row>
    <row r="1091" spans="1:8" x14ac:dyDescent="0.35">
      <c r="A1091" s="73"/>
      <c r="B1091" s="73"/>
      <c r="C1091" s="73"/>
      <c r="D1091" s="73"/>
      <c r="E1091" s="73"/>
      <c r="F1091" s="73"/>
      <c r="G1091" s="73"/>
      <c r="H1091" s="73"/>
    </row>
    <row r="1092" spans="1:8" x14ac:dyDescent="0.35">
      <c r="A1092" s="73"/>
      <c r="B1092" s="73"/>
      <c r="C1092" s="73"/>
      <c r="D1092" s="73"/>
      <c r="E1092" s="73"/>
      <c r="F1092" s="73"/>
      <c r="G1092" s="73"/>
      <c r="H1092" s="73"/>
    </row>
    <row r="1093" spans="1:8" x14ac:dyDescent="0.35">
      <c r="A1093" s="73"/>
      <c r="B1093" s="73"/>
      <c r="C1093" s="73"/>
      <c r="D1093" s="73"/>
      <c r="E1093" s="73"/>
      <c r="F1093" s="73"/>
      <c r="G1093" s="73"/>
      <c r="H1093" s="73"/>
    </row>
    <row r="1094" spans="1:8" x14ac:dyDescent="0.35">
      <c r="A1094" s="73"/>
      <c r="B1094" s="73"/>
      <c r="C1094" s="73"/>
      <c r="D1094" s="73"/>
      <c r="E1094" s="73"/>
      <c r="F1094" s="73"/>
      <c r="G1094" s="73"/>
      <c r="H1094" s="73"/>
    </row>
    <row r="1095" spans="1:8" x14ac:dyDescent="0.35">
      <c r="A1095" s="73"/>
      <c r="B1095" s="73"/>
      <c r="C1095" s="73"/>
      <c r="D1095" s="73"/>
      <c r="E1095" s="73"/>
      <c r="F1095" s="73"/>
      <c r="G1095" s="73"/>
      <c r="H1095" s="73"/>
    </row>
    <row r="1096" spans="1:8" x14ac:dyDescent="0.35">
      <c r="A1096" s="73"/>
      <c r="B1096" s="73"/>
      <c r="C1096" s="73"/>
      <c r="D1096" s="73"/>
      <c r="E1096" s="73"/>
      <c r="F1096" s="73"/>
      <c r="G1096" s="73"/>
      <c r="H1096" s="73"/>
    </row>
    <row r="1097" spans="1:8" x14ac:dyDescent="0.35">
      <c r="A1097" s="73"/>
      <c r="B1097" s="73"/>
      <c r="C1097" s="73"/>
      <c r="D1097" s="73"/>
      <c r="E1097" s="73"/>
      <c r="F1097" s="73"/>
      <c r="G1097" s="73"/>
      <c r="H1097" s="73"/>
    </row>
    <row r="1098" spans="1:8" x14ac:dyDescent="0.35">
      <c r="A1098" s="73"/>
      <c r="B1098" s="73"/>
      <c r="C1098" s="73"/>
      <c r="D1098" s="73"/>
      <c r="E1098" s="73"/>
      <c r="F1098" s="73"/>
      <c r="G1098" s="73"/>
      <c r="H1098" s="73"/>
    </row>
    <row r="1099" spans="1:8" x14ac:dyDescent="0.35">
      <c r="A1099" s="73"/>
      <c r="B1099" s="73"/>
      <c r="C1099" s="73"/>
      <c r="D1099" s="73"/>
      <c r="E1099" s="73"/>
      <c r="F1099" s="73"/>
      <c r="G1099" s="73"/>
      <c r="H1099" s="73"/>
    </row>
    <row r="1100" spans="1:8" x14ac:dyDescent="0.35">
      <c r="A1100" s="73"/>
      <c r="B1100" s="73"/>
      <c r="C1100" s="73"/>
      <c r="D1100" s="73"/>
      <c r="E1100" s="73"/>
      <c r="F1100" s="73"/>
      <c r="G1100" s="73"/>
      <c r="H1100" s="73"/>
    </row>
    <row r="1101" spans="1:8" x14ac:dyDescent="0.35">
      <c r="A1101" s="73"/>
      <c r="B1101" s="73"/>
      <c r="C1101" s="73"/>
      <c r="D1101" s="73"/>
      <c r="E1101" s="73"/>
      <c r="F1101" s="73"/>
      <c r="G1101" s="73"/>
      <c r="H1101" s="73"/>
    </row>
    <row r="1102" spans="1:8" x14ac:dyDescent="0.35">
      <c r="A1102" s="73"/>
      <c r="B1102" s="73"/>
      <c r="C1102" s="73"/>
      <c r="D1102" s="73"/>
      <c r="E1102" s="73"/>
      <c r="F1102" s="73"/>
      <c r="G1102" s="73"/>
      <c r="H1102" s="73"/>
    </row>
    <row r="1103" spans="1:8" x14ac:dyDescent="0.35">
      <c r="A1103" s="73"/>
      <c r="B1103" s="73"/>
      <c r="C1103" s="73"/>
      <c r="D1103" s="73"/>
      <c r="E1103" s="73"/>
      <c r="F1103" s="73"/>
      <c r="G1103" s="73"/>
      <c r="H1103" s="73"/>
    </row>
    <row r="1104" spans="1:8" x14ac:dyDescent="0.35">
      <c r="A1104" s="73"/>
      <c r="B1104" s="73"/>
      <c r="C1104" s="73"/>
      <c r="D1104" s="73"/>
      <c r="E1104" s="73"/>
      <c r="F1104" s="73"/>
      <c r="G1104" s="73"/>
      <c r="H1104" s="73"/>
    </row>
    <row r="1105" spans="1:8" x14ac:dyDescent="0.35">
      <c r="A1105" s="73"/>
      <c r="B1105" s="73"/>
      <c r="C1105" s="73"/>
      <c r="D1105" s="73"/>
      <c r="E1105" s="73"/>
      <c r="F1105" s="73"/>
      <c r="G1105" s="73"/>
      <c r="H1105" s="73"/>
    </row>
    <row r="1106" spans="1:8" x14ac:dyDescent="0.35">
      <c r="A1106" s="73"/>
      <c r="B1106" s="73"/>
      <c r="C1106" s="73"/>
      <c r="D1106" s="73"/>
      <c r="E1106" s="73"/>
      <c r="F1106" s="73"/>
      <c r="G1106" s="73"/>
      <c r="H1106" s="73"/>
    </row>
    <row r="1107" spans="1:8" x14ac:dyDescent="0.35">
      <c r="A1107" s="73"/>
      <c r="B1107" s="73"/>
      <c r="C1107" s="73"/>
      <c r="D1107" s="73"/>
      <c r="E1107" s="73"/>
      <c r="F1107" s="73"/>
      <c r="G1107" s="73"/>
      <c r="H1107" s="73"/>
    </row>
    <row r="1108" spans="1:8" x14ac:dyDescent="0.35">
      <c r="A1108" s="73"/>
      <c r="B1108" s="73"/>
      <c r="C1108" s="73"/>
      <c r="D1108" s="73"/>
      <c r="E1108" s="73"/>
      <c r="F1108" s="73"/>
      <c r="G1108" s="73"/>
      <c r="H1108" s="73"/>
    </row>
    <row r="1109" spans="1:8" x14ac:dyDescent="0.35">
      <c r="A1109" s="73"/>
      <c r="B1109" s="73"/>
      <c r="C1109" s="73"/>
      <c r="D1109" s="73"/>
      <c r="E1109" s="73"/>
      <c r="F1109" s="73"/>
      <c r="G1109" s="73"/>
      <c r="H1109" s="73"/>
    </row>
    <row r="1110" spans="1:8" x14ac:dyDescent="0.35">
      <c r="A1110" s="73"/>
      <c r="B1110" s="73"/>
      <c r="C1110" s="73"/>
      <c r="D1110" s="73"/>
      <c r="E1110" s="73"/>
      <c r="F1110" s="73"/>
      <c r="G1110" s="73"/>
      <c r="H1110" s="73"/>
    </row>
    <row r="1111" spans="1:8" x14ac:dyDescent="0.35">
      <c r="A1111" s="73"/>
      <c r="B1111" s="73"/>
      <c r="C1111" s="73"/>
      <c r="D1111" s="73"/>
      <c r="E1111" s="73"/>
      <c r="F1111" s="73"/>
      <c r="G1111" s="73"/>
      <c r="H1111" s="73"/>
    </row>
    <row r="1112" spans="1:8" x14ac:dyDescent="0.35">
      <c r="A1112" s="73"/>
      <c r="B1112" s="73"/>
      <c r="C1112" s="73"/>
      <c r="D1112" s="73"/>
      <c r="E1112" s="73"/>
      <c r="F1112" s="73"/>
      <c r="G1112" s="73"/>
      <c r="H1112" s="73"/>
    </row>
    <row r="1113" spans="1:8" x14ac:dyDescent="0.35">
      <c r="A1113" s="73"/>
      <c r="B1113" s="73"/>
      <c r="C1113" s="73"/>
      <c r="D1113" s="73"/>
      <c r="E1113" s="73"/>
      <c r="F1113" s="73"/>
      <c r="G1113" s="73"/>
      <c r="H1113" s="73"/>
    </row>
    <row r="1114" spans="1:8" x14ac:dyDescent="0.35">
      <c r="A1114" s="73"/>
      <c r="B1114" s="73"/>
      <c r="C1114" s="73"/>
      <c r="D1114" s="73"/>
      <c r="E1114" s="73"/>
      <c r="F1114" s="73"/>
      <c r="G1114" s="73"/>
      <c r="H1114" s="73"/>
    </row>
    <row r="1115" spans="1:8" x14ac:dyDescent="0.35">
      <c r="A1115" s="73"/>
      <c r="B1115" s="73"/>
      <c r="C1115" s="73"/>
      <c r="D1115" s="73"/>
      <c r="E1115" s="73"/>
      <c r="F1115" s="73"/>
      <c r="G1115" s="73"/>
      <c r="H1115" s="73"/>
    </row>
    <row r="1116" spans="1:8" x14ac:dyDescent="0.35">
      <c r="A1116" s="73"/>
      <c r="B1116" s="73"/>
      <c r="C1116" s="73"/>
      <c r="D1116" s="73"/>
      <c r="E1116" s="73"/>
      <c r="F1116" s="73"/>
      <c r="G1116" s="73"/>
      <c r="H1116" s="73"/>
    </row>
    <row r="1117" spans="1:8" x14ac:dyDescent="0.35">
      <c r="A1117" s="73"/>
      <c r="B1117" s="73"/>
      <c r="C1117" s="73"/>
      <c r="D1117" s="73"/>
      <c r="E1117" s="73"/>
      <c r="F1117" s="73"/>
      <c r="G1117" s="73"/>
      <c r="H1117" s="73"/>
    </row>
    <row r="1118" spans="1:8" x14ac:dyDescent="0.35">
      <c r="A1118" s="73"/>
      <c r="B1118" s="73"/>
      <c r="C1118" s="73"/>
      <c r="D1118" s="73"/>
      <c r="E1118" s="73"/>
      <c r="F1118" s="73"/>
      <c r="G1118" s="73"/>
      <c r="H1118" s="73"/>
    </row>
    <row r="1119" spans="1:8" x14ac:dyDescent="0.35">
      <c r="A1119" s="73"/>
      <c r="B1119" s="73"/>
      <c r="C1119" s="73"/>
      <c r="D1119" s="73"/>
      <c r="E1119" s="73"/>
      <c r="F1119" s="73"/>
      <c r="G1119" s="73"/>
      <c r="H1119" s="73"/>
    </row>
    <row r="1120" spans="1:8" x14ac:dyDescent="0.35">
      <c r="A1120" s="73"/>
      <c r="B1120" s="73"/>
      <c r="C1120" s="73"/>
      <c r="D1120" s="73"/>
      <c r="E1120" s="73"/>
      <c r="F1120" s="73"/>
      <c r="G1120" s="73"/>
      <c r="H1120" s="73"/>
    </row>
  </sheetData>
  <mergeCells count="1724">
    <mergeCell ref="A92:B92"/>
    <mergeCell ref="C92:D92"/>
    <mergeCell ref="E92:F92"/>
    <mergeCell ref="A107:B107"/>
    <mergeCell ref="C107:D107"/>
    <mergeCell ref="E107:F107"/>
    <mergeCell ref="B1005:C1005"/>
    <mergeCell ref="D1005:H1005"/>
    <mergeCell ref="A59:B59"/>
    <mergeCell ref="C59:H59"/>
    <mergeCell ref="B1017:H1017"/>
    <mergeCell ref="A982:H982"/>
    <mergeCell ref="A983:B983"/>
    <mergeCell ref="G983:H990"/>
    <mergeCell ref="A984:B984"/>
    <mergeCell ref="A985:B985"/>
    <mergeCell ref="A986:B986"/>
    <mergeCell ref="A987:B987"/>
    <mergeCell ref="A988:B988"/>
    <mergeCell ref="A989:B989"/>
    <mergeCell ref="A990:B990"/>
    <mergeCell ref="A991:H991"/>
    <mergeCell ref="G992:H999"/>
    <mergeCell ref="C997:F997"/>
    <mergeCell ref="A999:B999"/>
    <mergeCell ref="A354:B354"/>
    <mergeCell ref="C354:D354"/>
    <mergeCell ref="E354:F354"/>
    <mergeCell ref="G354:H354"/>
    <mergeCell ref="A960:B960"/>
    <mergeCell ref="A961:B961"/>
    <mergeCell ref="A962:H962"/>
    <mergeCell ref="A963:B963"/>
    <mergeCell ref="G963:H970"/>
    <mergeCell ref="A964:B964"/>
    <mergeCell ref="A965:B965"/>
    <mergeCell ref="A966:B966"/>
    <mergeCell ref="A967:B967"/>
    <mergeCell ref="A968:B968"/>
    <mergeCell ref="C968:F968"/>
    <mergeCell ref="A969:B969"/>
    <mergeCell ref="A970:B970"/>
    <mergeCell ref="G723:H730"/>
    <mergeCell ref="L972:M972"/>
    <mergeCell ref="A973:H973"/>
    <mergeCell ref="G974:H981"/>
    <mergeCell ref="A976:B976"/>
    <mergeCell ref="A977:B977"/>
    <mergeCell ref="A978:B978"/>
    <mergeCell ref="A979:B979"/>
    <mergeCell ref="A980:B980"/>
    <mergeCell ref="A981:B981"/>
    <mergeCell ref="L894:M894"/>
    <mergeCell ref="A889:B889"/>
    <mergeCell ref="A890:B890"/>
    <mergeCell ref="A881:B881"/>
    <mergeCell ref="A882:B882"/>
    <mergeCell ref="A883:H883"/>
    <mergeCell ref="A884:B884"/>
    <mergeCell ref="A885:B885"/>
    <mergeCell ref="G879:H882"/>
    <mergeCell ref="G884:H887"/>
    <mergeCell ref="A876:B876"/>
    <mergeCell ref="G876:H876"/>
    <mergeCell ref="G501:H504"/>
    <mergeCell ref="G496:H499"/>
    <mergeCell ref="G481:H484"/>
    <mergeCell ref="A930:B930"/>
    <mergeCell ref="A931:B931"/>
    <mergeCell ref="A923:B923"/>
    <mergeCell ref="A924:H924"/>
    <mergeCell ref="A925:B925"/>
    <mergeCell ref="A926:B926"/>
    <mergeCell ref="A905:B905"/>
    <mergeCell ref="A906:B906"/>
    <mergeCell ref="A897:B897"/>
    <mergeCell ref="G897:H897"/>
    <mergeCell ref="A898:B898"/>
    <mergeCell ref="G898:H898"/>
    <mergeCell ref="A899:H899"/>
    <mergeCell ref="A900:B900"/>
    <mergeCell ref="A901:B901"/>
    <mergeCell ref="G905:H908"/>
    <mergeCell ref="G900:H903"/>
    <mergeCell ref="A891:B891"/>
    <mergeCell ref="A892:H892"/>
    <mergeCell ref="A894:H894"/>
    <mergeCell ref="A895:B895"/>
    <mergeCell ref="G895:H895"/>
    <mergeCell ref="A896:B896"/>
    <mergeCell ref="G896:H896"/>
    <mergeCell ref="A893:H893"/>
    <mergeCell ref="G889:H891"/>
    <mergeCell ref="A886:B886"/>
    <mergeCell ref="A887:B887"/>
    <mergeCell ref="A888:H888"/>
    <mergeCell ref="G476:H479"/>
    <mergeCell ref="G516:H519"/>
    <mergeCell ref="G521:H524"/>
    <mergeCell ref="G536:H539"/>
    <mergeCell ref="G626:H629"/>
    <mergeCell ref="A943:H943"/>
    <mergeCell ref="L943:M943"/>
    <mergeCell ref="A944:H944"/>
    <mergeCell ref="A945:B945"/>
    <mergeCell ref="G945:H952"/>
    <mergeCell ref="A946:B946"/>
    <mergeCell ref="A947:B947"/>
    <mergeCell ref="A948:B948"/>
    <mergeCell ref="A949:B949"/>
    <mergeCell ref="A950:B950"/>
    <mergeCell ref="A951:B951"/>
    <mergeCell ref="A952:B952"/>
    <mergeCell ref="A730:B730"/>
    <mergeCell ref="A722:H722"/>
    <mergeCell ref="A723:B723"/>
    <mergeCell ref="A933:H933"/>
    <mergeCell ref="A934:B934"/>
    <mergeCell ref="A935:B935"/>
    <mergeCell ref="C935:F935"/>
    <mergeCell ref="A936:B936"/>
    <mergeCell ref="A937:B937"/>
    <mergeCell ref="A921:B921"/>
    <mergeCell ref="A922:B922"/>
    <mergeCell ref="A912:B912"/>
    <mergeCell ref="L914:M914"/>
    <mergeCell ref="A928:B928"/>
    <mergeCell ref="A929:B929"/>
    <mergeCell ref="A37:B37"/>
    <mergeCell ref="C37:H37"/>
    <mergeCell ref="A161:B161"/>
    <mergeCell ref="C161:H161"/>
    <mergeCell ref="A163:B163"/>
    <mergeCell ref="C163:H163"/>
    <mergeCell ref="A164:B164"/>
    <mergeCell ref="E164:F164"/>
    <mergeCell ref="G164:H164"/>
    <mergeCell ref="A165:B165"/>
    <mergeCell ref="E165:F174"/>
    <mergeCell ref="G165:H174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96:B96"/>
    <mergeCell ref="A98:B98"/>
    <mergeCell ref="C91:H91"/>
    <mergeCell ref="A95:B95"/>
    <mergeCell ref="A97:B97"/>
    <mergeCell ref="E93:F93"/>
    <mergeCell ref="E94:F103"/>
    <mergeCell ref="G94:H103"/>
    <mergeCell ref="A102:B102"/>
    <mergeCell ref="A103:B103"/>
    <mergeCell ref="A99:B99"/>
    <mergeCell ref="A104:B104"/>
    <mergeCell ref="C104:H104"/>
    <mergeCell ref="A106:B106"/>
    <mergeCell ref="C106:H106"/>
    <mergeCell ref="A108:B108"/>
    <mergeCell ref="E108:F108"/>
    <mergeCell ref="G108:H108"/>
    <mergeCell ref="A109:B109"/>
    <mergeCell ref="E109:F118"/>
    <mergeCell ref="G109:H118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75:B175"/>
    <mergeCell ref="C175:H175"/>
    <mergeCell ref="A177:B177"/>
    <mergeCell ref="C177:H177"/>
    <mergeCell ref="A178:B178"/>
    <mergeCell ref="E178:F178"/>
    <mergeCell ref="G178:H178"/>
    <mergeCell ref="A119:B119"/>
    <mergeCell ref="A147:B147"/>
    <mergeCell ref="C147:H147"/>
    <mergeCell ref="A149:B149"/>
    <mergeCell ref="C149:H149"/>
    <mergeCell ref="A150:B150"/>
    <mergeCell ref="E150:F150"/>
    <mergeCell ref="G150:H150"/>
    <mergeCell ref="E123:F132"/>
    <mergeCell ref="G123:H132"/>
    <mergeCell ref="A124:B124"/>
    <mergeCell ref="A125:B125"/>
    <mergeCell ref="A126:B126"/>
    <mergeCell ref="A151:B151"/>
    <mergeCell ref="A127:B127"/>
    <mergeCell ref="A128:B128"/>
    <mergeCell ref="A129:B129"/>
    <mergeCell ref="A130:B130"/>
    <mergeCell ref="A145:B145"/>
    <mergeCell ref="A142:B142"/>
    <mergeCell ref="A143:B143"/>
    <mergeCell ref="A144:B144"/>
    <mergeCell ref="A135:B135"/>
    <mergeCell ref="C135:H135"/>
    <mergeCell ref="A133:B133"/>
    <mergeCell ref="A179:B179"/>
    <mergeCell ref="E179:F188"/>
    <mergeCell ref="G179:H188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C259:H259"/>
    <mergeCell ref="A261:B261"/>
    <mergeCell ref="C261:H261"/>
    <mergeCell ref="A262:B262"/>
    <mergeCell ref="E262:F262"/>
    <mergeCell ref="G262:H262"/>
    <mergeCell ref="G193:H202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G234:H234"/>
    <mergeCell ref="A235:B235"/>
    <mergeCell ref="A228:B228"/>
    <mergeCell ref="A210:B210"/>
    <mergeCell ref="A324:H324"/>
    <mergeCell ref="E325:F325"/>
    <mergeCell ref="G332:H332"/>
    <mergeCell ref="A229:B229"/>
    <mergeCell ref="A230:B230"/>
    <mergeCell ref="A189:B189"/>
    <mergeCell ref="C189:H189"/>
    <mergeCell ref="A191:B191"/>
    <mergeCell ref="C191:H191"/>
    <mergeCell ref="A263:B263"/>
    <mergeCell ref="E263:F272"/>
    <mergeCell ref="G263:H272"/>
    <mergeCell ref="A245:B245"/>
    <mergeCell ref="C245:H245"/>
    <mergeCell ref="A247:B247"/>
    <mergeCell ref="C247:H247"/>
    <mergeCell ref="A248:B248"/>
    <mergeCell ref="E248:F248"/>
    <mergeCell ref="G248:H248"/>
    <mergeCell ref="A249:B249"/>
    <mergeCell ref="E249:F258"/>
    <mergeCell ref="G249:H258"/>
    <mergeCell ref="A192:B192"/>
    <mergeCell ref="E192:F192"/>
    <mergeCell ref="G192:H192"/>
    <mergeCell ref="A193:B193"/>
    <mergeCell ref="E193:F202"/>
    <mergeCell ref="A203:B203"/>
    <mergeCell ref="A264:B264"/>
    <mergeCell ref="E319:F319"/>
    <mergeCell ref="G319:H319"/>
    <mergeCell ref="C305:D305"/>
    <mergeCell ref="K249:O249"/>
    <mergeCell ref="A250:B250"/>
    <mergeCell ref="K250:O250"/>
    <mergeCell ref="A251:B251"/>
    <mergeCell ref="K251:O251"/>
    <mergeCell ref="A252:B252"/>
    <mergeCell ref="K252:O252"/>
    <mergeCell ref="A253:B253"/>
    <mergeCell ref="K253:O253"/>
    <mergeCell ref="A254:B254"/>
    <mergeCell ref="K254:O254"/>
    <mergeCell ref="A255:B255"/>
    <mergeCell ref="K255:O255"/>
    <mergeCell ref="A256:B256"/>
    <mergeCell ref="A257:B257"/>
    <mergeCell ref="A258:B258"/>
    <mergeCell ref="A259:B259"/>
    <mergeCell ref="K264:O264"/>
    <mergeCell ref="A265:B265"/>
    <mergeCell ref="K265:O265"/>
    <mergeCell ref="A266:B266"/>
    <mergeCell ref="K266:O266"/>
    <mergeCell ref="A267:B267"/>
    <mergeCell ref="E343:F343"/>
    <mergeCell ref="C341:D341"/>
    <mergeCell ref="E341:F341"/>
    <mergeCell ref="G341:H341"/>
    <mergeCell ref="A342:B342"/>
    <mergeCell ref="C342:D342"/>
    <mergeCell ref="E342:F342"/>
    <mergeCell ref="A325:B325"/>
    <mergeCell ref="E332:F332"/>
    <mergeCell ref="C323:D323"/>
    <mergeCell ref="E323:F323"/>
    <mergeCell ref="G323:H323"/>
    <mergeCell ref="A322:B322"/>
    <mergeCell ref="C322:D322"/>
    <mergeCell ref="E322:F322"/>
    <mergeCell ref="G322:H322"/>
    <mergeCell ref="C329:D329"/>
    <mergeCell ref="E329:F329"/>
    <mergeCell ref="G329:H329"/>
    <mergeCell ref="A332:B332"/>
    <mergeCell ref="E326:F326"/>
    <mergeCell ref="A317:H317"/>
    <mergeCell ref="A318:B318"/>
    <mergeCell ref="C318:D318"/>
    <mergeCell ref="E318:F318"/>
    <mergeCell ref="C319:D319"/>
    <mergeCell ref="B1014:H1014"/>
    <mergeCell ref="A473:H473"/>
    <mergeCell ref="A337:H337"/>
    <mergeCell ref="A338:B338"/>
    <mergeCell ref="C338:D338"/>
    <mergeCell ref="E338:F338"/>
    <mergeCell ref="G338:H338"/>
    <mergeCell ref="A339:B339"/>
    <mergeCell ref="C339:D339"/>
    <mergeCell ref="E339:F339"/>
    <mergeCell ref="G339:H339"/>
    <mergeCell ref="A340:B340"/>
    <mergeCell ref="C340:D340"/>
    <mergeCell ref="E340:F340"/>
    <mergeCell ref="G340:H340"/>
    <mergeCell ref="A341:B341"/>
    <mergeCell ref="A313:B313"/>
    <mergeCell ref="C313:D313"/>
    <mergeCell ref="E313:F313"/>
    <mergeCell ref="G313:H313"/>
    <mergeCell ref="A314:B314"/>
    <mergeCell ref="C314:D314"/>
    <mergeCell ref="E314:F314"/>
    <mergeCell ref="G314:H314"/>
    <mergeCell ref="A315:B315"/>
    <mergeCell ref="C315:D315"/>
    <mergeCell ref="E315:F315"/>
    <mergeCell ref="G315:H315"/>
    <mergeCell ref="A316:B316"/>
    <mergeCell ref="C316:D316"/>
    <mergeCell ref="E316:F316"/>
    <mergeCell ref="G316:H316"/>
    <mergeCell ref="K207:O207"/>
    <mergeCell ref="K208:O208"/>
    <mergeCell ref="K209:O209"/>
    <mergeCell ref="K210:O210"/>
    <mergeCell ref="K221:O221"/>
    <mergeCell ref="A222:B222"/>
    <mergeCell ref="K222:O222"/>
    <mergeCell ref="A223:B223"/>
    <mergeCell ref="K223:O223"/>
    <mergeCell ref="A224:B224"/>
    <mergeCell ref="K224:O224"/>
    <mergeCell ref="A225:B225"/>
    <mergeCell ref="K225:O225"/>
    <mergeCell ref="A226:B226"/>
    <mergeCell ref="K226:O226"/>
    <mergeCell ref="A227:B227"/>
    <mergeCell ref="K227:O227"/>
    <mergeCell ref="C217:H217"/>
    <mergeCell ref="A213:B213"/>
    <mergeCell ref="K213:O213"/>
    <mergeCell ref="A214:B214"/>
    <mergeCell ref="A215:B215"/>
    <mergeCell ref="A216:B216"/>
    <mergeCell ref="A221:B221"/>
    <mergeCell ref="E221:F230"/>
    <mergeCell ref="G221:H230"/>
    <mergeCell ref="K211:O211"/>
    <mergeCell ref="K212:O212"/>
    <mergeCell ref="A207:B207"/>
    <mergeCell ref="E207:F216"/>
    <mergeCell ref="G207:H216"/>
    <mergeCell ref="A208:B208"/>
    <mergeCell ref="C350:D350"/>
    <mergeCell ref="E350:F350"/>
    <mergeCell ref="G350:H350"/>
    <mergeCell ref="A351:B351"/>
    <mergeCell ref="C351:D351"/>
    <mergeCell ref="E351:F351"/>
    <mergeCell ref="G351:H351"/>
    <mergeCell ref="G347:H347"/>
    <mergeCell ref="A348:B348"/>
    <mergeCell ref="C348:D348"/>
    <mergeCell ref="E348:F348"/>
    <mergeCell ref="A913:H913"/>
    <mergeCell ref="A914:H914"/>
    <mergeCell ref="G925:H932"/>
    <mergeCell ref="G916:H923"/>
    <mergeCell ref="G910:H912"/>
    <mergeCell ref="A932:B932"/>
    <mergeCell ref="A902:B902"/>
    <mergeCell ref="A903:B903"/>
    <mergeCell ref="A904:H904"/>
    <mergeCell ref="A915:H915"/>
    <mergeCell ref="A916:B916"/>
    <mergeCell ref="A917:B917"/>
    <mergeCell ref="A927:B927"/>
    <mergeCell ref="A918:B918"/>
    <mergeCell ref="A919:B919"/>
    <mergeCell ref="A920:B920"/>
    <mergeCell ref="A907:B907"/>
    <mergeCell ref="A908:B908"/>
    <mergeCell ref="A909:H909"/>
    <mergeCell ref="A910:B910"/>
    <mergeCell ref="A911:B911"/>
    <mergeCell ref="B1016:H1016"/>
    <mergeCell ref="A972:H972"/>
    <mergeCell ref="A974:B974"/>
    <mergeCell ref="A975:B975"/>
    <mergeCell ref="A938:B938"/>
    <mergeCell ref="A939:B939"/>
    <mergeCell ref="A940:B940"/>
    <mergeCell ref="A941:B941"/>
    <mergeCell ref="A942:H942"/>
    <mergeCell ref="A995:B995"/>
    <mergeCell ref="A996:B996"/>
    <mergeCell ref="A997:B997"/>
    <mergeCell ref="A998:B998"/>
    <mergeCell ref="A971:H971"/>
    <mergeCell ref="A992:B992"/>
    <mergeCell ref="A993:B993"/>
    <mergeCell ref="A994:B994"/>
    <mergeCell ref="G934:H941"/>
    <mergeCell ref="A953:H953"/>
    <mergeCell ref="A954:B954"/>
    <mergeCell ref="G954:H961"/>
    <mergeCell ref="A955:B955"/>
    <mergeCell ref="A956:B956"/>
    <mergeCell ref="A957:B957"/>
    <mergeCell ref="A958:B958"/>
    <mergeCell ref="A959:B959"/>
    <mergeCell ref="B1013:H1013"/>
    <mergeCell ref="B1008:H1008"/>
    <mergeCell ref="B1007:H1007"/>
    <mergeCell ref="B1009:H1009"/>
    <mergeCell ref="B1001:C1001"/>
    <mergeCell ref="B1002:C1002"/>
    <mergeCell ref="A877:B877"/>
    <mergeCell ref="G877:H877"/>
    <mergeCell ref="A878:H878"/>
    <mergeCell ref="A879:B879"/>
    <mergeCell ref="A880:B880"/>
    <mergeCell ref="A870:B870"/>
    <mergeCell ref="A871:H871"/>
    <mergeCell ref="A873:H873"/>
    <mergeCell ref="L873:M873"/>
    <mergeCell ref="A874:B874"/>
    <mergeCell ref="G874:H874"/>
    <mergeCell ref="A875:B875"/>
    <mergeCell ref="G875:H875"/>
    <mergeCell ref="A872:H872"/>
    <mergeCell ref="G867:H870"/>
    <mergeCell ref="A835:H835"/>
    <mergeCell ref="A815:B815"/>
    <mergeCell ref="A865:B865"/>
    <mergeCell ref="A866:H866"/>
    <mergeCell ref="A867:B867"/>
    <mergeCell ref="A868:B868"/>
    <mergeCell ref="A869:B869"/>
    <mergeCell ref="C869:F869"/>
    <mergeCell ref="A860:B860"/>
    <mergeCell ref="A861:H861"/>
    <mergeCell ref="A862:B862"/>
    <mergeCell ref="A863:B863"/>
    <mergeCell ref="A864:B864"/>
    <mergeCell ref="G862:H865"/>
    <mergeCell ref="G857:H860"/>
    <mergeCell ref="A855:B855"/>
    <mergeCell ref="A856:H856"/>
    <mergeCell ref="A857:B857"/>
    <mergeCell ref="A858:B858"/>
    <mergeCell ref="A859:B859"/>
    <mergeCell ref="A849:H849"/>
    <mergeCell ref="A851:H851"/>
    <mergeCell ref="A816:B816"/>
    <mergeCell ref="A817:B817"/>
    <mergeCell ref="A818:H818"/>
    <mergeCell ref="A819:B819"/>
    <mergeCell ref="A832:B832"/>
    <mergeCell ref="G832:H832"/>
    <mergeCell ref="A833:B833"/>
    <mergeCell ref="G833:H833"/>
    <mergeCell ref="A834:B834"/>
    <mergeCell ref="G834:H834"/>
    <mergeCell ref="L851:M851"/>
    <mergeCell ref="A852:B852"/>
    <mergeCell ref="A853:B853"/>
    <mergeCell ref="A854:B854"/>
    <mergeCell ref="A850:H850"/>
    <mergeCell ref="G852:H855"/>
    <mergeCell ref="A844:B844"/>
    <mergeCell ref="A845:H845"/>
    <mergeCell ref="A846:B846"/>
    <mergeCell ref="A847:B847"/>
    <mergeCell ref="A848:B848"/>
    <mergeCell ref="A839:B839"/>
    <mergeCell ref="A840:H840"/>
    <mergeCell ref="A841:B841"/>
    <mergeCell ref="A842:B842"/>
    <mergeCell ref="A843:B843"/>
    <mergeCell ref="G846:H848"/>
    <mergeCell ref="G841:H844"/>
    <mergeCell ref="G836:H839"/>
    <mergeCell ref="A836:B836"/>
    <mergeCell ref="A837:B837"/>
    <mergeCell ref="A838:B838"/>
    <mergeCell ref="A811:B811"/>
    <mergeCell ref="A812:B812"/>
    <mergeCell ref="A813:H813"/>
    <mergeCell ref="A814:B814"/>
    <mergeCell ref="A805:B805"/>
    <mergeCell ref="G805:H805"/>
    <mergeCell ref="A806:B806"/>
    <mergeCell ref="G806:H806"/>
    <mergeCell ref="G804:H804"/>
    <mergeCell ref="A795:B795"/>
    <mergeCell ref="A828:H828"/>
    <mergeCell ref="A830:H830"/>
    <mergeCell ref="A831:B831"/>
    <mergeCell ref="G831:H831"/>
    <mergeCell ref="A824:B824"/>
    <mergeCell ref="C824:F824"/>
    <mergeCell ref="A796:B796"/>
    <mergeCell ref="A797:B797"/>
    <mergeCell ref="A798:H798"/>
    <mergeCell ref="A799:B799"/>
    <mergeCell ref="A825:B825"/>
    <mergeCell ref="A826:B826"/>
    <mergeCell ref="A827:H827"/>
    <mergeCell ref="A829:H829"/>
    <mergeCell ref="A807:B807"/>
    <mergeCell ref="G807:H807"/>
    <mergeCell ref="A808:H808"/>
    <mergeCell ref="A781:B781"/>
    <mergeCell ref="A782:H782"/>
    <mergeCell ref="A783:H783"/>
    <mergeCell ref="A776:B776"/>
    <mergeCell ref="A761:B761"/>
    <mergeCell ref="A778:B778"/>
    <mergeCell ref="A779:B779"/>
    <mergeCell ref="C779:F779"/>
    <mergeCell ref="A790:B790"/>
    <mergeCell ref="A772:B772"/>
    <mergeCell ref="A773:H773"/>
    <mergeCell ref="A774:B774"/>
    <mergeCell ref="A775:B775"/>
    <mergeCell ref="A766:B766"/>
    <mergeCell ref="A767:B767"/>
    <mergeCell ref="A768:H768"/>
    <mergeCell ref="A769:B769"/>
    <mergeCell ref="A770:B770"/>
    <mergeCell ref="G759:H762"/>
    <mergeCell ref="G789:H792"/>
    <mergeCell ref="G778:H781"/>
    <mergeCell ref="G774:H776"/>
    <mergeCell ref="G769:H772"/>
    <mergeCell ref="A821:B821"/>
    <mergeCell ref="A822:H822"/>
    <mergeCell ref="L822:M822"/>
    <mergeCell ref="A823:B823"/>
    <mergeCell ref="L830:M830"/>
    <mergeCell ref="A820:B820"/>
    <mergeCell ref="A802:H802"/>
    <mergeCell ref="A803:H803"/>
    <mergeCell ref="L803:M803"/>
    <mergeCell ref="A804:B804"/>
    <mergeCell ref="A810:B810"/>
    <mergeCell ref="A791:B791"/>
    <mergeCell ref="A792:B792"/>
    <mergeCell ref="A793:H793"/>
    <mergeCell ref="A794:B794"/>
    <mergeCell ref="A785:B785"/>
    <mergeCell ref="G785:H785"/>
    <mergeCell ref="A786:B786"/>
    <mergeCell ref="G786:H786"/>
    <mergeCell ref="A787:B787"/>
    <mergeCell ref="G814:H817"/>
    <mergeCell ref="G787:H787"/>
    <mergeCell ref="A788:H788"/>
    <mergeCell ref="A789:B789"/>
    <mergeCell ref="A800:B800"/>
    <mergeCell ref="G809:H812"/>
    <mergeCell ref="G799:H801"/>
    <mergeCell ref="G794:H797"/>
    <mergeCell ref="L783:M783"/>
    <mergeCell ref="A784:B784"/>
    <mergeCell ref="G784:H784"/>
    <mergeCell ref="A777:H777"/>
    <mergeCell ref="L777:M777"/>
    <mergeCell ref="A809:B809"/>
    <mergeCell ref="A801:B801"/>
    <mergeCell ref="G823:H826"/>
    <mergeCell ref="G819:H821"/>
    <mergeCell ref="L451:M451"/>
    <mergeCell ref="A452:B452"/>
    <mergeCell ref="G452:H452"/>
    <mergeCell ref="L452:M452"/>
    <mergeCell ref="A464:H464"/>
    <mergeCell ref="A466:B466"/>
    <mergeCell ref="G466:H466"/>
    <mergeCell ref="L466:M466"/>
    <mergeCell ref="A467:B467"/>
    <mergeCell ref="G467:H467"/>
    <mergeCell ref="L467:M467"/>
    <mergeCell ref="L468:M468"/>
    <mergeCell ref="A456:B456"/>
    <mergeCell ref="G456:H456"/>
    <mergeCell ref="L456:M456"/>
    <mergeCell ref="A457:B457"/>
    <mergeCell ref="L461:M461"/>
    <mergeCell ref="A462:B462"/>
    <mergeCell ref="G462:H462"/>
    <mergeCell ref="L462:M462"/>
    <mergeCell ref="A463:B463"/>
    <mergeCell ref="G463:H463"/>
    <mergeCell ref="L463:M463"/>
    <mergeCell ref="L579:M579"/>
    <mergeCell ref="A780:B780"/>
    <mergeCell ref="G764:H767"/>
    <mergeCell ref="A764:B764"/>
    <mergeCell ref="A765:B765"/>
    <mergeCell ref="L758:M758"/>
    <mergeCell ref="A759:B759"/>
    <mergeCell ref="A760:B760"/>
    <mergeCell ref="A771:B771"/>
    <mergeCell ref="G753:H756"/>
    <mergeCell ref="A753:B753"/>
    <mergeCell ref="A754:B754"/>
    <mergeCell ref="C754:F754"/>
    <mergeCell ref="A755:B755"/>
    <mergeCell ref="A756:B756"/>
    <mergeCell ref="A758:H758"/>
    <mergeCell ref="L752:M752"/>
    <mergeCell ref="A747:B747"/>
    <mergeCell ref="A748:H748"/>
    <mergeCell ref="A749:B749"/>
    <mergeCell ref="A750:B750"/>
    <mergeCell ref="A751:B751"/>
    <mergeCell ref="L733:M733"/>
    <mergeCell ref="A634:B634"/>
    <mergeCell ref="C728:F728"/>
    <mergeCell ref="G591:H594"/>
    <mergeCell ref="G596:H599"/>
    <mergeCell ref="A664:H664"/>
    <mergeCell ref="A665:B665"/>
    <mergeCell ref="G665:H672"/>
    <mergeCell ref="A666:B666"/>
    <mergeCell ref="A667:B667"/>
    <mergeCell ref="G749:H751"/>
    <mergeCell ref="G744:H747"/>
    <mergeCell ref="A744:B744"/>
    <mergeCell ref="A745:B745"/>
    <mergeCell ref="A746:B746"/>
    <mergeCell ref="A657:B657"/>
    <mergeCell ref="A658:B658"/>
    <mergeCell ref="A600:H600"/>
    <mergeCell ref="A560:H560"/>
    <mergeCell ref="A573:B573"/>
    <mergeCell ref="A443:H443"/>
    <mergeCell ref="G624:H624"/>
    <mergeCell ref="A625:H625"/>
    <mergeCell ref="A626:B626"/>
    <mergeCell ref="A627:B627"/>
    <mergeCell ref="A628:B628"/>
    <mergeCell ref="A451:B451"/>
    <mergeCell ref="G451:H451"/>
    <mergeCell ref="A458:H458"/>
    <mergeCell ref="A460:B460"/>
    <mergeCell ref="G460:H460"/>
    <mergeCell ref="A468:B468"/>
    <mergeCell ref="G468:H468"/>
    <mergeCell ref="A620:H620"/>
    <mergeCell ref="A448:B448"/>
    <mergeCell ref="G448:H448"/>
    <mergeCell ref="A449:B449"/>
    <mergeCell ref="A622:B622"/>
    <mergeCell ref="G622:H622"/>
    <mergeCell ref="A623:B623"/>
    <mergeCell ref="G541:H544"/>
    <mergeCell ref="A469:B469"/>
    <mergeCell ref="G737:H737"/>
    <mergeCell ref="A738:H738"/>
    <mergeCell ref="A739:B739"/>
    <mergeCell ref="A740:B740"/>
    <mergeCell ref="A741:B741"/>
    <mergeCell ref="A742:B742"/>
    <mergeCell ref="A743:H743"/>
    <mergeCell ref="G714:H721"/>
    <mergeCell ref="G685:H692"/>
    <mergeCell ref="G656:H663"/>
    <mergeCell ref="G647:H654"/>
    <mergeCell ref="G631:H634"/>
    <mergeCell ref="A624:B624"/>
    <mergeCell ref="G739:H742"/>
    <mergeCell ref="A735:B735"/>
    <mergeCell ref="G735:H735"/>
    <mergeCell ref="A736:B736"/>
    <mergeCell ref="G736:H736"/>
    <mergeCell ref="A732:H732"/>
    <mergeCell ref="A733:H733"/>
    <mergeCell ref="A734:B734"/>
    <mergeCell ref="G734:H734"/>
    <mergeCell ref="A632:B632"/>
    <mergeCell ref="A633:B633"/>
    <mergeCell ref="A678:B678"/>
    <mergeCell ref="A679:B679"/>
    <mergeCell ref="A712:B712"/>
    <mergeCell ref="A703:H703"/>
    <mergeCell ref="A630:H630"/>
    <mergeCell ref="A668:B668"/>
    <mergeCell ref="A669:B669"/>
    <mergeCell ref="A670:B670"/>
    <mergeCell ref="L447:M447"/>
    <mergeCell ref="L448:M448"/>
    <mergeCell ref="L449:M449"/>
    <mergeCell ref="L453:M453"/>
    <mergeCell ref="L454:M454"/>
    <mergeCell ref="L455:M455"/>
    <mergeCell ref="L620:M620"/>
    <mergeCell ref="A621:B621"/>
    <mergeCell ref="G621:H621"/>
    <mergeCell ref="G457:H457"/>
    <mergeCell ref="L457:M457"/>
    <mergeCell ref="L460:M460"/>
    <mergeCell ref="G449:H449"/>
    <mergeCell ref="A453:B453"/>
    <mergeCell ref="G453:H453"/>
    <mergeCell ref="A454:B454"/>
    <mergeCell ref="G454:H454"/>
    <mergeCell ref="A455:B455"/>
    <mergeCell ref="G455:H455"/>
    <mergeCell ref="A447:B447"/>
    <mergeCell ref="G447:H447"/>
    <mergeCell ref="A465:H465"/>
    <mergeCell ref="A536:B536"/>
    <mergeCell ref="A551:B551"/>
    <mergeCell ref="A552:B552"/>
    <mergeCell ref="A542:B542"/>
    <mergeCell ref="G566:H569"/>
    <mergeCell ref="G561:H564"/>
    <mergeCell ref="G586:H589"/>
    <mergeCell ref="G469:H469"/>
    <mergeCell ref="L469:M469"/>
    <mergeCell ref="L609:M609"/>
    <mergeCell ref="A737:B737"/>
    <mergeCell ref="L441:M441"/>
    <mergeCell ref="A450:B450"/>
    <mergeCell ref="G450:H450"/>
    <mergeCell ref="L450:M450"/>
    <mergeCell ref="A433:B433"/>
    <mergeCell ref="G433:H433"/>
    <mergeCell ref="L433:M433"/>
    <mergeCell ref="A426:B426"/>
    <mergeCell ref="G426:H426"/>
    <mergeCell ref="L426:M426"/>
    <mergeCell ref="A427:H427"/>
    <mergeCell ref="A429:B429"/>
    <mergeCell ref="G429:H429"/>
    <mergeCell ref="L429:M429"/>
    <mergeCell ref="A430:B430"/>
    <mergeCell ref="G430:H430"/>
    <mergeCell ref="L430:M430"/>
    <mergeCell ref="A428:H428"/>
    <mergeCell ref="L444:M444"/>
    <mergeCell ref="A445:B445"/>
    <mergeCell ref="G445:H445"/>
    <mergeCell ref="L445:M445"/>
    <mergeCell ref="L446:M446"/>
    <mergeCell ref="L439:M439"/>
    <mergeCell ref="A440:B440"/>
    <mergeCell ref="A436:H436"/>
    <mergeCell ref="A438:B438"/>
    <mergeCell ref="A434:B434"/>
    <mergeCell ref="L438:M438"/>
    <mergeCell ref="L440:M440"/>
    <mergeCell ref="G434:H434"/>
    <mergeCell ref="L400:M400"/>
    <mergeCell ref="A401:B401"/>
    <mergeCell ref="G401:H401"/>
    <mergeCell ref="L401:M401"/>
    <mergeCell ref="A402:B402"/>
    <mergeCell ref="G402:H402"/>
    <mergeCell ref="L402:M402"/>
    <mergeCell ref="A407:H407"/>
    <mergeCell ref="A409:B409"/>
    <mergeCell ref="G409:H409"/>
    <mergeCell ref="L409:M409"/>
    <mergeCell ref="A410:B410"/>
    <mergeCell ref="G410:H410"/>
    <mergeCell ref="L410:M410"/>
    <mergeCell ref="A411:B411"/>
    <mergeCell ref="G411:H411"/>
    <mergeCell ref="L411:M411"/>
    <mergeCell ref="A404:B404"/>
    <mergeCell ref="L405:M405"/>
    <mergeCell ref="A406:B406"/>
    <mergeCell ref="G406:H406"/>
    <mergeCell ref="L406:M406"/>
    <mergeCell ref="G58:H58"/>
    <mergeCell ref="D73:H73"/>
    <mergeCell ref="C53:H53"/>
    <mergeCell ref="D65:H65"/>
    <mergeCell ref="A58:B58"/>
    <mergeCell ref="C58:E58"/>
    <mergeCell ref="A60:H60"/>
    <mergeCell ref="G56:H56"/>
    <mergeCell ref="C57:H57"/>
    <mergeCell ref="A640:B640"/>
    <mergeCell ref="A641:B641"/>
    <mergeCell ref="C641:F641"/>
    <mergeCell ref="A642:B642"/>
    <mergeCell ref="A731:H731"/>
    <mergeCell ref="A398:H398"/>
    <mergeCell ref="A400:B400"/>
    <mergeCell ref="G400:H400"/>
    <mergeCell ref="G421:H421"/>
    <mergeCell ref="G423:H423"/>
    <mergeCell ref="A432:B432"/>
    <mergeCell ref="G432:H432"/>
    <mergeCell ref="A424:B424"/>
    <mergeCell ref="G424:H424"/>
    <mergeCell ref="G438:H438"/>
    <mergeCell ref="A442:H442"/>
    <mergeCell ref="A444:B444"/>
    <mergeCell ref="G444:H444"/>
    <mergeCell ref="G440:H440"/>
    <mergeCell ref="A435:H435"/>
    <mergeCell ref="A437:H437"/>
    <mergeCell ref="A441:B441"/>
    <mergeCell ref="G441:H441"/>
    <mergeCell ref="L396:M396"/>
    <mergeCell ref="A365:B365"/>
    <mergeCell ref="A372:B372"/>
    <mergeCell ref="G372:H372"/>
    <mergeCell ref="A394:B394"/>
    <mergeCell ref="G394:H394"/>
    <mergeCell ref="L377:M377"/>
    <mergeCell ref="L376:M376"/>
    <mergeCell ref="L382:M382"/>
    <mergeCell ref="C48:E48"/>
    <mergeCell ref="G48:H48"/>
    <mergeCell ref="C49:H49"/>
    <mergeCell ref="A78:C84"/>
    <mergeCell ref="D78:H78"/>
    <mergeCell ref="D79:H79"/>
    <mergeCell ref="D80:H80"/>
    <mergeCell ref="D81:H81"/>
    <mergeCell ref="D82:H82"/>
    <mergeCell ref="D83:H83"/>
    <mergeCell ref="D84:H84"/>
    <mergeCell ref="A74:C77"/>
    <mergeCell ref="D74:H74"/>
    <mergeCell ref="D75:H75"/>
    <mergeCell ref="D76:H76"/>
    <mergeCell ref="A61:C61"/>
    <mergeCell ref="D64:H64"/>
    <mergeCell ref="A54:B54"/>
    <mergeCell ref="C54:E54"/>
    <mergeCell ref="G54:H54"/>
    <mergeCell ref="A55:B55"/>
    <mergeCell ref="A62:C62"/>
    <mergeCell ref="D62:H62"/>
    <mergeCell ref="L372:M372"/>
    <mergeCell ref="L384:M384"/>
    <mergeCell ref="A366:B366"/>
    <mergeCell ref="G366:H366"/>
    <mergeCell ref="A367:H367"/>
    <mergeCell ref="G378:H378"/>
    <mergeCell ref="L371:M371"/>
    <mergeCell ref="L393:M393"/>
    <mergeCell ref="L394:M394"/>
    <mergeCell ref="L375:M375"/>
    <mergeCell ref="L362:M362"/>
    <mergeCell ref="G343:H343"/>
    <mergeCell ref="A344:H344"/>
    <mergeCell ref="A345:B345"/>
    <mergeCell ref="C345:D345"/>
    <mergeCell ref="E345:F345"/>
    <mergeCell ref="G345:H345"/>
    <mergeCell ref="A352:B352"/>
    <mergeCell ref="C352:D352"/>
    <mergeCell ref="A353:B353"/>
    <mergeCell ref="C353:D353"/>
    <mergeCell ref="E353:F353"/>
    <mergeCell ref="G353:H353"/>
    <mergeCell ref="A350:B350"/>
    <mergeCell ref="E352:F352"/>
    <mergeCell ref="G352:H352"/>
    <mergeCell ref="A346:B346"/>
    <mergeCell ref="C346:D346"/>
    <mergeCell ref="E346:F346"/>
    <mergeCell ref="G346:H346"/>
    <mergeCell ref="A347:B347"/>
    <mergeCell ref="C347:D347"/>
    <mergeCell ref="G348:H348"/>
    <mergeCell ref="A349:B349"/>
    <mergeCell ref="C349:D349"/>
    <mergeCell ref="E349:F349"/>
    <mergeCell ref="E303:F303"/>
    <mergeCell ref="A303:B303"/>
    <mergeCell ref="F296:H296"/>
    <mergeCell ref="C303:D303"/>
    <mergeCell ref="A290:H290"/>
    <mergeCell ref="A293:E293"/>
    <mergeCell ref="A295:E295"/>
    <mergeCell ref="F295:H295"/>
    <mergeCell ref="A297:E297"/>
    <mergeCell ref="A296:E296"/>
    <mergeCell ref="A294:E294"/>
    <mergeCell ref="F294:H294"/>
    <mergeCell ref="C312:D312"/>
    <mergeCell ref="E312:F312"/>
    <mergeCell ref="G312:H312"/>
    <mergeCell ref="G336:H336"/>
    <mergeCell ref="C332:D332"/>
    <mergeCell ref="A320:B320"/>
    <mergeCell ref="C320:D320"/>
    <mergeCell ref="E320:F320"/>
    <mergeCell ref="G320:H320"/>
    <mergeCell ref="A321:B321"/>
    <mergeCell ref="C321:D321"/>
    <mergeCell ref="E321:F321"/>
    <mergeCell ref="G321:H321"/>
    <mergeCell ref="E347:F347"/>
    <mergeCell ref="G318:H318"/>
    <mergeCell ref="A319:B319"/>
    <mergeCell ref="K193:O193"/>
    <mergeCell ref="K194:O194"/>
    <mergeCell ref="K195:O195"/>
    <mergeCell ref="K196:O196"/>
    <mergeCell ref="K197:O197"/>
    <mergeCell ref="K198:O198"/>
    <mergeCell ref="K199:O199"/>
    <mergeCell ref="A217:B217"/>
    <mergeCell ref="A386:B386"/>
    <mergeCell ref="G386:H386"/>
    <mergeCell ref="G370:H370"/>
    <mergeCell ref="G377:H377"/>
    <mergeCell ref="L365:M365"/>
    <mergeCell ref="L366:M366"/>
    <mergeCell ref="A384:B384"/>
    <mergeCell ref="G384:H384"/>
    <mergeCell ref="A310:H310"/>
    <mergeCell ref="A311:B311"/>
    <mergeCell ref="A329:B329"/>
    <mergeCell ref="A330:B330"/>
    <mergeCell ref="C330:D330"/>
    <mergeCell ref="E330:F330"/>
    <mergeCell ref="G326:H326"/>
    <mergeCell ref="A375:B375"/>
    <mergeCell ref="G375:H375"/>
    <mergeCell ref="D357:D358"/>
    <mergeCell ref="A377:B377"/>
    <mergeCell ref="A378:B378"/>
    <mergeCell ref="C326:D326"/>
    <mergeCell ref="G303:H303"/>
    <mergeCell ref="G311:H311"/>
    <mergeCell ref="A312:B312"/>
    <mergeCell ref="G420:H420"/>
    <mergeCell ref="L420:M420"/>
    <mergeCell ref="A421:B421"/>
    <mergeCell ref="A416:H416"/>
    <mergeCell ref="A425:B425"/>
    <mergeCell ref="G425:H425"/>
    <mergeCell ref="G439:H439"/>
    <mergeCell ref="L403:M403"/>
    <mergeCell ref="L417:M417"/>
    <mergeCell ref="A418:B418"/>
    <mergeCell ref="G418:H418"/>
    <mergeCell ref="L418:M418"/>
    <mergeCell ref="A417:B417"/>
    <mergeCell ref="G417:H417"/>
    <mergeCell ref="A412:B412"/>
    <mergeCell ref="G412:H412"/>
    <mergeCell ref="L412:M412"/>
    <mergeCell ref="A413:B413"/>
    <mergeCell ref="G404:H404"/>
    <mergeCell ref="L404:M404"/>
    <mergeCell ref="L414:M414"/>
    <mergeCell ref="L422:M422"/>
    <mergeCell ref="L431:M431"/>
    <mergeCell ref="L432:M432"/>
    <mergeCell ref="L423:M423"/>
    <mergeCell ref="L434:M434"/>
    <mergeCell ref="L424:M424"/>
    <mergeCell ref="A1019:H1019"/>
    <mergeCell ref="A613:B613"/>
    <mergeCell ref="A606:B606"/>
    <mergeCell ref="C611:F611"/>
    <mergeCell ref="E151:F160"/>
    <mergeCell ref="G151:H160"/>
    <mergeCell ref="A152:B152"/>
    <mergeCell ref="A153:B153"/>
    <mergeCell ref="A608:B608"/>
    <mergeCell ref="A609:H609"/>
    <mergeCell ref="A646:H646"/>
    <mergeCell ref="A647:B647"/>
    <mergeCell ref="A648:B648"/>
    <mergeCell ref="A649:B649"/>
    <mergeCell ref="A660:B660"/>
    <mergeCell ref="A683:B683"/>
    <mergeCell ref="A684:H684"/>
    <mergeCell ref="A374:H374"/>
    <mergeCell ref="A381:H381"/>
    <mergeCell ref="A390:H390"/>
    <mergeCell ref="A470:H470"/>
    <mergeCell ref="A553:B553"/>
    <mergeCell ref="A414:B414"/>
    <mergeCell ref="G414:H414"/>
    <mergeCell ref="A360:H360"/>
    <mergeCell ref="E357:E358"/>
    <mergeCell ref="G357:H358"/>
    <mergeCell ref="C471:C472"/>
    <mergeCell ref="B1012:H1012"/>
    <mergeCell ref="B1006:H1006"/>
    <mergeCell ref="C334:D334"/>
    <mergeCell ref="E334:F334"/>
    <mergeCell ref="A1027:H1030"/>
    <mergeCell ref="A1026:B1026"/>
    <mergeCell ref="E1026:F1026"/>
    <mergeCell ref="C1026:D1026"/>
    <mergeCell ref="G1026:H1026"/>
    <mergeCell ref="A581:B581"/>
    <mergeCell ref="A582:B582"/>
    <mergeCell ref="A583:B583"/>
    <mergeCell ref="A598:B598"/>
    <mergeCell ref="A599:B599"/>
    <mergeCell ref="A612:B612"/>
    <mergeCell ref="A611:B611"/>
    <mergeCell ref="A601:B601"/>
    <mergeCell ref="A602:B602"/>
    <mergeCell ref="A603:B603"/>
    <mergeCell ref="A604:B604"/>
    <mergeCell ref="A638:B638"/>
    <mergeCell ref="A643:B643"/>
    <mergeCell ref="A639:H639"/>
    <mergeCell ref="A752:H752"/>
    <mergeCell ref="A762:B762"/>
    <mergeCell ref="A763:H763"/>
    <mergeCell ref="A757:H757"/>
    <mergeCell ref="A1022:H1022"/>
    <mergeCell ref="A721:B721"/>
    <mergeCell ref="A1021:H1021"/>
    <mergeCell ref="A1025:H1025"/>
    <mergeCell ref="A1023:H1023"/>
    <mergeCell ref="A584:H584"/>
    <mergeCell ref="A585:H585"/>
    <mergeCell ref="A595:H595"/>
    <mergeCell ref="B1011:H1011"/>
    <mergeCell ref="A1024:H1024"/>
    <mergeCell ref="A596:B596"/>
    <mergeCell ref="A597:B597"/>
    <mergeCell ref="A644:H644"/>
    <mergeCell ref="A645:H645"/>
    <mergeCell ref="A655:H655"/>
    <mergeCell ref="A1000:H1000"/>
    <mergeCell ref="G369:H369"/>
    <mergeCell ref="D471:D472"/>
    <mergeCell ref="E471:E472"/>
    <mergeCell ref="G471:H472"/>
    <mergeCell ref="A1020:H1020"/>
    <mergeCell ref="A546:B546"/>
    <mergeCell ref="A547:B547"/>
    <mergeCell ref="A687:B687"/>
    <mergeCell ref="B1010:H1010"/>
    <mergeCell ref="A35:H35"/>
    <mergeCell ref="G93:H93"/>
    <mergeCell ref="A91:B91"/>
    <mergeCell ref="A64:C73"/>
    <mergeCell ref="D77:H77"/>
    <mergeCell ref="C55:E55"/>
    <mergeCell ref="G55:H55"/>
    <mergeCell ref="A56:B57"/>
    <mergeCell ref="C56:E56"/>
    <mergeCell ref="D66:H66"/>
    <mergeCell ref="D67:H67"/>
    <mergeCell ref="D68:H68"/>
    <mergeCell ref="D69:H69"/>
    <mergeCell ref="D70:H70"/>
    <mergeCell ref="D71:H71"/>
    <mergeCell ref="D72:H72"/>
    <mergeCell ref="A34:B34"/>
    <mergeCell ref="A31:B31"/>
    <mergeCell ref="A30:B30"/>
    <mergeCell ref="C31:E31"/>
    <mergeCell ref="A32:B32"/>
    <mergeCell ref="A7:D7"/>
    <mergeCell ref="E7:H7"/>
    <mergeCell ref="A15:B15"/>
    <mergeCell ref="A89:B89"/>
    <mergeCell ref="C89:H89"/>
    <mergeCell ref="A87:C87"/>
    <mergeCell ref="D87:H87"/>
    <mergeCell ref="A85:C85"/>
    <mergeCell ref="A86:C86"/>
    <mergeCell ref="D85:H85"/>
    <mergeCell ref="D86:H86"/>
    <mergeCell ref="A50:B50"/>
    <mergeCell ref="C50:E50"/>
    <mergeCell ref="G50:H50"/>
    <mergeCell ref="A51:B51"/>
    <mergeCell ref="C51:E51"/>
    <mergeCell ref="G51:H51"/>
    <mergeCell ref="E19:F19"/>
    <mergeCell ref="G19:H19"/>
    <mergeCell ref="A46:B46"/>
    <mergeCell ref="C46:E46"/>
    <mergeCell ref="G46:H46"/>
    <mergeCell ref="A47:B47"/>
    <mergeCell ref="C47:E47"/>
    <mergeCell ref="G47:H47"/>
    <mergeCell ref="A48:B49"/>
    <mergeCell ref="D61:H6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E18:F18"/>
    <mergeCell ref="G18:H18"/>
    <mergeCell ref="A12:D12"/>
    <mergeCell ref="E12:H12"/>
    <mergeCell ref="A13:D13"/>
    <mergeCell ref="E13:H13"/>
    <mergeCell ref="A14:B14"/>
    <mergeCell ref="C14:H14"/>
    <mergeCell ref="C15:H15"/>
    <mergeCell ref="A9:D9"/>
    <mergeCell ref="E9:H9"/>
    <mergeCell ref="D63:H63"/>
    <mergeCell ref="A63:C63"/>
    <mergeCell ref="A20:D21"/>
    <mergeCell ref="E20:H2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A19:B19"/>
    <mergeCell ref="C19:D19"/>
    <mergeCell ref="G52:H52"/>
    <mergeCell ref="E26:H26"/>
    <mergeCell ref="A41:D41"/>
    <mergeCell ref="E41:H41"/>
    <mergeCell ref="E42:H42"/>
    <mergeCell ref="E43:H43"/>
    <mergeCell ref="E44:H44"/>
    <mergeCell ref="A42:D42"/>
    <mergeCell ref="A43:D43"/>
    <mergeCell ref="A44:D44"/>
    <mergeCell ref="E40:H40"/>
    <mergeCell ref="A40:D40"/>
    <mergeCell ref="A45:H45"/>
    <mergeCell ref="C36:H36"/>
    <mergeCell ref="F30:H30"/>
    <mergeCell ref="C32:E32"/>
    <mergeCell ref="A101:B101"/>
    <mergeCell ref="A38:H38"/>
    <mergeCell ref="C34:E34"/>
    <mergeCell ref="A132:B132"/>
    <mergeCell ref="A140:B140"/>
    <mergeCell ref="A141:B141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E24:H24"/>
    <mergeCell ref="A26:D26"/>
    <mergeCell ref="A88:C88"/>
    <mergeCell ref="D88:H88"/>
    <mergeCell ref="A94:B94"/>
    <mergeCell ref="A651:B651"/>
    <mergeCell ref="A652:B652"/>
    <mergeCell ref="A653:B653"/>
    <mergeCell ref="A100:B100"/>
    <mergeCell ref="A93:B93"/>
    <mergeCell ref="A52:B53"/>
    <mergeCell ref="C52:E52"/>
    <mergeCell ref="A291:E291"/>
    <mergeCell ref="F298:H298"/>
    <mergeCell ref="F291:H291"/>
    <mergeCell ref="A288:H288"/>
    <mergeCell ref="F293:H293"/>
    <mergeCell ref="C289:H289"/>
    <mergeCell ref="A123:B123"/>
    <mergeCell ref="A287:E287"/>
    <mergeCell ref="G335:H335"/>
    <mergeCell ref="A304:B304"/>
    <mergeCell ref="A387:B387"/>
    <mergeCell ref="G387:H387"/>
    <mergeCell ref="A327:B327"/>
    <mergeCell ref="C327:D327"/>
    <mergeCell ref="E327:F327"/>
    <mergeCell ref="G327:H327"/>
    <mergeCell ref="A331:B331"/>
    <mergeCell ref="C331:D331"/>
    <mergeCell ref="E331:F331"/>
    <mergeCell ref="G331:H331"/>
    <mergeCell ref="F299:H299"/>
    <mergeCell ref="F297:H297"/>
    <mergeCell ref="A356:H356"/>
    <mergeCell ref="C586:F587"/>
    <mergeCell ref="A589:B589"/>
    <mergeCell ref="A590:H590"/>
    <mergeCell ref="L639:M639"/>
    <mergeCell ref="G606:H608"/>
    <mergeCell ref="G601:H604"/>
    <mergeCell ref="A618:B618"/>
    <mergeCell ref="G618:H618"/>
    <mergeCell ref="A616:B616"/>
    <mergeCell ref="C616:F617"/>
    <mergeCell ref="G616:H616"/>
    <mergeCell ref="A617:B617"/>
    <mergeCell ref="G617:H617"/>
    <mergeCell ref="G623:H623"/>
    <mergeCell ref="A610:B610"/>
    <mergeCell ref="A614:H614"/>
    <mergeCell ref="A615:H615"/>
    <mergeCell ref="L615:M615"/>
    <mergeCell ref="A629:B629"/>
    <mergeCell ref="L590:M590"/>
    <mergeCell ref="A591:B591"/>
    <mergeCell ref="A592:B592"/>
    <mergeCell ref="A593:B593"/>
    <mergeCell ref="A594:B594"/>
    <mergeCell ref="A607:B607"/>
    <mergeCell ref="A714:B714"/>
    <mergeCell ref="A698:B698"/>
    <mergeCell ref="A699:B699"/>
    <mergeCell ref="A700:B700"/>
    <mergeCell ref="A701:B701"/>
    <mergeCell ref="A702:H702"/>
    <mergeCell ref="A696:B696"/>
    <mergeCell ref="A697:B697"/>
    <mergeCell ref="A710:B710"/>
    <mergeCell ref="A711:B711"/>
    <mergeCell ref="A693:H693"/>
    <mergeCell ref="A694:B694"/>
    <mergeCell ref="A695:B695"/>
    <mergeCell ref="C695:F695"/>
    <mergeCell ref="L703:M703"/>
    <mergeCell ref="A704:H704"/>
    <mergeCell ref="G491:H493"/>
    <mergeCell ref="A682:B682"/>
    <mergeCell ref="A688:B688"/>
    <mergeCell ref="A689:B689"/>
    <mergeCell ref="A690:B690"/>
    <mergeCell ref="A680:B680"/>
    <mergeCell ref="L674:M674"/>
    <mergeCell ref="A691:B691"/>
    <mergeCell ref="A692:B692"/>
    <mergeCell ref="A685:B685"/>
    <mergeCell ref="A686:B686"/>
    <mergeCell ref="A635:H635"/>
    <mergeCell ref="A636:B636"/>
    <mergeCell ref="A637:B637"/>
    <mergeCell ref="A619:B619"/>
    <mergeCell ref="G619:H619"/>
    <mergeCell ref="A662:B662"/>
    <mergeCell ref="A681:B681"/>
    <mergeCell ref="E305:F305"/>
    <mergeCell ref="G305:H305"/>
    <mergeCell ref="A306:B306"/>
    <mergeCell ref="C306:D306"/>
    <mergeCell ref="E306:F306"/>
    <mergeCell ref="L386:M386"/>
    <mergeCell ref="L370:M370"/>
    <mergeCell ref="L369:M369"/>
    <mergeCell ref="G363:H363"/>
    <mergeCell ref="A380:H380"/>
    <mergeCell ref="A382:B382"/>
    <mergeCell ref="G382:H382"/>
    <mergeCell ref="C311:D311"/>
    <mergeCell ref="E311:F311"/>
    <mergeCell ref="A713:H713"/>
    <mergeCell ref="I642:J644"/>
    <mergeCell ref="G640:H643"/>
    <mergeCell ref="A656:B656"/>
    <mergeCell ref="A671:B671"/>
    <mergeCell ref="A672:B672"/>
    <mergeCell ref="C670:F670"/>
    <mergeCell ref="A663:B663"/>
    <mergeCell ref="A650:B650"/>
    <mergeCell ref="A654:B654"/>
    <mergeCell ref="A659:B659"/>
    <mergeCell ref="A661:B661"/>
    <mergeCell ref="L645:M645"/>
    <mergeCell ref="G610:H613"/>
    <mergeCell ref="A587:B587"/>
    <mergeCell ref="A588:B588"/>
    <mergeCell ref="G137:H146"/>
    <mergeCell ref="A138:B138"/>
    <mergeCell ref="G388:H388"/>
    <mergeCell ref="A383:B383"/>
    <mergeCell ref="G383:H383"/>
    <mergeCell ref="A439:B439"/>
    <mergeCell ref="A397:H397"/>
    <mergeCell ref="A399:H399"/>
    <mergeCell ref="G379:H379"/>
    <mergeCell ref="A724:B724"/>
    <mergeCell ref="A725:B725"/>
    <mergeCell ref="A726:B726"/>
    <mergeCell ref="A727:B727"/>
    <mergeCell ref="A728:B728"/>
    <mergeCell ref="A729:B729"/>
    <mergeCell ref="L363:M363"/>
    <mergeCell ref="A364:B364"/>
    <mergeCell ref="G364:H364"/>
    <mergeCell ref="A395:B395"/>
    <mergeCell ref="G395:H395"/>
    <mergeCell ref="A715:B715"/>
    <mergeCell ref="A716:B716"/>
    <mergeCell ref="A705:B705"/>
    <mergeCell ref="A706:B706"/>
    <mergeCell ref="A707:B707"/>
    <mergeCell ref="A708:B708"/>
    <mergeCell ref="A709:B709"/>
    <mergeCell ref="A677:B677"/>
    <mergeCell ref="A674:H674"/>
    <mergeCell ref="A675:H675"/>
    <mergeCell ref="A673:H673"/>
    <mergeCell ref="A676:B676"/>
    <mergeCell ref="A522:B522"/>
    <mergeCell ref="A388:B388"/>
    <mergeCell ref="C119:H119"/>
    <mergeCell ref="A121:B121"/>
    <mergeCell ref="C121:H121"/>
    <mergeCell ref="A122:B122"/>
    <mergeCell ref="E122:F122"/>
    <mergeCell ref="G122:H122"/>
    <mergeCell ref="C333:D333"/>
    <mergeCell ref="E333:F333"/>
    <mergeCell ref="G333:H333"/>
    <mergeCell ref="C357:C358"/>
    <mergeCell ref="A139:B139"/>
    <mergeCell ref="A146:B146"/>
    <mergeCell ref="A131:B131"/>
    <mergeCell ref="C335:D335"/>
    <mergeCell ref="A212:B212"/>
    <mergeCell ref="A307:B307"/>
    <mergeCell ref="C307:D307"/>
    <mergeCell ref="E307:F307"/>
    <mergeCell ref="G307:H307"/>
    <mergeCell ref="A308:B308"/>
    <mergeCell ref="C308:D308"/>
    <mergeCell ref="E308:F308"/>
    <mergeCell ref="E276:F276"/>
    <mergeCell ref="C304:D304"/>
    <mergeCell ref="E136:F136"/>
    <mergeCell ref="G136:H136"/>
    <mergeCell ref="A137:B137"/>
    <mergeCell ref="E137:F146"/>
    <mergeCell ref="A334:B334"/>
    <mergeCell ref="G334:H334"/>
    <mergeCell ref="A569:B569"/>
    <mergeCell ref="A570:H570"/>
    <mergeCell ref="G391:H391"/>
    <mergeCell ref="A527:B527"/>
    <mergeCell ref="A528:B528"/>
    <mergeCell ref="A534:H534"/>
    <mergeCell ref="A535:H535"/>
    <mergeCell ref="A544:B544"/>
    <mergeCell ref="L378:M378"/>
    <mergeCell ref="L387:M387"/>
    <mergeCell ref="L385:M385"/>
    <mergeCell ref="A459:H459"/>
    <mergeCell ref="A497:B497"/>
    <mergeCell ref="G413:H413"/>
    <mergeCell ref="L413:M413"/>
    <mergeCell ref="L421:M421"/>
    <mergeCell ref="A422:B422"/>
    <mergeCell ref="G422:H422"/>
    <mergeCell ref="L419:M419"/>
    <mergeCell ref="A403:B403"/>
    <mergeCell ref="G403:H403"/>
    <mergeCell ref="A393:B393"/>
    <mergeCell ref="G393:H393"/>
    <mergeCell ref="A396:B396"/>
    <mergeCell ref="G396:H396"/>
    <mergeCell ref="A514:H514"/>
    <mergeCell ref="A515:H515"/>
    <mergeCell ref="L515:M515"/>
    <mergeCell ref="A516:B516"/>
    <mergeCell ref="A517:B517"/>
    <mergeCell ref="A518:B518"/>
    <mergeCell ref="A519:B519"/>
    <mergeCell ref="L425:M425"/>
    <mergeCell ref="A420:B420"/>
    <mergeCell ref="L585:M585"/>
    <mergeCell ref="A586:B586"/>
    <mergeCell ref="A605:H605"/>
    <mergeCell ref="A631:B631"/>
    <mergeCell ref="L560:M560"/>
    <mergeCell ref="L554:M554"/>
    <mergeCell ref="A555:B555"/>
    <mergeCell ref="A556:B556"/>
    <mergeCell ref="A557:B557"/>
    <mergeCell ref="A545:H545"/>
    <mergeCell ref="A540:H540"/>
    <mergeCell ref="A537:B537"/>
    <mergeCell ref="A524:B524"/>
    <mergeCell ref="A525:H525"/>
    <mergeCell ref="A526:B526"/>
    <mergeCell ref="G526:H529"/>
    <mergeCell ref="A532:B532"/>
    <mergeCell ref="A533:B533"/>
    <mergeCell ref="A541:B541"/>
    <mergeCell ref="A572:B572"/>
    <mergeCell ref="A574:B574"/>
    <mergeCell ref="A575:H575"/>
    <mergeCell ref="A580:B580"/>
    <mergeCell ref="C581:F581"/>
    <mergeCell ref="A578:B578"/>
    <mergeCell ref="A567:B567"/>
    <mergeCell ref="A559:H559"/>
    <mergeCell ref="A565:H565"/>
    <mergeCell ref="A566:B566"/>
    <mergeCell ref="A568:B568"/>
    <mergeCell ref="A326:B326"/>
    <mergeCell ref="A305:B305"/>
    <mergeCell ref="L395:M395"/>
    <mergeCell ref="A405:B405"/>
    <mergeCell ref="G405:H405"/>
    <mergeCell ref="A423:B423"/>
    <mergeCell ref="A431:B431"/>
    <mergeCell ref="G431:H431"/>
    <mergeCell ref="B471:B472"/>
    <mergeCell ref="A548:B548"/>
    <mergeCell ref="A520:H520"/>
    <mergeCell ref="A521:B521"/>
    <mergeCell ref="A539:B539"/>
    <mergeCell ref="A550:H550"/>
    <mergeCell ref="A549:B549"/>
    <mergeCell ref="A538:B538"/>
    <mergeCell ref="A543:B543"/>
    <mergeCell ref="L535:M535"/>
    <mergeCell ref="A415:H415"/>
    <mergeCell ref="A492:B492"/>
    <mergeCell ref="A493:B493"/>
    <mergeCell ref="A474:H474"/>
    <mergeCell ref="A475:H475"/>
    <mergeCell ref="A506:B506"/>
    <mergeCell ref="G506:H509"/>
    <mergeCell ref="A507:B507"/>
    <mergeCell ref="A508:B508"/>
    <mergeCell ref="A505:H505"/>
    <mergeCell ref="A477:B477"/>
    <mergeCell ref="A478:B478"/>
    <mergeCell ref="A479:B479"/>
    <mergeCell ref="A480:H480"/>
    <mergeCell ref="A481:B481"/>
    <mergeCell ref="A529:B529"/>
    <mergeCell ref="C133:H133"/>
    <mergeCell ref="A154:B154"/>
    <mergeCell ref="A155:B155"/>
    <mergeCell ref="A156:B156"/>
    <mergeCell ref="A157:B157"/>
    <mergeCell ref="A158:B158"/>
    <mergeCell ref="A159:B159"/>
    <mergeCell ref="A160:B160"/>
    <mergeCell ref="G306:H306"/>
    <mergeCell ref="A328:B328"/>
    <mergeCell ref="C328:D328"/>
    <mergeCell ref="E328:F328"/>
    <mergeCell ref="G328:H328"/>
    <mergeCell ref="A298:E298"/>
    <mergeCell ref="A302:H302"/>
    <mergeCell ref="A300:E300"/>
    <mergeCell ref="F300:H300"/>
    <mergeCell ref="A301:E301"/>
    <mergeCell ref="A323:B323"/>
    <mergeCell ref="A277:B277"/>
    <mergeCell ref="E277:F286"/>
    <mergeCell ref="G277:H286"/>
    <mergeCell ref="C203:H203"/>
    <mergeCell ref="A205:B205"/>
    <mergeCell ref="C205:H205"/>
    <mergeCell ref="A206:B206"/>
    <mergeCell ref="E206:F206"/>
    <mergeCell ref="G206:H206"/>
    <mergeCell ref="A209:B209"/>
    <mergeCell ref="A136:B136"/>
    <mergeCell ref="F301:H301"/>
    <mergeCell ref="A391:B391"/>
    <mergeCell ref="A289:B289"/>
    <mergeCell ref="G330:H330"/>
    <mergeCell ref="A564:B564"/>
    <mergeCell ref="A530:H530"/>
    <mergeCell ref="A531:B531"/>
    <mergeCell ref="G531:H533"/>
    <mergeCell ref="G371:H371"/>
    <mergeCell ref="A373:H373"/>
    <mergeCell ref="A561:B561"/>
    <mergeCell ref="A554:H554"/>
    <mergeCell ref="G376:H376"/>
    <mergeCell ref="A471:A472"/>
    <mergeCell ref="A408:H408"/>
    <mergeCell ref="A419:B419"/>
    <mergeCell ref="G419:H419"/>
    <mergeCell ref="A486:B486"/>
    <mergeCell ref="G486:H489"/>
    <mergeCell ref="A487:B487"/>
    <mergeCell ref="A488:B488"/>
    <mergeCell ref="A489:B489"/>
    <mergeCell ref="A490:H490"/>
    <mergeCell ref="A491:B491"/>
    <mergeCell ref="A509:B509"/>
    <mergeCell ref="A510:H510"/>
    <mergeCell ref="A511:B511"/>
    <mergeCell ref="G511:H513"/>
    <mergeCell ref="A562:B562"/>
    <mergeCell ref="A563:B563"/>
    <mergeCell ref="A558:B558"/>
    <mergeCell ref="C556:F556"/>
    <mergeCell ref="A576:B576"/>
    <mergeCell ref="A523:B523"/>
    <mergeCell ref="L475:M475"/>
    <mergeCell ref="A476:B476"/>
    <mergeCell ref="L391:M391"/>
    <mergeCell ref="L392:M392"/>
    <mergeCell ref="B1003:C1003"/>
    <mergeCell ref="D1001:H1001"/>
    <mergeCell ref="D1002:H1002"/>
    <mergeCell ref="D1003:H1003"/>
    <mergeCell ref="A1001:A1003"/>
    <mergeCell ref="A219:B219"/>
    <mergeCell ref="C219:H219"/>
    <mergeCell ref="A220:B220"/>
    <mergeCell ref="E220:F220"/>
    <mergeCell ref="G220:H220"/>
    <mergeCell ref="G705:H712"/>
    <mergeCell ref="G694:H701"/>
    <mergeCell ref="G676:H683"/>
    <mergeCell ref="G636:H638"/>
    <mergeCell ref="G551:H553"/>
    <mergeCell ref="G546:H549"/>
    <mergeCell ref="A717:B717"/>
    <mergeCell ref="A718:B718"/>
    <mergeCell ref="A719:B719"/>
    <mergeCell ref="A720:B720"/>
    <mergeCell ref="E335:F335"/>
    <mergeCell ref="A336:B336"/>
    <mergeCell ref="C336:D336"/>
    <mergeCell ref="L364:M364"/>
    <mergeCell ref="A385:B385"/>
    <mergeCell ref="G385:H385"/>
    <mergeCell ref="E304:F304"/>
    <mergeCell ref="G304:H304"/>
    <mergeCell ref="A370:B370"/>
    <mergeCell ref="A371:B371"/>
    <mergeCell ref="A369:B369"/>
    <mergeCell ref="L383:M383"/>
    <mergeCell ref="A376:B376"/>
    <mergeCell ref="A379:B379"/>
    <mergeCell ref="L379:M379"/>
    <mergeCell ref="B1015:H1015"/>
    <mergeCell ref="A494:H494"/>
    <mergeCell ref="A495:H495"/>
    <mergeCell ref="A496:B496"/>
    <mergeCell ref="A498:B498"/>
    <mergeCell ref="A499:B499"/>
    <mergeCell ref="A500:H500"/>
    <mergeCell ref="G365:H365"/>
    <mergeCell ref="A368:H368"/>
    <mergeCell ref="A446:B446"/>
    <mergeCell ref="G446:H446"/>
    <mergeCell ref="A461:B461"/>
    <mergeCell ref="G461:H461"/>
    <mergeCell ref="A512:B512"/>
    <mergeCell ref="A513:B513"/>
    <mergeCell ref="A504:B504"/>
    <mergeCell ref="G580:H583"/>
    <mergeCell ref="G576:H578"/>
    <mergeCell ref="G571:H574"/>
    <mergeCell ref="G555:H558"/>
    <mergeCell ref="A579:H579"/>
    <mergeCell ref="A577:B577"/>
    <mergeCell ref="A571:B571"/>
    <mergeCell ref="A281:B281"/>
    <mergeCell ref="G276:H276"/>
    <mergeCell ref="A282:B282"/>
    <mergeCell ref="F287:H287"/>
    <mergeCell ref="E309:F309"/>
    <mergeCell ref="A359:H359"/>
    <mergeCell ref="G309:H309"/>
    <mergeCell ref="G308:H308"/>
    <mergeCell ref="A333:B333"/>
    <mergeCell ref="F292:H292"/>
    <mergeCell ref="A292:E292"/>
    <mergeCell ref="C325:D325"/>
    <mergeCell ref="G325:H325"/>
    <mergeCell ref="A309:B309"/>
    <mergeCell ref="C309:D309"/>
    <mergeCell ref="A299:E299"/>
    <mergeCell ref="A392:B392"/>
    <mergeCell ref="G392:H392"/>
    <mergeCell ref="A389:H389"/>
    <mergeCell ref="G349:H349"/>
    <mergeCell ref="G342:H342"/>
    <mergeCell ref="A343:B343"/>
    <mergeCell ref="C343:D343"/>
    <mergeCell ref="A335:B335"/>
    <mergeCell ref="A362:B362"/>
    <mergeCell ref="G362:H362"/>
    <mergeCell ref="A361:H361"/>
    <mergeCell ref="A363:B363"/>
    <mergeCell ref="A355:H355"/>
    <mergeCell ref="E336:F336"/>
    <mergeCell ref="B357:B358"/>
    <mergeCell ref="A357:A358"/>
    <mergeCell ref="A272:B272"/>
    <mergeCell ref="K281:O281"/>
    <mergeCell ref="K263:O263"/>
    <mergeCell ref="A211:B211"/>
    <mergeCell ref="E235:F244"/>
    <mergeCell ref="G235:H244"/>
    <mergeCell ref="A275:B275"/>
    <mergeCell ref="C275:H275"/>
    <mergeCell ref="A276:B276"/>
    <mergeCell ref="A273:B273"/>
    <mergeCell ref="C273:H273"/>
    <mergeCell ref="L495:M495"/>
    <mergeCell ref="A501:B501"/>
    <mergeCell ref="A502:B502"/>
    <mergeCell ref="A503:B503"/>
    <mergeCell ref="A482:B482"/>
    <mergeCell ref="A483:B483"/>
    <mergeCell ref="A484:B484"/>
    <mergeCell ref="A485:H485"/>
    <mergeCell ref="A231:B231"/>
    <mergeCell ref="C231:H231"/>
    <mergeCell ref="A233:B233"/>
    <mergeCell ref="C233:H233"/>
    <mergeCell ref="A234:B234"/>
    <mergeCell ref="E234:F234"/>
    <mergeCell ref="K277:O277"/>
    <mergeCell ref="A278:B278"/>
    <mergeCell ref="K278:O278"/>
    <mergeCell ref="A279:B279"/>
    <mergeCell ref="K279:O279"/>
    <mergeCell ref="A280:B280"/>
    <mergeCell ref="K280:O280"/>
    <mergeCell ref="B1004:C1004"/>
    <mergeCell ref="D1004:H1004"/>
    <mergeCell ref="B1018:H1018"/>
    <mergeCell ref="K282:O282"/>
    <mergeCell ref="A283:B283"/>
    <mergeCell ref="K283:O283"/>
    <mergeCell ref="A284:B284"/>
    <mergeCell ref="A285:B285"/>
    <mergeCell ref="A286:B286"/>
    <mergeCell ref="K235:O235"/>
    <mergeCell ref="A236:B236"/>
    <mergeCell ref="K236:O236"/>
    <mergeCell ref="A237:B237"/>
    <mergeCell ref="K237:O237"/>
    <mergeCell ref="A238:B238"/>
    <mergeCell ref="K238:O238"/>
    <mergeCell ref="A239:B239"/>
    <mergeCell ref="K239:O239"/>
    <mergeCell ref="A240:B240"/>
    <mergeCell ref="K240:O240"/>
    <mergeCell ref="A241:B241"/>
    <mergeCell ref="K241:O241"/>
    <mergeCell ref="A242:B242"/>
    <mergeCell ref="A243:B243"/>
    <mergeCell ref="A244:B244"/>
    <mergeCell ref="K267:O267"/>
    <mergeCell ref="A268:B268"/>
    <mergeCell ref="K268:O268"/>
    <mergeCell ref="A269:B269"/>
    <mergeCell ref="K269:O269"/>
    <mergeCell ref="A270:B270"/>
    <mergeCell ref="A271:B271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1" fitToHeight="0" orientation="portrait" r:id="rId2"/>
  <headerFooter>
    <oddHeader>&amp;C&amp;G</oddHeader>
    <oddFooter>&amp;L&amp;"Times New Roman,Bold"&amp;12Ref No: &amp;F&amp;C&amp;G&amp;R&amp;"Times New Roman,Bold"&amp;12                               &amp;P</oddFooter>
  </headerFooter>
  <rowBreaks count="5" manualBreakCount="5">
    <brk id="51" max="16383" man="1"/>
    <brk id="57" max="7" man="1"/>
    <brk id="216" max="16383" man="1"/>
    <brk id="1030" max="16383" man="1"/>
    <brk id="10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75</v>
      </c>
      <c r="C2" s="234"/>
      <c r="D2" s="234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76</v>
      </c>
      <c r="B4" s="5" t="s">
        <v>77</v>
      </c>
      <c r="C4" s="235" t="s">
        <v>78</v>
      </c>
      <c r="D4" s="235"/>
      <c r="E4" s="235"/>
      <c r="F4" s="6"/>
      <c r="G4" s="235" t="s">
        <v>79</v>
      </c>
      <c r="H4" s="235"/>
      <c r="I4" s="235"/>
      <c r="J4" s="235" t="s">
        <v>80</v>
      </c>
      <c r="K4" s="235"/>
      <c r="L4" s="235"/>
    </row>
    <row r="5" spans="1:12" x14ac:dyDescent="0.35">
      <c r="A5" s="3">
        <v>202</v>
      </c>
      <c r="B5" s="5"/>
      <c r="C5" s="5" t="s">
        <v>81</v>
      </c>
      <c r="D5" s="5" t="s">
        <v>82</v>
      </c>
      <c r="E5" s="5" t="s">
        <v>59</v>
      </c>
      <c r="F5" s="5"/>
      <c r="G5" s="5" t="s">
        <v>81</v>
      </c>
      <c r="H5" s="5" t="s">
        <v>82</v>
      </c>
      <c r="I5" s="5" t="s">
        <v>59</v>
      </c>
      <c r="J5" s="5" t="s">
        <v>81</v>
      </c>
      <c r="K5" s="5" t="s">
        <v>82</v>
      </c>
      <c r="L5" s="5" t="s">
        <v>59</v>
      </c>
    </row>
    <row r="6" spans="1:12" x14ac:dyDescent="0.35">
      <c r="B6" s="7" t="s">
        <v>83</v>
      </c>
      <c r="C6" s="7"/>
      <c r="D6" s="7"/>
      <c r="E6" s="7">
        <f>C6*D6</f>
        <v>0</v>
      </c>
      <c r="F6" s="7" t="s">
        <v>84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85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86</v>
      </c>
      <c r="C9" s="7"/>
      <c r="D9" s="7"/>
      <c r="E9" s="7">
        <f t="shared" si="0"/>
        <v>0</v>
      </c>
      <c r="F9" s="7" t="s">
        <v>84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85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87</v>
      </c>
      <c r="C13" s="7"/>
      <c r="D13" s="7"/>
      <c r="E13" s="7">
        <f t="shared" si="0"/>
        <v>0</v>
      </c>
      <c r="F13" s="7" t="s">
        <v>84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85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88</v>
      </c>
      <c r="C17" s="7"/>
      <c r="D17" s="7"/>
      <c r="E17" s="7">
        <f t="shared" si="0"/>
        <v>0</v>
      </c>
      <c r="F17" s="7" t="s">
        <v>84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85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88</v>
      </c>
      <c r="C20" s="7"/>
      <c r="D20" s="7"/>
      <c r="E20" s="7">
        <f t="shared" si="0"/>
        <v>0</v>
      </c>
      <c r="F20" s="7" t="s">
        <v>84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85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89</v>
      </c>
      <c r="C23" s="7"/>
      <c r="D23" s="7"/>
      <c r="E23" s="7">
        <f t="shared" si="0"/>
        <v>0</v>
      </c>
      <c r="F23" s="7" t="s">
        <v>90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91</v>
      </c>
      <c r="C24" s="7"/>
      <c r="D24" s="7"/>
      <c r="E24" s="7">
        <f t="shared" si="0"/>
        <v>0</v>
      </c>
      <c r="F24" s="7" t="s">
        <v>90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92</v>
      </c>
      <c r="C25" s="7"/>
      <c r="D25" s="7"/>
      <c r="E25" s="7">
        <f t="shared" si="0"/>
        <v>0</v>
      </c>
      <c r="F25" s="7" t="s">
        <v>90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93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94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95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96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60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6" sqref="D6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/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236" t="s">
        <v>134</v>
      </c>
      <c r="C3" s="236"/>
      <c r="D3" s="236"/>
      <c r="E3" s="236"/>
      <c r="F3" s="236"/>
      <c r="G3" s="236"/>
      <c r="H3" s="236"/>
    </row>
    <row r="4" spans="1:9" x14ac:dyDescent="0.35">
      <c r="A4" s="19"/>
      <c r="B4" s="20" t="s">
        <v>135</v>
      </c>
      <c r="C4" s="20" t="s">
        <v>136</v>
      </c>
      <c r="D4" s="20" t="s">
        <v>76</v>
      </c>
      <c r="E4" s="20" t="s">
        <v>137</v>
      </c>
      <c r="F4" s="20" t="s">
        <v>143</v>
      </c>
      <c r="G4" s="20" t="s">
        <v>144</v>
      </c>
      <c r="H4" s="20" t="s">
        <v>138</v>
      </c>
    </row>
    <row r="5" spans="1:9" ht="15" customHeight="1" x14ac:dyDescent="0.35">
      <c r="A5" s="19"/>
      <c r="B5" s="22" t="s">
        <v>139</v>
      </c>
      <c r="C5" s="23"/>
      <c r="D5" s="22" t="s">
        <v>195</v>
      </c>
      <c r="E5" s="22">
        <v>1106</v>
      </c>
      <c r="F5" s="24">
        <f>E5*1.6</f>
        <v>1769.6000000000001</v>
      </c>
      <c r="G5" s="24">
        <f>H5/F5</f>
        <v>31532.549728752259</v>
      </c>
      <c r="H5" s="25">
        <v>55800000</v>
      </c>
    </row>
    <row r="6" spans="1:9" x14ac:dyDescent="0.35">
      <c r="A6" s="19"/>
      <c r="B6" s="22" t="s">
        <v>139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139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139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139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140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140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141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B13" s="27" t="s">
        <v>142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2025-08-18T05:53:55Z</cp:lastPrinted>
  <dcterms:created xsi:type="dcterms:W3CDTF">2019-07-16T09:29:46Z</dcterms:created>
  <dcterms:modified xsi:type="dcterms:W3CDTF">2025-08-18T05:55:13Z</dcterms:modified>
</cp:coreProperties>
</file>