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VSJCV\Making\AXIS\2025-26\Axis\APF Dump\Aug 2025\18-08-2025\"/>
    </mc:Choice>
  </mc:AlternateContent>
  <bookViews>
    <workbookView xWindow="0" yWindow="0" windowWidth="19200" windowHeight="6640" tabRatio="857"/>
  </bookViews>
  <sheets>
    <sheet name="Sheet1 (2)" sheetId="14" r:id="rId1"/>
    <sheet name="Note" sheetId="23" r:id="rId2"/>
    <sheet name="C % 2A" sheetId="22" r:id="rId3"/>
    <sheet name="C % B" sheetId="18" r:id="rId4"/>
    <sheet name="C % 2C,D" sheetId="19" r:id="rId5"/>
    <sheet name="C % 2E" sheetId="20" r:id="rId6"/>
    <sheet name="C % 2F" sheetId="21" r:id="rId7"/>
    <sheet name="VALUATION" sheetId="24" r:id="rId8"/>
  </sheets>
  <definedNames>
    <definedName name="_xlnm.Print_Area" localSheetId="0">'Sheet1 (2)'!$A$1:$J$313</definedName>
  </definedNames>
  <calcPr calcId="162913"/>
</workbook>
</file>

<file path=xl/calcChain.xml><?xml version="1.0" encoding="utf-8"?>
<calcChain xmlns="http://schemas.openxmlformats.org/spreadsheetml/2006/main">
  <c r="M67" i="14" l="1"/>
  <c r="M66" i="14"/>
  <c r="M65" i="14"/>
  <c r="M64" i="14"/>
  <c r="I57" i="14"/>
  <c r="D69" i="14" l="1"/>
  <c r="M62" i="14"/>
  <c r="M63" i="14" s="1"/>
  <c r="M68" i="14" s="1"/>
  <c r="M69" i="14" s="1"/>
  <c r="C61" i="14" s="1"/>
  <c r="D61" i="14" s="1"/>
  <c r="D68" i="14"/>
  <c r="D66" i="14"/>
  <c r="D64" i="14"/>
  <c r="D62" i="14"/>
  <c r="M60" i="14"/>
  <c r="M61" i="14"/>
  <c r="C60" i="14" s="1"/>
  <c r="D60" i="14" s="1"/>
  <c r="M59" i="14"/>
  <c r="D67" i="14"/>
  <c r="D65" i="14"/>
  <c r="D63" i="14"/>
  <c r="F3" i="14"/>
  <c r="K56" i="14" l="1"/>
  <c r="C58" i="14" s="1"/>
  <c r="F60" i="14" s="1"/>
  <c r="H60" i="14"/>
  <c r="M109" i="14"/>
  <c r="M108" i="14"/>
  <c r="M107" i="14"/>
  <c r="M106" i="14"/>
  <c r="M95" i="14"/>
  <c r="M94" i="14"/>
  <c r="M93" i="14"/>
  <c r="M92" i="14"/>
  <c r="M81" i="14"/>
  <c r="M80" i="14"/>
  <c r="M79" i="14"/>
  <c r="M78" i="14"/>
  <c r="I71" i="14"/>
  <c r="I99" i="14"/>
  <c r="I85" i="14"/>
  <c r="M102" i="14" l="1"/>
  <c r="D111" i="14"/>
  <c r="D109" i="14"/>
  <c r="D107" i="14"/>
  <c r="D105" i="14"/>
  <c r="M103" i="14"/>
  <c r="C102" i="14" s="1"/>
  <c r="D102" i="14" s="1"/>
  <c r="M101" i="14"/>
  <c r="M104" i="14"/>
  <c r="M105" i="14" s="1"/>
  <c r="M110" i="14" s="1"/>
  <c r="M111" i="14" s="1"/>
  <c r="C103" i="14" s="1"/>
  <c r="D103" i="14" s="1"/>
  <c r="D110" i="14"/>
  <c r="D108" i="14"/>
  <c r="D106" i="14"/>
  <c r="D104" i="14"/>
  <c r="D90" i="14"/>
  <c r="M88" i="14"/>
  <c r="D96" i="14"/>
  <c r="D92" i="14"/>
  <c r="D97" i="14"/>
  <c r="D95" i="14"/>
  <c r="D93" i="14"/>
  <c r="D91" i="14"/>
  <c r="M89" i="14"/>
  <c r="C88" i="14" s="1"/>
  <c r="D88" i="14" s="1"/>
  <c r="M87" i="14"/>
  <c r="D94" i="14"/>
  <c r="M90" i="14"/>
  <c r="M91" i="14" s="1"/>
  <c r="M96" i="14" s="1"/>
  <c r="M97" i="14" s="1"/>
  <c r="C89" i="14" s="1"/>
  <c r="D89" i="14" s="1"/>
  <c r="M74" i="14"/>
  <c r="D83" i="14"/>
  <c r="D81" i="14"/>
  <c r="D79" i="14"/>
  <c r="D77" i="14"/>
  <c r="M75" i="14"/>
  <c r="C74" i="14" s="1"/>
  <c r="M73" i="14"/>
  <c r="M76" i="14"/>
  <c r="M77" i="14" s="1"/>
  <c r="M82" i="14" s="1"/>
  <c r="M83" i="14" s="1"/>
  <c r="C75" i="14" s="1"/>
  <c r="D75" i="14" s="1"/>
  <c r="D82" i="14"/>
  <c r="D80" i="14"/>
  <c r="D78" i="14"/>
  <c r="D76" i="14"/>
  <c r="K98" i="14" l="1"/>
  <c r="C100" i="14" s="1"/>
  <c r="F102" i="14" s="1"/>
  <c r="H102" i="14"/>
  <c r="K84" i="14"/>
  <c r="C86" i="14" s="1"/>
  <c r="F88" i="14" s="1"/>
  <c r="H88" i="14"/>
  <c r="H74" i="14"/>
  <c r="D74" i="14"/>
  <c r="K70" i="14" s="1"/>
  <c r="C72" i="14" s="1"/>
  <c r="F74" i="14" s="1"/>
  <c r="G9" i="24" l="1"/>
  <c r="G10" i="24"/>
  <c r="G8" i="24"/>
  <c r="G7" i="24"/>
  <c r="G6" i="24"/>
  <c r="G5" i="24"/>
  <c r="B16" i="19"/>
  <c r="E10" i="19" s="1"/>
  <c r="B14" i="19"/>
  <c r="N6" i="19" s="1"/>
  <c r="G18" i="19" s="1"/>
  <c r="B12" i="19"/>
  <c r="M6" i="19" s="1"/>
  <c r="G17" i="19" s="1"/>
  <c r="B10" i="19"/>
  <c r="E7" i="19" s="1"/>
  <c r="B8" i="19"/>
  <c r="K6" i="19" s="1"/>
  <c r="G15" i="19" s="1"/>
  <c r="B6" i="19"/>
  <c r="J6" i="19" s="1"/>
  <c r="G14" i="19" s="1"/>
  <c r="E10" i="22"/>
  <c r="E9" i="22"/>
  <c r="E8" i="22"/>
  <c r="O7" i="22"/>
  <c r="H19" i="22" s="1"/>
  <c r="N7" i="22"/>
  <c r="H18" i="22" s="1"/>
  <c r="M7" i="22"/>
  <c r="H17" i="22" s="1"/>
  <c r="L7" i="22"/>
  <c r="H16" i="22" s="1"/>
  <c r="K7" i="22"/>
  <c r="H15" i="22" s="1"/>
  <c r="E7" i="22"/>
  <c r="O6" i="22"/>
  <c r="G19" i="22" s="1"/>
  <c r="N6" i="22"/>
  <c r="G18" i="22" s="1"/>
  <c r="M6" i="22"/>
  <c r="G17" i="22" s="1"/>
  <c r="L6" i="22"/>
  <c r="G16" i="22" s="1"/>
  <c r="K6" i="22"/>
  <c r="G15" i="22" s="1"/>
  <c r="I6" i="22"/>
  <c r="I7" i="22" s="1"/>
  <c r="H13" i="22" s="1"/>
  <c r="E6" i="22"/>
  <c r="B6" i="22"/>
  <c r="J7" i="22" s="1"/>
  <c r="H14" i="22" s="1"/>
  <c r="E4" i="22"/>
  <c r="K7" i="18"/>
  <c r="H15" i="18" s="1"/>
  <c r="D207" i="14"/>
  <c r="F207" i="14" s="1"/>
  <c r="H207" i="14" s="1"/>
  <c r="D206" i="14"/>
  <c r="F206" i="14" s="1"/>
  <c r="H206" i="14" s="1"/>
  <c r="D205" i="14"/>
  <c r="F205" i="14" s="1"/>
  <c r="H205" i="14" s="1"/>
  <c r="D204" i="14"/>
  <c r="F204" i="14" s="1"/>
  <c r="H204" i="14" s="1"/>
  <c r="D203" i="14"/>
  <c r="F203" i="14" s="1"/>
  <c r="H203" i="14" s="1"/>
  <c r="D202" i="14"/>
  <c r="F202" i="14" s="1"/>
  <c r="H202" i="14" s="1"/>
  <c r="D201" i="14"/>
  <c r="F201" i="14" s="1"/>
  <c r="H201" i="14" s="1"/>
  <c r="D191" i="14"/>
  <c r="F191" i="14" s="1"/>
  <c r="H191" i="14" s="1"/>
  <c r="D190" i="14"/>
  <c r="F190" i="14" s="1"/>
  <c r="H190" i="14" s="1"/>
  <c r="D189" i="14"/>
  <c r="F189" i="14" s="1"/>
  <c r="H189" i="14" s="1"/>
  <c r="D188" i="14"/>
  <c r="F188" i="14" s="1"/>
  <c r="H188" i="14" s="1"/>
  <c r="D178" i="14"/>
  <c r="F178" i="14" s="1"/>
  <c r="H178" i="14" s="1"/>
  <c r="D177" i="14"/>
  <c r="F177" i="14" s="1"/>
  <c r="H177" i="14" s="1"/>
  <c r="D176" i="14"/>
  <c r="F176" i="14" s="1"/>
  <c r="H176" i="14" s="1"/>
  <c r="D175" i="14"/>
  <c r="F175" i="14" s="1"/>
  <c r="H175" i="14" s="1"/>
  <c r="D174" i="14"/>
  <c r="F174" i="14" s="1"/>
  <c r="H174" i="14" s="1"/>
  <c r="D173" i="14"/>
  <c r="F173" i="14" s="1"/>
  <c r="H173" i="14" s="1"/>
  <c r="D172" i="14"/>
  <c r="F172" i="14" s="1"/>
  <c r="H172" i="14" s="1"/>
  <c r="D171" i="14"/>
  <c r="F171" i="14" s="1"/>
  <c r="H171" i="14" s="1"/>
  <c r="D170" i="14"/>
  <c r="F170" i="14" s="1"/>
  <c r="H170" i="14" s="1"/>
  <c r="D169" i="14"/>
  <c r="F169" i="14" s="1"/>
  <c r="H169" i="14" s="1"/>
  <c r="D168" i="14"/>
  <c r="F168" i="14" s="1"/>
  <c r="H168" i="14" s="1"/>
  <c r="D167" i="14"/>
  <c r="F167" i="14" s="1"/>
  <c r="H167" i="14" s="1"/>
  <c r="D157" i="14"/>
  <c r="F157" i="14" s="1"/>
  <c r="H157" i="14" s="1"/>
  <c r="D156" i="14"/>
  <c r="F156" i="14" s="1"/>
  <c r="H156" i="14" s="1"/>
  <c r="D155" i="14"/>
  <c r="F155" i="14" s="1"/>
  <c r="H155" i="14" s="1"/>
  <c r="D154" i="14"/>
  <c r="F154" i="14" s="1"/>
  <c r="H154" i="14" s="1"/>
  <c r="D153" i="14"/>
  <c r="F153" i="14" s="1"/>
  <c r="H153" i="14" s="1"/>
  <c r="D152" i="14"/>
  <c r="F152" i="14" s="1"/>
  <c r="H152" i="14" s="1"/>
  <c r="D151" i="14"/>
  <c r="F151" i="14" s="1"/>
  <c r="H151" i="14" s="1"/>
  <c r="H46" i="14"/>
  <c r="H44" i="14"/>
  <c r="F40" i="14"/>
  <c r="F41" i="14" s="1"/>
  <c r="D51" i="14" s="1"/>
  <c r="A146" i="14"/>
  <c r="A145" i="14"/>
  <c r="A144" i="14"/>
  <c r="A143" i="14"/>
  <c r="A141" i="14"/>
  <c r="A140" i="14"/>
  <c r="A137" i="14"/>
  <c r="A136" i="14"/>
  <c r="A135" i="14"/>
  <c r="A134" i="14"/>
  <c r="A133" i="14"/>
  <c r="E229" i="14"/>
  <c r="O7" i="21"/>
  <c r="H19" i="21" s="1"/>
  <c r="N6" i="21"/>
  <c r="G18" i="21" s="1"/>
  <c r="M7" i="21"/>
  <c r="H17" i="21" s="1"/>
  <c r="E10" i="21"/>
  <c r="E9" i="21"/>
  <c r="E8" i="21"/>
  <c r="K6" i="21"/>
  <c r="G15" i="21" s="1"/>
  <c r="N7" i="21"/>
  <c r="H18" i="21" s="1"/>
  <c r="L7" i="21"/>
  <c r="H16" i="21" s="1"/>
  <c r="E7" i="21"/>
  <c r="M6" i="21"/>
  <c r="G17" i="21" s="1"/>
  <c r="L6" i="21"/>
  <c r="G16" i="21" s="1"/>
  <c r="I6" i="21"/>
  <c r="I7" i="21" s="1"/>
  <c r="H13" i="21" s="1"/>
  <c r="E6" i="21"/>
  <c r="B6" i="21"/>
  <c r="J7" i="21" s="1"/>
  <c r="H14" i="21" s="1"/>
  <c r="E4" i="21"/>
  <c r="O6" i="20"/>
  <c r="G19" i="20" s="1"/>
  <c r="E9" i="20"/>
  <c r="E10" i="20"/>
  <c r="L6" i="20"/>
  <c r="G16" i="20" s="1"/>
  <c r="E8" i="20"/>
  <c r="K7" i="20"/>
  <c r="H15" i="20" s="1"/>
  <c r="O7" i="20"/>
  <c r="H19" i="20" s="1"/>
  <c r="N7" i="20"/>
  <c r="H18" i="20" s="1"/>
  <c r="M7" i="20"/>
  <c r="H17" i="20" s="1"/>
  <c r="E7" i="20"/>
  <c r="M6" i="20"/>
  <c r="G17" i="20" s="1"/>
  <c r="I6" i="20"/>
  <c r="I7" i="20" s="1"/>
  <c r="H13" i="20" s="1"/>
  <c r="E6" i="20"/>
  <c r="B6" i="20"/>
  <c r="J6" i="20" s="1"/>
  <c r="G14" i="20" s="1"/>
  <c r="E4" i="20"/>
  <c r="I6" i="19"/>
  <c r="G13" i="19" s="1"/>
  <c r="E4" i="19"/>
  <c r="O6" i="18"/>
  <c r="G19" i="18" s="1"/>
  <c r="E8" i="18"/>
  <c r="L6" i="18"/>
  <c r="G16" i="18" s="1"/>
  <c r="E9" i="18"/>
  <c r="N7" i="18"/>
  <c r="H18" i="18" s="1"/>
  <c r="N6" i="18"/>
  <c r="G18" i="18" s="1"/>
  <c r="I6" i="18"/>
  <c r="G13" i="18" s="1"/>
  <c r="B6" i="18"/>
  <c r="J7" i="18" s="1"/>
  <c r="H14" i="18" s="1"/>
  <c r="E4" i="18"/>
  <c r="K6" i="20"/>
  <c r="G15" i="20" s="1"/>
  <c r="D214" i="14"/>
  <c r="F214" i="14" s="1"/>
  <c r="H214" i="14" s="1"/>
  <c r="D213" i="14"/>
  <c r="F213" i="14" s="1"/>
  <c r="H213" i="14" s="1"/>
  <c r="D212" i="14"/>
  <c r="F212" i="14" s="1"/>
  <c r="H212" i="14" s="1"/>
  <c r="D211" i="14"/>
  <c r="F211" i="14" s="1"/>
  <c r="H211" i="14" s="1"/>
  <c r="D210" i="14"/>
  <c r="F210" i="14" s="1"/>
  <c r="H210" i="14" s="1"/>
  <c r="D209" i="14"/>
  <c r="F209" i="14" s="1"/>
  <c r="H209" i="14" s="1"/>
  <c r="D200" i="14"/>
  <c r="F200" i="14" s="1"/>
  <c r="H200" i="14" s="1"/>
  <c r="D199" i="14"/>
  <c r="F199" i="14" s="1"/>
  <c r="H199" i="14" s="1"/>
  <c r="D196" i="14"/>
  <c r="F196" i="14" s="1"/>
  <c r="H196" i="14" s="1"/>
  <c r="D195" i="14"/>
  <c r="F195" i="14" s="1"/>
  <c r="H195" i="14" s="1"/>
  <c r="D194" i="14"/>
  <c r="F194" i="14" s="1"/>
  <c r="H194" i="14" s="1"/>
  <c r="D193" i="14"/>
  <c r="F193" i="14" s="1"/>
  <c r="H193" i="14" s="1"/>
  <c r="D185" i="14"/>
  <c r="F185" i="14" s="1"/>
  <c r="H185" i="14" s="1"/>
  <c r="D184" i="14"/>
  <c r="F184" i="14" s="1"/>
  <c r="H184" i="14" s="1"/>
  <c r="D183" i="14"/>
  <c r="F183" i="14" s="1"/>
  <c r="H183" i="14" s="1"/>
  <c r="D182" i="14"/>
  <c r="F182" i="14" s="1"/>
  <c r="H182" i="14" s="1"/>
  <c r="D181" i="14"/>
  <c r="F181" i="14" s="1"/>
  <c r="H181" i="14" s="1"/>
  <c r="D180" i="14"/>
  <c r="F180" i="14" s="1"/>
  <c r="H180" i="14" s="1"/>
  <c r="D164" i="14"/>
  <c r="F164" i="14" s="1"/>
  <c r="H164" i="14" s="1"/>
  <c r="D163" i="14"/>
  <c r="F163" i="14" s="1"/>
  <c r="H163" i="14" s="1"/>
  <c r="D162" i="14"/>
  <c r="F162" i="14" s="1"/>
  <c r="H162" i="14" s="1"/>
  <c r="D161" i="14"/>
  <c r="F161" i="14" s="1"/>
  <c r="H161" i="14" s="1"/>
  <c r="D160" i="14"/>
  <c r="F160" i="14" s="1"/>
  <c r="H160" i="14" s="1"/>
  <c r="D159" i="14"/>
  <c r="F159" i="14" s="1"/>
  <c r="H159" i="14" s="1"/>
  <c r="D150" i="14"/>
  <c r="F150" i="14" s="1"/>
  <c r="H150" i="14" s="1"/>
  <c r="D149" i="14"/>
  <c r="F149" i="14" s="1"/>
  <c r="H149" i="14" s="1"/>
  <c r="D146" i="14"/>
  <c r="F146" i="14" s="1"/>
  <c r="H146" i="14" s="1"/>
  <c r="D145" i="14"/>
  <c r="F145" i="14" s="1"/>
  <c r="H145" i="14" s="1"/>
  <c r="D144" i="14"/>
  <c r="F144" i="14" s="1"/>
  <c r="H144" i="14" s="1"/>
  <c r="D143" i="14"/>
  <c r="F143" i="14" s="1"/>
  <c r="H143" i="14" s="1"/>
  <c r="D141" i="14"/>
  <c r="F141" i="14" s="1"/>
  <c r="H141" i="14" s="1"/>
  <c r="D140" i="14"/>
  <c r="F140" i="14" s="1"/>
  <c r="H140" i="14" s="1"/>
  <c r="D137" i="14"/>
  <c r="F137" i="14" s="1"/>
  <c r="H137" i="14" s="1"/>
  <c r="D136" i="14"/>
  <c r="F136" i="14" s="1"/>
  <c r="H136" i="14" s="1"/>
  <c r="D135" i="14"/>
  <c r="F135" i="14" s="1"/>
  <c r="H135" i="14" s="1"/>
  <c r="D134" i="14"/>
  <c r="F134" i="14" s="1"/>
  <c r="H134" i="14" s="1"/>
  <c r="D133" i="14"/>
  <c r="F133" i="14" s="1"/>
  <c r="H133" i="14" s="1"/>
  <c r="D131" i="14"/>
  <c r="F131" i="14" s="1"/>
  <c r="H131" i="14" s="1"/>
  <c r="D130" i="14"/>
  <c r="F130" i="14" s="1"/>
  <c r="H130" i="14" s="1"/>
  <c r="D129" i="14"/>
  <c r="F129" i="14" s="1"/>
  <c r="H129" i="14" s="1"/>
  <c r="H122" i="14"/>
  <c r="D49" i="14"/>
  <c r="C44" i="14"/>
  <c r="E7" i="18"/>
  <c r="L7" i="18"/>
  <c r="H16" i="18" s="1"/>
  <c r="K6" i="18"/>
  <c r="G15" i="18" s="1"/>
  <c r="M7" i="18"/>
  <c r="H17" i="18" s="1"/>
  <c r="L7" i="20"/>
  <c r="H16" i="20" s="1"/>
  <c r="N6" i="20"/>
  <c r="G18" i="20" s="1"/>
  <c r="O6" i="21"/>
  <c r="G19" i="21" s="1"/>
  <c r="K7" i="21"/>
  <c r="H15" i="21" s="1"/>
  <c r="E6" i="18"/>
  <c r="M6" i="18"/>
  <c r="G17" i="18" s="1"/>
  <c r="E10" i="18"/>
  <c r="O7" i="18"/>
  <c r="H19" i="18" s="1"/>
  <c r="E5" i="18" l="1"/>
  <c r="I7" i="19"/>
  <c r="H13" i="19" s="1"/>
  <c r="G13" i="20"/>
  <c r="G20" i="20" s="1"/>
  <c r="E9" i="19"/>
  <c r="L6" i="19"/>
  <c r="G16" i="19" s="1"/>
  <c r="G11" i="24"/>
  <c r="O7" i="19"/>
  <c r="H19" i="19" s="1"/>
  <c r="L7" i="19"/>
  <c r="H16" i="19" s="1"/>
  <c r="E8" i="19"/>
  <c r="N7" i="19"/>
  <c r="H18" i="19" s="1"/>
  <c r="J7" i="19"/>
  <c r="H14" i="19" s="1"/>
  <c r="J6" i="18"/>
  <c r="G14" i="18" s="1"/>
  <c r="G20" i="18" s="1"/>
  <c r="E6" i="19"/>
  <c r="G13" i="21"/>
  <c r="J6" i="21"/>
  <c r="G14" i="21" s="1"/>
  <c r="J6" i="22"/>
  <c r="G14" i="22" s="1"/>
  <c r="E5" i="19"/>
  <c r="E5" i="22"/>
  <c r="E5" i="21"/>
  <c r="H20" i="22"/>
  <c r="H20" i="21"/>
  <c r="M7" i="19"/>
  <c r="H17" i="19" s="1"/>
  <c r="I7" i="18"/>
  <c r="H13" i="18" s="1"/>
  <c r="H20" i="18" s="1"/>
  <c r="J7" i="20"/>
  <c r="H14" i="20" s="1"/>
  <c r="H20" i="20" s="1"/>
  <c r="K7" i="19"/>
  <c r="H15" i="19" s="1"/>
  <c r="G13" i="22"/>
  <c r="O6" i="19"/>
  <c r="G19" i="19" s="1"/>
  <c r="E5" i="20"/>
  <c r="G20" i="21" l="1"/>
  <c r="G20" i="19"/>
  <c r="G20" i="22"/>
  <c r="H20" i="19"/>
</calcChain>
</file>

<file path=xl/sharedStrings.xml><?xml version="1.0" encoding="utf-8"?>
<sst xmlns="http://schemas.openxmlformats.org/spreadsheetml/2006/main" count="734" uniqueCount="246">
  <si>
    <t>Date:</t>
  </si>
  <si>
    <t>CPC Name:</t>
  </si>
  <si>
    <t>Date Of Property Visit</t>
  </si>
  <si>
    <t>Name of the builder group</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</si>
  <si>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</si>
  <si>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</si>
  <si>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</si>
  <si>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</si>
  <si>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</si>
  <si>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</si>
  <si>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</si>
  <si>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</si>
  <si>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</si>
  <si>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</si>
  <si>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</si>
  <si>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</si>
  <si>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</si>
  <si>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</si>
  <si>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</si>
  <si>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</si>
  <si>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</si>
  <si>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</si>
  <si>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</si>
  <si>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</si>
  <si>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</si>
  <si>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Valuation as per Government reckoners rates</t>
  </si>
  <si>
    <t>Building details floor wise</t>
  </si>
  <si>
    <t>Authorized Signatory
                                                                                                                                                                                                                                                                                     Name &amp; Seal of the agency</t>
  </si>
  <si>
    <t>2) I/We have no direct or Indirect Interest in the property being valued</t>
  </si>
  <si>
    <t>Quality of infrastructure in vicinity</t>
  </si>
  <si>
    <t>Description</t>
  </si>
  <si>
    <t>Attached Terrace area</t>
  </si>
  <si>
    <t>PLC Y/N</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</si>
  <si>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</si>
  <si>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</si>
  <si>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</si>
  <si>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</si>
  <si>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</si>
  <si>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</si>
  <si>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</si>
  <si>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</si>
  <si>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</si>
  <si>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</si>
  <si>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</si>
  <si>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</si>
  <si>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Plot No</t>
  </si>
  <si>
    <t>Flooring</t>
  </si>
  <si>
    <t>Finishing</t>
  </si>
  <si>
    <t xml:space="preserve">Valuation Report </t>
  </si>
  <si>
    <t xml:space="preserve">Details of Flats in Building   </t>
  </si>
  <si>
    <t>1. Copy of Plans. 2. Copy of CC.</t>
  </si>
  <si>
    <t>Yes</t>
  </si>
  <si>
    <t xml:space="preserve">Residential </t>
  </si>
  <si>
    <t>Type of Structure : RCC Framed Structure</t>
  </si>
  <si>
    <t>O. Certificate No.: NA</t>
  </si>
  <si>
    <t>Date of approval: NA</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</si>
  <si>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</si>
  <si>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</si>
  <si>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</si>
  <si>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</si>
  <si>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</si>
  <si>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</si>
  <si>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</si>
  <si>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Expiry date: NA</t>
  </si>
  <si>
    <t>Material laying at Site: :Bricks, Cement &amp; Steel etc.</t>
  </si>
  <si>
    <t>Wheather the construction is as per approved Building plan : Under Construction</t>
  </si>
  <si>
    <t xml:space="preserve">4)  The saleable area is as per Our Calculation.  </t>
  </si>
  <si>
    <t>Does the boundaries at site match, as mentioned in the Docoumentation: NA</t>
  </si>
  <si>
    <t>Ground Floor For Parking &amp; Commercial</t>
  </si>
  <si>
    <t>Fungible area</t>
  </si>
  <si>
    <t>all available at  1 to 2 km.</t>
  </si>
  <si>
    <t xml:space="preserve">Approved Layout Plan :         </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</si>
  <si>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</si>
  <si>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</si>
  <si>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</si>
  <si>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</si>
  <si>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</si>
  <si>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</si>
  <si>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</si>
  <si>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</si>
  <si>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</si>
  <si>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</si>
  <si>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</si>
  <si>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Expected Completion</t>
  </si>
  <si>
    <t>Approved no of units residential</t>
  </si>
  <si>
    <t>Approved no of Floors</t>
  </si>
  <si>
    <t>Development charges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</si>
  <si>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</si>
  <si>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</si>
  <si>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Society formation charges</t>
  </si>
  <si>
    <t>Carpet area</t>
  </si>
  <si>
    <t>Approved area of the building in Sq.Mt</t>
  </si>
  <si>
    <t>Middle class</t>
  </si>
  <si>
    <t>Axis Goregaon.</t>
  </si>
  <si>
    <t xml:space="preserve">M/s. Ideal Group </t>
  </si>
  <si>
    <t>M/s. Ideal Properties Builder &amp; Developers.</t>
  </si>
  <si>
    <t>16/06/2016.</t>
  </si>
  <si>
    <t>Gut No</t>
  </si>
  <si>
    <t>179, 180 &amp; 181</t>
  </si>
  <si>
    <t>Umroli(E)</t>
  </si>
  <si>
    <t>Village Umroli(E) Road</t>
  </si>
  <si>
    <t>Palghar</t>
  </si>
  <si>
    <t>401 404.</t>
  </si>
  <si>
    <t>Opp.Railway Station</t>
  </si>
  <si>
    <t>Approved usage of the Property: Residential &amp; Commercial.                                                                                                                                                    (Restrictive convenants in regards to land use , if any)</t>
  </si>
  <si>
    <t>Railway station</t>
  </si>
  <si>
    <t>Open</t>
  </si>
  <si>
    <t>Near By Umroli Railway Station</t>
  </si>
  <si>
    <t>1st &amp; 2nd Floor</t>
  </si>
  <si>
    <t>1BHK</t>
  </si>
  <si>
    <t>1RK</t>
  </si>
  <si>
    <t>Ground Floor For Residential &amp; Parking</t>
  </si>
  <si>
    <t>Ground Floor For Parking, Residential &amp; Commercial</t>
  </si>
  <si>
    <t>Undertaking :</t>
  </si>
  <si>
    <t>1,00,000/-</t>
  </si>
  <si>
    <t>Saleable area</t>
  </si>
  <si>
    <t>Name / no of the Building</t>
  </si>
  <si>
    <t>Building No.2 - Ideal Park</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</si>
  <si>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</si>
  <si>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</si>
  <si>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</si>
  <si>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</si>
  <si>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</si>
  <si>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</si>
  <si>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</si>
  <si>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</si>
  <si>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</si>
  <si>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</si>
  <si>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</si>
  <si>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</si>
  <si>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</si>
  <si>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</si>
  <si>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</si>
  <si>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</si>
  <si>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</si>
  <si>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</si>
  <si>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</si>
  <si>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</si>
  <si>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</si>
  <si>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Proposed no of Floors</t>
  </si>
  <si>
    <t>Google Map :</t>
  </si>
  <si>
    <t>Ideal Park</t>
  </si>
  <si>
    <t>Name of the builder company for Wing F</t>
  </si>
  <si>
    <t>Name of the builder company for Wing A to E</t>
  </si>
  <si>
    <t>M/s.Rama And Shantiraj Builders and developers</t>
  </si>
  <si>
    <t>MHSL/K.1/MJ.1/NAP/SR/229/17</t>
  </si>
  <si>
    <t>22/03/2019.</t>
  </si>
  <si>
    <t>Shop</t>
  </si>
  <si>
    <t>Ground Floor For Residential, Commercial &amp; Parking</t>
  </si>
  <si>
    <t>Building plan approval No   
(Type- B2, A1, C1 &amp; A1a)</t>
  </si>
  <si>
    <t>MHSL/U.1/M.1/NAP/SR/87/15
Approved no. of floors = Gr.+2nd Floor</t>
  </si>
  <si>
    <t>MHSL/K.1/MJ.1/NAP/SR/229/17
Approved no. of floors = Gr.+3rd Floor</t>
  </si>
  <si>
    <t xml:space="preserve">PHOTOGRAPHS OF PROPERTY: </t>
  </si>
  <si>
    <t>Ideal City-Ideal Park, Building No.2, Gut No.179, 180 &amp; 181, Sarpada, Umroli(E), Opp.Railway Station, Village. Umroli, Tal.Palghar, Dist.Palghar.</t>
  </si>
  <si>
    <t xml:space="preserve">Building plan approval No   
(Type- D1a &amp; C2a) </t>
  </si>
  <si>
    <t>C.certificate No  
(Type-D1a, C2a, B2, A1, C1 &amp; A1a)</t>
  </si>
  <si>
    <t>Type -C2a (B Wing)</t>
  </si>
  <si>
    <t>Type- D1a (A Wing)</t>
  </si>
  <si>
    <t>Type -B2 (C Wing)</t>
  </si>
  <si>
    <t>Type-A1 (D Wing)</t>
  </si>
  <si>
    <t>Type-C1 (E Wing)</t>
  </si>
  <si>
    <t>Type-A1a (F Wing)</t>
  </si>
  <si>
    <t>1st to 3rd Floor</t>
  </si>
  <si>
    <t>14/03/2020.</t>
  </si>
  <si>
    <t>Asmita</t>
  </si>
  <si>
    <t>In previous report : We considered rate as per Builder cost sheet &amp; shop's rate as per Market inquiry.</t>
  </si>
  <si>
    <t>OLD APF</t>
  </si>
  <si>
    <t>11/11/2020.</t>
  </si>
  <si>
    <t>Market Research Data</t>
  </si>
  <si>
    <t>Source</t>
  </si>
  <si>
    <t>Distance from proposed property</t>
  </si>
  <si>
    <t>Flat</t>
  </si>
  <si>
    <t>Net Carpet</t>
  </si>
  <si>
    <t>Saleable Area</t>
  </si>
  <si>
    <t>Rate on Saleable</t>
  </si>
  <si>
    <t>Market Value</t>
  </si>
  <si>
    <t>3BHK</t>
  </si>
  <si>
    <t>4BHK</t>
  </si>
  <si>
    <t>Average</t>
  </si>
  <si>
    <t xml:space="preserve">Valuation Adopted </t>
  </si>
  <si>
    <t>Gunaji Vasudeo Complex</t>
  </si>
  <si>
    <t>proptiger</t>
  </si>
  <si>
    <t>2BHK</t>
  </si>
  <si>
    <t>housing</t>
  </si>
  <si>
    <t>Dhanashree</t>
  </si>
  <si>
    <t>1. Rate has not Changed.</t>
  </si>
  <si>
    <t>22/03/2021</t>
  </si>
  <si>
    <t>Pratiksha</t>
  </si>
  <si>
    <t>MHSL/K.1/MJ.1/NAP/SR/229/17                                                                                                                         Valid Up to: Type-D1a = Gr. + 1st to 4th Floor
Type-C2a, B2, A1, C1 &amp; A1a = Gr. +1st to 3rd Floor</t>
  </si>
  <si>
    <t xml:space="preserve">Type- D1a &amp; C2a = Gr.+1st to 2nd Floor
Type- B2, A1, C1 &amp; A1a = Gr. + 1st to 3rd Floor
</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</si>
  <si>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</si>
  <si>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</si>
  <si>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</si>
  <si>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</si>
  <si>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</si>
  <si>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</si>
  <si>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</si>
  <si>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</si>
  <si>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</si>
  <si>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</si>
  <si>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</si>
  <si>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</si>
  <si>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</si>
  <si>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</si>
  <si>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</si>
  <si>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</si>
  <si>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</si>
  <si>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</si>
  <si>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</si>
  <si>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</si>
  <si>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</si>
  <si>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</si>
  <si>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</si>
  <si>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</si>
  <si>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</si>
  <si>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</si>
  <si>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</si>
  <si>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</si>
  <si>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</si>
  <si>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</si>
  <si>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</si>
  <si>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</si>
  <si>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</si>
  <si>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Building No.2 : Type -A1a (F Wing) = Gr + 1st to 4th Floor</t>
  </si>
  <si>
    <t xml:space="preserve">RCC </t>
  </si>
  <si>
    <t>RERA No.</t>
  </si>
  <si>
    <t>Projected life: 60 Years After Completion</t>
  </si>
  <si>
    <t xml:space="preserve">Rate of the flat Per Sq. Ft. (on Saleable area) </t>
  </si>
  <si>
    <t>Rate of the shop Per Sq. Ft. (on Saleable area)</t>
  </si>
  <si>
    <t xml:space="preserve">Distress valuation of the property Per Sq. Ft. </t>
  </si>
  <si>
    <t>Building no.2 - Ideal Park  
Wing C - Type B2
Wing D - Type A1
Wing E - Type C1
Wing F - Type A1a</t>
  </si>
  <si>
    <t xml:space="preserve">Shops = 30 &amp; Flats = 93 </t>
  </si>
  <si>
    <t>Office No. 1031, Wing J, Akshar Business Park, Plot No. 03 Sector 25, Near APMC Market, Vashi, Navi Mumbai, Maharashtra 400703 TEL: 022-46090378/79/80                                                                                                                                               E mail : vsjcapf@gmail.com. Web site : www.vsjadon.com</t>
  </si>
  <si>
    <t>Location Link</t>
  </si>
  <si>
    <t xml:space="preserve">4 Wings </t>
  </si>
  <si>
    <t>C - SHREE GANESH ENTERPRISES</t>
  </si>
  <si>
    <t>E - AJIT DUDHANATH SINGH</t>
  </si>
  <si>
    <t>Building No.2 : Type -C1 (E Wing) = Gr + 1st to 5th Floor</t>
  </si>
  <si>
    <t>Building No.2 : Type -B2 (C Wing) = Gr + 1st to 5th Floor</t>
  </si>
  <si>
    <t>Building No.2 : Type -A1 (D Wing) = Gr + 1st to 5th Floor</t>
  </si>
  <si>
    <t>Wing C, D &amp; E = Gr.+ 1st to 5th Floor
Wing F = Gr/ST + 1st to 4th Floor</t>
  </si>
  <si>
    <t>Wing C (Type B2) &amp; Wing D (Type A1) = P99000015774
Wing E (Type C1) = P99000013553
Wing F (Type A1a) = P99000018527</t>
  </si>
  <si>
    <t>C &amp; D Wing = 30/06/2026
E &amp; F Wing = 31/12/2026</t>
  </si>
  <si>
    <t>https://maps.app.goo.gl/2BDjqsggS7eq2t9M6</t>
  </si>
  <si>
    <t>19.7552112,72.763119</t>
  </si>
  <si>
    <r>
      <t>Remarks:  
1. Wing C, D &amp; E = Construction work is in process at the time of visit.
    Wing F = Construction work is in process at the time of visit (Slow Speed).
2. We considered saleable area as per our calculation.
3. As per site inspection no workers found on site for work.
4. We updated revised Approved Plan of type-B2, A1, C1, A1a, Layout &amp; CC on 05/04/2019.
5. We have given construction percentage as per proposed no. of floors (Gr + 4th Floor)
6. We have considered rate by verifying it from market inquire.
7. We have considered Other charges from cost sheet.
8. Car parking is subjected to authentic documentation.
9. Please provide latest approved floor plans &amp; CC.
10. As per RERA, promoter name of Wing C &amp; D is " Shree Ganesh Enterprises " &amp; Wing E is "Ajit Dudhanath Singh", please check in legal report as well.</t>
    </r>
    <r>
      <rPr>
        <b/>
        <sz val="11"/>
        <color rgb="FFFF0000"/>
        <rFont val="Times New Roman"/>
        <family val="1"/>
      </rPr>
      <t xml:space="preserve">
</t>
    </r>
    <r>
      <rPr>
        <b/>
        <sz val="11"/>
        <rFont val="Times New Roman"/>
        <family val="1"/>
      </rPr>
      <t xml:space="preserve">11. Wing C &amp; D = Construction stage is reduced due to revision in proposed structure of project.
12. The project has received first CC on 22/03/2019, But construction work is not yet completed.
13. As checked on RERA portal on date 18/08/2025, we have observed that above project "Ideal Park (Wing C &amp; D)" is kept under abeyance. Please check from your end.
</t>
    </r>
    <r>
      <rPr>
        <b/>
        <sz val="11"/>
        <color rgb="FFFF0000"/>
        <rFont val="Times New Roman"/>
        <family val="1"/>
      </rPr>
      <t xml:space="preserve">
</t>
    </r>
    <r>
      <rPr>
        <b/>
        <sz val="11"/>
        <rFont val="Times New Roman"/>
        <family val="1"/>
      </rPr>
      <t xml:space="preserve">
9. On site, we meet Mr.Aniket Sawant (Sales) - 8369084688.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</si>
</sst>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3"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name val="Times New Roman"/>
      <family val="1"/>
    </font>
    <font>
      <sz val="11"/>
      <name val="Times New Roman"/>
      <family val="1"/>
    </font>
    <font>
      <sz val="12"/>
      <color indexed="8"/>
      <name val="Times New Roman"/>
      <family val="1"/>
    </font>
    <font>
      <sz val="12"/>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b/>
      <sz val="12"/>
      <name val="Times New Roman"/>
      <family val="1"/>
    </font>
    <font>
      <sz val="11"/>
      <color rgb="FF000000"/>
      <name val="Times New Roman"/>
      <family val="1"/>
    </font>
    <font>
      <b/>
      <sz val="13"/>
      <name val="Times New Roman"/>
      <family val="1"/>
    </font>
    <font>
      <b/>
      <sz val="11.5"/>
      <name val="Times New Roman"/>
      <family val="1"/>
    </font>
    <font>
      <b/>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7">
    <xf numFmtId="0" fontId="0" fillId="0" borderId="0"/>
    <xf numFmtId="0" fontId="2" fillId="0" borderId="0"/>
    <xf numFmtId="0" fontId="1" fillId="0" borderId="0"/>
    <xf numFmtId="0" fontId="11" fillId="0" borderId="0"/>
    <xf numFmtId="164" fontId="1" fillId="0" borderId="0" applyFont="0" applyFill="0" applyBorder="0" applyAlignment="0" applyProtection="0"/>
    <xf numFmtId="0" fontId="11" fillId="0" borderId="0"/>
    <xf numFmtId="0" fontId="22" fillId="0" borderId="0" applyNumberFormat="0" applyFill="0" applyBorder="0" applyAlignment="0" applyProtection="0"/>
  </cellStyleXfs>
  <cellXfs count="199">
    <xf numFmtId="0" fontId="0" fillId="0" borderId="0" xfId="0"/>
    <xf numFmtId="0" fontId="5"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0" fillId="0" borderId="2" xfId="0" applyBorder="1"/>
    <xf numFmtId="0" fontId="12" fillId="2" borderId="2" xfId="0" applyFont="1" applyFill="1" applyBorder="1"/>
    <xf numFmtId="0" fontId="0" fillId="0" borderId="3" xfId="0" applyBorder="1"/>
    <xf numFmtId="0" fontId="0" fillId="0" borderId="0" xfId="0" applyAlignment="1">
      <alignment wrapText="1"/>
    </xf>
    <xf numFmtId="0" fontId="0" fillId="0" borderId="2" xfId="0" applyBorder="1" applyAlignment="1">
      <alignment wrapText="1"/>
    </xf>
    <xf numFmtId="1" fontId="0" fillId="0" borderId="0" xfId="0" applyNumberFormat="1"/>
    <xf numFmtId="0" fontId="1" fillId="0" borderId="0" xfId="2"/>
    <xf numFmtId="0" fontId="11" fillId="0" borderId="0" xfId="3"/>
    <xf numFmtId="0" fontId="12" fillId="0" borderId="2" xfId="3" applyFont="1" applyBorder="1" applyAlignment="1">
      <alignment horizontal="center" vertical="top" wrapText="1"/>
    </xf>
    <xf numFmtId="0" fontId="11" fillId="0" borderId="2" xfId="3" applyBorder="1" applyAlignment="1">
      <alignment horizontal="center" vertical="center"/>
    </xf>
    <xf numFmtId="1" fontId="11" fillId="0" borderId="2" xfId="3" applyNumberFormat="1" applyBorder="1" applyAlignment="1">
      <alignment horizontal="center" vertical="center"/>
    </xf>
    <xf numFmtId="166" fontId="11" fillId="0" borderId="2" xfId="4" applyNumberFormat="1" applyFont="1" applyBorder="1" applyAlignment="1">
      <alignment horizontal="right" vertical="center"/>
    </xf>
    <xf numFmtId="0" fontId="12" fillId="0" borderId="2" xfId="3" applyFont="1" applyBorder="1" applyAlignment="1">
      <alignment horizontal="center" vertical="center"/>
    </xf>
    <xf numFmtId="1" fontId="13" fillId="0" borderId="2" xfId="3" applyNumberFormat="1" applyFont="1" applyBorder="1" applyAlignment="1">
      <alignment horizontal="center" vertical="center"/>
    </xf>
    <xf numFmtId="0" fontId="1" fillId="0" borderId="2" xfId="2" applyBorder="1" applyAlignment="1">
      <alignment horizontal="center" vertical="center"/>
    </xf>
    <xf numFmtId="0" fontId="15" fillId="0" borderId="0" xfId="2" applyFont="1"/>
    <xf numFmtId="0" fontId="0" fillId="0" borderId="2" xfId="3" applyFont="1" applyBorder="1" applyAlignment="1">
      <alignment horizontal="left" vertical="center"/>
    </xf>
    <xf numFmtId="0" fontId="0" fillId="0" borderId="2" xfId="3" applyFont="1" applyBorder="1" applyAlignment="1">
      <alignment horizontal="center" vertical="center"/>
    </xf>
    <xf numFmtId="0" fontId="16" fillId="0" borderId="14" xfId="5" applyFont="1" applyBorder="1" applyProtection="1">
      <protection hidden="1"/>
    </xf>
    <xf numFmtId="0" fontId="10" fillId="0" borderId="16" xfId="5" applyFont="1" applyBorder="1" applyAlignment="1" applyProtection="1">
      <alignment horizontal="center" vertical="top"/>
      <protection locked="0"/>
    </xf>
    <xf numFmtId="0" fontId="16" fillId="0" borderId="0" xfId="5" applyFont="1" applyProtection="1">
      <protection hidden="1"/>
    </xf>
    <xf numFmtId="0" fontId="18" fillId="0" borderId="0" xfId="0" applyFont="1" applyProtection="1">
      <protection hidden="1"/>
    </xf>
    <xf numFmtId="0" fontId="18" fillId="0" borderId="22" xfId="0" applyFont="1" applyBorder="1" applyProtection="1">
      <protection hidden="1"/>
    </xf>
    <xf numFmtId="1" fontId="17" fillId="0" borderId="2"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20" fillId="0" borderId="2" xfId="0" applyNumberFormat="1" applyFont="1" applyBorder="1" applyAlignment="1">
      <alignment horizontal="center" vertical="top" wrapText="1"/>
    </xf>
    <xf numFmtId="1" fontId="10" fillId="0" borderId="2" xfId="0" applyNumberFormat="1" applyFont="1" applyBorder="1" applyAlignment="1">
      <alignment horizontal="center" vertical="center" wrapText="1"/>
    </xf>
    <xf numFmtId="0" fontId="4" fillId="0" borderId="2" xfId="0" applyFont="1" applyBorder="1" applyAlignment="1">
      <alignment horizontal="center" vertical="top"/>
    </xf>
    <xf numFmtId="1" fontId="9" fillId="0" borderId="2" xfId="0" applyNumberFormat="1" applyFont="1" applyBorder="1" applyAlignment="1">
      <alignment horizontal="center" vertical="center" wrapText="1"/>
    </xf>
    <xf numFmtId="0" fontId="4" fillId="0" borderId="1" xfId="0" applyFont="1" applyBorder="1" applyAlignment="1">
      <alignment vertical="top"/>
    </xf>
    <xf numFmtId="0" fontId="16" fillId="0" borderId="15" xfId="5" applyFont="1" applyBorder="1" applyProtection="1">
      <protection hidden="1"/>
    </xf>
    <xf numFmtId="0" fontId="16" fillId="0" borderId="18" xfId="5" applyFont="1" applyBorder="1" applyProtection="1">
      <protection hidden="1"/>
    </xf>
    <xf numFmtId="0" fontId="16" fillId="0" borderId="0" xfId="5" applyFont="1"/>
    <xf numFmtId="0" fontId="16" fillId="0" borderId="18" xfId="5" applyFont="1" applyBorder="1"/>
    <xf numFmtId="0" fontId="10" fillId="0" borderId="2" xfId="5" applyFont="1" applyBorder="1" applyAlignment="1" applyProtection="1">
      <alignment horizontal="center" wrapText="1"/>
      <protection locked="0"/>
    </xf>
    <xf numFmtId="9" fontId="18" fillId="0" borderId="0" xfId="0" applyNumberFormat="1" applyFont="1" applyProtection="1">
      <protection hidden="1"/>
    </xf>
    <xf numFmtId="0" fontId="18" fillId="0" borderId="18" xfId="0" applyFont="1" applyBorder="1" applyProtection="1">
      <protection hidden="1"/>
    </xf>
    <xf numFmtId="1" fontId="10" fillId="0" borderId="2" xfId="5" applyNumberFormat="1" applyFont="1" applyBorder="1" applyAlignment="1" applyProtection="1">
      <alignment horizontal="center" wrapText="1"/>
      <protection locked="0"/>
    </xf>
    <xf numFmtId="1" fontId="0" fillId="0" borderId="18" xfId="0" applyNumberFormat="1" applyBorder="1"/>
    <xf numFmtId="165" fontId="0" fillId="0" borderId="0" xfId="0" applyNumberFormat="1"/>
    <xf numFmtId="1" fontId="0" fillId="0" borderId="18" xfId="0" applyNumberFormat="1" applyBorder="1" applyAlignment="1">
      <alignment horizontal="right"/>
    </xf>
    <xf numFmtId="0" fontId="0" fillId="0" borderId="18" xfId="0" applyBorder="1"/>
    <xf numFmtId="9" fontId="18" fillId="0" borderId="22" xfId="0" applyNumberFormat="1" applyFont="1" applyBorder="1" applyProtection="1">
      <protection hidden="1"/>
    </xf>
    <xf numFmtId="1" fontId="0" fillId="0" borderId="23" xfId="0" applyNumberFormat="1" applyBorder="1"/>
    <xf numFmtId="0" fontId="10" fillId="0" borderId="20" xfId="5" applyFont="1" applyBorder="1" applyAlignment="1" applyProtection="1">
      <alignment horizontal="center" wrapText="1"/>
      <protection locked="0"/>
    </xf>
    <xf numFmtId="0" fontId="2" fillId="0" borderId="0" xfId="1"/>
    <xf numFmtId="0" fontId="14" fillId="0" borderId="0" xfId="0" applyFont="1"/>
    <xf numFmtId="0" fontId="3" fillId="0" borderId="0" xfId="0" applyFont="1" applyAlignment="1">
      <alignment horizontal="center" vertical="top" wrapText="1"/>
    </xf>
    <xf numFmtId="0" fontId="12" fillId="0" borderId="0" xfId="0" applyFont="1"/>
    <xf numFmtId="0" fontId="10" fillId="0" borderId="2" xfId="5" applyFont="1" applyBorder="1" applyAlignment="1" applyProtection="1">
      <alignment horizontal="center" vertical="top" wrapText="1"/>
      <protection locked="0"/>
    </xf>
    <xf numFmtId="0" fontId="10" fillId="0" borderId="2" xfId="5" applyFont="1" applyBorder="1" applyAlignment="1" applyProtection="1">
      <alignment horizontal="center" vertical="top"/>
      <protection locked="0"/>
    </xf>
    <xf numFmtId="0" fontId="10" fillId="0" borderId="2" xfId="5" applyFont="1" applyBorder="1" applyAlignment="1" applyProtection="1">
      <alignment horizontal="center" vertical="top"/>
      <protection locked="0"/>
    </xf>
    <xf numFmtId="0" fontId="10" fillId="0" borderId="16" xfId="5" applyFont="1" applyBorder="1" applyAlignment="1" applyProtection="1">
      <alignment horizontal="center" vertical="top"/>
      <protection locked="0"/>
    </xf>
    <xf numFmtId="1" fontId="9" fillId="0" borderId="2" xfId="0" applyNumberFormat="1" applyFont="1" applyBorder="1" applyAlignment="1">
      <alignment horizontal="center" vertical="center" wrapText="1"/>
    </xf>
    <xf numFmtId="0" fontId="10" fillId="0" borderId="2" xfId="5" applyFont="1" applyBorder="1" applyAlignment="1" applyProtection="1">
      <alignment horizontal="center" vertical="top" wrapText="1"/>
      <protection locked="0"/>
    </xf>
    <xf numFmtId="0" fontId="10" fillId="0" borderId="2" xfId="5" applyFont="1" applyBorder="1" applyAlignment="1" applyProtection="1">
      <alignment horizontal="center" vertical="top"/>
      <protection locked="0"/>
    </xf>
    <xf numFmtId="1" fontId="9" fillId="0" borderId="2"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5"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9" fillId="0" borderId="5" xfId="0" applyNumberFormat="1" applyFont="1" applyBorder="1" applyAlignment="1">
      <alignment horizontal="center" vertical="center" wrapText="1"/>
    </xf>
    <xf numFmtId="0" fontId="8" fillId="0" borderId="1" xfId="0" applyFont="1" applyBorder="1" applyAlignment="1">
      <alignment horizontal="left" vertical="top"/>
    </xf>
    <xf numFmtId="0" fontId="8" fillId="0" borderId="4" xfId="0" applyFont="1" applyBorder="1" applyAlignment="1">
      <alignment horizontal="left" vertical="top"/>
    </xf>
    <xf numFmtId="0" fontId="8" fillId="0" borderId="5" xfId="0" applyFont="1" applyBorder="1" applyAlignment="1">
      <alignment horizontal="left" vertical="top"/>
    </xf>
    <xf numFmtId="1" fontId="17" fillId="0" borderId="1" xfId="0" applyNumberFormat="1" applyFont="1" applyBorder="1" applyAlignment="1">
      <alignment horizontal="center" vertical="top" wrapText="1"/>
    </xf>
    <xf numFmtId="1" fontId="17" fillId="0" borderId="5" xfId="0" applyNumberFormat="1" applyFont="1" applyBorder="1" applyAlignment="1">
      <alignment horizontal="center" vertical="top" wrapText="1"/>
    </xf>
    <xf numFmtId="0" fontId="8" fillId="0" borderId="2" xfId="0" applyFont="1" applyBorder="1" applyAlignment="1">
      <alignment horizontal="left" vertical="top"/>
    </xf>
    <xf numFmtId="0" fontId="8" fillId="0" borderId="10" xfId="0" applyFont="1" applyBorder="1" applyAlignment="1">
      <alignment horizontal="left" vertical="top"/>
    </xf>
    <xf numFmtId="0" fontId="8" fillId="0" borderId="13" xfId="0" applyFont="1" applyBorder="1" applyAlignment="1">
      <alignment horizontal="left" vertical="top"/>
    </xf>
    <xf numFmtId="0" fontId="8" fillId="0" borderId="11" xfId="0" applyFont="1" applyBorder="1" applyAlignment="1">
      <alignment horizontal="left" vertical="top"/>
    </xf>
    <xf numFmtId="0" fontId="7" fillId="0" borderId="6" xfId="0" applyFont="1" applyBorder="1" applyAlignment="1">
      <alignment vertical="top" wrapText="1"/>
    </xf>
    <xf numFmtId="0" fontId="7" fillId="0" borderId="12"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1" xfId="0" applyFont="1" applyBorder="1" applyAlignment="1">
      <alignment vertical="top" wrapText="1"/>
    </xf>
    <xf numFmtId="0" fontId="7" fillId="0" borderId="1" xfId="0" applyFont="1" applyBorder="1" applyAlignment="1">
      <alignment horizontal="left" vertical="top"/>
    </xf>
    <xf numFmtId="0" fontId="7" fillId="0" borderId="4" xfId="0" applyFont="1" applyBorder="1" applyAlignment="1">
      <alignment horizontal="left" vertical="top"/>
    </xf>
    <xf numFmtId="0" fontId="7" fillId="0" borderId="5" xfId="0" applyFont="1" applyBorder="1" applyAlignment="1">
      <alignment horizontal="left" vertical="top"/>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5" xfId="0" applyFont="1" applyBorder="1" applyAlignment="1">
      <alignment horizontal="center" vertical="top"/>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5" xfId="0" applyNumberFormat="1" applyFont="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3" fillId="0" borderId="1" xfId="0" applyFont="1" applyBorder="1" applyAlignment="1">
      <alignment horizontal="left" vertical="top"/>
    </xf>
    <xf numFmtId="0" fontId="4" fillId="0" borderId="2" xfId="0" applyFont="1" applyBorder="1" applyAlignment="1">
      <alignment horizontal="center" vertical="top" wrapText="1"/>
    </xf>
    <xf numFmtId="0" fontId="4" fillId="0" borderId="2" xfId="0" applyFont="1" applyBorder="1" applyAlignment="1">
      <alignment horizontal="left" vertical="top"/>
    </xf>
    <xf numFmtId="0" fontId="5" fillId="0" borderId="6" xfId="0" applyFont="1" applyBorder="1" applyAlignment="1">
      <alignment horizontal="left" vertical="top" wrapText="1"/>
    </xf>
    <xf numFmtId="0" fontId="5" fillId="0" borderId="12"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13" xfId="0" applyFont="1" applyBorder="1" applyAlignment="1">
      <alignment horizontal="left" vertical="top" wrapText="1"/>
    </xf>
    <xf numFmtId="0" fontId="5"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12"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4" fillId="0" borderId="6" xfId="0" applyFont="1" applyBorder="1" applyAlignment="1">
      <alignment horizontal="left" vertical="top"/>
    </xf>
    <xf numFmtId="0" fontId="4" fillId="0" borderId="12" xfId="0" applyFont="1" applyBorder="1" applyAlignment="1">
      <alignment horizontal="left" vertical="top"/>
    </xf>
    <xf numFmtId="0" fontId="4" fillId="0" borderId="7" xfId="0" applyFont="1" applyBorder="1" applyAlignment="1">
      <alignment horizontal="left" vertical="top"/>
    </xf>
    <xf numFmtId="0" fontId="4" fillId="0" borderId="10" xfId="0" applyFont="1" applyBorder="1" applyAlignment="1">
      <alignment horizontal="left" vertical="top"/>
    </xf>
    <xf numFmtId="0" fontId="4" fillId="0" borderId="13" xfId="0" applyFont="1" applyBorder="1" applyAlignment="1">
      <alignment horizontal="left" vertical="top"/>
    </xf>
    <xf numFmtId="0" fontId="4" fillId="0" borderId="11" xfId="0" applyFont="1" applyBorder="1" applyAlignment="1">
      <alignment horizontal="left" vertical="top"/>
    </xf>
    <xf numFmtId="0" fontId="5" fillId="0" borderId="4" xfId="0" applyFont="1" applyBorder="1" applyAlignment="1">
      <alignment vertical="top"/>
    </xf>
    <xf numFmtId="0" fontId="5" fillId="0" borderId="5" xfId="0" applyFont="1" applyBorder="1" applyAlignment="1">
      <alignment vertical="top"/>
    </xf>
    <xf numFmtId="0" fontId="5" fillId="0" borderId="1" xfId="0" applyFont="1" applyBorder="1" applyAlignment="1">
      <alignment horizontal="center" vertical="top"/>
    </xf>
    <xf numFmtId="0" fontId="5" fillId="0" borderId="5" xfId="0" applyFont="1" applyBorder="1" applyAlignment="1">
      <alignment horizontal="center" vertical="top"/>
    </xf>
    <xf numFmtId="0" fontId="4" fillId="0" borderId="1" xfId="0" applyFont="1" applyBorder="1" applyAlignment="1">
      <alignment horizontal="center" vertical="top"/>
    </xf>
    <xf numFmtId="0" fontId="4" fillId="0" borderId="5" xfId="0" applyFont="1" applyBorder="1" applyAlignment="1">
      <alignment horizontal="center" vertical="top"/>
    </xf>
    <xf numFmtId="0" fontId="8" fillId="0" borderId="1" xfId="0" applyFont="1" applyBorder="1" applyAlignment="1">
      <alignment horizontal="center" vertical="top"/>
    </xf>
    <xf numFmtId="0" fontId="8" fillId="0" borderId="5" xfId="0" applyFont="1" applyBorder="1" applyAlignment="1">
      <alignment horizontal="center" vertical="top"/>
    </xf>
    <xf numFmtId="0" fontId="3" fillId="0" borderId="2" xfId="0" applyFont="1" applyBorder="1" applyAlignment="1">
      <alignment horizontal="left" vertical="top"/>
    </xf>
    <xf numFmtId="0" fontId="5" fillId="0" borderId="2" xfId="0" applyFont="1" applyBorder="1" applyAlignment="1">
      <alignment horizontal="left" vertical="top"/>
    </xf>
    <xf numFmtId="165" fontId="4" fillId="0" borderId="2" xfId="0" applyNumberFormat="1" applyFont="1" applyBorder="1" applyAlignment="1">
      <alignment horizontal="left" vertical="top" wrapText="1"/>
    </xf>
    <xf numFmtId="165" fontId="4" fillId="0" borderId="2" xfId="0" applyNumberFormat="1"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165" fontId="4" fillId="0" borderId="1" xfId="0" applyNumberFormat="1" applyFont="1" applyBorder="1" applyAlignment="1">
      <alignment horizontal="left" vertical="top"/>
    </xf>
    <xf numFmtId="165" fontId="4" fillId="0" borderId="4" xfId="0" applyNumberFormat="1" applyFont="1" applyBorder="1" applyAlignment="1">
      <alignment horizontal="left" vertical="top"/>
    </xf>
    <xf numFmtId="165" fontId="4" fillId="0" borderId="5" xfId="0" applyNumberFormat="1" applyFont="1" applyBorder="1" applyAlignment="1">
      <alignment horizontal="left" vertical="top"/>
    </xf>
    <xf numFmtId="0" fontId="17" fillId="0" borderId="24" xfId="5" applyFont="1" applyBorder="1" applyAlignment="1" applyProtection="1">
      <alignment horizontal="center" vertical="top" wrapText="1"/>
      <protection locked="0"/>
    </xf>
    <xf numFmtId="0" fontId="17" fillId="0" borderId="25" xfId="5" applyFont="1" applyBorder="1" applyAlignment="1" applyProtection="1">
      <alignment horizontal="center" vertical="top" wrapText="1"/>
      <protection locked="0"/>
    </xf>
    <xf numFmtId="0" fontId="17" fillId="0" borderId="25" xfId="5" applyFont="1" applyBorder="1" applyAlignment="1" applyProtection="1">
      <alignment horizontal="left" vertical="top" wrapText="1"/>
      <protection locked="0"/>
    </xf>
    <xf numFmtId="0" fontId="17" fillId="0" borderId="26" xfId="5" applyFont="1" applyBorder="1" applyAlignment="1" applyProtection="1">
      <alignment horizontal="left" vertical="top" wrapText="1"/>
      <protection locked="0"/>
    </xf>
    <xf numFmtId="0" fontId="10" fillId="0" borderId="2" xfId="5" applyFont="1" applyBorder="1" applyAlignment="1" applyProtection="1">
      <alignment horizontal="center" vertical="top"/>
      <protection locked="0"/>
    </xf>
    <xf numFmtId="0" fontId="3" fillId="0" borderId="1"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10" fillId="0" borderId="17" xfId="5" applyFont="1" applyBorder="1" applyAlignment="1" applyProtection="1">
      <alignment horizontal="center" vertical="top"/>
      <protection locked="0"/>
    </xf>
    <xf numFmtId="0" fontId="4" fillId="0" borderId="2" xfId="0" applyFont="1" applyBorder="1" applyAlignment="1">
      <alignment horizontal="center" vertical="top"/>
    </xf>
    <xf numFmtId="0" fontId="17" fillId="0" borderId="16" xfId="5" applyFont="1" applyBorder="1" applyAlignment="1" applyProtection="1">
      <alignment horizontal="left" vertical="top"/>
      <protection locked="0"/>
    </xf>
    <xf numFmtId="0" fontId="17" fillId="0" borderId="2" xfId="5" applyFont="1" applyBorder="1" applyAlignment="1" applyProtection="1">
      <alignment horizontal="left" vertical="top"/>
      <protection locked="0"/>
    </xf>
    <xf numFmtId="0" fontId="17" fillId="0" borderId="2" xfId="5" applyFont="1" applyBorder="1" applyAlignment="1" applyProtection="1">
      <alignment horizontal="left" vertical="top" wrapText="1"/>
      <protection locked="0"/>
    </xf>
    <xf numFmtId="0" fontId="17" fillId="0" borderId="17" xfId="5" applyFont="1" applyBorder="1" applyAlignment="1" applyProtection="1">
      <alignment horizontal="left" vertical="top" wrapText="1"/>
      <protection locked="0"/>
    </xf>
    <xf numFmtId="1" fontId="17" fillId="0" borderId="1" xfId="0" applyNumberFormat="1" applyFont="1" applyBorder="1" applyAlignment="1">
      <alignment horizontal="center" vertical="center" wrapText="1"/>
    </xf>
    <xf numFmtId="1" fontId="17" fillId="0" borderId="4" xfId="0" applyNumberFormat="1" applyFont="1" applyBorder="1" applyAlignment="1">
      <alignment horizontal="center" vertical="center" wrapText="1"/>
    </xf>
    <xf numFmtId="1" fontId="17" fillId="0" borderId="5" xfId="0" applyNumberFormat="1" applyFont="1" applyBorder="1" applyAlignment="1">
      <alignment horizontal="center" vertical="center" wrapText="1"/>
    </xf>
    <xf numFmtId="1" fontId="10" fillId="0" borderId="2" xfId="0" applyNumberFormat="1" applyFont="1" applyBorder="1" applyAlignment="1">
      <alignment horizontal="center" vertical="center" wrapText="1"/>
    </xf>
    <xf numFmtId="0" fontId="19" fillId="0" borderId="1" xfId="0" applyFont="1" applyBorder="1" applyAlignment="1">
      <alignment horizontal="center" vertical="top"/>
    </xf>
    <xf numFmtId="0" fontId="19" fillId="0" borderId="4" xfId="0" applyFont="1" applyBorder="1" applyAlignment="1">
      <alignment horizontal="center" vertical="top"/>
    </xf>
    <xf numFmtId="0" fontId="19" fillId="0" borderId="5" xfId="0" applyFont="1" applyBorder="1" applyAlignment="1">
      <alignment horizontal="center" vertical="top"/>
    </xf>
    <xf numFmtId="0" fontId="7" fillId="0" borderId="1" xfId="0" applyFont="1" applyBorder="1" applyAlignment="1">
      <alignment horizontal="center" vertical="top"/>
    </xf>
    <xf numFmtId="0" fontId="7" fillId="0" borderId="4" xfId="0" applyFont="1" applyBorder="1" applyAlignment="1">
      <alignment horizontal="center" vertical="top"/>
    </xf>
    <xf numFmtId="0" fontId="7" fillId="0" borderId="5" xfId="0" applyFont="1" applyBorder="1" applyAlignment="1">
      <alignment horizontal="center" vertical="top"/>
    </xf>
    <xf numFmtId="1" fontId="10" fillId="0" borderId="1"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0" fillId="0" borderId="16" xfId="5" applyFont="1" applyBorder="1" applyAlignment="1" applyProtection="1">
      <alignment horizontal="center" vertical="top" wrapText="1"/>
      <protection locked="0"/>
    </xf>
    <xf numFmtId="0" fontId="10" fillId="0" borderId="2" xfId="5" applyFont="1" applyBorder="1" applyAlignment="1" applyProtection="1">
      <alignment horizontal="center" vertical="top" wrapText="1"/>
      <protection locked="0"/>
    </xf>
    <xf numFmtId="0" fontId="10" fillId="0" borderId="17" xfId="5" applyFont="1" applyBorder="1" applyAlignment="1" applyProtection="1">
      <alignment horizontal="center" vertical="top" wrapText="1"/>
      <protection locked="0"/>
    </xf>
    <xf numFmtId="9" fontId="10" fillId="0" borderId="2" xfId="5" applyNumberFormat="1" applyFont="1" applyBorder="1" applyAlignment="1" applyProtection="1">
      <alignment horizontal="center" vertical="center" wrapText="1"/>
      <protection hidden="1"/>
    </xf>
    <xf numFmtId="0" fontId="7" fillId="0" borderId="2" xfId="1" applyFont="1" applyBorder="1" applyAlignment="1">
      <alignment horizontal="left" vertical="top" wrapText="1"/>
    </xf>
    <xf numFmtId="0" fontId="3" fillId="0" borderId="6" xfId="0" applyFont="1" applyBorder="1" applyAlignment="1">
      <alignment horizontal="center" vertical="top" wrapText="1"/>
    </xf>
    <xf numFmtId="0" fontId="3" fillId="0" borderId="12" xfId="0" applyFont="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0" xfId="0" applyFont="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3" xfId="0" applyFont="1" applyBorder="1" applyAlignment="1">
      <alignment horizontal="center" vertical="top" wrapText="1"/>
    </xf>
    <xf numFmtId="0" fontId="3" fillId="0" borderId="11" xfId="0" applyFont="1" applyBorder="1" applyAlignment="1">
      <alignment horizontal="center" vertical="top" wrapText="1"/>
    </xf>
    <xf numFmtId="0" fontId="5" fillId="0" borderId="1" xfId="0" applyFont="1" applyBorder="1" applyAlignment="1">
      <alignment vertical="top"/>
    </xf>
    <xf numFmtId="0" fontId="8" fillId="0" borderId="1" xfId="0" applyFont="1" applyBorder="1" applyAlignment="1">
      <alignment horizontal="left" vertical="top" wrapText="1"/>
    </xf>
    <xf numFmtId="0" fontId="0" fillId="0" borderId="2" xfId="0" applyBorder="1"/>
    <xf numFmtId="14" fontId="4" fillId="0" borderId="1" xfId="0" applyNumberFormat="1" applyFont="1" applyBorder="1" applyAlignment="1">
      <alignment horizontal="left" vertical="top" wrapText="1"/>
    </xf>
    <xf numFmtId="0" fontId="17" fillId="0" borderId="2" xfId="5" applyFont="1" applyBorder="1" applyAlignment="1" applyProtection="1">
      <alignment horizontal="center" vertical="top" wrapText="1"/>
      <protection locked="0"/>
    </xf>
    <xf numFmtId="9" fontId="10" fillId="0" borderId="20" xfId="5" applyNumberFormat="1" applyFont="1" applyBorder="1" applyAlignment="1" applyProtection="1">
      <alignment horizontal="center" vertical="center" wrapText="1"/>
      <protection hidden="1"/>
    </xf>
    <xf numFmtId="9" fontId="10" fillId="0" borderId="17" xfId="5" applyNumberFormat="1" applyFont="1" applyBorder="1" applyAlignment="1" applyProtection="1">
      <alignment horizontal="center" vertical="center" wrapText="1"/>
      <protection hidden="1"/>
    </xf>
    <xf numFmtId="9" fontId="10" fillId="0" borderId="21" xfId="5" applyNumberFormat="1" applyFont="1" applyBorder="1" applyAlignment="1" applyProtection="1">
      <alignment horizontal="center" vertical="center" wrapText="1"/>
      <protection hidden="1"/>
    </xf>
    <xf numFmtId="0" fontId="10" fillId="0" borderId="16" xfId="5" applyFont="1" applyBorder="1" applyAlignment="1" applyProtection="1">
      <alignment horizontal="center" vertical="top"/>
      <protection locked="0"/>
    </xf>
    <xf numFmtId="0" fontId="10" fillId="0" borderId="19" xfId="5" applyFont="1" applyBorder="1" applyAlignment="1" applyProtection="1">
      <alignment horizontal="center" vertical="top" wrapText="1"/>
      <protection locked="0"/>
    </xf>
    <xf numFmtId="0" fontId="10" fillId="0" borderId="20" xfId="5" applyFont="1" applyBorder="1" applyAlignment="1" applyProtection="1">
      <alignment horizontal="center" vertical="top" wrapText="1"/>
      <protection locked="0"/>
    </xf>
    <xf numFmtId="0" fontId="12" fillId="0" borderId="2" xfId="3" applyFont="1" applyBorder="1" applyAlignment="1">
      <alignment horizontal="left"/>
    </xf>
    <xf numFmtId="0" fontId="22" fillId="0" borderId="1" xfId="6" applyBorder="1" applyAlignment="1">
      <alignment horizontal="left" vertical="top"/>
    </xf>
  </cellXfs>
  <cellStyles count="7">
    <cellStyle name="Comma 2" xfId="4"/>
    <cellStyle name="Excel Built-in Normal" xfId="1"/>
    <cellStyle name="Excel Built-in Normal 2" xfId="2"/>
    <cellStyle name="Hyperlink" xfId="6" builtinId="8"/>
    <cellStyle name="Normal" xfId="0" builtinId="0"/>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0.jpeg"/><Relationship Id="rId2" Type="http://schemas.openxmlformats.org/officeDocument/2006/relationships/image" Target="../media/image29.jpeg"/><Relationship Id="rId1" Type="http://schemas.openxmlformats.org/officeDocument/2006/relationships/image" Target="../media/image28.jpeg"/><Relationship Id="rId4" Type="http://schemas.openxmlformats.org/officeDocument/2006/relationships/image" Target="../media/image3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3.jpeg"/><Relationship Id="rId1" Type="http://schemas.openxmlformats.org/officeDocument/2006/relationships/image" Target="../media/image3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6.png"/><Relationship Id="rId2" Type="http://schemas.openxmlformats.org/officeDocument/2006/relationships/image" Target="../media/image35.png"/><Relationship Id="rId1" Type="http://schemas.openxmlformats.org/officeDocument/2006/relationships/image" Target="../media/image34.png"/><Relationship Id="rId4" Type="http://schemas.openxmlformats.org/officeDocument/2006/relationships/image" Target="../media/image3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1</xdr:col>
      <xdr:colOff>498359</xdr:colOff>
      <xdr:row>277</xdr:row>
      <xdr:rowOff>6619</xdr:rowOff>
    </xdr:from>
    <xdr:to>
      <xdr:col>8</xdr:col>
      <xdr:colOff>81830</xdr:colOff>
      <xdr:row>292</xdr:row>
      <xdr:rowOff>29119</xdr:rowOff>
    </xdr:to>
    <xdr:pic>
      <xdr:nvPicPr>
        <xdr:cNvPr id="10056" name="Picture 8">
          <a:extLst>
            <a:ext uri="{FF2B5EF4-FFF2-40B4-BE49-F238E27FC236}">
              <a16:creationId xmlns:a16="http://schemas.microsoft.com/office/drawing/2014/main" id="{00000000-0008-0000-0000-00004827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25888" y="64799031"/>
          <a:ext cx="4706597" cy="2880000"/>
        </a:xfrm>
        <a:prstGeom prst="rect">
          <a:avLst/>
        </a:prstGeom>
        <a:noFill/>
        <a:ln w="9525">
          <a:solidFill>
            <a:srgbClr val="000000"/>
          </a:solidFill>
          <a:miter lim="800000"/>
          <a:headEnd/>
          <a:tailEnd/>
        </a:ln>
      </xdr:spPr>
    </xdr:pic>
    <xdr:clientData/>
  </xdr:twoCellAnchor>
  <xdr:twoCellAnchor editAs="oneCell">
    <xdr:from>
      <xdr:col>1</xdr:col>
      <xdr:colOff>481042</xdr:colOff>
      <xdr:row>292</xdr:row>
      <xdr:rowOff>161310</xdr:rowOff>
    </xdr:from>
    <xdr:to>
      <xdr:col>8</xdr:col>
      <xdr:colOff>72330</xdr:colOff>
      <xdr:row>307</xdr:row>
      <xdr:rowOff>183810</xdr:rowOff>
    </xdr:to>
    <xdr:pic>
      <xdr:nvPicPr>
        <xdr:cNvPr id="10057" name="Picture 9">
          <a:extLst>
            <a:ext uri="{FF2B5EF4-FFF2-40B4-BE49-F238E27FC236}">
              <a16:creationId xmlns:a16="http://schemas.microsoft.com/office/drawing/2014/main" id="{00000000-0008-0000-0000-00004927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108571" y="67811222"/>
          <a:ext cx="4714414" cy="2880000"/>
        </a:xfrm>
        <a:prstGeom prst="rect">
          <a:avLst/>
        </a:prstGeom>
        <a:noFill/>
        <a:ln w="9525">
          <a:solidFill>
            <a:srgbClr val="000000"/>
          </a:solidFill>
          <a:miter lim="800000"/>
          <a:headEnd/>
          <a:tailEnd/>
        </a:ln>
      </xdr:spPr>
    </xdr:pic>
    <xdr:clientData/>
  </xdr:twoCellAnchor>
  <xdr:oneCellAnchor>
    <xdr:from>
      <xdr:col>14</xdr:col>
      <xdr:colOff>85825</xdr:colOff>
      <xdr:row>229</xdr:row>
      <xdr:rowOff>69850</xdr:rowOff>
    </xdr:from>
    <xdr:ext cx="590162"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9337775" y="49739550"/>
          <a:ext cx="5901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C Wing</a:t>
          </a:r>
        </a:p>
      </xdr:txBody>
    </xdr:sp>
    <xdr:clientData/>
  </xdr:oneCellAnchor>
  <xdr:twoCellAnchor>
    <xdr:from>
      <xdr:col>12</xdr:col>
      <xdr:colOff>165100</xdr:colOff>
      <xdr:row>228</xdr:row>
      <xdr:rowOff>38100</xdr:rowOff>
    </xdr:from>
    <xdr:to>
      <xdr:col>19</xdr:col>
      <xdr:colOff>370031</xdr:colOff>
      <xdr:row>272</xdr:row>
      <xdr:rowOff>95250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8197850" y="51517550"/>
          <a:ext cx="4472131" cy="8159750"/>
          <a:chOff x="1022350" y="49726850"/>
          <a:chExt cx="4694381" cy="8159750"/>
        </a:xfrm>
      </xdr:grpSpPr>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710703" y="56713875"/>
            <a:ext cx="3197690" cy="1172725"/>
          </a:xfrm>
          <a:prstGeom prst="rect">
            <a:avLst/>
          </a:prstGeom>
          <a:ln>
            <a:solidFill>
              <a:schemeClr val="tx1"/>
            </a:solidFill>
          </a:ln>
        </xdr:spPr>
      </xdr:pic>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022350" y="49732538"/>
            <a:ext cx="1466067" cy="2736000"/>
          </a:xfrm>
          <a:prstGeom prst="rect">
            <a:avLst/>
          </a:prstGeom>
          <a:ln>
            <a:solidFill>
              <a:schemeClr val="tx1"/>
            </a:solidFill>
          </a:ln>
        </xdr:spPr>
      </xdr:pic>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2636507" y="49732538"/>
            <a:ext cx="1466067" cy="2736000"/>
          </a:xfrm>
          <a:prstGeom prst="rect">
            <a:avLst/>
          </a:prstGeom>
          <a:ln>
            <a:solidFill>
              <a:schemeClr val="tx1"/>
            </a:solidFill>
          </a:ln>
        </xdr:spPr>
      </xdr:pic>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4250664" y="49726850"/>
            <a:ext cx="1466067" cy="2736000"/>
          </a:xfrm>
          <a:prstGeom prst="rect">
            <a:avLst/>
          </a:prstGeom>
          <a:ln>
            <a:solidFill>
              <a:schemeClr val="tx1"/>
            </a:solidFill>
          </a:ln>
        </xdr:spPr>
      </xdr:pic>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1022350" y="52554461"/>
            <a:ext cx="1466067" cy="2547568"/>
          </a:xfrm>
          <a:prstGeom prst="rect">
            <a:avLst/>
          </a:prstGeom>
          <a:ln>
            <a:solidFill>
              <a:schemeClr val="tx1"/>
            </a:solidFill>
          </a:ln>
        </xdr:spPr>
      </xdr:pic>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1710703" y="55187952"/>
            <a:ext cx="3190472" cy="1440000"/>
          </a:xfrm>
          <a:prstGeom prst="rect">
            <a:avLst/>
          </a:prstGeom>
          <a:ln>
            <a:solidFill>
              <a:schemeClr val="tx1"/>
            </a:solidFill>
          </a:ln>
        </xdr:spPr>
      </xdr:pic>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636506" y="52554461"/>
            <a:ext cx="1466067" cy="2547568"/>
          </a:xfrm>
          <a:prstGeom prst="rect">
            <a:avLst/>
          </a:prstGeom>
          <a:ln>
            <a:solidFill>
              <a:schemeClr val="tx1"/>
            </a:solidFill>
          </a:ln>
        </xdr:spPr>
      </xdr:pic>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4244525" y="52554461"/>
            <a:ext cx="1466067" cy="2547568"/>
          </a:xfrm>
          <a:prstGeom prst="rect">
            <a:avLst/>
          </a:prstGeom>
          <a:ln>
            <a:solidFill>
              <a:schemeClr val="tx1"/>
            </a:solidFill>
          </a:ln>
        </xdr:spPr>
      </xdr:pic>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1022350" y="49732538"/>
            <a:ext cx="59016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C Wing</a:t>
            </a:r>
          </a:p>
        </xdr:txBody>
      </xdr:sp>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2992107" y="49846838"/>
            <a:ext cx="6017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D Wing</a:t>
            </a:r>
          </a:p>
        </xdr:txBody>
      </xdr:sp>
      <xdr:sp macro="" textlink="">
        <xdr:nvSpPr>
          <xdr:cNvPr id="33" name="TextBox 32">
            <a:extLst>
              <a:ext uri="{FF2B5EF4-FFF2-40B4-BE49-F238E27FC236}">
                <a16:creationId xmlns:a16="http://schemas.microsoft.com/office/drawing/2014/main" id="{00000000-0008-0000-0000-000021000000}"/>
              </a:ext>
            </a:extLst>
          </xdr:cNvPr>
          <xdr:cNvSpPr txBox="1"/>
        </xdr:nvSpPr>
        <xdr:spPr>
          <a:xfrm>
            <a:off x="4707864" y="49745900"/>
            <a:ext cx="6017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E Wing</a:t>
            </a:r>
          </a:p>
        </xdr:txBody>
      </xdr:sp>
      <xdr:sp macro="" textlink="">
        <xdr:nvSpPr>
          <xdr:cNvPr id="34" name="TextBox 33">
            <a:extLst>
              <a:ext uri="{FF2B5EF4-FFF2-40B4-BE49-F238E27FC236}">
                <a16:creationId xmlns:a16="http://schemas.microsoft.com/office/drawing/2014/main" id="{00000000-0008-0000-0000-000022000000}"/>
              </a:ext>
            </a:extLst>
          </xdr:cNvPr>
          <xdr:cNvSpPr txBox="1"/>
        </xdr:nvSpPr>
        <xdr:spPr>
          <a:xfrm>
            <a:off x="1473200" y="52637011"/>
            <a:ext cx="6017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F Wing</a:t>
            </a:r>
          </a:p>
        </xdr:txBody>
      </xdr:sp>
    </xdr:grpSp>
    <xdr:clientData/>
  </xdr:twoCellAnchor>
  <xdr:twoCellAnchor editAs="oneCell">
    <xdr:from>
      <xdr:col>12</xdr:col>
      <xdr:colOff>482600</xdr:colOff>
      <xdr:row>8</xdr:row>
      <xdr:rowOff>38100</xdr:rowOff>
    </xdr:from>
    <xdr:to>
      <xdr:col>21</xdr:col>
      <xdr:colOff>396200</xdr:colOff>
      <xdr:row>16</xdr:row>
      <xdr:rowOff>33950</xdr:rowOff>
    </xdr:to>
    <xdr:pic>
      <xdr:nvPicPr>
        <xdr:cNvPr id="35" name="Picture 34"/>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8515350" y="1892300"/>
          <a:ext cx="5400000" cy="3037500"/>
        </a:xfrm>
        <a:prstGeom prst="rect">
          <a:avLst/>
        </a:prstGeom>
        <a:ln>
          <a:solidFill>
            <a:schemeClr val="tx1"/>
          </a:solidFill>
        </a:ln>
      </xdr:spPr>
    </xdr:pic>
    <xdr:clientData/>
  </xdr:twoCellAnchor>
  <xdr:twoCellAnchor>
    <xdr:from>
      <xdr:col>0</xdr:col>
      <xdr:colOff>171450</xdr:colOff>
      <xdr:row>229</xdr:row>
      <xdr:rowOff>82550</xdr:rowOff>
    </xdr:from>
    <xdr:to>
      <xdr:col>9</xdr:col>
      <xdr:colOff>372803</xdr:colOff>
      <xdr:row>273</xdr:row>
      <xdr:rowOff>31750</xdr:rowOff>
    </xdr:to>
    <xdr:grpSp>
      <xdr:nvGrpSpPr>
        <xdr:cNvPr id="3" name="Group 2"/>
        <xdr:cNvGrpSpPr/>
      </xdr:nvGrpSpPr>
      <xdr:grpSpPr>
        <a:xfrm>
          <a:off x="171450" y="51746150"/>
          <a:ext cx="6487853" cy="8051800"/>
          <a:chOff x="171450" y="52006500"/>
          <a:chExt cx="6487853" cy="8051800"/>
        </a:xfrm>
      </xdr:grpSpPr>
      <xdr:pic>
        <xdr:nvPicPr>
          <xdr:cNvPr id="36" name="Picture 3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471754" y="58434375"/>
            <a:ext cx="1537397" cy="1623925"/>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709748" y="56288495"/>
            <a:ext cx="2733794" cy="2052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21603" y="58434375"/>
            <a:ext cx="1537397" cy="1623925"/>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71450" y="52006500"/>
            <a:ext cx="1537397" cy="2052000"/>
          </a:xfrm>
          <a:prstGeom prst="rect">
            <a:avLst/>
          </a:prstGeom>
          <a:ln>
            <a:solidFill>
              <a:schemeClr val="tx1"/>
            </a:solidFill>
          </a:ln>
        </xdr:spPr>
      </xdr:pic>
      <xdr:pic>
        <xdr:nvPicPr>
          <xdr:cNvPr id="40" name="Picture 39"/>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121906" y="52006500"/>
            <a:ext cx="1537397" cy="2052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1821602" y="52006500"/>
            <a:ext cx="1537397" cy="2052000"/>
          </a:xfrm>
          <a:prstGeom prst="rect">
            <a:avLst/>
          </a:prstGeom>
          <a:ln>
            <a:solidFill>
              <a:schemeClr val="tx1"/>
            </a:solidFill>
          </a:ln>
        </xdr:spPr>
      </xdr:pic>
      <xdr:pic>
        <xdr:nvPicPr>
          <xdr:cNvPr id="42" name="Picture 41"/>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71450" y="54149125"/>
            <a:ext cx="1537397" cy="2052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71754" y="52006500"/>
            <a:ext cx="1537397" cy="2052000"/>
          </a:xfrm>
          <a:prstGeom prst="rect">
            <a:avLst/>
          </a:prstGeom>
          <a:ln>
            <a:solidFill>
              <a:schemeClr val="tx1"/>
            </a:solidFill>
          </a:ln>
        </xdr:spPr>
      </xdr:pic>
      <xdr:pic>
        <xdr:nvPicPr>
          <xdr:cNvPr id="44" name="Picture 4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821602" y="54149125"/>
            <a:ext cx="1537397" cy="2052000"/>
          </a:xfrm>
          <a:prstGeom prst="rect">
            <a:avLst/>
          </a:prstGeom>
          <a:ln>
            <a:solidFill>
              <a:schemeClr val="tx1"/>
            </a:solidFill>
          </a:ln>
        </xdr:spPr>
      </xdr:pic>
      <xdr:pic>
        <xdr:nvPicPr>
          <xdr:cNvPr id="45" name="Picture 4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71754" y="54149125"/>
            <a:ext cx="1537397" cy="2052000"/>
          </a:xfrm>
          <a:prstGeom prst="rect">
            <a:avLst/>
          </a:prstGeom>
          <a:ln>
            <a:solidFill>
              <a:schemeClr val="tx1"/>
            </a:solidFill>
          </a:ln>
        </xdr:spPr>
      </xdr:pic>
      <xdr:pic>
        <xdr:nvPicPr>
          <xdr:cNvPr id="46" name="Picture 4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2059596" y="56288495"/>
            <a:ext cx="1537397" cy="2052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409444" y="56291750"/>
            <a:ext cx="1537397" cy="2052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5121906" y="54149125"/>
            <a:ext cx="1537397" cy="2052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7</xdr:row>
      <xdr:rowOff>0</xdr:rowOff>
    </xdr:from>
    <xdr:to>
      <xdr:col>7</xdr:col>
      <xdr:colOff>377428</xdr:colOff>
      <xdr:row>31</xdr:row>
      <xdr:rowOff>0</xdr:rowOff>
    </xdr:to>
    <xdr:pic>
      <xdr:nvPicPr>
        <xdr:cNvPr id="2" name="Picture 1" descr="G:\Pratu Office\Pratu Office Work\AXIS Apf\March 2021\AXIS29397 - OLD - Ideal Park\insp-53445-922.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504950" y="1333500"/>
          <a:ext cx="3425428" cy="45720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360521</xdr:colOff>
      <xdr:row>19</xdr:row>
      <xdr:rowOff>104775</xdr:rowOff>
    </xdr:to>
    <xdr:pic>
      <xdr:nvPicPr>
        <xdr:cNvPr id="2" name="Picture 1" descr="C:\Users\Owner\Downloads\APF\OLD - IDEAL PARK\insp-35483-919.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477000" y="2286000"/>
          <a:ext cx="1370171" cy="1828800"/>
        </a:xfrm>
        <a:prstGeom prst="rect">
          <a:avLst/>
        </a:prstGeom>
        <a:noFill/>
        <a:ln>
          <a:solidFill>
            <a:schemeClr val="tx1"/>
          </a:solidFill>
        </a:ln>
      </xdr:spPr>
    </xdr:pic>
    <xdr:clientData/>
  </xdr:twoCellAnchor>
  <xdr:twoCellAnchor editAs="oneCell">
    <xdr:from>
      <xdr:col>10</xdr:col>
      <xdr:colOff>514350</xdr:colOff>
      <xdr:row>12</xdr:row>
      <xdr:rowOff>0</xdr:rowOff>
    </xdr:from>
    <xdr:to>
      <xdr:col>12</xdr:col>
      <xdr:colOff>665321</xdr:colOff>
      <xdr:row>19</xdr:row>
      <xdr:rowOff>104775</xdr:rowOff>
    </xdr:to>
    <xdr:pic>
      <xdr:nvPicPr>
        <xdr:cNvPr id="3" name="Picture 2" descr="C:\Users\Owner\Downloads\APF\OLD - IDEAL PARK\insp-35483-922.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01000" y="2286000"/>
          <a:ext cx="1370171" cy="1828800"/>
        </a:xfrm>
        <a:prstGeom prst="rect">
          <a:avLst/>
        </a:prstGeom>
        <a:noFill/>
        <a:ln>
          <a:solidFill>
            <a:schemeClr val="tx1"/>
          </a:solidFill>
        </a:ln>
      </xdr:spPr>
    </xdr:pic>
    <xdr:clientData/>
  </xdr:twoCellAnchor>
  <xdr:twoCellAnchor editAs="oneCell">
    <xdr:from>
      <xdr:col>9</xdr:col>
      <xdr:colOff>0</xdr:colOff>
      <xdr:row>21</xdr:row>
      <xdr:rowOff>48964</xdr:rowOff>
    </xdr:from>
    <xdr:to>
      <xdr:col>10</xdr:col>
      <xdr:colOff>608662</xdr:colOff>
      <xdr:row>32</xdr:row>
      <xdr:rowOff>113464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477000" y="4439989"/>
          <a:ext cx="1618312" cy="2160000"/>
        </a:xfrm>
        <a:prstGeom prst="rect">
          <a:avLst/>
        </a:prstGeom>
        <a:ln>
          <a:solidFill>
            <a:schemeClr val="tx1"/>
          </a:solidFill>
        </a:ln>
      </xdr:spPr>
    </xdr:pic>
    <xdr:clientData/>
  </xdr:twoCellAnchor>
  <xdr:twoCellAnchor editAs="oneCell">
    <xdr:from>
      <xdr:col>11</xdr:col>
      <xdr:colOff>157720</xdr:colOff>
      <xdr:row>21</xdr:row>
      <xdr:rowOff>0</xdr:rowOff>
    </xdr:from>
    <xdr:to>
      <xdr:col>13</xdr:col>
      <xdr:colOff>61532</xdr:colOff>
      <xdr:row>32</xdr:row>
      <xdr:rowOff>64500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8253970" y="4391025"/>
          <a:ext cx="1618312"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20</xdr:row>
      <xdr:rowOff>10054</xdr:rowOff>
    </xdr:from>
    <xdr:to>
      <xdr:col>10</xdr:col>
      <xdr:colOff>608662</xdr:colOff>
      <xdr:row>31</xdr:row>
      <xdr:rowOff>74554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477000" y="4210579"/>
          <a:ext cx="1618312" cy="2160000"/>
        </a:xfrm>
        <a:prstGeom prst="rect">
          <a:avLst/>
        </a:prstGeom>
        <a:ln>
          <a:solidFill>
            <a:schemeClr val="tx1"/>
          </a:solidFill>
        </a:ln>
      </xdr:spPr>
    </xdr:pic>
    <xdr:clientData/>
  </xdr:twoCellAnchor>
  <xdr:twoCellAnchor editAs="oneCell">
    <xdr:from>
      <xdr:col>11</xdr:col>
      <xdr:colOff>303171</xdr:colOff>
      <xdr:row>20</xdr:row>
      <xdr:rowOff>0</xdr:rowOff>
    </xdr:from>
    <xdr:to>
      <xdr:col>16</xdr:col>
      <xdr:colOff>359871</xdr:colOff>
      <xdr:row>34</xdr:row>
      <xdr:rowOff>30187</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rot="16200000">
          <a:off x="8850827" y="3749119"/>
          <a:ext cx="2697187" cy="36000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6</xdr:col>
      <xdr:colOff>200025</xdr:colOff>
      <xdr:row>32</xdr:row>
      <xdr:rowOff>38100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2667000"/>
          <a:ext cx="6505575" cy="3657600"/>
        </a:xfrm>
        <a:prstGeom prst="rect">
          <a:avLst/>
        </a:prstGeom>
        <a:noFill/>
        <a:ln w="9525">
          <a:solidFill>
            <a:schemeClr val="tx1"/>
          </a:solidFill>
          <a:miter lim="800000"/>
          <a:headEnd/>
          <a:tailEnd/>
        </a:ln>
        <a:effectLst/>
      </xdr:spPr>
    </xdr:pic>
    <xdr:clientData/>
  </xdr:twoCellAnchor>
  <xdr:twoCellAnchor editAs="oneCell">
    <xdr:from>
      <xdr:col>1</xdr:col>
      <xdr:colOff>0</xdr:colOff>
      <xdr:row>32</xdr:row>
      <xdr:rowOff>114300</xdr:rowOff>
    </xdr:from>
    <xdr:to>
      <xdr:col>6</xdr:col>
      <xdr:colOff>200025</xdr:colOff>
      <xdr:row>51</xdr:row>
      <xdr:rowOff>152400</xdr:rowOff>
    </xdr:to>
    <xdr:pic>
      <xdr:nvPicPr>
        <xdr:cNvPr id="3" name="Picture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9600" y="6400800"/>
          <a:ext cx="6505575" cy="3657600"/>
        </a:xfrm>
        <a:prstGeom prst="rect">
          <a:avLst/>
        </a:prstGeom>
        <a:noFill/>
        <a:ln w="9525">
          <a:solidFill>
            <a:schemeClr val="tx1"/>
          </a:solidFill>
          <a:miter lim="800000"/>
          <a:headEnd/>
          <a:tailEnd/>
        </a:ln>
        <a:effectLst/>
      </xdr:spPr>
    </xdr:pic>
    <xdr:clientData/>
  </xdr:twoCellAnchor>
  <xdr:twoCellAnchor editAs="oneCell">
    <xdr:from>
      <xdr:col>7</xdr:col>
      <xdr:colOff>47625</xdr:colOff>
      <xdr:row>13</xdr:row>
      <xdr:rowOff>76200</xdr:rowOff>
    </xdr:from>
    <xdr:to>
      <xdr:col>15</xdr:col>
      <xdr:colOff>361951</xdr:colOff>
      <xdr:row>32</xdr:row>
      <xdr:rowOff>114300</xdr:rowOff>
    </xdr:to>
    <xdr:pic>
      <xdr:nvPicPr>
        <xdr:cNvPr id="4" name="Picture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7572375" y="2743200"/>
          <a:ext cx="6505576" cy="3657600"/>
        </a:xfrm>
        <a:prstGeom prst="rect">
          <a:avLst/>
        </a:prstGeom>
        <a:noFill/>
        <a:ln w="9525">
          <a:solidFill>
            <a:schemeClr val="tx1"/>
          </a:solidFill>
          <a:miter lim="800000"/>
          <a:headEnd/>
          <a:tailEnd/>
        </a:ln>
        <a:effectLst/>
      </xdr:spPr>
    </xdr:pic>
    <xdr:clientData/>
  </xdr:twoCellAnchor>
  <xdr:twoCellAnchor editAs="oneCell">
    <xdr:from>
      <xdr:col>6</xdr:col>
      <xdr:colOff>504825</xdr:colOff>
      <xdr:row>33</xdr:row>
      <xdr:rowOff>0</xdr:rowOff>
    </xdr:from>
    <xdr:to>
      <xdr:col>15</xdr:col>
      <xdr:colOff>209550</xdr:colOff>
      <xdr:row>52</xdr:row>
      <xdr:rowOff>38100</xdr:rowOff>
    </xdr:to>
    <xdr:pic>
      <xdr:nvPicPr>
        <xdr:cNvPr id="5" name="Picture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7419975" y="6477000"/>
          <a:ext cx="6505575" cy="3657600"/>
        </a:xfrm>
        <a:prstGeom prst="rect">
          <a:avLst/>
        </a:prstGeom>
        <a:noFill/>
        <a:ln w="9525">
          <a:solidFill>
            <a:schemeClr val="tx1"/>
          </a:solid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2BDjqsggS7eq2t9M6"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5"/>
  <sheetViews>
    <sheetView tabSelected="1" view="pageBreakPreview" topLeftCell="A213" zoomScaleNormal="100" zoomScaleSheetLayoutView="100" zoomScalePageLayoutView="85" workbookViewId="0">
      <selection activeCell="O216" sqref="O216"/>
    </sheetView>
  </sheetViews>
  <sheetFormatPr defaultRowHeight="14.5" x14ac:dyDescent="0.35"/>
  <cols>
    <col min="1" max="1" width="8.7265625" customWidth="1"/>
    <col min="2" max="2" width="12.54296875" customWidth="1"/>
    <col min="3" max="3" width="14.453125" customWidth="1"/>
    <col min="4" max="4" width="8.26953125" customWidth="1"/>
    <col min="5" max="5" width="6.81640625" customWidth="1"/>
    <col min="6" max="6" width="9" customWidth="1"/>
    <col min="7" max="7" width="9.81640625" customWidth="1"/>
    <col min="8" max="9" width="10.1796875" customWidth="1"/>
    <col min="10" max="10" width="7.54296875" customWidth="1"/>
  </cols>
  <sheetData>
    <row r="1" spans="1:13" ht="43.9" customHeight="1" x14ac:dyDescent="0.35">
      <c r="A1" s="84" t="s">
        <v>232</v>
      </c>
      <c r="B1" s="85"/>
      <c r="C1" s="85"/>
      <c r="D1" s="85"/>
      <c r="E1" s="85"/>
      <c r="F1" s="85"/>
      <c r="G1" s="85"/>
      <c r="H1" s="85"/>
      <c r="I1" s="85"/>
      <c r="J1" s="86"/>
    </row>
    <row r="2" spans="1:13" x14ac:dyDescent="0.35">
      <c r="A2" s="87" t="s">
        <v>48</v>
      </c>
      <c r="B2" s="88"/>
      <c r="C2" s="88"/>
      <c r="D2" s="88"/>
      <c r="E2" s="88"/>
      <c r="F2" s="88"/>
      <c r="G2" s="88"/>
      <c r="H2" s="88"/>
      <c r="I2" s="88"/>
      <c r="J2" s="89"/>
    </row>
    <row r="3" spans="1:13" x14ac:dyDescent="0.35">
      <c r="A3" s="90" t="s">
        <v>0</v>
      </c>
      <c r="B3" s="91"/>
      <c r="C3" s="91"/>
      <c r="D3" s="91"/>
      <c r="E3" s="92"/>
      <c r="F3" s="93" t="str">
        <f ca="1">TEXT(TODAY(),"DD/MM/YYYY")</f>
        <v>18/08/2025</v>
      </c>
      <c r="G3" s="94"/>
      <c r="H3" s="94"/>
      <c r="I3" s="94"/>
      <c r="J3" s="95"/>
    </row>
    <row r="4" spans="1:13" x14ac:dyDescent="0.35">
      <c r="A4" s="90" t="s">
        <v>1</v>
      </c>
      <c r="B4" s="91"/>
      <c r="C4" s="91"/>
      <c r="D4" s="91"/>
      <c r="E4" s="92"/>
      <c r="F4" s="96" t="s">
        <v>93</v>
      </c>
      <c r="G4" s="97"/>
      <c r="H4" s="97"/>
      <c r="I4" s="97"/>
      <c r="J4" s="98"/>
    </row>
    <row r="5" spans="1:13" x14ac:dyDescent="0.35">
      <c r="A5" s="90" t="s">
        <v>2</v>
      </c>
      <c r="B5" s="91"/>
      <c r="C5" s="91"/>
      <c r="D5" s="91"/>
      <c r="E5" s="92"/>
      <c r="F5" s="93">
        <v>45880</v>
      </c>
      <c r="G5" s="94"/>
      <c r="H5" s="94"/>
      <c r="I5" s="94"/>
      <c r="J5" s="95"/>
    </row>
    <row r="6" spans="1:13" x14ac:dyDescent="0.35">
      <c r="A6" s="90" t="s">
        <v>3</v>
      </c>
      <c r="B6" s="91"/>
      <c r="C6" s="91"/>
      <c r="D6" s="91"/>
      <c r="E6" s="92"/>
      <c r="F6" s="99" t="s">
        <v>94</v>
      </c>
      <c r="G6" s="100"/>
      <c r="H6" s="100"/>
      <c r="I6" s="100"/>
      <c r="J6" s="101"/>
    </row>
    <row r="7" spans="1:13" ht="15" customHeight="1" x14ac:dyDescent="0.35">
      <c r="A7" s="96" t="s">
        <v>143</v>
      </c>
      <c r="B7" s="91"/>
      <c r="C7" s="91"/>
      <c r="D7" s="91"/>
      <c r="E7" s="92"/>
      <c r="F7" s="99" t="s">
        <v>95</v>
      </c>
      <c r="G7" s="100"/>
      <c r="H7" s="100"/>
      <c r="I7" s="100"/>
      <c r="J7" s="101"/>
      <c r="M7" t="s">
        <v>235</v>
      </c>
    </row>
    <row r="8" spans="1:13" ht="15" customHeight="1" x14ac:dyDescent="0.35">
      <c r="A8" s="96" t="s">
        <v>142</v>
      </c>
      <c r="B8" s="91"/>
      <c r="C8" s="91"/>
      <c r="D8" s="91"/>
      <c r="E8" s="92"/>
      <c r="F8" s="99" t="s">
        <v>144</v>
      </c>
      <c r="G8" s="100"/>
      <c r="H8" s="100"/>
      <c r="I8" s="100"/>
      <c r="J8" s="101"/>
      <c r="M8" t="s">
        <v>236</v>
      </c>
    </row>
    <row r="9" spans="1:13" x14ac:dyDescent="0.35">
      <c r="A9" s="90" t="s">
        <v>4</v>
      </c>
      <c r="B9" s="91"/>
      <c r="C9" s="91"/>
      <c r="D9" s="91"/>
      <c r="E9" s="92"/>
      <c r="F9" s="102" t="s">
        <v>141</v>
      </c>
      <c r="G9" s="97"/>
      <c r="H9" s="97"/>
      <c r="I9" s="97"/>
      <c r="J9" s="98"/>
    </row>
    <row r="10" spans="1:13" ht="73.5" customHeight="1" x14ac:dyDescent="0.35">
      <c r="A10" s="96" t="s">
        <v>116</v>
      </c>
      <c r="B10" s="97"/>
      <c r="C10" s="97"/>
      <c r="D10" s="97"/>
      <c r="E10" s="98"/>
      <c r="F10" s="99" t="s">
        <v>230</v>
      </c>
      <c r="G10" s="97"/>
      <c r="H10" s="97"/>
      <c r="I10" s="97"/>
      <c r="J10" s="98"/>
    </row>
    <row r="11" spans="1:13" x14ac:dyDescent="0.35">
      <c r="A11" s="90" t="s">
        <v>5</v>
      </c>
      <c r="B11" s="91"/>
      <c r="C11" s="91"/>
      <c r="D11" s="91"/>
      <c r="E11" s="92"/>
      <c r="F11" s="96" t="s">
        <v>50</v>
      </c>
      <c r="G11" s="97"/>
      <c r="H11" s="97"/>
      <c r="I11" s="97"/>
      <c r="J11" s="98"/>
    </row>
    <row r="12" spans="1:13" ht="60.65" customHeight="1" x14ac:dyDescent="0.35">
      <c r="A12" s="96" t="s">
        <v>225</v>
      </c>
      <c r="B12" s="91"/>
      <c r="C12" s="91"/>
      <c r="D12" s="91"/>
      <c r="E12" s="92"/>
      <c r="F12" s="99" t="s">
        <v>241</v>
      </c>
      <c r="G12" s="97"/>
      <c r="H12" s="97"/>
      <c r="I12" s="97"/>
      <c r="J12" s="98"/>
    </row>
    <row r="13" spans="1:13" x14ac:dyDescent="0.35">
      <c r="A13" s="104" t="s">
        <v>71</v>
      </c>
      <c r="B13" s="104"/>
      <c r="C13" s="96" t="s">
        <v>145</v>
      </c>
      <c r="D13" s="97"/>
      <c r="E13" s="97"/>
      <c r="F13" s="97"/>
      <c r="G13" s="98"/>
      <c r="H13" s="2" t="s">
        <v>72</v>
      </c>
      <c r="I13" s="104" t="s">
        <v>146</v>
      </c>
      <c r="J13" s="104"/>
    </row>
    <row r="14" spans="1:13" ht="32.25" customHeight="1" x14ac:dyDescent="0.35">
      <c r="A14" s="104" t="s">
        <v>73</v>
      </c>
      <c r="B14" s="104"/>
      <c r="C14" s="99" t="s">
        <v>153</v>
      </c>
      <c r="D14" s="100"/>
      <c r="E14" s="100"/>
      <c r="F14" s="100"/>
      <c r="G14" s="100"/>
      <c r="H14" s="100"/>
      <c r="I14" s="100"/>
      <c r="J14" s="101"/>
    </row>
    <row r="15" spans="1:13" ht="15.75" customHeight="1" x14ac:dyDescent="0.35">
      <c r="A15" s="33" t="s">
        <v>97</v>
      </c>
      <c r="B15" s="96" t="s">
        <v>98</v>
      </c>
      <c r="C15" s="97"/>
      <c r="D15" s="98"/>
      <c r="E15" s="33" t="s">
        <v>45</v>
      </c>
      <c r="F15" s="31" t="s">
        <v>58</v>
      </c>
      <c r="G15" s="3" t="s">
        <v>74</v>
      </c>
      <c r="H15" s="103" t="s">
        <v>99</v>
      </c>
      <c r="I15" s="103"/>
      <c r="J15" s="103"/>
    </row>
    <row r="16" spans="1:13" x14ac:dyDescent="0.35">
      <c r="A16" s="1" t="s">
        <v>6</v>
      </c>
      <c r="B16" s="96" t="s">
        <v>100</v>
      </c>
      <c r="C16" s="97"/>
      <c r="D16" s="97"/>
      <c r="E16" s="98"/>
      <c r="F16" s="2" t="s">
        <v>75</v>
      </c>
      <c r="G16" s="96" t="s">
        <v>101</v>
      </c>
      <c r="H16" s="97"/>
      <c r="I16" s="97"/>
      <c r="J16" s="98"/>
    </row>
    <row r="17" spans="1:10" x14ac:dyDescent="0.35">
      <c r="A17" s="1" t="s">
        <v>7</v>
      </c>
      <c r="B17" s="96" t="s">
        <v>101</v>
      </c>
      <c r="C17" s="97"/>
      <c r="D17" s="97"/>
      <c r="E17" s="98"/>
      <c r="F17" s="2" t="s">
        <v>76</v>
      </c>
      <c r="G17" s="96" t="s">
        <v>102</v>
      </c>
      <c r="H17" s="97"/>
      <c r="I17" s="97"/>
      <c r="J17" s="98"/>
    </row>
    <row r="18" spans="1:10" ht="32.25" customHeight="1" x14ac:dyDescent="0.35">
      <c r="A18" s="104" t="s">
        <v>77</v>
      </c>
      <c r="B18" s="104"/>
      <c r="C18" s="104" t="s">
        <v>103</v>
      </c>
      <c r="D18" s="104"/>
      <c r="E18" s="104"/>
      <c r="F18" s="120" t="s">
        <v>60</v>
      </c>
      <c r="G18" s="120"/>
      <c r="H18" s="121" t="s">
        <v>107</v>
      </c>
      <c r="I18" s="121"/>
      <c r="J18" s="122"/>
    </row>
    <row r="19" spans="1:10" ht="15" customHeight="1" x14ac:dyDescent="0.35">
      <c r="A19" s="111" t="s">
        <v>62</v>
      </c>
      <c r="B19" s="112"/>
      <c r="C19" s="112"/>
      <c r="D19" s="112"/>
      <c r="E19" s="113"/>
      <c r="F19" s="123" t="s">
        <v>70</v>
      </c>
      <c r="G19" s="124"/>
      <c r="H19" s="124"/>
      <c r="I19" s="124"/>
      <c r="J19" s="125"/>
    </row>
    <row r="20" spans="1:10" x14ac:dyDescent="0.35">
      <c r="A20" s="114"/>
      <c r="B20" s="115"/>
      <c r="C20" s="115"/>
      <c r="D20" s="115"/>
      <c r="E20" s="116"/>
      <c r="F20" s="126"/>
      <c r="G20" s="127"/>
      <c r="H20" s="127"/>
      <c r="I20" s="127"/>
      <c r="J20" s="128"/>
    </row>
    <row r="21" spans="1:10" ht="15" customHeight="1" x14ac:dyDescent="0.35">
      <c r="A21" s="105" t="s">
        <v>8</v>
      </c>
      <c r="B21" s="106"/>
      <c r="C21" s="106"/>
      <c r="D21" s="106"/>
      <c r="E21" s="107"/>
      <c r="F21" s="111" t="s">
        <v>51</v>
      </c>
      <c r="G21" s="112"/>
      <c r="H21" s="112"/>
      <c r="I21" s="112"/>
      <c r="J21" s="113"/>
    </row>
    <row r="22" spans="1:10" x14ac:dyDescent="0.35">
      <c r="A22" s="108"/>
      <c r="B22" s="109"/>
      <c r="C22" s="109"/>
      <c r="D22" s="109"/>
      <c r="E22" s="110"/>
      <c r="F22" s="114"/>
      <c r="G22" s="115"/>
      <c r="H22" s="115"/>
      <c r="I22" s="115"/>
      <c r="J22" s="116"/>
    </row>
    <row r="23" spans="1:10" x14ac:dyDescent="0.35">
      <c r="A23" s="90" t="s">
        <v>9</v>
      </c>
      <c r="B23" s="91"/>
      <c r="C23" s="91"/>
      <c r="D23" s="91"/>
      <c r="E23" s="92"/>
      <c r="F23" s="117" t="s">
        <v>92</v>
      </c>
      <c r="G23" s="118"/>
      <c r="H23" s="118"/>
      <c r="I23" s="118"/>
      <c r="J23" s="119"/>
    </row>
    <row r="24" spans="1:10" x14ac:dyDescent="0.35">
      <c r="A24" s="90" t="s">
        <v>10</v>
      </c>
      <c r="B24" s="91"/>
      <c r="C24" s="91"/>
      <c r="D24" s="91"/>
      <c r="E24" s="92"/>
      <c r="F24" s="117" t="s">
        <v>61</v>
      </c>
      <c r="G24" s="118"/>
      <c r="H24" s="118"/>
      <c r="I24" s="118"/>
      <c r="J24" s="119"/>
    </row>
    <row r="25" spans="1:10" x14ac:dyDescent="0.35">
      <c r="A25" s="90" t="s">
        <v>11</v>
      </c>
      <c r="B25" s="91"/>
      <c r="C25" s="91"/>
      <c r="D25" s="91"/>
      <c r="E25" s="92"/>
      <c r="F25" s="117" t="s">
        <v>52</v>
      </c>
      <c r="G25" s="118"/>
      <c r="H25" s="118"/>
      <c r="I25" s="118"/>
      <c r="J25" s="119"/>
    </row>
    <row r="26" spans="1:10" x14ac:dyDescent="0.35">
      <c r="A26" s="90" t="s">
        <v>29</v>
      </c>
      <c r="B26" s="91"/>
      <c r="C26" s="91"/>
      <c r="D26" s="91"/>
      <c r="E26" s="92"/>
      <c r="F26" s="117" t="s">
        <v>78</v>
      </c>
      <c r="G26" s="129"/>
      <c r="H26" s="129"/>
      <c r="I26" s="129"/>
      <c r="J26" s="130"/>
    </row>
    <row r="27" spans="1:10" x14ac:dyDescent="0.35">
      <c r="A27" s="131" t="s">
        <v>12</v>
      </c>
      <c r="B27" s="132"/>
      <c r="C27" s="131" t="s">
        <v>13</v>
      </c>
      <c r="D27" s="132"/>
      <c r="E27" s="133" t="s">
        <v>14</v>
      </c>
      <c r="F27" s="132"/>
      <c r="G27" s="133" t="s">
        <v>59</v>
      </c>
      <c r="H27" s="134"/>
      <c r="I27" s="131" t="s">
        <v>15</v>
      </c>
      <c r="J27" s="132"/>
    </row>
    <row r="28" spans="1:10" x14ac:dyDescent="0.35">
      <c r="A28" s="133" t="s">
        <v>16</v>
      </c>
      <c r="B28" s="134"/>
      <c r="C28" s="133" t="s">
        <v>58</v>
      </c>
      <c r="D28" s="134"/>
      <c r="E28" s="133" t="s">
        <v>58</v>
      </c>
      <c r="F28" s="134"/>
      <c r="G28" s="133" t="s">
        <v>58</v>
      </c>
      <c r="H28" s="134"/>
      <c r="I28" s="133" t="s">
        <v>58</v>
      </c>
      <c r="J28" s="134"/>
    </row>
    <row r="29" spans="1:10" x14ac:dyDescent="0.35">
      <c r="A29" s="135" t="s">
        <v>17</v>
      </c>
      <c r="B29" s="136"/>
      <c r="C29" s="133" t="s">
        <v>106</v>
      </c>
      <c r="D29" s="134"/>
      <c r="E29" s="133" t="s">
        <v>105</v>
      </c>
      <c r="F29" s="134"/>
      <c r="G29" s="133" t="s">
        <v>106</v>
      </c>
      <c r="H29" s="134"/>
      <c r="I29" s="133" t="s">
        <v>106</v>
      </c>
      <c r="J29" s="134"/>
    </row>
    <row r="30" spans="1:10" x14ac:dyDescent="0.35">
      <c r="A30" s="96" t="s">
        <v>67</v>
      </c>
      <c r="B30" s="97"/>
      <c r="C30" s="97"/>
      <c r="D30" s="97"/>
      <c r="E30" s="97"/>
      <c r="F30" s="97"/>
      <c r="G30" s="97"/>
      <c r="H30" s="97"/>
      <c r="I30" s="97"/>
      <c r="J30" s="98"/>
    </row>
    <row r="31" spans="1:10" x14ac:dyDescent="0.35">
      <c r="A31" s="96" t="s">
        <v>53</v>
      </c>
      <c r="B31" s="97"/>
      <c r="C31" s="97"/>
      <c r="D31" s="97"/>
      <c r="E31" s="97"/>
      <c r="F31" s="97"/>
      <c r="G31" s="97"/>
      <c r="H31" s="97"/>
      <c r="I31" s="97"/>
      <c r="J31" s="98"/>
    </row>
    <row r="32" spans="1:10" x14ac:dyDescent="0.35">
      <c r="A32" s="66" t="s">
        <v>44</v>
      </c>
      <c r="B32" s="68"/>
      <c r="C32" s="96" t="s">
        <v>244</v>
      </c>
      <c r="D32" s="97"/>
      <c r="E32" s="97"/>
      <c r="F32" s="97"/>
      <c r="G32" s="97"/>
      <c r="H32" s="97"/>
      <c r="I32" s="97"/>
      <c r="J32" s="98"/>
    </row>
    <row r="33" spans="1:10" x14ac:dyDescent="0.35">
      <c r="A33" s="66" t="s">
        <v>233</v>
      </c>
      <c r="B33" s="68"/>
      <c r="C33" s="198" t="s">
        <v>243</v>
      </c>
      <c r="D33" s="97"/>
      <c r="E33" s="97"/>
      <c r="F33" s="97"/>
      <c r="G33" s="97"/>
      <c r="H33" s="97"/>
      <c r="I33" s="97"/>
      <c r="J33" s="98"/>
    </row>
    <row r="34" spans="1:10" x14ac:dyDescent="0.35">
      <c r="A34" s="137" t="s">
        <v>18</v>
      </c>
      <c r="B34" s="137"/>
      <c r="C34" s="137"/>
      <c r="D34" s="137"/>
      <c r="E34" s="137"/>
      <c r="F34" s="137"/>
      <c r="G34" s="137"/>
      <c r="H34" s="137"/>
      <c r="I34" s="137"/>
      <c r="J34" s="137"/>
    </row>
    <row r="35" spans="1:10" ht="15" customHeight="1" x14ac:dyDescent="0.35">
      <c r="A35" s="120" t="s">
        <v>104</v>
      </c>
      <c r="B35" s="120"/>
      <c r="C35" s="120"/>
      <c r="D35" s="120"/>
      <c r="E35" s="120"/>
      <c r="F35" s="120"/>
      <c r="G35" s="120"/>
      <c r="H35" s="120"/>
      <c r="I35" s="120"/>
      <c r="J35" s="120"/>
    </row>
    <row r="36" spans="1:10" x14ac:dyDescent="0.35">
      <c r="A36" s="120"/>
      <c r="B36" s="120"/>
      <c r="C36" s="120"/>
      <c r="D36" s="120"/>
      <c r="E36" s="120"/>
      <c r="F36" s="120"/>
      <c r="G36" s="120"/>
      <c r="H36" s="120"/>
      <c r="I36" s="120"/>
      <c r="J36" s="120"/>
    </row>
    <row r="37" spans="1:10" ht="16.5" customHeight="1" x14ac:dyDescent="0.35">
      <c r="A37" s="104" t="s">
        <v>79</v>
      </c>
      <c r="B37" s="138"/>
      <c r="C37" s="138"/>
      <c r="D37" s="138"/>
      <c r="E37" s="138"/>
      <c r="F37" s="139">
        <v>12311.44</v>
      </c>
      <c r="G37" s="139"/>
      <c r="H37" s="139"/>
      <c r="I37" s="139"/>
      <c r="J37" s="139"/>
    </row>
    <row r="38" spans="1:10" x14ac:dyDescent="0.35">
      <c r="A38" s="138" t="s">
        <v>19</v>
      </c>
      <c r="B38" s="138"/>
      <c r="C38" s="138"/>
      <c r="D38" s="138"/>
      <c r="E38" s="138"/>
      <c r="F38" s="140">
        <v>0.9</v>
      </c>
      <c r="G38" s="140"/>
      <c r="H38" s="140"/>
      <c r="I38" s="140"/>
      <c r="J38" s="140"/>
    </row>
    <row r="39" spans="1:10" x14ac:dyDescent="0.35">
      <c r="A39" s="138" t="s">
        <v>20</v>
      </c>
      <c r="B39" s="138"/>
      <c r="C39" s="138"/>
      <c r="D39" s="138"/>
      <c r="E39" s="138"/>
      <c r="F39" s="140">
        <v>0</v>
      </c>
      <c r="G39" s="140"/>
      <c r="H39" s="140"/>
      <c r="I39" s="140"/>
      <c r="J39" s="140"/>
    </row>
    <row r="40" spans="1:10" x14ac:dyDescent="0.35">
      <c r="A40" s="138" t="s">
        <v>21</v>
      </c>
      <c r="B40" s="138"/>
      <c r="C40" s="138"/>
      <c r="D40" s="138"/>
      <c r="E40" s="138"/>
      <c r="F40" s="140">
        <f>F38+F39</f>
        <v>0.9</v>
      </c>
      <c r="G40" s="140"/>
      <c r="H40" s="140"/>
      <c r="I40" s="140"/>
      <c r="J40" s="140"/>
    </row>
    <row r="41" spans="1:10" x14ac:dyDescent="0.35">
      <c r="A41" s="96" t="s">
        <v>80</v>
      </c>
      <c r="B41" s="91"/>
      <c r="C41" s="91"/>
      <c r="D41" s="91"/>
      <c r="E41" s="92"/>
      <c r="F41" s="143">
        <f>F37*F40</f>
        <v>11080.296</v>
      </c>
      <c r="G41" s="144"/>
      <c r="H41" s="144"/>
      <c r="I41" s="144"/>
      <c r="J41" s="145"/>
    </row>
    <row r="42" spans="1:10" x14ac:dyDescent="0.35">
      <c r="A42" s="90" t="s">
        <v>22</v>
      </c>
      <c r="B42" s="91"/>
      <c r="C42" s="91"/>
      <c r="D42" s="91"/>
      <c r="E42" s="92"/>
      <c r="F42" s="96" t="s">
        <v>234</v>
      </c>
      <c r="G42" s="97"/>
      <c r="H42" s="97"/>
      <c r="I42" s="97"/>
      <c r="J42" s="98"/>
    </row>
    <row r="43" spans="1:10" x14ac:dyDescent="0.35">
      <c r="A43" s="102" t="s">
        <v>82</v>
      </c>
      <c r="B43" s="141"/>
      <c r="C43" s="141"/>
      <c r="D43" s="141"/>
      <c r="E43" s="141"/>
      <c r="F43" s="141"/>
      <c r="G43" s="141"/>
      <c r="H43" s="141"/>
      <c r="I43" s="141"/>
      <c r="J43" s="142"/>
    </row>
    <row r="44" spans="1:10" ht="16.5" customHeight="1" x14ac:dyDescent="0.35">
      <c r="A44" s="103" t="s">
        <v>81</v>
      </c>
      <c r="B44" s="103"/>
      <c r="C44" s="96" t="str">
        <f>C13</f>
        <v>MHSL/K.1/MJ.1/NAP/SR/229/17</v>
      </c>
      <c r="D44" s="97"/>
      <c r="E44" s="97"/>
      <c r="F44" s="98"/>
      <c r="G44" s="2" t="s">
        <v>72</v>
      </c>
      <c r="H44" s="96" t="str">
        <f>H47</f>
        <v>22/03/2019.</v>
      </c>
      <c r="I44" s="97"/>
      <c r="J44" s="98"/>
    </row>
    <row r="45" spans="1:10" ht="30.75" customHeight="1" x14ac:dyDescent="0.35">
      <c r="A45" s="99" t="s">
        <v>154</v>
      </c>
      <c r="B45" s="101"/>
      <c r="C45" s="99" t="s">
        <v>150</v>
      </c>
      <c r="D45" s="97"/>
      <c r="E45" s="97"/>
      <c r="F45" s="98"/>
      <c r="G45" s="2" t="s">
        <v>72</v>
      </c>
      <c r="H45" s="96" t="s">
        <v>96</v>
      </c>
      <c r="I45" s="97"/>
      <c r="J45" s="98"/>
    </row>
    <row r="46" spans="1:10" ht="45" customHeight="1" x14ac:dyDescent="0.35">
      <c r="A46" s="99" t="s">
        <v>149</v>
      </c>
      <c r="B46" s="101"/>
      <c r="C46" s="99" t="s">
        <v>151</v>
      </c>
      <c r="D46" s="97"/>
      <c r="E46" s="97"/>
      <c r="F46" s="98"/>
      <c r="G46" s="2" t="s">
        <v>72</v>
      </c>
      <c r="H46" s="96" t="str">
        <f>H47</f>
        <v>22/03/2019.</v>
      </c>
      <c r="I46" s="97"/>
      <c r="J46" s="98"/>
    </row>
    <row r="47" spans="1:10" ht="60" customHeight="1" x14ac:dyDescent="0.35">
      <c r="A47" s="99" t="s">
        <v>155</v>
      </c>
      <c r="B47" s="101"/>
      <c r="C47" s="99" t="s">
        <v>188</v>
      </c>
      <c r="D47" s="100"/>
      <c r="E47" s="100"/>
      <c r="F47" s="101"/>
      <c r="G47" s="2" t="s">
        <v>72</v>
      </c>
      <c r="H47" s="96" t="s">
        <v>146</v>
      </c>
      <c r="I47" s="97"/>
      <c r="J47" s="98"/>
    </row>
    <row r="48" spans="1:10" x14ac:dyDescent="0.35">
      <c r="A48" s="99" t="s">
        <v>54</v>
      </c>
      <c r="B48" s="101"/>
      <c r="C48" s="99" t="s">
        <v>58</v>
      </c>
      <c r="D48" s="100"/>
      <c r="E48" s="100"/>
      <c r="F48" s="101" t="s">
        <v>55</v>
      </c>
      <c r="G48" s="2" t="s">
        <v>72</v>
      </c>
      <c r="H48" s="96" t="s">
        <v>58</v>
      </c>
      <c r="I48" s="97" t="s">
        <v>63</v>
      </c>
      <c r="J48" s="98"/>
    </row>
    <row r="49" spans="1:13" ht="32.5" customHeight="1" x14ac:dyDescent="0.35">
      <c r="A49" s="104" t="s">
        <v>88</v>
      </c>
      <c r="B49" s="104"/>
      <c r="C49" s="104"/>
      <c r="D49" s="155" t="str">
        <f>H47</f>
        <v>22/03/2019.</v>
      </c>
      <c r="E49" s="155"/>
      <c r="F49" s="155" t="s">
        <v>83</v>
      </c>
      <c r="G49" s="188"/>
      <c r="H49" s="189" t="s">
        <v>242</v>
      </c>
      <c r="I49" s="97"/>
      <c r="J49" s="98"/>
    </row>
    <row r="50" spans="1:13" x14ac:dyDescent="0.35">
      <c r="A50" s="151" t="s">
        <v>23</v>
      </c>
      <c r="B50" s="152"/>
      <c r="C50" s="152"/>
      <c r="D50" s="152"/>
      <c r="E50" s="152"/>
      <c r="F50" s="152"/>
      <c r="G50" s="152"/>
      <c r="H50" s="152"/>
      <c r="I50" s="152"/>
      <c r="J50" s="153"/>
    </row>
    <row r="51" spans="1:13" ht="29.25" customHeight="1" x14ac:dyDescent="0.35">
      <c r="A51" s="96" t="s">
        <v>91</v>
      </c>
      <c r="B51" s="97"/>
      <c r="C51" s="98"/>
      <c r="D51" s="133">
        <f>F41</f>
        <v>11080.296</v>
      </c>
      <c r="E51" s="134"/>
      <c r="F51" s="187" t="s">
        <v>84</v>
      </c>
      <c r="G51" s="122"/>
      <c r="H51" s="187" t="s">
        <v>231</v>
      </c>
      <c r="I51" s="121"/>
      <c r="J51" s="122"/>
    </row>
    <row r="52" spans="1:13" ht="31.5" customHeight="1" x14ac:dyDescent="0.35">
      <c r="A52" s="96" t="s">
        <v>85</v>
      </c>
      <c r="B52" s="97"/>
      <c r="C52" s="99" t="s">
        <v>189</v>
      </c>
      <c r="D52" s="100"/>
      <c r="E52" s="100"/>
      <c r="F52" s="100"/>
      <c r="G52" s="100"/>
      <c r="H52" s="100"/>
      <c r="I52" s="100"/>
      <c r="J52" s="101"/>
    </row>
    <row r="53" spans="1:13" ht="30" customHeight="1" x14ac:dyDescent="0.35">
      <c r="A53" s="155" t="s">
        <v>139</v>
      </c>
      <c r="B53" s="155"/>
      <c r="C53" s="100" t="s">
        <v>240</v>
      </c>
      <c r="D53" s="100"/>
      <c r="E53" s="100"/>
      <c r="F53" s="100"/>
      <c r="G53" s="100"/>
      <c r="H53" s="100"/>
      <c r="I53" s="100"/>
      <c r="J53" s="101"/>
    </row>
    <row r="54" spans="1:13" x14ac:dyDescent="0.35">
      <c r="A54" s="96" t="s">
        <v>56</v>
      </c>
      <c r="B54" s="97"/>
      <c r="C54" s="97"/>
      <c r="D54" s="97"/>
      <c r="E54" s="98"/>
      <c r="F54" s="99" t="s">
        <v>226</v>
      </c>
      <c r="G54" s="100"/>
      <c r="H54" s="100"/>
      <c r="I54" s="100"/>
      <c r="J54" s="101"/>
    </row>
    <row r="55" spans="1:13" ht="15" thickBot="1" x14ac:dyDescent="0.4">
      <c r="A55" s="104" t="s">
        <v>64</v>
      </c>
      <c r="B55" s="104"/>
      <c r="C55" s="104"/>
      <c r="D55" s="104"/>
      <c r="E55" s="104"/>
      <c r="F55" s="104"/>
      <c r="G55" s="104"/>
      <c r="H55" s="104"/>
      <c r="I55" s="104"/>
      <c r="J55" s="104"/>
    </row>
    <row r="56" spans="1:13" ht="15.5" x14ac:dyDescent="0.35">
      <c r="A56" s="146" t="s">
        <v>190</v>
      </c>
      <c r="B56" s="147"/>
      <c r="C56" s="148" t="s">
        <v>238</v>
      </c>
      <c r="D56" s="148"/>
      <c r="E56" s="148"/>
      <c r="F56" s="148"/>
      <c r="G56" s="148"/>
      <c r="H56" s="148"/>
      <c r="I56" s="148"/>
      <c r="J56" s="149"/>
      <c r="K56" s="22" t="str">
        <f ca="1">(IF(C60=0,"Work not yet Started.",IF(D60=25%,"Piling work in process",IF(D60=50%,"Excavation work in process",IF(D60=100%,"Excavation work completed, ","0")))&amp;(IF(C61=0%,"",IF(C61=M62,"Footing work is process",IF(C61=M63,"Footing work Completed",IF(C61=M64,"1st Basement Completed",IF(C61=M65,"1st &amp; 2nd Basement Completed",IF(C61=M66,"1st to 3rd Basement Completed",IF(C61=M67,"1st to 4th Basement Completed",IF(C61=M68,"Plinth work is process",IF(C61=M69,"Plinth work completed","0")))))))))))&amp;(IF(C62&gt;0,", RCC upto "&amp;C62&amp;" Slab completed",""))&amp;(IF(C63&gt;0,", Brickwork upto "&amp;C63&amp;" Floor completed"," "))&amp;(IF(C64&gt;0,", Internal Plaster upto "&amp;C64&amp;" Floor completed"," "))&amp;(IF(C65&gt;0,", External Plaster upto "&amp;C65&amp;" Floor completed"," "))&amp;(IF(C66&gt;0,", Flooring upto "&amp;C66&amp;" Floor completed"," "))&amp;(IF(C67&gt;0,", Painting upto "&amp;C67&amp;" Floor completed"," "))&amp;(IF(C68&gt;0,", Finishing upto "&amp;C68&amp;" Floor completed"," ")))</f>
        <v xml:space="preserve">Excavation work completed, Plinth work completed, RCC upto 6 Slab completed, Brickwork upto 4 Floor completed, Internal Plaster upto 3 Floor completed, External Plaster upto 2 Floor completed, Flooring upto 2 Floor completed  </v>
      </c>
      <c r="L56" s="22"/>
      <c r="M56" s="34"/>
    </row>
    <row r="57" spans="1:13" ht="15.5" x14ac:dyDescent="0.35">
      <c r="A57" s="56" t="s">
        <v>191</v>
      </c>
      <c r="B57" s="55">
        <v>0</v>
      </c>
      <c r="C57" s="55" t="s">
        <v>192</v>
      </c>
      <c r="D57" s="55">
        <v>1</v>
      </c>
      <c r="E57" s="55" t="s">
        <v>193</v>
      </c>
      <c r="F57" s="150">
        <v>0</v>
      </c>
      <c r="G57" s="150"/>
      <c r="H57" s="55" t="s">
        <v>194</v>
      </c>
      <c r="I57" s="150">
        <f ca="1">--TRIM(RIGHT(SUBSTITUTE(LEFT(C56,_xlfn.AGGREGATE(16,6,FIND({0,1,2,3,4,5,6,7,8,9},C56,ROW(INDIRECT("1:"&amp;LEN(C56)))),1))," ",REPT(" ",LEN(C56))),LEN(C56)))</f>
        <v>5</v>
      </c>
      <c r="J57" s="154"/>
      <c r="K57" s="24" t="s">
        <v>195</v>
      </c>
      <c r="L57" s="24"/>
      <c r="M57" s="35"/>
    </row>
    <row r="58" spans="1:13" ht="48" customHeight="1" x14ac:dyDescent="0.35">
      <c r="A58" s="157" t="s">
        <v>196</v>
      </c>
      <c r="B58" s="157"/>
      <c r="C58" s="158" t="str">
        <f ca="1">K56</f>
        <v xml:space="preserve">Excavation work completed, Plinth work completed, RCC upto 6 Slab completed, Brickwork upto 4 Floor completed, Internal Plaster upto 3 Floor completed, External Plaster upto 2 Floor completed, Flooring upto 2 Floor completed  </v>
      </c>
      <c r="D58" s="158"/>
      <c r="E58" s="158"/>
      <c r="F58" s="158"/>
      <c r="G58" s="158"/>
      <c r="H58" s="158"/>
      <c r="I58" s="158"/>
      <c r="J58" s="158"/>
      <c r="K58" s="24" t="s">
        <v>197</v>
      </c>
      <c r="L58" s="24"/>
      <c r="M58" s="35"/>
    </row>
    <row r="59" spans="1:13" ht="15.5" x14ac:dyDescent="0.35">
      <c r="A59" s="173" t="s">
        <v>35</v>
      </c>
      <c r="B59" s="173"/>
      <c r="C59" s="58" t="s">
        <v>198</v>
      </c>
      <c r="D59" s="173" t="s">
        <v>199</v>
      </c>
      <c r="E59" s="173"/>
      <c r="F59" s="173" t="s">
        <v>200</v>
      </c>
      <c r="G59" s="173"/>
      <c r="H59" s="173" t="s">
        <v>201</v>
      </c>
      <c r="I59" s="173"/>
      <c r="J59" s="173"/>
      <c r="K59" s="25" t="s">
        <v>202</v>
      </c>
      <c r="L59" s="36"/>
      <c r="M59" s="37">
        <f ca="1">I57*25%</f>
        <v>1.25</v>
      </c>
    </row>
    <row r="60" spans="1:13" ht="15.5" x14ac:dyDescent="0.35">
      <c r="A60" s="173" t="s">
        <v>203</v>
      </c>
      <c r="B60" s="173"/>
      <c r="C60" s="38">
        <f ca="1">M61</f>
        <v>5</v>
      </c>
      <c r="D60" s="175">
        <f ca="1">((100/I57)*C60)/100</f>
        <v>1</v>
      </c>
      <c r="E60" s="175"/>
      <c r="F60" s="175">
        <f ca="1">(IF(C58=K57,"100%",IF(C58=K58,"100%",(((C61/I57*10)+(40/(D57+F57+I57)*C62)+(7.5/(I57)*C63)+(7.5/(I57)*C64)+(10/I57*C65)+(10/I57*C66)+(5/I57*C67)+(5/I57*C68)+(5/I57*C69))/100))))</f>
        <v>0.68500000000000005</v>
      </c>
      <c r="G60" s="175"/>
      <c r="H60" s="175">
        <f ca="1">((((C60/I57)*20)+((C61/I57)*25)+(30/(I57+F57+D57)*C62)+(5/I57*C63)+(5/I57*C64)+(5/I57*C65)+(5/I57*C66)+(0/I57*C67)+(0/I57*C68)+(5/I57*C69))/100)</f>
        <v>0.86</v>
      </c>
      <c r="I60" s="175"/>
      <c r="J60" s="175"/>
      <c r="K60" s="25" t="s">
        <v>204</v>
      </c>
      <c r="L60" s="39"/>
      <c r="M60" s="40">
        <f ca="1">I57*50%</f>
        <v>2.5</v>
      </c>
    </row>
    <row r="61" spans="1:13" ht="15.5" x14ac:dyDescent="0.35">
      <c r="A61" s="173" t="s">
        <v>36</v>
      </c>
      <c r="B61" s="173"/>
      <c r="C61" s="41">
        <f ca="1">M69</f>
        <v>5</v>
      </c>
      <c r="D61" s="175">
        <f ca="1">((100/I57)*C61)/100</f>
        <v>1</v>
      </c>
      <c r="E61" s="175"/>
      <c r="F61" s="175"/>
      <c r="G61" s="175"/>
      <c r="H61" s="175"/>
      <c r="I61" s="175"/>
      <c r="J61" s="175"/>
      <c r="K61" s="25" t="s">
        <v>205</v>
      </c>
      <c r="L61" s="39"/>
      <c r="M61" s="40">
        <f ca="1">I57</f>
        <v>5</v>
      </c>
    </row>
    <row r="62" spans="1:13" ht="15.5" x14ac:dyDescent="0.35">
      <c r="A62" s="173" t="s">
        <v>224</v>
      </c>
      <c r="B62" s="173"/>
      <c r="C62" s="41">
        <v>6</v>
      </c>
      <c r="D62" s="175">
        <f ca="1">((100/(D57+F57+I57))*C62)/100</f>
        <v>1</v>
      </c>
      <c r="E62" s="175"/>
      <c r="F62" s="175"/>
      <c r="G62" s="175"/>
      <c r="H62" s="175"/>
      <c r="I62" s="175"/>
      <c r="J62" s="175"/>
      <c r="K62" s="25" t="s">
        <v>206</v>
      </c>
      <c r="L62" s="39"/>
      <c r="M62" s="42">
        <f ca="1">(IF(B57=0,I57/4,(I57/(B57+4))))</f>
        <v>1.25</v>
      </c>
    </row>
    <row r="63" spans="1:13" ht="15.5" x14ac:dyDescent="0.35">
      <c r="A63" s="173" t="s">
        <v>207</v>
      </c>
      <c r="B63" s="173" t="s">
        <v>208</v>
      </c>
      <c r="C63" s="38">
        <v>4</v>
      </c>
      <c r="D63" s="175">
        <f ca="1">((100/I57)*C63)/100</f>
        <v>0.8</v>
      </c>
      <c r="E63" s="175"/>
      <c r="F63" s="175"/>
      <c r="G63" s="175"/>
      <c r="H63" s="175"/>
      <c r="I63" s="175"/>
      <c r="J63" s="175"/>
      <c r="K63" s="25" t="s">
        <v>209</v>
      </c>
      <c r="L63" s="39"/>
      <c r="M63" s="42">
        <f ca="1">(IF(B57=0,I57/4+M62,(I57/(B57+4)+M62)))</f>
        <v>2.5</v>
      </c>
    </row>
    <row r="64" spans="1:13" ht="15.5" x14ac:dyDescent="0.35">
      <c r="A64" s="173" t="s">
        <v>210</v>
      </c>
      <c r="B64" s="173" t="s">
        <v>208</v>
      </c>
      <c r="C64" s="38">
        <v>3</v>
      </c>
      <c r="D64" s="175">
        <f ca="1">((100/I57)*C64)/100</f>
        <v>0.6</v>
      </c>
      <c r="E64" s="175"/>
      <c r="F64" s="175"/>
      <c r="G64" s="175"/>
      <c r="H64" s="175"/>
      <c r="I64" s="175"/>
      <c r="J64" s="175"/>
      <c r="K64" s="25" t="s">
        <v>211</v>
      </c>
      <c r="L64" s="9"/>
      <c r="M64" s="42">
        <f>(IF(B57=0,0,(I57/(B57+4)+M63)))</f>
        <v>0</v>
      </c>
    </row>
    <row r="65" spans="1:13" ht="15.5" x14ac:dyDescent="0.35">
      <c r="A65" s="150" t="s">
        <v>212</v>
      </c>
      <c r="B65" s="150" t="s">
        <v>213</v>
      </c>
      <c r="C65" s="38">
        <v>2</v>
      </c>
      <c r="D65" s="175">
        <f ca="1">((100/(I57))*C65)/100</f>
        <v>0.4</v>
      </c>
      <c r="E65" s="175"/>
      <c r="F65" s="175"/>
      <c r="G65" s="175"/>
      <c r="H65" s="175"/>
      <c r="I65" s="175"/>
      <c r="J65" s="175"/>
      <c r="K65" s="25" t="s">
        <v>214</v>
      </c>
      <c r="L65" s="9"/>
      <c r="M65" s="42">
        <f>(IF(B57&gt;1,(I57/(B57+4)+M64),0))</f>
        <v>0</v>
      </c>
    </row>
    <row r="66" spans="1:13" ht="15.5" x14ac:dyDescent="0.35">
      <c r="A66" s="173" t="s">
        <v>215</v>
      </c>
      <c r="B66" s="173" t="s">
        <v>215</v>
      </c>
      <c r="C66" s="38">
        <v>2</v>
      </c>
      <c r="D66" s="175">
        <f ca="1">((100/I57)*C66)/100</f>
        <v>0.4</v>
      </c>
      <c r="E66" s="175"/>
      <c r="F66" s="175"/>
      <c r="G66" s="175"/>
      <c r="H66" s="175"/>
      <c r="I66" s="175"/>
      <c r="J66" s="175"/>
      <c r="K66" s="25" t="s">
        <v>216</v>
      </c>
      <c r="L66" s="43"/>
      <c r="M66" s="44">
        <f>(IF(B57&gt;2,(I57/(B57+4)+M65),0))</f>
        <v>0</v>
      </c>
    </row>
    <row r="67" spans="1:13" ht="15.5" x14ac:dyDescent="0.35">
      <c r="A67" s="173" t="s">
        <v>217</v>
      </c>
      <c r="B67" s="173"/>
      <c r="C67" s="38">
        <v>0</v>
      </c>
      <c r="D67" s="175">
        <f ca="1">((100/I57)*C67)/100</f>
        <v>0</v>
      </c>
      <c r="E67" s="175"/>
      <c r="F67" s="175"/>
      <c r="G67" s="175"/>
      <c r="H67" s="175"/>
      <c r="I67" s="175"/>
      <c r="J67" s="175"/>
      <c r="K67" s="25" t="s">
        <v>218</v>
      </c>
      <c r="M67" s="45">
        <f>(IF(B57&gt;3,(I57/(B57+4)+M66),0))</f>
        <v>0</v>
      </c>
    </row>
    <row r="68" spans="1:13" ht="15.5" x14ac:dyDescent="0.35">
      <c r="A68" s="173" t="s">
        <v>219</v>
      </c>
      <c r="B68" s="173" t="s">
        <v>219</v>
      </c>
      <c r="C68" s="38">
        <v>0</v>
      </c>
      <c r="D68" s="175">
        <f ca="1">((100/(I57))*C68)/100</f>
        <v>0</v>
      </c>
      <c r="E68" s="175"/>
      <c r="F68" s="175"/>
      <c r="G68" s="175"/>
      <c r="H68" s="175"/>
      <c r="I68" s="175"/>
      <c r="J68" s="175"/>
      <c r="K68" s="25" t="s">
        <v>220</v>
      </c>
      <c r="L68" s="39"/>
      <c r="M68" s="42">
        <f ca="1">(IF(B57=0,I57/4+M63,(I57/(B57+4)+M63+MAX(0,M64-M63)+MAX(0,M65-M64)+MAX(0,M66-M65)+MAX(0,M67-M66))))</f>
        <v>3.75</v>
      </c>
    </row>
    <row r="69" spans="1:13" ht="16" thickBot="1" x14ac:dyDescent="0.4">
      <c r="A69" s="173" t="s">
        <v>221</v>
      </c>
      <c r="B69" s="173"/>
      <c r="C69" s="38">
        <v>0</v>
      </c>
      <c r="D69" s="175">
        <f ca="1">((100/(I57))*C69)/100</f>
        <v>0</v>
      </c>
      <c r="E69" s="175"/>
      <c r="F69" s="175"/>
      <c r="G69" s="175"/>
      <c r="H69" s="175"/>
      <c r="I69" s="175"/>
      <c r="J69" s="175"/>
      <c r="K69" s="26" t="s">
        <v>222</v>
      </c>
      <c r="L69" s="46"/>
      <c r="M69" s="47">
        <f ca="1">(IF(B57=0,I57/4+M68,(I57/(B57+4)+M68)))</f>
        <v>5</v>
      </c>
    </row>
    <row r="70" spans="1:13" ht="15.5" x14ac:dyDescent="0.35">
      <c r="A70" s="190" t="s">
        <v>190</v>
      </c>
      <c r="B70" s="190"/>
      <c r="C70" s="158" t="s">
        <v>239</v>
      </c>
      <c r="D70" s="158"/>
      <c r="E70" s="158"/>
      <c r="F70" s="158"/>
      <c r="G70" s="158"/>
      <c r="H70" s="158"/>
      <c r="I70" s="158"/>
      <c r="J70" s="158"/>
      <c r="K70" s="22" t="str">
        <f ca="1">(IF(C74=0,"Work not yet Started.",IF(D74=25%,"Piling work in process",IF(D74=50%,"Excavation work in process",IF(D74=100%,"Excavation work completed, ","0")))&amp;(IF(C75=0%,"",IF(C75=M76,"Footing work is process",IF(C75=M77,"Footing work Completed",IF(C75=M78,"1st Basement Completed",IF(C75=M79,"1st &amp; 2nd Basement Completed",IF(C75=M80,"1st to 3rd Basement Completed",IF(C75=M81,"1st to 4th Basement Completed",IF(C75=M82,"Plinth work is process",IF(C75=M83,"Plinth work completed","0")))))))))))&amp;(IF(C76&gt;0,", RCC upto "&amp;C76&amp;" Slab completed",""))&amp;(IF(C77&gt;0,", Brickwork upto "&amp;C77&amp;" Floor completed"," "))&amp;(IF(C78&gt;0,", Internal Plaster upto "&amp;C78&amp;" Floor completed"," "))&amp;(IF(C79&gt;0,", External Plaster upto "&amp;C79&amp;" Floor completed"," "))&amp;(IF(C80&gt;0,", Flooring upto "&amp;C80&amp;" Floor completed"," "))&amp;(IF(C81&gt;0,", Painting upto "&amp;C81&amp;" Floor completed"," "))&amp;(IF(C82&gt;0,", Finishing upto "&amp;C82&amp;" Floor completed"," ")))</f>
        <v xml:space="preserve">Excavation work completed, Plinth work completed, RCC upto 5 Slab completed, Brickwork upto 4 Floor completed, Internal Plaster upto 3 Floor completed, External Plaster upto 2 Floor completed, Flooring upto 2 Floor completed  </v>
      </c>
      <c r="L70" s="22"/>
      <c r="M70" s="34"/>
    </row>
    <row r="71" spans="1:13" ht="15.5" x14ac:dyDescent="0.35">
      <c r="A71" s="59" t="s">
        <v>191</v>
      </c>
      <c r="B71" s="59">
        <v>0</v>
      </c>
      <c r="C71" s="59" t="s">
        <v>192</v>
      </c>
      <c r="D71" s="59">
        <v>1</v>
      </c>
      <c r="E71" s="59" t="s">
        <v>193</v>
      </c>
      <c r="F71" s="150">
        <v>0</v>
      </c>
      <c r="G71" s="150"/>
      <c r="H71" s="59" t="s">
        <v>194</v>
      </c>
      <c r="I71" s="150">
        <f ca="1">--TRIM(RIGHT(SUBSTITUTE(LEFT(C70,_xlfn.AGGREGATE(16,6,FIND({0,1,2,3,4,5,6,7,8,9},C70,ROW(INDIRECT("1:"&amp;LEN(C70)))),1))," ",REPT(" ",LEN(C70))),LEN(C70)))</f>
        <v>5</v>
      </c>
      <c r="J71" s="150"/>
      <c r="K71" s="24" t="s">
        <v>195</v>
      </c>
      <c r="L71" s="24"/>
      <c r="M71" s="35"/>
    </row>
    <row r="72" spans="1:13" ht="48" customHeight="1" x14ac:dyDescent="0.35">
      <c r="A72" s="157" t="s">
        <v>196</v>
      </c>
      <c r="B72" s="157"/>
      <c r="C72" s="158" t="str">
        <f ca="1">K70</f>
        <v xml:space="preserve">Excavation work completed, Plinth work completed, RCC upto 5 Slab completed, Brickwork upto 4 Floor completed, Internal Plaster upto 3 Floor completed, External Plaster upto 2 Floor completed, Flooring upto 2 Floor completed  </v>
      </c>
      <c r="D72" s="158"/>
      <c r="E72" s="158"/>
      <c r="F72" s="158"/>
      <c r="G72" s="158"/>
      <c r="H72" s="158"/>
      <c r="I72" s="158"/>
      <c r="J72" s="158"/>
      <c r="K72" s="24" t="s">
        <v>197</v>
      </c>
      <c r="L72" s="24"/>
      <c r="M72" s="35"/>
    </row>
    <row r="73" spans="1:13" ht="15.5" x14ac:dyDescent="0.35">
      <c r="A73" s="172" t="s">
        <v>35</v>
      </c>
      <c r="B73" s="173"/>
      <c r="C73" s="53" t="s">
        <v>198</v>
      </c>
      <c r="D73" s="173" t="s">
        <v>199</v>
      </c>
      <c r="E73" s="173"/>
      <c r="F73" s="173" t="s">
        <v>200</v>
      </c>
      <c r="G73" s="173"/>
      <c r="H73" s="173" t="s">
        <v>201</v>
      </c>
      <c r="I73" s="173"/>
      <c r="J73" s="174"/>
      <c r="K73" s="25" t="s">
        <v>202</v>
      </c>
      <c r="L73" s="36"/>
      <c r="M73" s="37">
        <f ca="1">I71*25%</f>
        <v>1.25</v>
      </c>
    </row>
    <row r="74" spans="1:13" ht="15.5" x14ac:dyDescent="0.35">
      <c r="A74" s="172" t="s">
        <v>203</v>
      </c>
      <c r="B74" s="173"/>
      <c r="C74" s="38">
        <f ca="1">M75</f>
        <v>5</v>
      </c>
      <c r="D74" s="175">
        <f ca="1">((100/I71)*C74)/100</f>
        <v>1</v>
      </c>
      <c r="E74" s="175"/>
      <c r="F74" s="175">
        <f ca="1">(IF(C72=K71,"100%",IF(C72=K72,"100%",(((C75/I71*10)+(40/(D71+F71+I71)*C76)+(7.5/(I71)*C77)+(7.5/(I71)*C78)+(10/I71*C79)+(10/I71*C80)+(5/I71*C81)+(5/I71*C82)+(5/I71*C83))/100))))</f>
        <v>0.6183333333333334</v>
      </c>
      <c r="G74" s="175"/>
      <c r="H74" s="175">
        <f ca="1">((((C74/I71)*20)+((C75/I71)*25)+(30/(I71+F71+D71)*C76)+(5/I71*C77)+(5/I71*C78)+(5/I71*C79)+(5/I71*C80)+(0/I71*C81)+(0/I71*C82)+(5/I71*C83))/100)</f>
        <v>0.81</v>
      </c>
      <c r="I74" s="175"/>
      <c r="J74" s="192"/>
      <c r="K74" s="25" t="s">
        <v>204</v>
      </c>
      <c r="L74" s="39"/>
      <c r="M74" s="40">
        <f ca="1">I71*50%</f>
        <v>2.5</v>
      </c>
    </row>
    <row r="75" spans="1:13" ht="15.5" x14ac:dyDescent="0.35">
      <c r="A75" s="172" t="s">
        <v>36</v>
      </c>
      <c r="B75" s="173"/>
      <c r="C75" s="41">
        <f ca="1">M83</f>
        <v>5</v>
      </c>
      <c r="D75" s="175">
        <f ca="1">((100/I71)*C75)/100</f>
        <v>1</v>
      </c>
      <c r="E75" s="175"/>
      <c r="F75" s="175"/>
      <c r="G75" s="175"/>
      <c r="H75" s="175"/>
      <c r="I75" s="175"/>
      <c r="J75" s="192"/>
      <c r="K75" s="25" t="s">
        <v>205</v>
      </c>
      <c r="L75" s="39"/>
      <c r="M75" s="40">
        <f ca="1">I71</f>
        <v>5</v>
      </c>
    </row>
    <row r="76" spans="1:13" ht="15.5" x14ac:dyDescent="0.35">
      <c r="A76" s="172" t="s">
        <v>224</v>
      </c>
      <c r="B76" s="173"/>
      <c r="C76" s="41">
        <v>5</v>
      </c>
      <c r="D76" s="175">
        <f ca="1">((100/(D71+F71+I71))*C76)/100</f>
        <v>0.83333333333333348</v>
      </c>
      <c r="E76" s="175"/>
      <c r="F76" s="175"/>
      <c r="G76" s="175"/>
      <c r="H76" s="175"/>
      <c r="I76" s="175"/>
      <c r="J76" s="192"/>
      <c r="K76" s="25" t="s">
        <v>206</v>
      </c>
      <c r="L76" s="39"/>
      <c r="M76" s="42">
        <f ca="1">(IF(B71=0,I71/4,(I71/(B71+4))))</f>
        <v>1.25</v>
      </c>
    </row>
    <row r="77" spans="1:13" ht="15.5" x14ac:dyDescent="0.35">
      <c r="A77" s="172" t="s">
        <v>207</v>
      </c>
      <c r="B77" s="173" t="s">
        <v>208</v>
      </c>
      <c r="C77" s="38">
        <v>4</v>
      </c>
      <c r="D77" s="175">
        <f ca="1">((100/I71)*C77)/100</f>
        <v>0.8</v>
      </c>
      <c r="E77" s="175"/>
      <c r="F77" s="175"/>
      <c r="G77" s="175"/>
      <c r="H77" s="175"/>
      <c r="I77" s="175"/>
      <c r="J77" s="192"/>
      <c r="K77" s="25" t="s">
        <v>209</v>
      </c>
      <c r="L77" s="39"/>
      <c r="M77" s="42">
        <f ca="1">(IF(B71=0,I71/4+M76,(I71/(B71+4)+M76)))</f>
        <v>2.5</v>
      </c>
    </row>
    <row r="78" spans="1:13" ht="15.5" x14ac:dyDescent="0.35">
      <c r="A78" s="172" t="s">
        <v>210</v>
      </c>
      <c r="B78" s="173" t="s">
        <v>208</v>
      </c>
      <c r="C78" s="38">
        <v>3</v>
      </c>
      <c r="D78" s="175">
        <f ca="1">((100/I71)*C78)/100</f>
        <v>0.6</v>
      </c>
      <c r="E78" s="175"/>
      <c r="F78" s="175"/>
      <c r="G78" s="175"/>
      <c r="H78" s="175"/>
      <c r="I78" s="175"/>
      <c r="J78" s="192"/>
      <c r="K78" s="25" t="s">
        <v>211</v>
      </c>
      <c r="L78" s="9"/>
      <c r="M78" s="42">
        <f>(IF(B71=0,0,(I71/(B71+4)+M77)))</f>
        <v>0</v>
      </c>
    </row>
    <row r="79" spans="1:13" ht="15.5" x14ac:dyDescent="0.35">
      <c r="A79" s="194" t="s">
        <v>212</v>
      </c>
      <c r="B79" s="150" t="s">
        <v>213</v>
      </c>
      <c r="C79" s="38">
        <v>2</v>
      </c>
      <c r="D79" s="175">
        <f ca="1">((100/(I71))*C79)/100</f>
        <v>0.4</v>
      </c>
      <c r="E79" s="175"/>
      <c r="F79" s="175"/>
      <c r="G79" s="175"/>
      <c r="H79" s="175"/>
      <c r="I79" s="175"/>
      <c r="J79" s="192"/>
      <c r="K79" s="25" t="s">
        <v>214</v>
      </c>
      <c r="L79" s="9"/>
      <c r="M79" s="42">
        <f>(IF(B71&gt;1,(I71/(B71+4)+M78),0))</f>
        <v>0</v>
      </c>
    </row>
    <row r="80" spans="1:13" ht="15.5" x14ac:dyDescent="0.35">
      <c r="A80" s="172" t="s">
        <v>215</v>
      </c>
      <c r="B80" s="173" t="s">
        <v>215</v>
      </c>
      <c r="C80" s="38">
        <v>2</v>
      </c>
      <c r="D80" s="175">
        <f ca="1">((100/I71)*C80)/100</f>
        <v>0.4</v>
      </c>
      <c r="E80" s="175"/>
      <c r="F80" s="175"/>
      <c r="G80" s="175"/>
      <c r="H80" s="175"/>
      <c r="I80" s="175"/>
      <c r="J80" s="192"/>
      <c r="K80" s="25" t="s">
        <v>216</v>
      </c>
      <c r="L80" s="43"/>
      <c r="M80" s="44">
        <f>(IF(B71&gt;2,(I71/(B71+4)+M79),0))</f>
        <v>0</v>
      </c>
    </row>
    <row r="81" spans="1:13" ht="15.5" x14ac:dyDescent="0.35">
      <c r="A81" s="172" t="s">
        <v>217</v>
      </c>
      <c r="B81" s="173"/>
      <c r="C81" s="38">
        <v>0</v>
      </c>
      <c r="D81" s="175">
        <f ca="1">((100/I71)*C81)/100</f>
        <v>0</v>
      </c>
      <c r="E81" s="175"/>
      <c r="F81" s="175"/>
      <c r="G81" s="175"/>
      <c r="H81" s="175"/>
      <c r="I81" s="175"/>
      <c r="J81" s="192"/>
      <c r="K81" s="25" t="s">
        <v>218</v>
      </c>
      <c r="M81" s="45">
        <f>(IF(B71&gt;3,(I71/(B71+4)+M80),0))</f>
        <v>0</v>
      </c>
    </row>
    <row r="82" spans="1:13" ht="15.5" x14ac:dyDescent="0.35">
      <c r="A82" s="172" t="s">
        <v>219</v>
      </c>
      <c r="B82" s="173" t="s">
        <v>219</v>
      </c>
      <c r="C82" s="38">
        <v>0</v>
      </c>
      <c r="D82" s="175">
        <f ca="1">((100/(I71))*C82)/100</f>
        <v>0</v>
      </c>
      <c r="E82" s="175"/>
      <c r="F82" s="175"/>
      <c r="G82" s="175"/>
      <c r="H82" s="175"/>
      <c r="I82" s="175"/>
      <c r="J82" s="192"/>
      <c r="K82" s="25" t="s">
        <v>220</v>
      </c>
      <c r="L82" s="39"/>
      <c r="M82" s="42">
        <f ca="1">(IF(B71=0,I71/4+M77,(I71/(B71+4)+M77+MAX(0,M78-M77)+MAX(0,M79-M78)+MAX(0,M80-M79)+MAX(0,M81-M80))))</f>
        <v>3.75</v>
      </c>
    </row>
    <row r="83" spans="1:13" ht="16" thickBot="1" x14ac:dyDescent="0.4">
      <c r="A83" s="195" t="s">
        <v>221</v>
      </c>
      <c r="B83" s="196"/>
      <c r="C83" s="48">
        <v>0</v>
      </c>
      <c r="D83" s="191">
        <f ca="1">((100/(I71))*C83)/100</f>
        <v>0</v>
      </c>
      <c r="E83" s="191"/>
      <c r="F83" s="191"/>
      <c r="G83" s="191"/>
      <c r="H83" s="191"/>
      <c r="I83" s="191"/>
      <c r="J83" s="193"/>
      <c r="K83" s="26" t="s">
        <v>222</v>
      </c>
      <c r="L83" s="46"/>
      <c r="M83" s="47">
        <f ca="1">(IF(B71=0,I71/4+M82,(I71/(B71+4)+M82)))</f>
        <v>5</v>
      </c>
    </row>
    <row r="84" spans="1:13" ht="15.75" customHeight="1" x14ac:dyDescent="0.35">
      <c r="A84" s="146" t="s">
        <v>190</v>
      </c>
      <c r="B84" s="147"/>
      <c r="C84" s="148" t="s">
        <v>237</v>
      </c>
      <c r="D84" s="148"/>
      <c r="E84" s="148"/>
      <c r="F84" s="148"/>
      <c r="G84" s="148"/>
      <c r="H84" s="148"/>
      <c r="I84" s="148"/>
      <c r="J84" s="149"/>
      <c r="K84" s="22" t="str">
        <f ca="1">(IF(C88=0,"Work not yet Started.",IF(D88=25%,"Piling work in process",IF(D88=50%,"Excavation work in process",IF(D88=100%,"Excavation work completed, ","0")))&amp;(IF(C89=0%,"",IF(C89=M90,"Footing work is process",IF(C89=M91,"Footing work Completed",IF(C89=M92,"1st Basement Completed",IF(C89=M93,"1st &amp; 2nd Basement Completed",IF(C89=M94,"1st to 3rd Basement Completed",IF(C89=M95,"1st to 4th Basement Completed",IF(C89=M96,"Plinth work is process",IF(C89=M97,"Plinth work completed","0")))))))))))&amp;(IF(C90&gt;0,", RCC upto "&amp;C90&amp;" Slab completed",""))&amp;(IF(C91&gt;0,", Brickwork upto "&amp;C91&amp;" Floor completed"," "))&amp;(IF(C92&gt;0,", Internal Plaster upto "&amp;C92&amp;" Floor completed"," "))&amp;(IF(C93&gt;0,", External Plaster upto "&amp;C93&amp;" Floor completed"," "))&amp;(IF(C94&gt;0,", Flooring upto "&amp;C94&amp;" Floor completed"," "))&amp;(IF(C95&gt;0,", Painting upto "&amp;C95&amp;" Floor completed"," "))&amp;(IF(C96&gt;0,", Finishing upto "&amp;C96&amp;" Floor completed"," ")))</f>
        <v xml:space="preserve">Excavation work completed, Plinth work completed, RCC upto 6 Slab completed, Brickwork upto 5 Floor completed, Internal Plaster upto 5 Floor completed, External Plaster upto 2 Floor completed   </v>
      </c>
      <c r="L84" s="22"/>
      <c r="M84" s="34"/>
    </row>
    <row r="85" spans="1:13" ht="15.5" x14ac:dyDescent="0.35">
      <c r="A85" s="23" t="s">
        <v>191</v>
      </c>
      <c r="B85" s="54">
        <v>0</v>
      </c>
      <c r="C85" s="54" t="s">
        <v>192</v>
      </c>
      <c r="D85" s="54">
        <v>1</v>
      </c>
      <c r="E85" s="54" t="s">
        <v>193</v>
      </c>
      <c r="F85" s="150">
        <v>0</v>
      </c>
      <c r="G85" s="150"/>
      <c r="H85" s="54" t="s">
        <v>194</v>
      </c>
      <c r="I85" s="150">
        <f ca="1">--TRIM(RIGHT(SUBSTITUTE(LEFT(C84,_xlfn.AGGREGATE(16,6,FIND({0,1,2,3,4,5,6,7,8,9},C84,ROW(INDIRECT("1:"&amp;LEN(C84)))),1))," ",REPT(" ",LEN(C84))),LEN(C84)))</f>
        <v>5</v>
      </c>
      <c r="J85" s="154"/>
      <c r="K85" s="24" t="s">
        <v>195</v>
      </c>
      <c r="L85" s="24"/>
      <c r="M85" s="35"/>
    </row>
    <row r="86" spans="1:13" ht="33.65" customHeight="1" x14ac:dyDescent="0.35">
      <c r="A86" s="156" t="s">
        <v>196</v>
      </c>
      <c r="B86" s="157"/>
      <c r="C86" s="158" t="str">
        <f ca="1">K84</f>
        <v xml:space="preserve">Excavation work completed, Plinth work completed, RCC upto 6 Slab completed, Brickwork upto 5 Floor completed, Internal Plaster upto 5 Floor completed, External Plaster upto 2 Floor completed   </v>
      </c>
      <c r="D86" s="158"/>
      <c r="E86" s="158"/>
      <c r="F86" s="158"/>
      <c r="G86" s="158"/>
      <c r="H86" s="158"/>
      <c r="I86" s="158"/>
      <c r="J86" s="159"/>
      <c r="K86" s="24" t="s">
        <v>197</v>
      </c>
      <c r="L86" s="24"/>
      <c r="M86" s="35"/>
    </row>
    <row r="87" spans="1:13" ht="15.5" x14ac:dyDescent="0.35">
      <c r="A87" s="172" t="s">
        <v>35</v>
      </c>
      <c r="B87" s="173"/>
      <c r="C87" s="53" t="s">
        <v>198</v>
      </c>
      <c r="D87" s="173" t="s">
        <v>199</v>
      </c>
      <c r="E87" s="173"/>
      <c r="F87" s="173" t="s">
        <v>200</v>
      </c>
      <c r="G87" s="173"/>
      <c r="H87" s="173" t="s">
        <v>201</v>
      </c>
      <c r="I87" s="173"/>
      <c r="J87" s="174"/>
      <c r="K87" s="25" t="s">
        <v>202</v>
      </c>
      <c r="L87" s="36"/>
      <c r="M87" s="37">
        <f ca="1">I85*25%</f>
        <v>1.25</v>
      </c>
    </row>
    <row r="88" spans="1:13" ht="15.5" x14ac:dyDescent="0.35">
      <c r="A88" s="173" t="s">
        <v>203</v>
      </c>
      <c r="B88" s="173"/>
      <c r="C88" s="38">
        <f ca="1">M89</f>
        <v>5</v>
      </c>
      <c r="D88" s="175">
        <f ca="1">((100/I85)*C88)/100</f>
        <v>1</v>
      </c>
      <c r="E88" s="175"/>
      <c r="F88" s="175">
        <f ca="1">(IF(C86=K85,"100%",IF(C86=K86,"100%",(((C89/I85*10)+(40/(D85+F85+I85)*C90)+(7.5/(I85)*C91)+(7.5/(I85)*C92)+(10/I85*C93)+(10/I85*C94)+(5/I85*C95)+(5/I85*C96)+(5/I85*C97))/100))))</f>
        <v>0.69</v>
      </c>
      <c r="G88" s="175"/>
      <c r="H88" s="175">
        <f ca="1">((((C88/I85)*20)+((C89/I85)*25)+(30/(I85+F85+D85)*C90)+(5/I85*C91)+(5/I85*C92)+(5/I85*C93)+(5/I85*C94)+(0/I85*C95)+(0/I85*C96)+(5/I85*C97))/100)</f>
        <v>0.87</v>
      </c>
      <c r="I88" s="175"/>
      <c r="J88" s="175"/>
      <c r="K88" s="25" t="s">
        <v>204</v>
      </c>
      <c r="L88" s="39"/>
      <c r="M88" s="40">
        <f ca="1">I85*50%</f>
        <v>2.5</v>
      </c>
    </row>
    <row r="89" spans="1:13" ht="15.5" x14ac:dyDescent="0.35">
      <c r="A89" s="173" t="s">
        <v>36</v>
      </c>
      <c r="B89" s="173"/>
      <c r="C89" s="41">
        <f ca="1">M97</f>
        <v>5</v>
      </c>
      <c r="D89" s="175">
        <f ca="1">((100/I85)*C89)/100</f>
        <v>1</v>
      </c>
      <c r="E89" s="175"/>
      <c r="F89" s="175"/>
      <c r="G89" s="175"/>
      <c r="H89" s="175"/>
      <c r="I89" s="175"/>
      <c r="J89" s="175"/>
      <c r="K89" s="25" t="s">
        <v>205</v>
      </c>
      <c r="L89" s="39"/>
      <c r="M89" s="40">
        <f ca="1">I85</f>
        <v>5</v>
      </c>
    </row>
    <row r="90" spans="1:13" ht="15.5" x14ac:dyDescent="0.35">
      <c r="A90" s="173" t="s">
        <v>224</v>
      </c>
      <c r="B90" s="173"/>
      <c r="C90" s="41">
        <v>6</v>
      </c>
      <c r="D90" s="175">
        <f ca="1">((100/(D85+F85+I85))*C90)/100</f>
        <v>1</v>
      </c>
      <c r="E90" s="175"/>
      <c r="F90" s="175"/>
      <c r="G90" s="175"/>
      <c r="H90" s="175"/>
      <c r="I90" s="175"/>
      <c r="J90" s="175"/>
      <c r="K90" s="25" t="s">
        <v>206</v>
      </c>
      <c r="L90" s="39"/>
      <c r="M90" s="42">
        <f ca="1">(IF(B85=0,I85/4,(I85/(B85+4))))</f>
        <v>1.25</v>
      </c>
    </row>
    <row r="91" spans="1:13" ht="15.5" x14ac:dyDescent="0.35">
      <c r="A91" s="173" t="s">
        <v>207</v>
      </c>
      <c r="B91" s="173" t="s">
        <v>208</v>
      </c>
      <c r="C91" s="38">
        <v>5</v>
      </c>
      <c r="D91" s="175">
        <f ca="1">((100/I85)*C91)/100</f>
        <v>1</v>
      </c>
      <c r="E91" s="175"/>
      <c r="F91" s="175"/>
      <c r="G91" s="175"/>
      <c r="H91" s="175"/>
      <c r="I91" s="175"/>
      <c r="J91" s="175"/>
      <c r="K91" s="25" t="s">
        <v>209</v>
      </c>
      <c r="L91" s="39"/>
      <c r="M91" s="42">
        <f ca="1">(IF(B85=0,I85/4+M90,(I85/(B85+4)+M90)))</f>
        <v>2.5</v>
      </c>
    </row>
    <row r="92" spans="1:13" ht="15.5" x14ac:dyDescent="0.35">
      <c r="A92" s="173" t="s">
        <v>210</v>
      </c>
      <c r="B92" s="173" t="s">
        <v>208</v>
      </c>
      <c r="C92" s="38">
        <v>5</v>
      </c>
      <c r="D92" s="175">
        <f ca="1">((100/I85)*C92)/100</f>
        <v>1</v>
      </c>
      <c r="E92" s="175"/>
      <c r="F92" s="175"/>
      <c r="G92" s="175"/>
      <c r="H92" s="175"/>
      <c r="I92" s="175"/>
      <c r="J92" s="175"/>
      <c r="K92" s="25" t="s">
        <v>211</v>
      </c>
      <c r="L92" s="9"/>
      <c r="M92" s="42">
        <f>(IF(B85=0,0,(I85/(B85+4)+M91)))</f>
        <v>0</v>
      </c>
    </row>
    <row r="93" spans="1:13" ht="15.5" x14ac:dyDescent="0.35">
      <c r="A93" s="173" t="s">
        <v>212</v>
      </c>
      <c r="B93" s="173" t="s">
        <v>213</v>
      </c>
      <c r="C93" s="38">
        <v>2</v>
      </c>
      <c r="D93" s="175">
        <f ca="1">((100/(I85))*C93)/100</f>
        <v>0.4</v>
      </c>
      <c r="E93" s="175"/>
      <c r="F93" s="175"/>
      <c r="G93" s="175"/>
      <c r="H93" s="175"/>
      <c r="I93" s="175"/>
      <c r="J93" s="175"/>
      <c r="K93" s="25" t="s">
        <v>214</v>
      </c>
      <c r="L93" s="9"/>
      <c r="M93" s="42">
        <f>(IF(B85&gt;1,(I85/(B85+4)+M92),0))</f>
        <v>0</v>
      </c>
    </row>
    <row r="94" spans="1:13" ht="15.5" x14ac:dyDescent="0.35">
      <c r="A94" s="173" t="s">
        <v>215</v>
      </c>
      <c r="B94" s="173" t="s">
        <v>215</v>
      </c>
      <c r="C94" s="38">
        <v>0</v>
      </c>
      <c r="D94" s="175">
        <f ca="1">((100/I85)*C94)/100</f>
        <v>0</v>
      </c>
      <c r="E94" s="175"/>
      <c r="F94" s="175"/>
      <c r="G94" s="175"/>
      <c r="H94" s="175"/>
      <c r="I94" s="175"/>
      <c r="J94" s="175"/>
      <c r="K94" s="25" t="s">
        <v>216</v>
      </c>
      <c r="L94" s="43"/>
      <c r="M94" s="44">
        <f>(IF(B85&gt;2,(I85/(B85+4)+M93),0))</f>
        <v>0</v>
      </c>
    </row>
    <row r="95" spans="1:13" ht="15.5" x14ac:dyDescent="0.35">
      <c r="A95" s="173" t="s">
        <v>217</v>
      </c>
      <c r="B95" s="173"/>
      <c r="C95" s="38">
        <v>0</v>
      </c>
      <c r="D95" s="175">
        <f ca="1">((100/I85)*C95)/100</f>
        <v>0</v>
      </c>
      <c r="E95" s="175"/>
      <c r="F95" s="175"/>
      <c r="G95" s="175"/>
      <c r="H95" s="175"/>
      <c r="I95" s="175"/>
      <c r="J95" s="175"/>
      <c r="K95" s="25" t="s">
        <v>218</v>
      </c>
      <c r="M95" s="45">
        <f>(IF(B85&gt;3,(I85/(B85+4)+M94),0))</f>
        <v>0</v>
      </c>
    </row>
    <row r="96" spans="1:13" ht="15.5" x14ac:dyDescent="0.35">
      <c r="A96" s="173" t="s">
        <v>219</v>
      </c>
      <c r="B96" s="173" t="s">
        <v>219</v>
      </c>
      <c r="C96" s="38">
        <v>0</v>
      </c>
      <c r="D96" s="175">
        <f ca="1">((100/(I85))*C96)/100</f>
        <v>0</v>
      </c>
      <c r="E96" s="175"/>
      <c r="F96" s="175"/>
      <c r="G96" s="175"/>
      <c r="H96" s="175"/>
      <c r="I96" s="175"/>
      <c r="J96" s="175"/>
      <c r="K96" s="25" t="s">
        <v>220</v>
      </c>
      <c r="L96" s="39"/>
      <c r="M96" s="42">
        <f ca="1">(IF(B85=0,I85/4+M91,(I85/(B85+4)+M91+MAX(0,M92-M91)+MAX(0,M93-M92)+MAX(0,M94-M93)+MAX(0,M95-M94))))</f>
        <v>3.75</v>
      </c>
    </row>
    <row r="97" spans="1:13" ht="16" thickBot="1" x14ac:dyDescent="0.4">
      <c r="A97" s="173" t="s">
        <v>221</v>
      </c>
      <c r="B97" s="173"/>
      <c r="C97" s="38">
        <v>0</v>
      </c>
      <c r="D97" s="175">
        <f ca="1">((100/(I85))*C97)/100</f>
        <v>0</v>
      </c>
      <c r="E97" s="175"/>
      <c r="F97" s="175"/>
      <c r="G97" s="175"/>
      <c r="H97" s="175"/>
      <c r="I97" s="175"/>
      <c r="J97" s="175"/>
      <c r="K97" s="26" t="s">
        <v>222</v>
      </c>
      <c r="L97" s="46"/>
      <c r="M97" s="47">
        <f ca="1">(IF(B85=0,I85/4+M96,(I85/(B85+4)+M96)))</f>
        <v>5</v>
      </c>
    </row>
    <row r="98" spans="1:13" ht="15.75" customHeight="1" x14ac:dyDescent="0.35">
      <c r="A98" s="190" t="s">
        <v>190</v>
      </c>
      <c r="B98" s="190"/>
      <c r="C98" s="158" t="s">
        <v>223</v>
      </c>
      <c r="D98" s="158"/>
      <c r="E98" s="158"/>
      <c r="F98" s="158"/>
      <c r="G98" s="158"/>
      <c r="H98" s="158"/>
      <c r="I98" s="158"/>
      <c r="J98" s="158"/>
      <c r="K98" s="22" t="str">
        <f ca="1">(IF(C102=0,"Work not yet Started.",IF(D102=25%,"Piling work in process",IF(D102=50%,"Excavation work in process",IF(D102=100%,"Excavation work completed, ","0")))&amp;(IF(C103=0%,"",IF(C103=M104,"Footing work is process",IF(C103=M105,"Footing work Completed",IF(C103=M106,"1st Basement Completed",IF(C103=M107,"1st &amp; 2nd Basement Completed",IF(C103=M108,"1st to 3rd Basement Completed",IF(C103=M109,"1st to 4th Basement Completed",IF(C103=M110,"Plinth work is process",IF(C103=M111,"Plinth work completed","0")))))))))))&amp;(IF(C104&gt;0,", RCC upto "&amp;C104&amp;" Slab completed",""))&amp;(IF(C105&gt;0,", Brickwork upto "&amp;C105&amp;" Floor completed"," "))&amp;(IF(C106&gt;0,", Internal Plaster upto "&amp;C106&amp;" Floor completed"," "))&amp;(IF(C107&gt;0,", External Plaster upto "&amp;C107&amp;" Floor completed"," "))&amp;(IF(C108&gt;0,", Flooring upto "&amp;C108&amp;" Floor completed"," "))&amp;(IF(C109&gt;0,", Painting upto "&amp;C109&amp;" Floor completed"," "))&amp;(IF(C110&gt;0,", Finishing upto "&amp;C110&amp;" Floor completed"," ")))</f>
        <v xml:space="preserve">Excavation work completed, Plinth work completed, RCC upto 5 Slab completed, Brickwork upto 4 Floor completed     </v>
      </c>
      <c r="L98" s="22"/>
      <c r="M98" s="34"/>
    </row>
    <row r="99" spans="1:13" ht="15.5" x14ac:dyDescent="0.35">
      <c r="A99" s="59" t="s">
        <v>191</v>
      </c>
      <c r="B99" s="59">
        <v>0</v>
      </c>
      <c r="C99" s="59" t="s">
        <v>192</v>
      </c>
      <c r="D99" s="59">
        <v>1</v>
      </c>
      <c r="E99" s="59" t="s">
        <v>193</v>
      </c>
      <c r="F99" s="150">
        <v>0</v>
      </c>
      <c r="G99" s="150"/>
      <c r="H99" s="59" t="s">
        <v>194</v>
      </c>
      <c r="I99" s="150">
        <f ca="1">--TRIM(RIGHT(SUBSTITUTE(LEFT(C98,_xlfn.AGGREGATE(16,6,FIND({0,1,2,3,4,5,6,7,8,9},C98,ROW(INDIRECT("1:"&amp;LEN(C98)))),1))," ",REPT(" ",LEN(C98))),LEN(C98)))</f>
        <v>4</v>
      </c>
      <c r="J99" s="150"/>
      <c r="K99" s="24" t="s">
        <v>195</v>
      </c>
      <c r="L99" s="24"/>
      <c r="M99" s="35"/>
    </row>
    <row r="100" spans="1:13" ht="33" customHeight="1" x14ac:dyDescent="0.35">
      <c r="A100" s="157" t="s">
        <v>196</v>
      </c>
      <c r="B100" s="157"/>
      <c r="C100" s="158" t="str">
        <f ca="1">K98</f>
        <v xml:space="preserve">Excavation work completed, Plinth work completed, RCC upto 5 Slab completed, Brickwork upto 4 Floor completed     </v>
      </c>
      <c r="D100" s="158"/>
      <c r="E100" s="158"/>
      <c r="F100" s="158"/>
      <c r="G100" s="158"/>
      <c r="H100" s="158"/>
      <c r="I100" s="158"/>
      <c r="J100" s="158"/>
      <c r="K100" s="24" t="s">
        <v>197</v>
      </c>
      <c r="L100" s="24"/>
      <c r="M100" s="35"/>
    </row>
    <row r="101" spans="1:13" ht="15.5" x14ac:dyDescent="0.35">
      <c r="A101" s="173" t="s">
        <v>35</v>
      </c>
      <c r="B101" s="173"/>
      <c r="C101" s="58" t="s">
        <v>198</v>
      </c>
      <c r="D101" s="173" t="s">
        <v>199</v>
      </c>
      <c r="E101" s="173"/>
      <c r="F101" s="173" t="s">
        <v>200</v>
      </c>
      <c r="G101" s="173"/>
      <c r="H101" s="173" t="s">
        <v>201</v>
      </c>
      <c r="I101" s="173"/>
      <c r="J101" s="173"/>
      <c r="K101" s="25" t="s">
        <v>202</v>
      </c>
      <c r="L101" s="36"/>
      <c r="M101" s="37">
        <f ca="1">I99*25%</f>
        <v>1</v>
      </c>
    </row>
    <row r="102" spans="1:13" ht="15.5" x14ac:dyDescent="0.35">
      <c r="A102" s="173" t="s">
        <v>203</v>
      </c>
      <c r="B102" s="173"/>
      <c r="C102" s="38">
        <f ca="1">M103</f>
        <v>4</v>
      </c>
      <c r="D102" s="175">
        <f ca="1">((100/I99)*C102)/100</f>
        <v>1</v>
      </c>
      <c r="E102" s="175"/>
      <c r="F102" s="175">
        <f ca="1">(IF(C100=K99,"100%",IF(C100=K100,"100%",(((C103/I99*10)+(40/(D99+F99+I99)*C104)+(7.5/(I99)*C105)+(7.5/(I99)*C106)+(10/I99*C107)+(10/I99*C108)+(5/I99*C109)+(5/I99*C110)+(5/I99*C111))/100))))</f>
        <v>0.57499999999999996</v>
      </c>
      <c r="G102" s="175"/>
      <c r="H102" s="175">
        <f ca="1">((((C102/I99)*20)+((C103/I99)*25)+(30/(I99+F99+D99)*C104)+(5/I99*C105)+(5/I99*C106)+(5/I99*C107)+(5/I99*C108)+(0/I99*C109)+(0/I99*C110)+(5/I99*C111))/100)</f>
        <v>0.8</v>
      </c>
      <c r="I102" s="175"/>
      <c r="J102" s="175"/>
      <c r="K102" s="25" t="s">
        <v>204</v>
      </c>
      <c r="L102" s="39"/>
      <c r="M102" s="40">
        <f ca="1">I99*50%</f>
        <v>2</v>
      </c>
    </row>
    <row r="103" spans="1:13" ht="15.5" x14ac:dyDescent="0.35">
      <c r="A103" s="173" t="s">
        <v>36</v>
      </c>
      <c r="B103" s="173"/>
      <c r="C103" s="41">
        <f ca="1">M111</f>
        <v>4</v>
      </c>
      <c r="D103" s="175">
        <f ca="1">((100/I99)*C103)/100</f>
        <v>1</v>
      </c>
      <c r="E103" s="175"/>
      <c r="F103" s="175"/>
      <c r="G103" s="175"/>
      <c r="H103" s="175"/>
      <c r="I103" s="175"/>
      <c r="J103" s="175"/>
      <c r="K103" s="25" t="s">
        <v>205</v>
      </c>
      <c r="L103" s="39"/>
      <c r="M103" s="40">
        <f ca="1">I99</f>
        <v>4</v>
      </c>
    </row>
    <row r="104" spans="1:13" ht="15.5" x14ac:dyDescent="0.35">
      <c r="A104" s="173" t="s">
        <v>224</v>
      </c>
      <c r="B104" s="173"/>
      <c r="C104" s="41">
        <v>5</v>
      </c>
      <c r="D104" s="175">
        <f ca="1">((100/(D99+F99+I99))*C104)/100</f>
        <v>1</v>
      </c>
      <c r="E104" s="175"/>
      <c r="F104" s="175"/>
      <c r="G104" s="175"/>
      <c r="H104" s="175"/>
      <c r="I104" s="175"/>
      <c r="J104" s="175"/>
      <c r="K104" s="25" t="s">
        <v>206</v>
      </c>
      <c r="L104" s="39"/>
      <c r="M104" s="42">
        <f ca="1">(IF(B99=0,I99/4,(I99/(B99+4))))</f>
        <v>1</v>
      </c>
    </row>
    <row r="105" spans="1:13" ht="15.5" x14ac:dyDescent="0.35">
      <c r="A105" s="173" t="s">
        <v>207</v>
      </c>
      <c r="B105" s="173" t="s">
        <v>208</v>
      </c>
      <c r="C105" s="38">
        <v>4</v>
      </c>
      <c r="D105" s="175">
        <f ca="1">((100/I99)*C105)/100</f>
        <v>1</v>
      </c>
      <c r="E105" s="175"/>
      <c r="F105" s="175"/>
      <c r="G105" s="175"/>
      <c r="H105" s="175"/>
      <c r="I105" s="175"/>
      <c r="J105" s="175"/>
      <c r="K105" s="25" t="s">
        <v>209</v>
      </c>
      <c r="L105" s="39"/>
      <c r="M105" s="42">
        <f ca="1">(IF(B99=0,I99/4+M104,(I99/(B99+4)+M104)))</f>
        <v>2</v>
      </c>
    </row>
    <row r="106" spans="1:13" ht="15.5" x14ac:dyDescent="0.35">
      <c r="A106" s="173" t="s">
        <v>210</v>
      </c>
      <c r="B106" s="173" t="s">
        <v>208</v>
      </c>
      <c r="C106" s="38">
        <v>0</v>
      </c>
      <c r="D106" s="175">
        <f ca="1">((100/I99)*C106)/100</f>
        <v>0</v>
      </c>
      <c r="E106" s="175"/>
      <c r="F106" s="175"/>
      <c r="G106" s="175"/>
      <c r="H106" s="175"/>
      <c r="I106" s="175"/>
      <c r="J106" s="175"/>
      <c r="K106" s="25" t="s">
        <v>211</v>
      </c>
      <c r="L106" s="9"/>
      <c r="M106" s="42">
        <f>(IF(B99=0,0,(I99/(B99+4)+M105)))</f>
        <v>0</v>
      </c>
    </row>
    <row r="107" spans="1:13" ht="15.5" x14ac:dyDescent="0.35">
      <c r="A107" s="173" t="s">
        <v>212</v>
      </c>
      <c r="B107" s="173" t="s">
        <v>213</v>
      </c>
      <c r="C107" s="38">
        <v>0</v>
      </c>
      <c r="D107" s="175">
        <f ca="1">((100/(I99))*C107)/100</f>
        <v>0</v>
      </c>
      <c r="E107" s="175"/>
      <c r="F107" s="175"/>
      <c r="G107" s="175"/>
      <c r="H107" s="175"/>
      <c r="I107" s="175"/>
      <c r="J107" s="175"/>
      <c r="K107" s="25" t="s">
        <v>214</v>
      </c>
      <c r="L107" s="9"/>
      <c r="M107" s="42">
        <f>(IF(B99&gt;1,(I99/(B99+4)+M106),0))</f>
        <v>0</v>
      </c>
    </row>
    <row r="108" spans="1:13" ht="15.5" x14ac:dyDescent="0.35">
      <c r="A108" s="173" t="s">
        <v>215</v>
      </c>
      <c r="B108" s="173" t="s">
        <v>215</v>
      </c>
      <c r="C108" s="38">
        <v>0</v>
      </c>
      <c r="D108" s="175">
        <f ca="1">((100/I99)*C108)/100</f>
        <v>0</v>
      </c>
      <c r="E108" s="175"/>
      <c r="F108" s="175"/>
      <c r="G108" s="175"/>
      <c r="H108" s="175"/>
      <c r="I108" s="175"/>
      <c r="J108" s="175"/>
      <c r="K108" s="25" t="s">
        <v>216</v>
      </c>
      <c r="L108" s="43"/>
      <c r="M108" s="44">
        <f>(IF(B99&gt;2,(I99/(B99+4)+M107),0))</f>
        <v>0</v>
      </c>
    </row>
    <row r="109" spans="1:13" ht="15.5" x14ac:dyDescent="0.35">
      <c r="A109" s="173" t="s">
        <v>217</v>
      </c>
      <c r="B109" s="173"/>
      <c r="C109" s="38">
        <v>0</v>
      </c>
      <c r="D109" s="175">
        <f ca="1">((100/I99)*C109)/100</f>
        <v>0</v>
      </c>
      <c r="E109" s="175"/>
      <c r="F109" s="175"/>
      <c r="G109" s="175"/>
      <c r="H109" s="175"/>
      <c r="I109" s="175"/>
      <c r="J109" s="175"/>
      <c r="K109" s="25" t="s">
        <v>218</v>
      </c>
      <c r="M109" s="45">
        <f>(IF(B99&gt;3,(I99/(B99+4)+M108),0))</f>
        <v>0</v>
      </c>
    </row>
    <row r="110" spans="1:13" ht="15.5" x14ac:dyDescent="0.35">
      <c r="A110" s="173" t="s">
        <v>219</v>
      </c>
      <c r="B110" s="173" t="s">
        <v>219</v>
      </c>
      <c r="C110" s="38">
        <v>0</v>
      </c>
      <c r="D110" s="175">
        <f ca="1">((100/(I99))*C110)/100</f>
        <v>0</v>
      </c>
      <c r="E110" s="175"/>
      <c r="F110" s="175"/>
      <c r="G110" s="175"/>
      <c r="H110" s="175"/>
      <c r="I110" s="175"/>
      <c r="J110" s="175"/>
      <c r="K110" s="25" t="s">
        <v>220</v>
      </c>
      <c r="L110" s="39"/>
      <c r="M110" s="42">
        <f ca="1">(IF(B99=0,I99/4+M105,(I99/(B99+4)+M105+MAX(0,M106-M105)+MAX(0,M107-M106)+MAX(0,M108-M107)+MAX(0,M109-M108))))</f>
        <v>3</v>
      </c>
    </row>
    <row r="111" spans="1:13" ht="16" thickBot="1" x14ac:dyDescent="0.4">
      <c r="A111" s="173" t="s">
        <v>221</v>
      </c>
      <c r="B111" s="173"/>
      <c r="C111" s="38">
        <v>0</v>
      </c>
      <c r="D111" s="175">
        <f ca="1">((100/(I99))*C111)/100</f>
        <v>0</v>
      </c>
      <c r="E111" s="175"/>
      <c r="F111" s="175"/>
      <c r="G111" s="175"/>
      <c r="H111" s="175"/>
      <c r="I111" s="175"/>
      <c r="J111" s="175"/>
      <c r="K111" s="26" t="s">
        <v>222</v>
      </c>
      <c r="L111" s="46"/>
      <c r="M111" s="47">
        <f ca="1">(IF(B99=0,I99/4+M110,(I99/(B99+4)+M110)))</f>
        <v>4</v>
      </c>
    </row>
    <row r="112" spans="1:13" x14ac:dyDescent="0.35">
      <c r="A112" s="72" t="s">
        <v>65</v>
      </c>
      <c r="B112" s="73"/>
      <c r="C112" s="73"/>
      <c r="D112" s="73"/>
      <c r="E112" s="73"/>
      <c r="F112" s="73"/>
      <c r="G112" s="73"/>
      <c r="H112" s="73"/>
      <c r="I112" s="73"/>
      <c r="J112" s="74"/>
    </row>
    <row r="113" spans="1:10" x14ac:dyDescent="0.35">
      <c r="A113" s="66" t="s">
        <v>57</v>
      </c>
      <c r="B113" s="67"/>
      <c r="C113" s="67"/>
      <c r="D113" s="67"/>
      <c r="E113" s="67"/>
      <c r="F113" s="67"/>
      <c r="G113" s="67"/>
      <c r="H113" s="67"/>
      <c r="I113" s="67"/>
      <c r="J113" s="68"/>
    </row>
    <row r="114" spans="1:10" ht="15" customHeight="1" x14ac:dyDescent="0.35">
      <c r="A114" s="75" t="s">
        <v>87</v>
      </c>
      <c r="B114" s="76"/>
      <c r="C114" s="76"/>
      <c r="D114" s="76"/>
      <c r="E114" s="76"/>
      <c r="F114" s="76"/>
      <c r="G114" s="76"/>
      <c r="H114" s="76"/>
      <c r="I114" s="76"/>
      <c r="J114" s="77"/>
    </row>
    <row r="115" spans="1:10" x14ac:dyDescent="0.35">
      <c r="A115" s="78"/>
      <c r="B115" s="79"/>
      <c r="C115" s="79"/>
      <c r="D115" s="79"/>
      <c r="E115" s="79"/>
      <c r="F115" s="79"/>
      <c r="G115" s="79"/>
      <c r="H115" s="79"/>
      <c r="I115" s="79"/>
      <c r="J115" s="80"/>
    </row>
    <row r="116" spans="1:10" x14ac:dyDescent="0.35">
      <c r="A116" s="81" t="s">
        <v>24</v>
      </c>
      <c r="B116" s="82"/>
      <c r="C116" s="82"/>
      <c r="D116" s="82"/>
      <c r="E116" s="82"/>
      <c r="F116" s="82"/>
      <c r="G116" s="82"/>
      <c r="H116" s="82"/>
      <c r="I116" s="82"/>
      <c r="J116" s="83"/>
    </row>
    <row r="117" spans="1:10" x14ac:dyDescent="0.35">
      <c r="A117" s="71" t="s">
        <v>227</v>
      </c>
      <c r="B117" s="71"/>
      <c r="C117" s="71"/>
      <c r="D117" s="71"/>
      <c r="E117" s="71"/>
      <c r="F117" s="71"/>
      <c r="G117" s="71"/>
      <c r="H117" s="81">
        <v>3600</v>
      </c>
      <c r="I117" s="82"/>
      <c r="J117" s="83"/>
    </row>
    <row r="118" spans="1:10" x14ac:dyDescent="0.35">
      <c r="A118" s="71" t="s">
        <v>228</v>
      </c>
      <c r="B118" s="71"/>
      <c r="C118" s="71"/>
      <c r="D118" s="71"/>
      <c r="E118" s="71"/>
      <c r="F118" s="71"/>
      <c r="G118" s="71"/>
      <c r="H118" s="66">
        <v>6000</v>
      </c>
      <c r="I118" s="67"/>
      <c r="J118" s="68"/>
    </row>
    <row r="119" spans="1:10" ht="15" customHeight="1" x14ac:dyDescent="0.35">
      <c r="A119" s="71" t="s">
        <v>89</v>
      </c>
      <c r="B119" s="71"/>
      <c r="C119" s="71"/>
      <c r="D119" s="71"/>
      <c r="E119" s="71"/>
      <c r="F119" s="71"/>
      <c r="G119" s="71"/>
      <c r="H119" s="66" t="s">
        <v>114</v>
      </c>
      <c r="I119" s="67"/>
      <c r="J119" s="68"/>
    </row>
    <row r="120" spans="1:10" ht="15" hidden="1" customHeight="1" x14ac:dyDescent="0.35">
      <c r="A120" s="66" t="s">
        <v>86</v>
      </c>
      <c r="B120" s="67"/>
      <c r="C120" s="67"/>
      <c r="D120" s="67"/>
      <c r="E120" s="67"/>
      <c r="F120" s="67"/>
      <c r="G120" s="68"/>
      <c r="H120" s="66" t="s">
        <v>58</v>
      </c>
      <c r="I120" s="67"/>
      <c r="J120" s="68"/>
    </row>
    <row r="121" spans="1:10" hidden="1" x14ac:dyDescent="0.35">
      <c r="A121" s="66" t="s">
        <v>25</v>
      </c>
      <c r="B121" s="67"/>
      <c r="C121" s="67"/>
      <c r="D121" s="67"/>
      <c r="E121" s="67"/>
      <c r="F121" s="67"/>
      <c r="G121" s="68"/>
      <c r="H121" s="66" t="s">
        <v>58</v>
      </c>
      <c r="I121" s="67"/>
      <c r="J121" s="68"/>
    </row>
    <row r="122" spans="1:10" s="49" customFormat="1" ht="14.5" customHeight="1" x14ac:dyDescent="0.35">
      <c r="A122" s="71" t="s">
        <v>229</v>
      </c>
      <c r="B122" s="71"/>
      <c r="C122" s="71"/>
      <c r="D122" s="71"/>
      <c r="E122" s="71"/>
      <c r="F122" s="71"/>
      <c r="G122" s="71"/>
      <c r="H122" s="66">
        <f>H117*0.8</f>
        <v>2880</v>
      </c>
      <c r="I122" s="67"/>
      <c r="J122" s="68"/>
    </row>
    <row r="123" spans="1:10" s="49" customFormat="1" ht="18.75" customHeight="1" x14ac:dyDescent="0.35">
      <c r="A123" s="164" t="s">
        <v>26</v>
      </c>
      <c r="B123" s="165"/>
      <c r="C123" s="165"/>
      <c r="D123" s="165"/>
      <c r="E123" s="165"/>
      <c r="F123" s="165"/>
      <c r="G123" s="165"/>
      <c r="H123" s="165"/>
      <c r="I123" s="165"/>
      <c r="J123" s="166"/>
    </row>
    <row r="124" spans="1:10" x14ac:dyDescent="0.35">
      <c r="A124" s="167" t="s">
        <v>49</v>
      </c>
      <c r="B124" s="168"/>
      <c r="C124" s="168"/>
      <c r="D124" s="168"/>
      <c r="E124" s="168"/>
      <c r="F124" s="168"/>
      <c r="G124" s="168"/>
      <c r="H124" s="168"/>
      <c r="I124" s="168"/>
      <c r="J124" s="169"/>
    </row>
    <row r="125" spans="1:10" ht="45" x14ac:dyDescent="0.35">
      <c r="A125" s="69" t="s">
        <v>33</v>
      </c>
      <c r="B125" s="70"/>
      <c r="C125" s="27" t="s">
        <v>30</v>
      </c>
      <c r="D125" s="28" t="s">
        <v>90</v>
      </c>
      <c r="E125" s="27" t="s">
        <v>69</v>
      </c>
      <c r="F125" s="27" t="s">
        <v>43</v>
      </c>
      <c r="G125" s="29" t="s">
        <v>31</v>
      </c>
      <c r="H125" s="27" t="s">
        <v>115</v>
      </c>
      <c r="I125" s="69" t="s">
        <v>32</v>
      </c>
      <c r="J125" s="70"/>
    </row>
    <row r="126" spans="1:10" ht="15" x14ac:dyDescent="0.35">
      <c r="A126" s="160" t="s">
        <v>117</v>
      </c>
      <c r="B126" s="161"/>
      <c r="C126" s="161"/>
      <c r="D126" s="161"/>
      <c r="E126" s="161"/>
      <c r="F126" s="161"/>
      <c r="G126" s="161"/>
      <c r="H126" s="161"/>
      <c r="I126" s="161"/>
      <c r="J126" s="162"/>
    </row>
    <row r="127" spans="1:10" ht="15" x14ac:dyDescent="0.35">
      <c r="A127" s="160" t="s">
        <v>157</v>
      </c>
      <c r="B127" s="161"/>
      <c r="C127" s="161"/>
      <c r="D127" s="161"/>
      <c r="E127" s="161"/>
      <c r="F127" s="161"/>
      <c r="G127" s="161"/>
      <c r="H127" s="161"/>
      <c r="I127" s="161"/>
      <c r="J127" s="162"/>
    </row>
    <row r="128" spans="1:10" ht="15" x14ac:dyDescent="0.35">
      <c r="A128" s="160" t="s">
        <v>111</v>
      </c>
      <c r="B128" s="161"/>
      <c r="C128" s="161"/>
      <c r="D128" s="161"/>
      <c r="E128" s="161"/>
      <c r="F128" s="161"/>
      <c r="G128" s="161"/>
      <c r="H128" s="161"/>
      <c r="I128" s="161"/>
      <c r="J128" s="162"/>
    </row>
    <row r="129" spans="1:10" ht="15.5" x14ac:dyDescent="0.35">
      <c r="A129" s="170">
        <v>1</v>
      </c>
      <c r="B129" s="171"/>
      <c r="C129" s="30" t="s">
        <v>109</v>
      </c>
      <c r="D129" s="30">
        <f>34.91*10.764</f>
        <v>375.77123999999992</v>
      </c>
      <c r="E129" s="30">
        <v>0</v>
      </c>
      <c r="F129" s="30">
        <f>E129+D129</f>
        <v>375.77123999999992</v>
      </c>
      <c r="G129" s="30">
        <v>0</v>
      </c>
      <c r="H129" s="30">
        <f>F129*1.45+G129</f>
        <v>544.86829799999987</v>
      </c>
      <c r="I129" s="163" t="s">
        <v>58</v>
      </c>
      <c r="J129" s="163"/>
    </row>
    <row r="130" spans="1:10" ht="15.5" x14ac:dyDescent="0.35">
      <c r="A130" s="170">
        <v>2</v>
      </c>
      <c r="B130" s="171"/>
      <c r="C130" s="30" t="s">
        <v>109</v>
      </c>
      <c r="D130" s="30">
        <f>33.4*10.764</f>
        <v>359.51759999999996</v>
      </c>
      <c r="E130" s="30">
        <v>0</v>
      </c>
      <c r="F130" s="30">
        <f>E130+D130</f>
        <v>359.51759999999996</v>
      </c>
      <c r="G130" s="30">
        <v>0</v>
      </c>
      <c r="H130" s="30">
        <f>F130*1.45+G130</f>
        <v>521.30051999999989</v>
      </c>
      <c r="I130" s="163" t="s">
        <v>58</v>
      </c>
      <c r="J130" s="163"/>
    </row>
    <row r="131" spans="1:10" ht="15.5" x14ac:dyDescent="0.35">
      <c r="A131" s="170">
        <v>3</v>
      </c>
      <c r="B131" s="171"/>
      <c r="C131" s="30" t="s">
        <v>109</v>
      </c>
      <c r="D131" s="30">
        <f>34.91*10.764</f>
        <v>375.77123999999992</v>
      </c>
      <c r="E131" s="30">
        <v>0</v>
      </c>
      <c r="F131" s="30">
        <f>E131+D131</f>
        <v>375.77123999999992</v>
      </c>
      <c r="G131" s="30">
        <v>0</v>
      </c>
      <c r="H131" s="30">
        <f>F131*1.45+G131</f>
        <v>544.86829799999987</v>
      </c>
      <c r="I131" s="163" t="s">
        <v>58</v>
      </c>
      <c r="J131" s="163"/>
    </row>
    <row r="132" spans="1:10" ht="15" x14ac:dyDescent="0.35">
      <c r="A132" s="160" t="s">
        <v>108</v>
      </c>
      <c r="B132" s="161"/>
      <c r="C132" s="161"/>
      <c r="D132" s="161"/>
      <c r="E132" s="161"/>
      <c r="F132" s="161"/>
      <c r="G132" s="161"/>
      <c r="H132" s="161"/>
      <c r="I132" s="161"/>
      <c r="J132" s="162"/>
    </row>
    <row r="133" spans="1:10" ht="15.5" x14ac:dyDescent="0.35">
      <c r="A133" s="170">
        <f>B133</f>
        <v>1</v>
      </c>
      <c r="B133" s="171">
        <v>1</v>
      </c>
      <c r="C133" s="30" t="s">
        <v>109</v>
      </c>
      <c r="D133" s="30">
        <f>45.14*10.764</f>
        <v>485.88695999999999</v>
      </c>
      <c r="E133" s="30">
        <v>0</v>
      </c>
      <c r="F133" s="30">
        <f>E133+D133</f>
        <v>485.88695999999999</v>
      </c>
      <c r="G133" s="30">
        <v>0</v>
      </c>
      <c r="H133" s="30">
        <f>F133*1.45+G133</f>
        <v>704.53609199999994</v>
      </c>
      <c r="I133" s="163" t="s">
        <v>58</v>
      </c>
      <c r="J133" s="163"/>
    </row>
    <row r="134" spans="1:10" ht="15.5" x14ac:dyDescent="0.35">
      <c r="A134" s="170">
        <f>B134</f>
        <v>2</v>
      </c>
      <c r="B134" s="171">
        <v>2</v>
      </c>
      <c r="C134" s="30" t="s">
        <v>109</v>
      </c>
      <c r="D134" s="30">
        <f>34.91*10.764</f>
        <v>375.77123999999992</v>
      </c>
      <c r="E134" s="30">
        <v>0</v>
      </c>
      <c r="F134" s="30">
        <f>E134+D134</f>
        <v>375.77123999999992</v>
      </c>
      <c r="G134" s="30">
        <v>0</v>
      </c>
      <c r="H134" s="30">
        <f>F134*1.45+G134</f>
        <v>544.86829799999987</v>
      </c>
      <c r="I134" s="163" t="s">
        <v>58</v>
      </c>
      <c r="J134" s="163"/>
    </row>
    <row r="135" spans="1:10" ht="15.5" x14ac:dyDescent="0.35">
      <c r="A135" s="170">
        <f>B135</f>
        <v>3</v>
      </c>
      <c r="B135" s="171">
        <v>3</v>
      </c>
      <c r="C135" s="30" t="s">
        <v>109</v>
      </c>
      <c r="D135" s="30">
        <f>33.4*10.764</f>
        <v>359.51759999999996</v>
      </c>
      <c r="E135" s="30">
        <v>0</v>
      </c>
      <c r="F135" s="30">
        <f>E135+D135</f>
        <v>359.51759999999996</v>
      </c>
      <c r="G135" s="30">
        <v>0</v>
      </c>
      <c r="H135" s="30">
        <f>F135*1.45+G135</f>
        <v>521.30051999999989</v>
      </c>
      <c r="I135" s="163" t="s">
        <v>58</v>
      </c>
      <c r="J135" s="163"/>
    </row>
    <row r="136" spans="1:10" ht="15.5" x14ac:dyDescent="0.35">
      <c r="A136" s="170">
        <f>B136</f>
        <v>4</v>
      </c>
      <c r="B136" s="171">
        <v>4</v>
      </c>
      <c r="C136" s="30" t="s">
        <v>109</v>
      </c>
      <c r="D136" s="30">
        <f>34.91*10.764</f>
        <v>375.77123999999992</v>
      </c>
      <c r="E136" s="30">
        <v>0</v>
      </c>
      <c r="F136" s="30">
        <f>E136+D136</f>
        <v>375.77123999999992</v>
      </c>
      <c r="G136" s="30">
        <v>0</v>
      </c>
      <c r="H136" s="30">
        <f>F136*1.45+G136</f>
        <v>544.86829799999987</v>
      </c>
      <c r="I136" s="163" t="s">
        <v>58</v>
      </c>
      <c r="J136" s="163"/>
    </row>
    <row r="137" spans="1:10" ht="15.5" x14ac:dyDescent="0.35">
      <c r="A137" s="170">
        <f>B137</f>
        <v>5</v>
      </c>
      <c r="B137" s="171">
        <v>5</v>
      </c>
      <c r="C137" s="30" t="s">
        <v>109</v>
      </c>
      <c r="D137" s="30">
        <f>45.14*10.764</f>
        <v>485.88695999999999</v>
      </c>
      <c r="E137" s="30">
        <v>0</v>
      </c>
      <c r="F137" s="30">
        <f>E137+D137</f>
        <v>485.88695999999999</v>
      </c>
      <c r="G137" s="30">
        <v>0</v>
      </c>
      <c r="H137" s="30">
        <f>F137*1.45+G137</f>
        <v>704.53609199999994</v>
      </c>
      <c r="I137" s="163" t="s">
        <v>58</v>
      </c>
      <c r="J137" s="163"/>
    </row>
    <row r="138" spans="1:10" ht="15" x14ac:dyDescent="0.35">
      <c r="A138" s="160" t="s">
        <v>156</v>
      </c>
      <c r="B138" s="161"/>
      <c r="C138" s="161"/>
      <c r="D138" s="161"/>
      <c r="E138" s="161"/>
      <c r="F138" s="161"/>
      <c r="G138" s="161"/>
      <c r="H138" s="161"/>
      <c r="I138" s="161"/>
      <c r="J138" s="162"/>
    </row>
    <row r="139" spans="1:10" ht="15" x14ac:dyDescent="0.35">
      <c r="A139" s="160" t="s">
        <v>111</v>
      </c>
      <c r="B139" s="161"/>
      <c r="C139" s="161"/>
      <c r="D139" s="161"/>
      <c r="E139" s="161"/>
      <c r="F139" s="161"/>
      <c r="G139" s="161"/>
      <c r="H139" s="161"/>
      <c r="I139" s="161"/>
      <c r="J139" s="162"/>
    </row>
    <row r="140" spans="1:10" ht="15.5" x14ac:dyDescent="0.35">
      <c r="A140" s="170">
        <f>B140</f>
        <v>1</v>
      </c>
      <c r="B140" s="171">
        <v>1</v>
      </c>
      <c r="C140" s="30" t="s">
        <v>109</v>
      </c>
      <c r="D140" s="30">
        <f>33.38*10.764</f>
        <v>359.30232000000001</v>
      </c>
      <c r="E140" s="30">
        <v>0</v>
      </c>
      <c r="F140" s="30">
        <f>E140+D140</f>
        <v>359.30232000000001</v>
      </c>
      <c r="G140" s="30">
        <v>0</v>
      </c>
      <c r="H140" s="30">
        <f>F140*1.45+G140</f>
        <v>520.98836400000005</v>
      </c>
      <c r="I140" s="163" t="s">
        <v>58</v>
      </c>
      <c r="J140" s="163"/>
    </row>
    <row r="141" spans="1:10" ht="15.5" x14ac:dyDescent="0.35">
      <c r="A141" s="170">
        <f>B141</f>
        <v>2</v>
      </c>
      <c r="B141" s="171">
        <v>2</v>
      </c>
      <c r="C141" s="30" t="s">
        <v>109</v>
      </c>
      <c r="D141" s="30">
        <f>33.38*10.764</f>
        <v>359.30232000000001</v>
      </c>
      <c r="E141" s="30">
        <v>0</v>
      </c>
      <c r="F141" s="30">
        <f>E141+D141</f>
        <v>359.30232000000001</v>
      </c>
      <c r="G141" s="30">
        <v>0</v>
      </c>
      <c r="H141" s="30">
        <f>F141*1.45+G141</f>
        <v>520.98836400000005</v>
      </c>
      <c r="I141" s="163" t="s">
        <v>58</v>
      </c>
      <c r="J141" s="163"/>
    </row>
    <row r="142" spans="1:10" ht="15" x14ac:dyDescent="0.35">
      <c r="A142" s="160" t="s">
        <v>108</v>
      </c>
      <c r="B142" s="161"/>
      <c r="C142" s="161"/>
      <c r="D142" s="161"/>
      <c r="E142" s="161"/>
      <c r="F142" s="161"/>
      <c r="G142" s="161"/>
      <c r="H142" s="161"/>
      <c r="I142" s="161"/>
      <c r="J142" s="162"/>
    </row>
    <row r="143" spans="1:10" ht="15.5" x14ac:dyDescent="0.35">
      <c r="A143" s="170">
        <f>B143</f>
        <v>1</v>
      </c>
      <c r="B143" s="171">
        <v>1</v>
      </c>
      <c r="C143" s="30" t="s">
        <v>109</v>
      </c>
      <c r="D143" s="30">
        <f>33.38*10.764</f>
        <v>359.30232000000001</v>
      </c>
      <c r="E143" s="30">
        <v>0</v>
      </c>
      <c r="F143" s="30">
        <f>E143+D143</f>
        <v>359.30232000000001</v>
      </c>
      <c r="G143" s="30">
        <v>0</v>
      </c>
      <c r="H143" s="30">
        <f>F143*1.45+G143</f>
        <v>520.98836400000005</v>
      </c>
      <c r="I143" s="163" t="s">
        <v>58</v>
      </c>
      <c r="J143" s="163"/>
    </row>
    <row r="144" spans="1:10" ht="15.5" x14ac:dyDescent="0.35">
      <c r="A144" s="170">
        <f>B144</f>
        <v>2</v>
      </c>
      <c r="B144" s="171">
        <v>2</v>
      </c>
      <c r="C144" s="30" t="s">
        <v>109</v>
      </c>
      <c r="D144" s="30">
        <f>33.38*10.764</f>
        <v>359.30232000000001</v>
      </c>
      <c r="E144" s="30">
        <v>0</v>
      </c>
      <c r="F144" s="30">
        <f>E144+D144</f>
        <v>359.30232000000001</v>
      </c>
      <c r="G144" s="30">
        <v>0</v>
      </c>
      <c r="H144" s="30">
        <f>F144*1.45+G144</f>
        <v>520.98836400000005</v>
      </c>
      <c r="I144" s="163" t="s">
        <v>58</v>
      </c>
      <c r="J144" s="163"/>
    </row>
    <row r="145" spans="1:10" ht="15.5" x14ac:dyDescent="0.35">
      <c r="A145" s="170">
        <f>B145</f>
        <v>3</v>
      </c>
      <c r="B145" s="171">
        <v>3</v>
      </c>
      <c r="C145" s="30" t="s">
        <v>109</v>
      </c>
      <c r="D145" s="30">
        <f>33.38*10.764</f>
        <v>359.30232000000001</v>
      </c>
      <c r="E145" s="30">
        <v>0</v>
      </c>
      <c r="F145" s="30">
        <f>E145+D145</f>
        <v>359.30232000000001</v>
      </c>
      <c r="G145" s="30">
        <v>0</v>
      </c>
      <c r="H145" s="30">
        <f>F145*1.45+G145</f>
        <v>520.98836400000005</v>
      </c>
      <c r="I145" s="163" t="s">
        <v>58</v>
      </c>
      <c r="J145" s="163"/>
    </row>
    <row r="146" spans="1:10" ht="15.5" x14ac:dyDescent="0.35">
      <c r="A146" s="170">
        <f>B146</f>
        <v>4</v>
      </c>
      <c r="B146" s="171">
        <v>4</v>
      </c>
      <c r="C146" s="30" t="s">
        <v>109</v>
      </c>
      <c r="D146" s="30">
        <f>33.38*10.764</f>
        <v>359.30232000000001</v>
      </c>
      <c r="E146" s="30">
        <v>0</v>
      </c>
      <c r="F146" s="30">
        <f>E146+D146</f>
        <v>359.30232000000001</v>
      </c>
      <c r="G146" s="30">
        <v>0</v>
      </c>
      <c r="H146" s="30">
        <f>F146*1.45+G146</f>
        <v>520.98836400000005</v>
      </c>
      <c r="I146" s="163" t="s">
        <v>58</v>
      </c>
      <c r="J146" s="163"/>
    </row>
    <row r="147" spans="1:10" ht="15" x14ac:dyDescent="0.35">
      <c r="A147" s="160" t="s">
        <v>158</v>
      </c>
      <c r="B147" s="161"/>
      <c r="C147" s="161"/>
      <c r="D147" s="161"/>
      <c r="E147" s="161"/>
      <c r="F147" s="161"/>
      <c r="G147" s="161"/>
      <c r="H147" s="161"/>
      <c r="I147" s="161"/>
      <c r="J147" s="162"/>
    </row>
    <row r="148" spans="1:10" ht="15" x14ac:dyDescent="0.35">
      <c r="A148" s="160" t="s">
        <v>148</v>
      </c>
      <c r="B148" s="161"/>
      <c r="C148" s="161"/>
      <c r="D148" s="161"/>
      <c r="E148" s="161"/>
      <c r="F148" s="161"/>
      <c r="G148" s="161"/>
      <c r="H148" s="161"/>
      <c r="I148" s="161"/>
      <c r="J148" s="162"/>
    </row>
    <row r="149" spans="1:10" ht="15.5" x14ac:dyDescent="0.35">
      <c r="A149" s="170">
        <v>1</v>
      </c>
      <c r="B149" s="171"/>
      <c r="C149" s="30" t="s">
        <v>110</v>
      </c>
      <c r="D149" s="30">
        <f>23.34*10.764</f>
        <v>251.23175999999998</v>
      </c>
      <c r="E149" s="30">
        <v>0</v>
      </c>
      <c r="F149" s="30">
        <f>E149+D149</f>
        <v>251.23175999999998</v>
      </c>
      <c r="G149" s="30">
        <v>0</v>
      </c>
      <c r="H149" s="30">
        <f>F149*1.45+G149</f>
        <v>364.28605199999998</v>
      </c>
      <c r="I149" s="163" t="s">
        <v>58</v>
      </c>
      <c r="J149" s="163"/>
    </row>
    <row r="150" spans="1:10" ht="15.5" x14ac:dyDescent="0.35">
      <c r="A150" s="170">
        <v>2</v>
      </c>
      <c r="B150" s="171"/>
      <c r="C150" s="30" t="s">
        <v>109</v>
      </c>
      <c r="D150" s="30">
        <f>33.94*10.764</f>
        <v>365.33015999999998</v>
      </c>
      <c r="E150" s="30">
        <v>0</v>
      </c>
      <c r="F150" s="30">
        <f>E150+D150</f>
        <v>365.33015999999998</v>
      </c>
      <c r="G150" s="30">
        <v>0</v>
      </c>
      <c r="H150" s="30">
        <f>F150*1.45+G150</f>
        <v>529.72873199999992</v>
      </c>
      <c r="I150" s="163" t="s">
        <v>58</v>
      </c>
      <c r="J150" s="163"/>
    </row>
    <row r="151" spans="1:10" ht="15.5" x14ac:dyDescent="0.35">
      <c r="A151" s="64">
        <v>1</v>
      </c>
      <c r="B151" s="65"/>
      <c r="C151" s="32" t="s">
        <v>147</v>
      </c>
      <c r="D151" s="32">
        <f>14.99*10.764</f>
        <v>161.35236</v>
      </c>
      <c r="E151" s="32">
        <v>0</v>
      </c>
      <c r="F151" s="32">
        <f t="shared" ref="F151:F156" si="0">E151+D151</f>
        <v>161.35236</v>
      </c>
      <c r="G151" s="32">
        <v>0</v>
      </c>
      <c r="H151" s="32">
        <f>F151*1.5+G151</f>
        <v>242.02854000000002</v>
      </c>
      <c r="I151" s="60" t="s">
        <v>58</v>
      </c>
      <c r="J151" s="60"/>
    </row>
    <row r="152" spans="1:10" ht="15.5" x14ac:dyDescent="0.35">
      <c r="A152" s="64">
        <v>2</v>
      </c>
      <c r="B152" s="65"/>
      <c r="C152" s="32" t="s">
        <v>147</v>
      </c>
      <c r="D152" s="32">
        <f>12.44*10.764</f>
        <v>133.90415999999999</v>
      </c>
      <c r="E152" s="32">
        <v>0</v>
      </c>
      <c r="F152" s="32">
        <f t="shared" si="0"/>
        <v>133.90415999999999</v>
      </c>
      <c r="G152" s="32">
        <v>0</v>
      </c>
      <c r="H152" s="32">
        <f t="shared" ref="H152:H157" si="1">F152*1.5+G152</f>
        <v>200.85623999999999</v>
      </c>
      <c r="I152" s="60" t="s">
        <v>58</v>
      </c>
      <c r="J152" s="60"/>
    </row>
    <row r="153" spans="1:10" ht="15.5" x14ac:dyDescent="0.35">
      <c r="A153" s="64">
        <v>3</v>
      </c>
      <c r="B153" s="65"/>
      <c r="C153" s="32" t="s">
        <v>147</v>
      </c>
      <c r="D153" s="32">
        <f>15.4*10.764</f>
        <v>165.76560000000001</v>
      </c>
      <c r="E153" s="32">
        <v>0</v>
      </c>
      <c r="F153" s="32">
        <f t="shared" si="0"/>
        <v>165.76560000000001</v>
      </c>
      <c r="G153" s="32">
        <v>0</v>
      </c>
      <c r="H153" s="32">
        <f t="shared" si="1"/>
        <v>248.64840000000001</v>
      </c>
      <c r="I153" s="60" t="s">
        <v>58</v>
      </c>
      <c r="J153" s="60"/>
    </row>
    <row r="154" spans="1:10" ht="15.5" x14ac:dyDescent="0.35">
      <c r="A154" s="64">
        <v>4</v>
      </c>
      <c r="B154" s="65"/>
      <c r="C154" s="32" t="s">
        <v>147</v>
      </c>
      <c r="D154" s="32">
        <f>15.4*10.764</f>
        <v>165.76560000000001</v>
      </c>
      <c r="E154" s="32">
        <v>0</v>
      </c>
      <c r="F154" s="32">
        <f t="shared" si="0"/>
        <v>165.76560000000001</v>
      </c>
      <c r="G154" s="32">
        <v>0</v>
      </c>
      <c r="H154" s="32">
        <f t="shared" si="1"/>
        <v>248.64840000000001</v>
      </c>
      <c r="I154" s="60" t="s">
        <v>58</v>
      </c>
      <c r="J154" s="60"/>
    </row>
    <row r="155" spans="1:10" ht="15.5" x14ac:dyDescent="0.35">
      <c r="A155" s="64">
        <v>5</v>
      </c>
      <c r="B155" s="65"/>
      <c r="C155" s="32" t="s">
        <v>147</v>
      </c>
      <c r="D155" s="32">
        <f>10.78*10.764</f>
        <v>116.03591999999999</v>
      </c>
      <c r="E155" s="32">
        <v>0</v>
      </c>
      <c r="F155" s="32">
        <f t="shared" si="0"/>
        <v>116.03591999999999</v>
      </c>
      <c r="G155" s="32">
        <v>0</v>
      </c>
      <c r="H155" s="32">
        <f t="shared" si="1"/>
        <v>174.05387999999999</v>
      </c>
      <c r="I155" s="60" t="s">
        <v>58</v>
      </c>
      <c r="J155" s="60"/>
    </row>
    <row r="156" spans="1:10" ht="15.5" x14ac:dyDescent="0.35">
      <c r="A156" s="64">
        <v>6</v>
      </c>
      <c r="B156" s="65"/>
      <c r="C156" s="32" t="s">
        <v>147</v>
      </c>
      <c r="D156" s="32">
        <f>14.52*10.764</f>
        <v>156.29327999999998</v>
      </c>
      <c r="E156" s="32">
        <v>0</v>
      </c>
      <c r="F156" s="32">
        <f t="shared" si="0"/>
        <v>156.29327999999998</v>
      </c>
      <c r="G156" s="32">
        <v>0</v>
      </c>
      <c r="H156" s="32">
        <f t="shared" si="1"/>
        <v>234.43991999999997</v>
      </c>
      <c r="I156" s="60" t="s">
        <v>58</v>
      </c>
      <c r="J156" s="60"/>
    </row>
    <row r="157" spans="1:10" ht="15.5" x14ac:dyDescent="0.35">
      <c r="A157" s="64">
        <v>7</v>
      </c>
      <c r="B157" s="65"/>
      <c r="C157" s="32" t="s">
        <v>147</v>
      </c>
      <c r="D157" s="32">
        <f>8*10.764</f>
        <v>86.111999999999995</v>
      </c>
      <c r="E157" s="32">
        <v>0</v>
      </c>
      <c r="F157" s="32">
        <f>E157+D157</f>
        <v>86.111999999999995</v>
      </c>
      <c r="G157" s="32">
        <v>0</v>
      </c>
      <c r="H157" s="32">
        <f t="shared" si="1"/>
        <v>129.16800000000001</v>
      </c>
      <c r="I157" s="60" t="s">
        <v>58</v>
      </c>
      <c r="J157" s="60"/>
    </row>
    <row r="158" spans="1:10" ht="15" x14ac:dyDescent="0.35">
      <c r="A158" s="61" t="s">
        <v>162</v>
      </c>
      <c r="B158" s="62"/>
      <c r="C158" s="62"/>
      <c r="D158" s="62"/>
      <c r="E158" s="62"/>
      <c r="F158" s="62"/>
      <c r="G158" s="62"/>
      <c r="H158" s="62"/>
      <c r="I158" s="62"/>
      <c r="J158" s="63"/>
    </row>
    <row r="159" spans="1:10" ht="15.5" x14ac:dyDescent="0.35">
      <c r="A159" s="64">
        <v>1</v>
      </c>
      <c r="B159" s="65"/>
      <c r="C159" s="32" t="s">
        <v>109</v>
      </c>
      <c r="D159" s="32">
        <f>31.54*10.764</f>
        <v>339.49655999999999</v>
      </c>
      <c r="E159" s="32">
        <v>0</v>
      </c>
      <c r="F159" s="32">
        <f t="shared" ref="F159:F164" si="2">E159+D159</f>
        <v>339.49655999999999</v>
      </c>
      <c r="G159" s="32">
        <v>0</v>
      </c>
      <c r="H159" s="32">
        <f t="shared" ref="H159:H164" si="3">F159*1.45+G159</f>
        <v>492.27001199999995</v>
      </c>
      <c r="I159" s="60" t="s">
        <v>58</v>
      </c>
      <c r="J159" s="60"/>
    </row>
    <row r="160" spans="1:10" ht="15.5" x14ac:dyDescent="0.35">
      <c r="A160" s="64">
        <v>2</v>
      </c>
      <c r="B160" s="65"/>
      <c r="C160" s="32" t="s">
        <v>109</v>
      </c>
      <c r="D160" s="32">
        <f>33.94*10.764</f>
        <v>365.33015999999998</v>
      </c>
      <c r="E160" s="32">
        <v>0</v>
      </c>
      <c r="F160" s="32">
        <f t="shared" si="2"/>
        <v>365.33015999999998</v>
      </c>
      <c r="G160" s="32">
        <v>0</v>
      </c>
      <c r="H160" s="32">
        <f t="shared" si="3"/>
        <v>529.72873199999992</v>
      </c>
      <c r="I160" s="60" t="s">
        <v>58</v>
      </c>
      <c r="J160" s="60"/>
    </row>
    <row r="161" spans="1:10" ht="15.5" x14ac:dyDescent="0.35">
      <c r="A161" s="64">
        <v>3</v>
      </c>
      <c r="B161" s="65"/>
      <c r="C161" s="32" t="s">
        <v>109</v>
      </c>
      <c r="D161" s="32">
        <f>33.66*10.764</f>
        <v>362.31623999999994</v>
      </c>
      <c r="E161" s="32">
        <v>0</v>
      </c>
      <c r="F161" s="32">
        <f t="shared" si="2"/>
        <v>362.31623999999994</v>
      </c>
      <c r="G161" s="32">
        <v>0</v>
      </c>
      <c r="H161" s="32">
        <f t="shared" si="3"/>
        <v>525.35854799999993</v>
      </c>
      <c r="I161" s="60" t="s">
        <v>58</v>
      </c>
      <c r="J161" s="60"/>
    </row>
    <row r="162" spans="1:10" ht="15.5" x14ac:dyDescent="0.35">
      <c r="A162" s="64">
        <v>4</v>
      </c>
      <c r="B162" s="65"/>
      <c r="C162" s="32" t="s">
        <v>109</v>
      </c>
      <c r="D162" s="32">
        <f>33.94*10.764</f>
        <v>365.33015999999998</v>
      </c>
      <c r="E162" s="32">
        <v>0</v>
      </c>
      <c r="F162" s="32">
        <f t="shared" si="2"/>
        <v>365.33015999999998</v>
      </c>
      <c r="G162" s="32">
        <v>0</v>
      </c>
      <c r="H162" s="32">
        <f t="shared" si="3"/>
        <v>529.72873199999992</v>
      </c>
      <c r="I162" s="60" t="s">
        <v>58</v>
      </c>
      <c r="J162" s="60"/>
    </row>
    <row r="163" spans="1:10" ht="15.5" x14ac:dyDescent="0.35">
      <c r="A163" s="64">
        <v>5</v>
      </c>
      <c r="B163" s="65"/>
      <c r="C163" s="32" t="s">
        <v>109</v>
      </c>
      <c r="D163" s="32">
        <f>33.94*10.764</f>
        <v>365.33015999999998</v>
      </c>
      <c r="E163" s="32">
        <v>0</v>
      </c>
      <c r="F163" s="32">
        <f t="shared" si="2"/>
        <v>365.33015999999998</v>
      </c>
      <c r="G163" s="32">
        <v>0</v>
      </c>
      <c r="H163" s="32">
        <f t="shared" si="3"/>
        <v>529.72873199999992</v>
      </c>
      <c r="I163" s="60" t="s">
        <v>58</v>
      </c>
      <c r="J163" s="60"/>
    </row>
    <row r="164" spans="1:10" ht="15.5" x14ac:dyDescent="0.35">
      <c r="A164" s="64">
        <v>6</v>
      </c>
      <c r="B164" s="65"/>
      <c r="C164" s="32" t="s">
        <v>109</v>
      </c>
      <c r="D164" s="32">
        <f>33.58*10.764</f>
        <v>361.45511999999997</v>
      </c>
      <c r="E164" s="32">
        <v>0</v>
      </c>
      <c r="F164" s="32">
        <f t="shared" si="2"/>
        <v>361.45511999999997</v>
      </c>
      <c r="G164" s="32">
        <v>0</v>
      </c>
      <c r="H164" s="32">
        <f t="shared" si="3"/>
        <v>524.10992399999998</v>
      </c>
      <c r="I164" s="60" t="s">
        <v>58</v>
      </c>
      <c r="J164" s="60"/>
    </row>
    <row r="165" spans="1:10" ht="15" x14ac:dyDescent="0.35">
      <c r="A165" s="61" t="s">
        <v>159</v>
      </c>
      <c r="B165" s="62"/>
      <c r="C165" s="62"/>
      <c r="D165" s="62"/>
      <c r="E165" s="62"/>
      <c r="F165" s="62"/>
      <c r="G165" s="62"/>
      <c r="H165" s="62"/>
      <c r="I165" s="62"/>
      <c r="J165" s="63"/>
    </row>
    <row r="166" spans="1:10" ht="15" x14ac:dyDescent="0.35">
      <c r="A166" s="61" t="s">
        <v>68</v>
      </c>
      <c r="B166" s="62"/>
      <c r="C166" s="62"/>
      <c r="D166" s="62"/>
      <c r="E166" s="62"/>
      <c r="F166" s="62"/>
      <c r="G166" s="62"/>
      <c r="H166" s="62"/>
      <c r="I166" s="62"/>
      <c r="J166" s="63"/>
    </row>
    <row r="167" spans="1:10" ht="15.5" x14ac:dyDescent="0.35">
      <c r="A167" s="64">
        <v>1</v>
      </c>
      <c r="B167" s="65"/>
      <c r="C167" s="32" t="s">
        <v>147</v>
      </c>
      <c r="D167" s="32">
        <f>14.99*10.764</f>
        <v>161.35236</v>
      </c>
      <c r="E167" s="32">
        <v>0</v>
      </c>
      <c r="F167" s="32">
        <f t="shared" ref="F167:F172" si="4">E167+D167</f>
        <v>161.35236</v>
      </c>
      <c r="G167" s="32">
        <v>0</v>
      </c>
      <c r="H167" s="32">
        <f>F167*1.5+G167</f>
        <v>242.02854000000002</v>
      </c>
      <c r="I167" s="60" t="s">
        <v>58</v>
      </c>
      <c r="J167" s="60"/>
    </row>
    <row r="168" spans="1:10" ht="15.5" x14ac:dyDescent="0.35">
      <c r="A168" s="64">
        <v>2</v>
      </c>
      <c r="B168" s="65"/>
      <c r="C168" s="32" t="s">
        <v>147</v>
      </c>
      <c r="D168" s="32">
        <f>12.44*10.764</f>
        <v>133.90415999999999</v>
      </c>
      <c r="E168" s="32">
        <v>0</v>
      </c>
      <c r="F168" s="32">
        <f t="shared" si="4"/>
        <v>133.90415999999999</v>
      </c>
      <c r="G168" s="32">
        <v>0</v>
      </c>
      <c r="H168" s="32">
        <f t="shared" ref="H168:H178" si="5">F168*1.5+G168</f>
        <v>200.85623999999999</v>
      </c>
      <c r="I168" s="60" t="s">
        <v>58</v>
      </c>
      <c r="J168" s="60"/>
    </row>
    <row r="169" spans="1:10" ht="15.5" x14ac:dyDescent="0.35">
      <c r="A169" s="64">
        <v>3</v>
      </c>
      <c r="B169" s="65"/>
      <c r="C169" s="32" t="s">
        <v>147</v>
      </c>
      <c r="D169" s="32">
        <f>15.4*10.764</f>
        <v>165.76560000000001</v>
      </c>
      <c r="E169" s="32">
        <v>0</v>
      </c>
      <c r="F169" s="32">
        <f t="shared" si="4"/>
        <v>165.76560000000001</v>
      </c>
      <c r="G169" s="32">
        <v>0</v>
      </c>
      <c r="H169" s="32">
        <f t="shared" si="5"/>
        <v>248.64840000000001</v>
      </c>
      <c r="I169" s="60" t="s">
        <v>58</v>
      </c>
      <c r="J169" s="60"/>
    </row>
    <row r="170" spans="1:10" ht="15.5" x14ac:dyDescent="0.35">
      <c r="A170" s="64">
        <v>4</v>
      </c>
      <c r="B170" s="65"/>
      <c r="C170" s="32" t="s">
        <v>147</v>
      </c>
      <c r="D170" s="32">
        <f>12.32*10.764</f>
        <v>132.61248000000001</v>
      </c>
      <c r="E170" s="32">
        <v>0</v>
      </c>
      <c r="F170" s="32">
        <f t="shared" si="4"/>
        <v>132.61248000000001</v>
      </c>
      <c r="G170" s="32">
        <v>0</v>
      </c>
      <c r="H170" s="32">
        <f t="shared" si="5"/>
        <v>198.91872000000001</v>
      </c>
      <c r="I170" s="60" t="s">
        <v>58</v>
      </c>
      <c r="J170" s="60"/>
    </row>
    <row r="171" spans="1:10" ht="15.5" x14ac:dyDescent="0.35">
      <c r="A171" s="64">
        <v>5</v>
      </c>
      <c r="B171" s="65"/>
      <c r="C171" s="32" t="s">
        <v>147</v>
      </c>
      <c r="D171" s="32">
        <f>8.8*10.764</f>
        <v>94.723200000000006</v>
      </c>
      <c r="E171" s="32">
        <v>0</v>
      </c>
      <c r="F171" s="32">
        <f t="shared" si="4"/>
        <v>94.723200000000006</v>
      </c>
      <c r="G171" s="32">
        <v>0</v>
      </c>
      <c r="H171" s="32">
        <f t="shared" si="5"/>
        <v>142.0848</v>
      </c>
      <c r="I171" s="60" t="s">
        <v>58</v>
      </c>
      <c r="J171" s="60"/>
    </row>
    <row r="172" spans="1:10" ht="15.5" x14ac:dyDescent="0.35">
      <c r="A172" s="64">
        <v>6</v>
      </c>
      <c r="B172" s="65"/>
      <c r="C172" s="32" t="s">
        <v>147</v>
      </c>
      <c r="D172" s="30">
        <f>12.1*10.764</f>
        <v>130.24439999999998</v>
      </c>
      <c r="E172" s="32">
        <v>0</v>
      </c>
      <c r="F172" s="32">
        <f t="shared" si="4"/>
        <v>130.24439999999998</v>
      </c>
      <c r="G172" s="32">
        <v>0</v>
      </c>
      <c r="H172" s="32">
        <f t="shared" si="5"/>
        <v>195.36659999999998</v>
      </c>
      <c r="I172" s="60" t="s">
        <v>58</v>
      </c>
      <c r="J172" s="60"/>
    </row>
    <row r="173" spans="1:10" ht="15.5" x14ac:dyDescent="0.35">
      <c r="A173" s="64">
        <v>7</v>
      </c>
      <c r="B173" s="65"/>
      <c r="C173" s="32" t="s">
        <v>147</v>
      </c>
      <c r="D173" s="32">
        <f>13.42*10.764</f>
        <v>144.45287999999999</v>
      </c>
      <c r="E173" s="32">
        <v>0</v>
      </c>
      <c r="F173" s="32">
        <f t="shared" ref="F173:F178" si="6">E173+D173</f>
        <v>144.45287999999999</v>
      </c>
      <c r="G173" s="32">
        <v>0</v>
      </c>
      <c r="H173" s="32">
        <f t="shared" si="5"/>
        <v>216.67931999999999</v>
      </c>
      <c r="I173" s="60" t="s">
        <v>58</v>
      </c>
      <c r="J173" s="60"/>
    </row>
    <row r="174" spans="1:10" ht="15.5" x14ac:dyDescent="0.35">
      <c r="A174" s="64">
        <v>8</v>
      </c>
      <c r="B174" s="65"/>
      <c r="C174" s="32" t="s">
        <v>147</v>
      </c>
      <c r="D174" s="32">
        <f>12.76*10.764</f>
        <v>137.34863999999999</v>
      </c>
      <c r="E174" s="32">
        <v>0</v>
      </c>
      <c r="F174" s="32">
        <f t="shared" si="6"/>
        <v>137.34863999999999</v>
      </c>
      <c r="G174" s="32">
        <v>0</v>
      </c>
      <c r="H174" s="32">
        <f t="shared" si="5"/>
        <v>206.02295999999998</v>
      </c>
      <c r="I174" s="60" t="s">
        <v>58</v>
      </c>
      <c r="J174" s="60"/>
    </row>
    <row r="175" spans="1:10" ht="15.5" x14ac:dyDescent="0.35">
      <c r="A175" s="64">
        <v>9</v>
      </c>
      <c r="B175" s="65"/>
      <c r="C175" s="32" t="s">
        <v>147</v>
      </c>
      <c r="D175" s="32">
        <f>15.4*10.764</f>
        <v>165.76560000000001</v>
      </c>
      <c r="E175" s="32">
        <v>0</v>
      </c>
      <c r="F175" s="32">
        <f t="shared" si="6"/>
        <v>165.76560000000001</v>
      </c>
      <c r="G175" s="32">
        <v>0</v>
      </c>
      <c r="H175" s="32">
        <f t="shared" si="5"/>
        <v>248.64840000000001</v>
      </c>
      <c r="I175" s="60" t="s">
        <v>58</v>
      </c>
      <c r="J175" s="60"/>
    </row>
    <row r="176" spans="1:10" ht="15.5" x14ac:dyDescent="0.35">
      <c r="A176" s="64">
        <v>10</v>
      </c>
      <c r="B176" s="65"/>
      <c r="C176" s="32" t="s">
        <v>147</v>
      </c>
      <c r="D176" s="32">
        <f>15.4*10.764</f>
        <v>165.76560000000001</v>
      </c>
      <c r="E176" s="32">
        <v>0</v>
      </c>
      <c r="F176" s="32">
        <f t="shared" si="6"/>
        <v>165.76560000000001</v>
      </c>
      <c r="G176" s="32">
        <v>0</v>
      </c>
      <c r="H176" s="32">
        <f t="shared" si="5"/>
        <v>248.64840000000001</v>
      </c>
      <c r="I176" s="60" t="s">
        <v>58</v>
      </c>
      <c r="J176" s="60"/>
    </row>
    <row r="177" spans="1:10" ht="15.5" x14ac:dyDescent="0.35">
      <c r="A177" s="64">
        <v>11</v>
      </c>
      <c r="B177" s="65"/>
      <c r="C177" s="32" t="s">
        <v>147</v>
      </c>
      <c r="D177" s="32">
        <f>10.49*10.764</f>
        <v>112.91436</v>
      </c>
      <c r="E177" s="32">
        <v>0</v>
      </c>
      <c r="F177" s="32">
        <f t="shared" si="6"/>
        <v>112.91436</v>
      </c>
      <c r="G177" s="32">
        <v>0</v>
      </c>
      <c r="H177" s="32">
        <f t="shared" si="5"/>
        <v>169.37154000000001</v>
      </c>
      <c r="I177" s="60" t="s">
        <v>58</v>
      </c>
      <c r="J177" s="60"/>
    </row>
    <row r="178" spans="1:10" ht="15.5" x14ac:dyDescent="0.35">
      <c r="A178" s="64">
        <v>12</v>
      </c>
      <c r="B178" s="65"/>
      <c r="C178" s="32" t="s">
        <v>147</v>
      </c>
      <c r="D178" s="30">
        <f>8.28*10.764</f>
        <v>89.125919999999994</v>
      </c>
      <c r="E178" s="32">
        <v>0</v>
      </c>
      <c r="F178" s="32">
        <f t="shared" si="6"/>
        <v>89.125919999999994</v>
      </c>
      <c r="G178" s="32">
        <v>0</v>
      </c>
      <c r="H178" s="32">
        <f t="shared" si="5"/>
        <v>133.68887999999998</v>
      </c>
      <c r="I178" s="60" t="s">
        <v>58</v>
      </c>
      <c r="J178" s="60"/>
    </row>
    <row r="179" spans="1:10" ht="15" x14ac:dyDescent="0.35">
      <c r="A179" s="61" t="s">
        <v>162</v>
      </c>
      <c r="B179" s="62"/>
      <c r="C179" s="62"/>
      <c r="D179" s="62"/>
      <c r="E179" s="62"/>
      <c r="F179" s="62"/>
      <c r="G179" s="62"/>
      <c r="H179" s="62"/>
      <c r="I179" s="62"/>
      <c r="J179" s="63"/>
    </row>
    <row r="180" spans="1:10" ht="15.5" x14ac:dyDescent="0.35">
      <c r="A180" s="64">
        <v>1</v>
      </c>
      <c r="B180" s="65"/>
      <c r="C180" s="32" t="s">
        <v>110</v>
      </c>
      <c r="D180" s="32">
        <f>31.54*10.764</f>
        <v>339.49655999999999</v>
      </c>
      <c r="E180" s="32">
        <v>0</v>
      </c>
      <c r="F180" s="32">
        <f t="shared" ref="F180:F185" si="7">E180+D180</f>
        <v>339.49655999999999</v>
      </c>
      <c r="G180" s="32">
        <v>0</v>
      </c>
      <c r="H180" s="32">
        <f t="shared" ref="H180:H185" si="8">F180*1.45+G180</f>
        <v>492.27001199999995</v>
      </c>
      <c r="I180" s="60" t="s">
        <v>58</v>
      </c>
      <c r="J180" s="60"/>
    </row>
    <row r="181" spans="1:10" ht="15.5" x14ac:dyDescent="0.35">
      <c r="A181" s="64">
        <v>2</v>
      </c>
      <c r="B181" s="65"/>
      <c r="C181" s="32" t="s">
        <v>109</v>
      </c>
      <c r="D181" s="32">
        <f>33.94*10.764</f>
        <v>365.33015999999998</v>
      </c>
      <c r="E181" s="32">
        <v>0</v>
      </c>
      <c r="F181" s="32">
        <f t="shared" si="7"/>
        <v>365.33015999999998</v>
      </c>
      <c r="G181" s="32">
        <v>0</v>
      </c>
      <c r="H181" s="32">
        <f t="shared" si="8"/>
        <v>529.72873199999992</v>
      </c>
      <c r="I181" s="60" t="s">
        <v>58</v>
      </c>
      <c r="J181" s="60"/>
    </row>
    <row r="182" spans="1:10" ht="15.5" x14ac:dyDescent="0.35">
      <c r="A182" s="64">
        <v>3</v>
      </c>
      <c r="B182" s="65"/>
      <c r="C182" s="32" t="s">
        <v>109</v>
      </c>
      <c r="D182" s="32">
        <f>33.66*10.764</f>
        <v>362.31623999999994</v>
      </c>
      <c r="E182" s="32">
        <v>0</v>
      </c>
      <c r="F182" s="32">
        <f t="shared" si="7"/>
        <v>362.31623999999994</v>
      </c>
      <c r="G182" s="32">
        <v>0</v>
      </c>
      <c r="H182" s="32">
        <f t="shared" si="8"/>
        <v>525.35854799999993</v>
      </c>
      <c r="I182" s="60" t="s">
        <v>58</v>
      </c>
      <c r="J182" s="60"/>
    </row>
    <row r="183" spans="1:10" ht="15.5" x14ac:dyDescent="0.35">
      <c r="A183" s="64">
        <v>4</v>
      </c>
      <c r="B183" s="65"/>
      <c r="C183" s="32" t="s">
        <v>110</v>
      </c>
      <c r="D183" s="32">
        <f>27.42*10.764</f>
        <v>295.14888000000002</v>
      </c>
      <c r="E183" s="32">
        <v>0</v>
      </c>
      <c r="F183" s="32">
        <f t="shared" si="7"/>
        <v>295.14888000000002</v>
      </c>
      <c r="G183" s="32">
        <v>0</v>
      </c>
      <c r="H183" s="32">
        <f t="shared" si="8"/>
        <v>427.96587600000004</v>
      </c>
      <c r="I183" s="60" t="s">
        <v>58</v>
      </c>
      <c r="J183" s="60"/>
    </row>
    <row r="184" spans="1:10" ht="15.5" x14ac:dyDescent="0.35">
      <c r="A184" s="64">
        <v>5</v>
      </c>
      <c r="B184" s="65"/>
      <c r="C184" s="32" t="s">
        <v>110</v>
      </c>
      <c r="D184" s="32">
        <f>27.42*10.764</f>
        <v>295.14888000000002</v>
      </c>
      <c r="E184" s="32">
        <v>0</v>
      </c>
      <c r="F184" s="32">
        <f t="shared" si="7"/>
        <v>295.14888000000002</v>
      </c>
      <c r="G184" s="32">
        <v>0</v>
      </c>
      <c r="H184" s="32">
        <f t="shared" si="8"/>
        <v>427.96587600000004</v>
      </c>
      <c r="I184" s="60" t="s">
        <v>58</v>
      </c>
      <c r="J184" s="60"/>
    </row>
    <row r="185" spans="1:10" ht="15.5" x14ac:dyDescent="0.35">
      <c r="A185" s="64">
        <v>6</v>
      </c>
      <c r="B185" s="65"/>
      <c r="C185" s="32" t="s">
        <v>109</v>
      </c>
      <c r="D185" s="30">
        <f>33.58*10.764</f>
        <v>361.45511999999997</v>
      </c>
      <c r="E185" s="32">
        <v>0</v>
      </c>
      <c r="F185" s="32">
        <f t="shared" si="7"/>
        <v>361.45511999999997</v>
      </c>
      <c r="G185" s="32">
        <v>0</v>
      </c>
      <c r="H185" s="32">
        <f t="shared" si="8"/>
        <v>524.10992399999998</v>
      </c>
      <c r="I185" s="60" t="s">
        <v>58</v>
      </c>
      <c r="J185" s="60"/>
    </row>
    <row r="186" spans="1:10" ht="15" x14ac:dyDescent="0.35">
      <c r="A186" s="61" t="s">
        <v>160</v>
      </c>
      <c r="B186" s="62"/>
      <c r="C186" s="62"/>
      <c r="D186" s="62"/>
      <c r="E186" s="62"/>
      <c r="F186" s="62"/>
      <c r="G186" s="62"/>
      <c r="H186" s="62"/>
      <c r="I186" s="62"/>
      <c r="J186" s="63"/>
    </row>
    <row r="187" spans="1:10" ht="15" x14ac:dyDescent="0.35">
      <c r="A187" s="61" t="s">
        <v>68</v>
      </c>
      <c r="B187" s="62"/>
      <c r="C187" s="62"/>
      <c r="D187" s="62"/>
      <c r="E187" s="62"/>
      <c r="F187" s="62"/>
      <c r="G187" s="62"/>
      <c r="H187" s="62"/>
      <c r="I187" s="62"/>
      <c r="J187" s="63"/>
    </row>
    <row r="188" spans="1:10" ht="15.5" x14ac:dyDescent="0.35">
      <c r="A188" s="64">
        <v>1</v>
      </c>
      <c r="B188" s="65"/>
      <c r="C188" s="32" t="s">
        <v>147</v>
      </c>
      <c r="D188" s="32">
        <f>17.58*10.764</f>
        <v>189.23111999999998</v>
      </c>
      <c r="E188" s="32">
        <v>0</v>
      </c>
      <c r="F188" s="32">
        <f>E188+D188</f>
        <v>189.23111999999998</v>
      </c>
      <c r="G188" s="32">
        <v>0</v>
      </c>
      <c r="H188" s="32">
        <f>F188*1.5+G188</f>
        <v>283.84667999999999</v>
      </c>
      <c r="I188" s="60" t="s">
        <v>58</v>
      </c>
      <c r="J188" s="60"/>
    </row>
    <row r="189" spans="1:10" ht="15.5" x14ac:dyDescent="0.35">
      <c r="A189" s="64">
        <v>2</v>
      </c>
      <c r="B189" s="65"/>
      <c r="C189" s="32" t="s">
        <v>147</v>
      </c>
      <c r="D189" s="32">
        <f>14.03*10.764</f>
        <v>151.01891999999998</v>
      </c>
      <c r="E189" s="32">
        <v>0</v>
      </c>
      <c r="F189" s="32">
        <f>E189+D189</f>
        <v>151.01891999999998</v>
      </c>
      <c r="G189" s="32">
        <v>0</v>
      </c>
      <c r="H189" s="32">
        <f>F189*1.5+G189</f>
        <v>226.52837999999997</v>
      </c>
      <c r="I189" s="60" t="s">
        <v>58</v>
      </c>
      <c r="J189" s="60"/>
    </row>
    <row r="190" spans="1:10" ht="15.5" x14ac:dyDescent="0.35">
      <c r="A190" s="64">
        <v>3</v>
      </c>
      <c r="B190" s="65"/>
      <c r="C190" s="32" t="s">
        <v>147</v>
      </c>
      <c r="D190" s="32">
        <f>14.03*10.764</f>
        <v>151.01891999999998</v>
      </c>
      <c r="E190" s="32">
        <v>0</v>
      </c>
      <c r="F190" s="32">
        <f>E190+D190</f>
        <v>151.01891999999998</v>
      </c>
      <c r="G190" s="32">
        <v>0</v>
      </c>
      <c r="H190" s="32">
        <f>F190*1.5+G190</f>
        <v>226.52837999999997</v>
      </c>
      <c r="I190" s="60" t="s">
        <v>58</v>
      </c>
      <c r="J190" s="60"/>
    </row>
    <row r="191" spans="1:10" ht="15.5" x14ac:dyDescent="0.35">
      <c r="A191" s="64">
        <v>4</v>
      </c>
      <c r="B191" s="65"/>
      <c r="C191" s="32" t="s">
        <v>147</v>
      </c>
      <c r="D191" s="32">
        <f>17.58*10.764</f>
        <v>189.23111999999998</v>
      </c>
      <c r="E191" s="32">
        <v>0</v>
      </c>
      <c r="F191" s="32">
        <f>E191+D191</f>
        <v>189.23111999999998</v>
      </c>
      <c r="G191" s="32">
        <v>0</v>
      </c>
      <c r="H191" s="32">
        <f>F191*1.5+G191</f>
        <v>283.84667999999999</v>
      </c>
      <c r="I191" s="60" t="s">
        <v>58</v>
      </c>
      <c r="J191" s="60"/>
    </row>
    <row r="192" spans="1:10" ht="15" x14ac:dyDescent="0.35">
      <c r="A192" s="61" t="s">
        <v>162</v>
      </c>
      <c r="B192" s="62"/>
      <c r="C192" s="62"/>
      <c r="D192" s="62"/>
      <c r="E192" s="62"/>
      <c r="F192" s="62"/>
      <c r="G192" s="62"/>
      <c r="H192" s="62"/>
      <c r="I192" s="62"/>
      <c r="J192" s="63"/>
    </row>
    <row r="193" spans="1:10" ht="15.5" x14ac:dyDescent="0.35">
      <c r="A193" s="64">
        <v>1</v>
      </c>
      <c r="B193" s="65"/>
      <c r="C193" s="32" t="s">
        <v>110</v>
      </c>
      <c r="D193" s="32">
        <f>27.42*10.764</f>
        <v>295.14888000000002</v>
      </c>
      <c r="E193" s="32">
        <v>0</v>
      </c>
      <c r="F193" s="32">
        <f>E193+D193</f>
        <v>295.14888000000002</v>
      </c>
      <c r="G193" s="32">
        <v>0</v>
      </c>
      <c r="H193" s="32">
        <f>F193*1.45+G193</f>
        <v>427.96587600000004</v>
      </c>
      <c r="I193" s="60" t="s">
        <v>58</v>
      </c>
      <c r="J193" s="60"/>
    </row>
    <row r="194" spans="1:10" ht="15.5" x14ac:dyDescent="0.35">
      <c r="A194" s="64">
        <v>2</v>
      </c>
      <c r="B194" s="65"/>
      <c r="C194" s="32" t="s">
        <v>110</v>
      </c>
      <c r="D194" s="32">
        <f>27.42*10.764</f>
        <v>295.14888000000002</v>
      </c>
      <c r="E194" s="32">
        <v>0</v>
      </c>
      <c r="F194" s="32">
        <f>E194+D194</f>
        <v>295.14888000000002</v>
      </c>
      <c r="G194" s="32">
        <v>0</v>
      </c>
      <c r="H194" s="32">
        <f>F194*1.45+G194</f>
        <v>427.96587600000004</v>
      </c>
      <c r="I194" s="60" t="s">
        <v>58</v>
      </c>
      <c r="J194" s="60"/>
    </row>
    <row r="195" spans="1:10" ht="15.5" x14ac:dyDescent="0.35">
      <c r="A195" s="64">
        <v>3</v>
      </c>
      <c r="B195" s="65"/>
      <c r="C195" s="32" t="s">
        <v>110</v>
      </c>
      <c r="D195" s="32">
        <f>27.42*10.764</f>
        <v>295.14888000000002</v>
      </c>
      <c r="E195" s="32">
        <v>0</v>
      </c>
      <c r="F195" s="32">
        <f>E195+D195</f>
        <v>295.14888000000002</v>
      </c>
      <c r="G195" s="32">
        <v>0</v>
      </c>
      <c r="H195" s="32">
        <f>F195*1.45+G195</f>
        <v>427.96587600000004</v>
      </c>
      <c r="I195" s="60" t="s">
        <v>58</v>
      </c>
      <c r="J195" s="60"/>
    </row>
    <row r="196" spans="1:10" ht="15.5" x14ac:dyDescent="0.35">
      <c r="A196" s="64">
        <v>4</v>
      </c>
      <c r="B196" s="65"/>
      <c r="C196" s="32" t="s">
        <v>110</v>
      </c>
      <c r="D196" s="32">
        <f>27.42*10.764</f>
        <v>295.14888000000002</v>
      </c>
      <c r="E196" s="32">
        <v>0</v>
      </c>
      <c r="F196" s="32">
        <f>E196+D196</f>
        <v>295.14888000000002</v>
      </c>
      <c r="G196" s="32">
        <v>0</v>
      </c>
      <c r="H196" s="32">
        <f>F196*1.45+G196</f>
        <v>427.96587600000004</v>
      </c>
      <c r="I196" s="60" t="s">
        <v>58</v>
      </c>
      <c r="J196" s="60"/>
    </row>
    <row r="197" spans="1:10" ht="15" x14ac:dyDescent="0.35">
      <c r="A197" s="61" t="s">
        <v>161</v>
      </c>
      <c r="B197" s="62"/>
      <c r="C197" s="62"/>
      <c r="D197" s="62"/>
      <c r="E197" s="62"/>
      <c r="F197" s="62"/>
      <c r="G197" s="62"/>
      <c r="H197" s="62"/>
      <c r="I197" s="62"/>
      <c r="J197" s="63"/>
    </row>
    <row r="198" spans="1:10" ht="15" x14ac:dyDescent="0.35">
      <c r="A198" s="61" t="s">
        <v>112</v>
      </c>
      <c r="B198" s="62"/>
      <c r="C198" s="62"/>
      <c r="D198" s="62"/>
      <c r="E198" s="62"/>
      <c r="F198" s="62"/>
      <c r="G198" s="62"/>
      <c r="H198" s="62"/>
      <c r="I198" s="62"/>
      <c r="J198" s="63"/>
    </row>
    <row r="199" spans="1:10" ht="15.5" x14ac:dyDescent="0.35">
      <c r="A199" s="64">
        <v>1</v>
      </c>
      <c r="B199" s="65"/>
      <c r="C199" s="32" t="s">
        <v>109</v>
      </c>
      <c r="D199" s="32">
        <f>33.94*10.764</f>
        <v>365.33015999999998</v>
      </c>
      <c r="E199" s="32">
        <v>0</v>
      </c>
      <c r="F199" s="32">
        <f>E199+D199</f>
        <v>365.33015999999998</v>
      </c>
      <c r="G199" s="32">
        <v>0</v>
      </c>
      <c r="H199" s="32">
        <f>F199*1.5+G199</f>
        <v>547.99523999999997</v>
      </c>
      <c r="I199" s="60" t="s">
        <v>58</v>
      </c>
      <c r="J199" s="60"/>
    </row>
    <row r="200" spans="1:10" ht="15.5" x14ac:dyDescent="0.35">
      <c r="A200" s="64">
        <v>2</v>
      </c>
      <c r="B200" s="65"/>
      <c r="C200" s="32" t="s">
        <v>110</v>
      </c>
      <c r="D200" s="32">
        <f>23.92*10.764</f>
        <v>257.47487999999998</v>
      </c>
      <c r="E200" s="32">
        <v>0</v>
      </c>
      <c r="F200" s="32">
        <f>E200+D200</f>
        <v>257.47487999999998</v>
      </c>
      <c r="G200" s="32">
        <v>0</v>
      </c>
      <c r="H200" s="32">
        <f t="shared" ref="H200:H207" si="9">F200*1.5+G200</f>
        <v>386.21231999999998</v>
      </c>
      <c r="I200" s="60" t="s">
        <v>58</v>
      </c>
      <c r="J200" s="60"/>
    </row>
    <row r="201" spans="1:10" ht="15.5" x14ac:dyDescent="0.35">
      <c r="A201" s="64">
        <v>1</v>
      </c>
      <c r="B201" s="65"/>
      <c r="C201" s="32" t="s">
        <v>147</v>
      </c>
      <c r="D201" s="32">
        <f>8.46*10.764</f>
        <v>91.06344</v>
      </c>
      <c r="E201" s="32">
        <v>0</v>
      </c>
      <c r="F201" s="32">
        <f t="shared" ref="F201:F206" si="10">E201+D201</f>
        <v>91.06344</v>
      </c>
      <c r="G201" s="32">
        <v>0</v>
      </c>
      <c r="H201" s="32">
        <f t="shared" si="9"/>
        <v>136.59515999999999</v>
      </c>
      <c r="I201" s="60" t="s">
        <v>58</v>
      </c>
      <c r="J201" s="60"/>
    </row>
    <row r="202" spans="1:10" ht="15.5" x14ac:dyDescent="0.35">
      <c r="A202" s="64">
        <v>2</v>
      </c>
      <c r="B202" s="65"/>
      <c r="C202" s="32" t="s">
        <v>147</v>
      </c>
      <c r="D202" s="32">
        <f>10.67*10.764</f>
        <v>114.85187999999999</v>
      </c>
      <c r="E202" s="32">
        <v>0</v>
      </c>
      <c r="F202" s="32">
        <f t="shared" si="10"/>
        <v>114.85187999999999</v>
      </c>
      <c r="G202" s="32">
        <v>0</v>
      </c>
      <c r="H202" s="32">
        <f t="shared" si="9"/>
        <v>172.27781999999999</v>
      </c>
      <c r="I202" s="60" t="s">
        <v>58</v>
      </c>
      <c r="J202" s="60"/>
    </row>
    <row r="203" spans="1:10" ht="15.5" x14ac:dyDescent="0.35">
      <c r="A203" s="64">
        <v>3</v>
      </c>
      <c r="B203" s="65"/>
      <c r="C203" s="32" t="s">
        <v>147</v>
      </c>
      <c r="D203" s="32">
        <f>15.68*10.764</f>
        <v>168.77951999999999</v>
      </c>
      <c r="E203" s="32">
        <v>0</v>
      </c>
      <c r="F203" s="32">
        <f t="shared" si="10"/>
        <v>168.77951999999999</v>
      </c>
      <c r="G203" s="32">
        <v>0</v>
      </c>
      <c r="H203" s="32">
        <f t="shared" si="9"/>
        <v>253.16927999999999</v>
      </c>
      <c r="I203" s="60" t="s">
        <v>58</v>
      </c>
      <c r="J203" s="60"/>
    </row>
    <row r="204" spans="1:10" ht="15.5" x14ac:dyDescent="0.35">
      <c r="A204" s="64">
        <v>4</v>
      </c>
      <c r="B204" s="65"/>
      <c r="C204" s="32" t="s">
        <v>147</v>
      </c>
      <c r="D204" s="32">
        <f>15.68*10.764</f>
        <v>168.77951999999999</v>
      </c>
      <c r="E204" s="32">
        <v>0</v>
      </c>
      <c r="F204" s="32">
        <f t="shared" si="10"/>
        <v>168.77951999999999</v>
      </c>
      <c r="G204" s="32">
        <v>0</v>
      </c>
      <c r="H204" s="32">
        <f t="shared" si="9"/>
        <v>253.16927999999999</v>
      </c>
      <c r="I204" s="60" t="s">
        <v>58</v>
      </c>
      <c r="J204" s="60"/>
    </row>
    <row r="205" spans="1:10" ht="15.5" x14ac:dyDescent="0.35">
      <c r="A205" s="64">
        <v>5</v>
      </c>
      <c r="B205" s="65"/>
      <c r="C205" s="32" t="s">
        <v>147</v>
      </c>
      <c r="D205" s="32">
        <f>11.03*10.764</f>
        <v>118.72691999999999</v>
      </c>
      <c r="E205" s="32">
        <v>0</v>
      </c>
      <c r="F205" s="32">
        <f t="shared" si="10"/>
        <v>118.72691999999999</v>
      </c>
      <c r="G205" s="32">
        <v>0</v>
      </c>
      <c r="H205" s="32">
        <f t="shared" si="9"/>
        <v>178.09037999999998</v>
      </c>
      <c r="I205" s="60" t="s">
        <v>58</v>
      </c>
      <c r="J205" s="60"/>
    </row>
    <row r="206" spans="1:10" ht="15.5" x14ac:dyDescent="0.35">
      <c r="A206" s="64">
        <v>6</v>
      </c>
      <c r="B206" s="65"/>
      <c r="C206" s="32" t="s">
        <v>147</v>
      </c>
      <c r="D206" s="32">
        <f>14.45*10.764</f>
        <v>155.53979999999999</v>
      </c>
      <c r="E206" s="32">
        <v>0</v>
      </c>
      <c r="F206" s="32">
        <f t="shared" si="10"/>
        <v>155.53979999999999</v>
      </c>
      <c r="G206" s="32">
        <v>0</v>
      </c>
      <c r="H206" s="32">
        <f t="shared" si="9"/>
        <v>233.30969999999996</v>
      </c>
      <c r="I206" s="60" t="s">
        <v>58</v>
      </c>
      <c r="J206" s="60"/>
    </row>
    <row r="207" spans="1:10" ht="15.5" x14ac:dyDescent="0.35">
      <c r="A207" s="64">
        <v>7</v>
      </c>
      <c r="B207" s="65"/>
      <c r="C207" s="32" t="s">
        <v>147</v>
      </c>
      <c r="D207" s="32">
        <f>7.9*10.764</f>
        <v>85.035600000000002</v>
      </c>
      <c r="E207" s="32">
        <v>0</v>
      </c>
      <c r="F207" s="32">
        <f>E207+D207</f>
        <v>85.035600000000002</v>
      </c>
      <c r="G207" s="32">
        <v>0</v>
      </c>
      <c r="H207" s="32">
        <f t="shared" si="9"/>
        <v>127.55340000000001</v>
      </c>
      <c r="I207" s="60" t="s">
        <v>58</v>
      </c>
      <c r="J207" s="60"/>
    </row>
    <row r="208" spans="1:10" ht="15" x14ac:dyDescent="0.35">
      <c r="A208" s="61" t="s">
        <v>162</v>
      </c>
      <c r="B208" s="62"/>
      <c r="C208" s="62"/>
      <c r="D208" s="62"/>
      <c r="E208" s="62"/>
      <c r="F208" s="62"/>
      <c r="G208" s="62"/>
      <c r="H208" s="62"/>
      <c r="I208" s="62"/>
      <c r="J208" s="63"/>
    </row>
    <row r="209" spans="1:10" ht="15.5" x14ac:dyDescent="0.35">
      <c r="A209" s="64">
        <v>1</v>
      </c>
      <c r="B209" s="65"/>
      <c r="C209" s="32" t="s">
        <v>110</v>
      </c>
      <c r="D209" s="32">
        <f>33.58*10.764</f>
        <v>361.45511999999997</v>
      </c>
      <c r="E209" s="32">
        <v>0</v>
      </c>
      <c r="F209" s="32">
        <f t="shared" ref="F209:F214" si="11">E209+D209</f>
        <v>361.45511999999997</v>
      </c>
      <c r="G209" s="32">
        <v>0</v>
      </c>
      <c r="H209" s="32">
        <f t="shared" ref="H209:H214" si="12">F209*1.45+G209</f>
        <v>524.10992399999998</v>
      </c>
      <c r="I209" s="60" t="s">
        <v>58</v>
      </c>
      <c r="J209" s="60"/>
    </row>
    <row r="210" spans="1:10" ht="15.5" x14ac:dyDescent="0.35">
      <c r="A210" s="64">
        <v>2</v>
      </c>
      <c r="B210" s="65"/>
      <c r="C210" s="32" t="s">
        <v>110</v>
      </c>
      <c r="D210" s="32">
        <f>27.42*10.764</f>
        <v>295.14888000000002</v>
      </c>
      <c r="E210" s="32">
        <v>0</v>
      </c>
      <c r="F210" s="32">
        <f t="shared" si="11"/>
        <v>295.14888000000002</v>
      </c>
      <c r="G210" s="32">
        <v>0</v>
      </c>
      <c r="H210" s="32">
        <f t="shared" si="12"/>
        <v>427.96587600000004</v>
      </c>
      <c r="I210" s="60" t="s">
        <v>58</v>
      </c>
      <c r="J210" s="60"/>
    </row>
    <row r="211" spans="1:10" ht="15.5" x14ac:dyDescent="0.35">
      <c r="A211" s="60">
        <v>3</v>
      </c>
      <c r="B211" s="60"/>
      <c r="C211" s="57" t="s">
        <v>110</v>
      </c>
      <c r="D211" s="57">
        <f>27.42*10.764</f>
        <v>295.14888000000002</v>
      </c>
      <c r="E211" s="57">
        <v>0</v>
      </c>
      <c r="F211" s="57">
        <f t="shared" si="11"/>
        <v>295.14888000000002</v>
      </c>
      <c r="G211" s="57">
        <v>0</v>
      </c>
      <c r="H211" s="57">
        <f t="shared" si="12"/>
        <v>427.96587600000004</v>
      </c>
      <c r="I211" s="60" t="s">
        <v>58</v>
      </c>
      <c r="J211" s="60"/>
    </row>
    <row r="212" spans="1:10" ht="15.5" x14ac:dyDescent="0.35">
      <c r="A212" s="60">
        <v>4</v>
      </c>
      <c r="B212" s="60"/>
      <c r="C212" s="57" t="s">
        <v>109</v>
      </c>
      <c r="D212" s="57">
        <f>33.66*10.764</f>
        <v>362.31623999999994</v>
      </c>
      <c r="E212" s="57">
        <v>0</v>
      </c>
      <c r="F212" s="57">
        <f t="shared" si="11"/>
        <v>362.31623999999994</v>
      </c>
      <c r="G212" s="57">
        <v>0</v>
      </c>
      <c r="H212" s="57">
        <f t="shared" si="12"/>
        <v>525.35854799999993</v>
      </c>
      <c r="I212" s="60" t="s">
        <v>58</v>
      </c>
      <c r="J212" s="60"/>
    </row>
    <row r="213" spans="1:10" ht="15.5" x14ac:dyDescent="0.35">
      <c r="A213" s="60">
        <v>5</v>
      </c>
      <c r="B213" s="60"/>
      <c r="C213" s="57" t="s">
        <v>109</v>
      </c>
      <c r="D213" s="57">
        <f>33.94*10.764</f>
        <v>365.33015999999998</v>
      </c>
      <c r="E213" s="57">
        <v>0</v>
      </c>
      <c r="F213" s="57">
        <f t="shared" si="11"/>
        <v>365.33015999999998</v>
      </c>
      <c r="G213" s="57">
        <v>0</v>
      </c>
      <c r="H213" s="57">
        <f t="shared" si="12"/>
        <v>529.72873199999992</v>
      </c>
      <c r="I213" s="60" t="s">
        <v>58</v>
      </c>
      <c r="J213" s="60"/>
    </row>
    <row r="214" spans="1:10" ht="15.5" x14ac:dyDescent="0.35">
      <c r="A214" s="60">
        <v>6</v>
      </c>
      <c r="B214" s="60"/>
      <c r="C214" s="57" t="s">
        <v>110</v>
      </c>
      <c r="D214" s="57">
        <f>31.54*10.764</f>
        <v>339.49655999999999</v>
      </c>
      <c r="E214" s="57">
        <v>0</v>
      </c>
      <c r="F214" s="57">
        <f t="shared" si="11"/>
        <v>339.49655999999999</v>
      </c>
      <c r="G214" s="57">
        <v>0</v>
      </c>
      <c r="H214" s="57">
        <f t="shared" si="12"/>
        <v>492.27001199999995</v>
      </c>
      <c r="I214" s="60" t="s">
        <v>58</v>
      </c>
      <c r="J214" s="60"/>
    </row>
    <row r="215" spans="1:10" x14ac:dyDescent="0.35">
      <c r="A215" s="176" t="s">
        <v>245</v>
      </c>
      <c r="B215" s="176"/>
      <c r="C215" s="176"/>
      <c r="D215" s="176"/>
      <c r="E215" s="176"/>
      <c r="F215" s="176"/>
      <c r="G215" s="176"/>
      <c r="H215" s="176"/>
      <c r="I215" s="176"/>
      <c r="J215" s="176"/>
    </row>
    <row r="216" spans="1:10" ht="224.5" customHeight="1" x14ac:dyDescent="0.35">
      <c r="A216" s="176"/>
      <c r="B216" s="176"/>
      <c r="C216" s="176"/>
      <c r="D216" s="176"/>
      <c r="E216" s="176"/>
      <c r="F216" s="176"/>
      <c r="G216" s="176"/>
      <c r="H216" s="176"/>
      <c r="I216" s="176"/>
      <c r="J216" s="176"/>
    </row>
    <row r="217" spans="1:10" x14ac:dyDescent="0.35">
      <c r="A217" s="117" t="s">
        <v>113</v>
      </c>
      <c r="B217" s="118"/>
      <c r="C217" s="118"/>
      <c r="D217" s="118"/>
      <c r="E217" s="118"/>
      <c r="F217" s="118"/>
      <c r="G217" s="118"/>
      <c r="H217" s="118"/>
      <c r="I217" s="118"/>
      <c r="J217" s="119"/>
    </row>
    <row r="218" spans="1:10" x14ac:dyDescent="0.35">
      <c r="A218" s="90" t="s">
        <v>34</v>
      </c>
      <c r="B218" s="91"/>
      <c r="C218" s="91"/>
      <c r="D218" s="91"/>
      <c r="E218" s="91"/>
      <c r="F218" s="91"/>
      <c r="G218" s="91"/>
      <c r="H218" s="91"/>
      <c r="I218" s="91"/>
      <c r="J218" s="92"/>
    </row>
    <row r="219" spans="1:10" x14ac:dyDescent="0.35">
      <c r="A219" s="186" t="s">
        <v>28</v>
      </c>
      <c r="B219" s="129"/>
      <c r="C219" s="129"/>
      <c r="D219" s="129"/>
      <c r="E219" s="129"/>
      <c r="F219" s="129"/>
      <c r="G219" s="129"/>
      <c r="H219" s="129"/>
      <c r="I219" s="129"/>
      <c r="J219" s="130"/>
    </row>
    <row r="220" spans="1:10" x14ac:dyDescent="0.35">
      <c r="A220" s="96" t="s">
        <v>39</v>
      </c>
      <c r="B220" s="97"/>
      <c r="C220" s="97"/>
      <c r="D220" s="97"/>
      <c r="E220" s="97"/>
      <c r="F220" s="97"/>
      <c r="G220" s="97"/>
      <c r="H220" s="97"/>
      <c r="I220" s="97"/>
      <c r="J220" s="98"/>
    </row>
    <row r="221" spans="1:10" ht="16.5" customHeight="1" x14ac:dyDescent="0.35">
      <c r="A221" s="187" t="s">
        <v>66</v>
      </c>
      <c r="B221" s="121"/>
      <c r="C221" s="121"/>
      <c r="D221" s="121"/>
      <c r="E221" s="121"/>
      <c r="F221" s="121"/>
      <c r="G221" s="121"/>
      <c r="H221" s="121"/>
      <c r="I221" s="121"/>
      <c r="J221" s="122"/>
    </row>
    <row r="222" spans="1:10" hidden="1" x14ac:dyDescent="0.35">
      <c r="A222" s="96" t="s">
        <v>40</v>
      </c>
      <c r="B222" s="97"/>
      <c r="C222" s="97"/>
      <c r="D222" s="97"/>
      <c r="E222" s="97"/>
      <c r="F222" s="97"/>
      <c r="G222" s="97"/>
      <c r="H222" s="97"/>
      <c r="I222" s="97"/>
      <c r="J222" s="98"/>
    </row>
    <row r="223" spans="1:10" hidden="1" x14ac:dyDescent="0.35">
      <c r="A223" s="96" t="s">
        <v>41</v>
      </c>
      <c r="B223" s="97"/>
      <c r="C223" s="97"/>
      <c r="D223" s="97"/>
      <c r="E223" s="97"/>
      <c r="F223" s="97"/>
      <c r="G223" s="97"/>
      <c r="H223" s="97"/>
      <c r="I223" s="97"/>
      <c r="J223" s="98"/>
    </row>
    <row r="224" spans="1:10" hidden="1" x14ac:dyDescent="0.35">
      <c r="A224" s="99" t="s">
        <v>42</v>
      </c>
      <c r="B224" s="100"/>
      <c r="C224" s="100"/>
      <c r="D224" s="100"/>
      <c r="E224" s="100"/>
      <c r="F224" s="100"/>
      <c r="G224" s="100"/>
      <c r="H224" s="100"/>
      <c r="I224" s="100"/>
      <c r="J224" s="101"/>
    </row>
    <row r="225" spans="1:10" ht="15" customHeight="1" x14ac:dyDescent="0.35">
      <c r="A225" s="177" t="s">
        <v>27</v>
      </c>
      <c r="B225" s="178"/>
      <c r="C225" s="178"/>
      <c r="D225" s="178"/>
      <c r="E225" s="178"/>
      <c r="F225" s="178"/>
      <c r="G225" s="178"/>
      <c r="H225" s="178"/>
      <c r="I225" s="178"/>
      <c r="J225" s="179"/>
    </row>
    <row r="226" spans="1:10" x14ac:dyDescent="0.35">
      <c r="A226" s="180"/>
      <c r="B226" s="181"/>
      <c r="C226" s="181"/>
      <c r="D226" s="181"/>
      <c r="E226" s="181"/>
      <c r="F226" s="181"/>
      <c r="G226" s="181"/>
      <c r="H226" s="181"/>
      <c r="I226" s="181"/>
      <c r="J226" s="182"/>
    </row>
    <row r="227" spans="1:10" x14ac:dyDescent="0.35">
      <c r="A227" s="180"/>
      <c r="B227" s="181"/>
      <c r="C227" s="181"/>
      <c r="D227" s="181"/>
      <c r="E227" s="181"/>
      <c r="F227" s="181"/>
      <c r="G227" s="181"/>
      <c r="H227" s="181"/>
      <c r="I227" s="181"/>
      <c r="J227" s="182"/>
    </row>
    <row r="228" spans="1:10" x14ac:dyDescent="0.35">
      <c r="A228" s="183"/>
      <c r="B228" s="184"/>
      <c r="C228" s="184"/>
      <c r="D228" s="184"/>
      <c r="E228" s="184"/>
      <c r="F228" s="184"/>
      <c r="G228" s="184"/>
      <c r="H228" s="184"/>
      <c r="I228" s="184"/>
      <c r="J228" s="185"/>
    </row>
    <row r="229" spans="1:10" x14ac:dyDescent="0.35">
      <c r="A229" s="50" t="s">
        <v>152</v>
      </c>
      <c r="B229" s="50"/>
      <c r="C229" s="50"/>
      <c r="D229" s="50"/>
      <c r="E229" s="50" t="str">
        <f>F9</f>
        <v>Ideal Park</v>
      </c>
      <c r="F229" s="50"/>
      <c r="G229" s="51"/>
      <c r="H229" s="51"/>
      <c r="I229" s="51"/>
      <c r="J229" s="51"/>
    </row>
    <row r="230" spans="1:10" s="50" customFormat="1" x14ac:dyDescent="0.35">
      <c r="A230"/>
      <c r="B230"/>
      <c r="C230"/>
      <c r="D230"/>
      <c r="E230"/>
      <c r="F230"/>
    </row>
    <row r="275" spans="1:2" x14ac:dyDescent="0.35">
      <c r="A275" s="52" t="s">
        <v>140</v>
      </c>
      <c r="B275" s="52"/>
    </row>
  </sheetData>
  <mergeCells count="433">
    <mergeCell ref="A102:B102"/>
    <mergeCell ref="D102:E102"/>
    <mergeCell ref="F102:G111"/>
    <mergeCell ref="H102:J111"/>
    <mergeCell ref="A103:B103"/>
    <mergeCell ref="D103:E103"/>
    <mergeCell ref="A104:B104"/>
    <mergeCell ref="D104:E104"/>
    <mergeCell ref="A105:B105"/>
    <mergeCell ref="D105:E105"/>
    <mergeCell ref="A106:B106"/>
    <mergeCell ref="D106:E106"/>
    <mergeCell ref="A107:B107"/>
    <mergeCell ref="D107:E107"/>
    <mergeCell ref="A108:B108"/>
    <mergeCell ref="D108:E108"/>
    <mergeCell ref="A109:B109"/>
    <mergeCell ref="D109:E109"/>
    <mergeCell ref="A110:B110"/>
    <mergeCell ref="D110:E110"/>
    <mergeCell ref="A111:B111"/>
    <mergeCell ref="D111:E111"/>
    <mergeCell ref="A98:B98"/>
    <mergeCell ref="C98:J98"/>
    <mergeCell ref="F99:G99"/>
    <mergeCell ref="I99:J99"/>
    <mergeCell ref="A100:B100"/>
    <mergeCell ref="C100:J100"/>
    <mergeCell ref="A101:B101"/>
    <mergeCell ref="D101:E101"/>
    <mergeCell ref="F101:G101"/>
    <mergeCell ref="H101:J101"/>
    <mergeCell ref="A88:B88"/>
    <mergeCell ref="D88:E88"/>
    <mergeCell ref="F88:G97"/>
    <mergeCell ref="H88:J97"/>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96:B96"/>
    <mergeCell ref="D96:E96"/>
    <mergeCell ref="A97:B97"/>
    <mergeCell ref="D97:E97"/>
    <mergeCell ref="A84:B84"/>
    <mergeCell ref="C84:J84"/>
    <mergeCell ref="F85:G85"/>
    <mergeCell ref="I85:J85"/>
    <mergeCell ref="A86:B86"/>
    <mergeCell ref="C86:J86"/>
    <mergeCell ref="A87:B87"/>
    <mergeCell ref="D87:E87"/>
    <mergeCell ref="F87:G87"/>
    <mergeCell ref="H87:J87"/>
    <mergeCell ref="A74:B74"/>
    <mergeCell ref="D74:E74"/>
    <mergeCell ref="F74:G83"/>
    <mergeCell ref="H74:J83"/>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82:B82"/>
    <mergeCell ref="D82:E82"/>
    <mergeCell ref="A83:B83"/>
    <mergeCell ref="D83:E83"/>
    <mergeCell ref="A70:B70"/>
    <mergeCell ref="C70:J70"/>
    <mergeCell ref="F71:G71"/>
    <mergeCell ref="I71:J71"/>
    <mergeCell ref="A72:B72"/>
    <mergeCell ref="C72:J72"/>
    <mergeCell ref="A73:B73"/>
    <mergeCell ref="D73:E73"/>
    <mergeCell ref="F73:G73"/>
    <mergeCell ref="H73:J73"/>
    <mergeCell ref="A68:B68"/>
    <mergeCell ref="D68:E68"/>
    <mergeCell ref="A69:B69"/>
    <mergeCell ref="D69:E69"/>
    <mergeCell ref="A63:B63"/>
    <mergeCell ref="D63:E63"/>
    <mergeCell ref="A64:B64"/>
    <mergeCell ref="D64:E64"/>
    <mergeCell ref="A65:B65"/>
    <mergeCell ref="D65:E65"/>
    <mergeCell ref="A66:B66"/>
    <mergeCell ref="D66:E66"/>
    <mergeCell ref="A67:B67"/>
    <mergeCell ref="D67:E67"/>
    <mergeCell ref="A136:B136"/>
    <mergeCell ref="A137:B137"/>
    <mergeCell ref="A140:B140"/>
    <mergeCell ref="A141:B141"/>
    <mergeCell ref="A143:B143"/>
    <mergeCell ref="A142:J142"/>
    <mergeCell ref="I143:J143"/>
    <mergeCell ref="I136:J136"/>
    <mergeCell ref="I137:J137"/>
    <mergeCell ref="A138:J138"/>
    <mergeCell ref="A139:J139"/>
    <mergeCell ref="I140:J140"/>
    <mergeCell ref="I141:J141"/>
    <mergeCell ref="A45:B45"/>
    <mergeCell ref="C45:F45"/>
    <mergeCell ref="A52:B52"/>
    <mergeCell ref="H46:J46"/>
    <mergeCell ref="H45:J45"/>
    <mergeCell ref="H48:J48"/>
    <mergeCell ref="A49:C49"/>
    <mergeCell ref="D49:E49"/>
    <mergeCell ref="F49:G49"/>
    <mergeCell ref="H49:J49"/>
    <mergeCell ref="A46:B46"/>
    <mergeCell ref="C46:F46"/>
    <mergeCell ref="A47:B47"/>
    <mergeCell ref="C47:F47"/>
    <mergeCell ref="A48:B48"/>
    <mergeCell ref="C48:F48"/>
    <mergeCell ref="H47:J47"/>
    <mergeCell ref="F51:G51"/>
    <mergeCell ref="H51:J51"/>
    <mergeCell ref="I205:J205"/>
    <mergeCell ref="A206:B206"/>
    <mergeCell ref="I207:J207"/>
    <mergeCell ref="I206:J206"/>
    <mergeCell ref="A207:B207"/>
    <mergeCell ref="A225:J228"/>
    <mergeCell ref="A217:J217"/>
    <mergeCell ref="A218:J218"/>
    <mergeCell ref="A219:J219"/>
    <mergeCell ref="A220:J220"/>
    <mergeCell ref="A221:J221"/>
    <mergeCell ref="A222:J222"/>
    <mergeCell ref="I213:J213"/>
    <mergeCell ref="A211:B211"/>
    <mergeCell ref="A185:B185"/>
    <mergeCell ref="A190:B190"/>
    <mergeCell ref="I190:J190"/>
    <mergeCell ref="A191:B191"/>
    <mergeCell ref="I188:J188"/>
    <mergeCell ref="I185:J185"/>
    <mergeCell ref="A209:B209"/>
    <mergeCell ref="A223:J223"/>
    <mergeCell ref="A224:J224"/>
    <mergeCell ref="A212:B212"/>
    <mergeCell ref="A210:B210"/>
    <mergeCell ref="A213:B213"/>
    <mergeCell ref="A214:B214"/>
    <mergeCell ref="I200:J200"/>
    <mergeCell ref="A199:B199"/>
    <mergeCell ref="A200:B200"/>
    <mergeCell ref="A215:J216"/>
    <mergeCell ref="I214:J214"/>
    <mergeCell ref="A208:J208"/>
    <mergeCell ref="I209:J209"/>
    <mergeCell ref="I210:J210"/>
    <mergeCell ref="I211:J211"/>
    <mergeCell ref="I212:J212"/>
    <mergeCell ref="A205:B205"/>
    <mergeCell ref="I163:J163"/>
    <mergeCell ref="I164:J164"/>
    <mergeCell ref="A165:J165"/>
    <mergeCell ref="A166:J166"/>
    <mergeCell ref="A161:B161"/>
    <mergeCell ref="A162:B162"/>
    <mergeCell ref="A163:B163"/>
    <mergeCell ref="A164:B164"/>
    <mergeCell ref="A186:J186"/>
    <mergeCell ref="A180:B180"/>
    <mergeCell ref="A181:B181"/>
    <mergeCell ref="A167:B167"/>
    <mergeCell ref="A168:B168"/>
    <mergeCell ref="A169:B169"/>
    <mergeCell ref="A170:B170"/>
    <mergeCell ref="I161:J161"/>
    <mergeCell ref="I162:J162"/>
    <mergeCell ref="I167:J167"/>
    <mergeCell ref="I168:J168"/>
    <mergeCell ref="I169:J169"/>
    <mergeCell ref="I170:J170"/>
    <mergeCell ref="I171:J171"/>
    <mergeCell ref="I172:J172"/>
    <mergeCell ref="A173:B173"/>
    <mergeCell ref="A158:J158"/>
    <mergeCell ref="I159:J159"/>
    <mergeCell ref="I160:J160"/>
    <mergeCell ref="A149:B149"/>
    <mergeCell ref="A150:B150"/>
    <mergeCell ref="A159:B159"/>
    <mergeCell ref="A160:B160"/>
    <mergeCell ref="A152:B152"/>
    <mergeCell ref="I152:J152"/>
    <mergeCell ref="A153:B153"/>
    <mergeCell ref="I153:J153"/>
    <mergeCell ref="A154:B154"/>
    <mergeCell ref="I154:J154"/>
    <mergeCell ref="A155:B155"/>
    <mergeCell ref="I155:J155"/>
    <mergeCell ref="A156:B156"/>
    <mergeCell ref="I156:J156"/>
    <mergeCell ref="A157:B157"/>
    <mergeCell ref="I157:J157"/>
    <mergeCell ref="I144:J144"/>
    <mergeCell ref="I145:J145"/>
    <mergeCell ref="I146:J146"/>
    <mergeCell ref="A147:J147"/>
    <mergeCell ref="A144:B144"/>
    <mergeCell ref="A145:B145"/>
    <mergeCell ref="A146:B146"/>
    <mergeCell ref="A151:B151"/>
    <mergeCell ref="I151:J151"/>
    <mergeCell ref="A148:J148"/>
    <mergeCell ref="I149:J149"/>
    <mergeCell ref="I150:J150"/>
    <mergeCell ref="I130:J130"/>
    <mergeCell ref="I131:J131"/>
    <mergeCell ref="A132:J132"/>
    <mergeCell ref="I133:J133"/>
    <mergeCell ref="I134:J134"/>
    <mergeCell ref="I135:J135"/>
    <mergeCell ref="A130:B130"/>
    <mergeCell ref="A131:B131"/>
    <mergeCell ref="A133:B133"/>
    <mergeCell ref="A134:B134"/>
    <mergeCell ref="A135:B135"/>
    <mergeCell ref="A58:B58"/>
    <mergeCell ref="C58:J58"/>
    <mergeCell ref="A126:J126"/>
    <mergeCell ref="A127:J127"/>
    <mergeCell ref="A128:J128"/>
    <mergeCell ref="I129:J129"/>
    <mergeCell ref="A123:J123"/>
    <mergeCell ref="A124:J124"/>
    <mergeCell ref="I125:J125"/>
    <mergeCell ref="A129:B129"/>
    <mergeCell ref="A122:G122"/>
    <mergeCell ref="H122:J122"/>
    <mergeCell ref="A59:B59"/>
    <mergeCell ref="D59:E59"/>
    <mergeCell ref="F59:G59"/>
    <mergeCell ref="H59:J59"/>
    <mergeCell ref="A60:B60"/>
    <mergeCell ref="D60:E60"/>
    <mergeCell ref="F60:G69"/>
    <mergeCell ref="H60:J69"/>
    <mergeCell ref="A61:B61"/>
    <mergeCell ref="D61:E61"/>
    <mergeCell ref="A62:B62"/>
    <mergeCell ref="D62:E62"/>
    <mergeCell ref="A56:B56"/>
    <mergeCell ref="C56:J56"/>
    <mergeCell ref="F57:G57"/>
    <mergeCell ref="A55:J55"/>
    <mergeCell ref="A50:J50"/>
    <mergeCell ref="A51:C51"/>
    <mergeCell ref="D51:E51"/>
    <mergeCell ref="A54:E54"/>
    <mergeCell ref="F54:J54"/>
    <mergeCell ref="I57:J57"/>
    <mergeCell ref="A53:B53"/>
    <mergeCell ref="C53:J53"/>
    <mergeCell ref="C52:J52"/>
    <mergeCell ref="A42:E42"/>
    <mergeCell ref="F42:J42"/>
    <mergeCell ref="A43:J43"/>
    <mergeCell ref="A44:B44"/>
    <mergeCell ref="C44:F44"/>
    <mergeCell ref="H44:J44"/>
    <mergeCell ref="A39:E39"/>
    <mergeCell ref="F39:J39"/>
    <mergeCell ref="A40:E40"/>
    <mergeCell ref="F40:J40"/>
    <mergeCell ref="A41:E41"/>
    <mergeCell ref="F41:J41"/>
    <mergeCell ref="A34:J34"/>
    <mergeCell ref="A35:J36"/>
    <mergeCell ref="A37:E37"/>
    <mergeCell ref="F37:J37"/>
    <mergeCell ref="A38:E38"/>
    <mergeCell ref="F38:J38"/>
    <mergeCell ref="A30:J30"/>
    <mergeCell ref="A31:J31"/>
    <mergeCell ref="A32:B32"/>
    <mergeCell ref="A33:B33"/>
    <mergeCell ref="C33:J33"/>
    <mergeCell ref="C32:J32"/>
    <mergeCell ref="A28:B28"/>
    <mergeCell ref="C28:D28"/>
    <mergeCell ref="E28:F28"/>
    <mergeCell ref="G28:H28"/>
    <mergeCell ref="I28:J28"/>
    <mergeCell ref="A29:B29"/>
    <mergeCell ref="C29:D29"/>
    <mergeCell ref="E29:F29"/>
    <mergeCell ref="G29:H29"/>
    <mergeCell ref="I29:J29"/>
    <mergeCell ref="A25:E25"/>
    <mergeCell ref="F25:J25"/>
    <mergeCell ref="A26:E26"/>
    <mergeCell ref="F26:J26"/>
    <mergeCell ref="A27:B27"/>
    <mergeCell ref="C27:D27"/>
    <mergeCell ref="E27:F27"/>
    <mergeCell ref="G27:H27"/>
    <mergeCell ref="I27:J27"/>
    <mergeCell ref="A21:E22"/>
    <mergeCell ref="F21:J22"/>
    <mergeCell ref="A23:E23"/>
    <mergeCell ref="F23:J23"/>
    <mergeCell ref="A24:E24"/>
    <mergeCell ref="F24:J24"/>
    <mergeCell ref="A18:B18"/>
    <mergeCell ref="C18:E18"/>
    <mergeCell ref="F18:G18"/>
    <mergeCell ref="H18:J18"/>
    <mergeCell ref="A19:E20"/>
    <mergeCell ref="F19:J20"/>
    <mergeCell ref="B16:E16"/>
    <mergeCell ref="G16:J16"/>
    <mergeCell ref="B17:E17"/>
    <mergeCell ref="G17:J17"/>
    <mergeCell ref="A12:E12"/>
    <mergeCell ref="F12:J12"/>
    <mergeCell ref="A13:B13"/>
    <mergeCell ref="C13:G13"/>
    <mergeCell ref="I13:J13"/>
    <mergeCell ref="A14:B14"/>
    <mergeCell ref="C14:J14"/>
    <mergeCell ref="A7:E7"/>
    <mergeCell ref="F7:J7"/>
    <mergeCell ref="A9:E9"/>
    <mergeCell ref="F9:J9"/>
    <mergeCell ref="A10:E10"/>
    <mergeCell ref="F10:J10"/>
    <mergeCell ref="A8:E8"/>
    <mergeCell ref="F8:J8"/>
    <mergeCell ref="B15:D15"/>
    <mergeCell ref="H15:J15"/>
    <mergeCell ref="A11:E11"/>
    <mergeCell ref="F11:J11"/>
    <mergeCell ref="A1:J1"/>
    <mergeCell ref="A2:J2"/>
    <mergeCell ref="A3:E3"/>
    <mergeCell ref="F3:J3"/>
    <mergeCell ref="A4:E4"/>
    <mergeCell ref="F4:J4"/>
    <mergeCell ref="A5:E5"/>
    <mergeCell ref="F5:J5"/>
    <mergeCell ref="A6:E6"/>
    <mergeCell ref="F6:J6"/>
    <mergeCell ref="H121:J121"/>
    <mergeCell ref="A121:G121"/>
    <mergeCell ref="H120:J120"/>
    <mergeCell ref="A120:G120"/>
    <mergeCell ref="A125:B125"/>
    <mergeCell ref="A118:G118"/>
    <mergeCell ref="H118:J118"/>
    <mergeCell ref="A112:J112"/>
    <mergeCell ref="A119:G119"/>
    <mergeCell ref="H119:J119"/>
    <mergeCell ref="A114:J115"/>
    <mergeCell ref="A116:J116"/>
    <mergeCell ref="A117:G117"/>
    <mergeCell ref="H117:J117"/>
    <mergeCell ref="A113:J113"/>
    <mergeCell ref="I173:J173"/>
    <mergeCell ref="A174:B174"/>
    <mergeCell ref="I174:J174"/>
    <mergeCell ref="A171:B171"/>
    <mergeCell ref="A172:B172"/>
    <mergeCell ref="A176:B176"/>
    <mergeCell ref="I176:J176"/>
    <mergeCell ref="A175:B175"/>
    <mergeCell ref="I175:J175"/>
    <mergeCell ref="A177:B177"/>
    <mergeCell ref="I177:J177"/>
    <mergeCell ref="I189:J189"/>
    <mergeCell ref="I195:J195"/>
    <mergeCell ref="I178:J178"/>
    <mergeCell ref="A189:B189"/>
    <mergeCell ref="A179:J179"/>
    <mergeCell ref="I180:J180"/>
    <mergeCell ref="A182:B182"/>
    <mergeCell ref="A183:B183"/>
    <mergeCell ref="A193:B193"/>
    <mergeCell ref="A194:B194"/>
    <mergeCell ref="A188:B188"/>
    <mergeCell ref="I191:J191"/>
    <mergeCell ref="A178:B178"/>
    <mergeCell ref="I181:J181"/>
    <mergeCell ref="I182:J182"/>
    <mergeCell ref="I183:J183"/>
    <mergeCell ref="I184:J184"/>
    <mergeCell ref="A184:B184"/>
    <mergeCell ref="A187:J187"/>
    <mergeCell ref="A192:J192"/>
    <mergeCell ref="I193:J193"/>
    <mergeCell ref="I194:J194"/>
    <mergeCell ref="I196:J196"/>
    <mergeCell ref="A197:J197"/>
    <mergeCell ref="A204:B204"/>
    <mergeCell ref="A195:B195"/>
    <mergeCell ref="A196:B196"/>
    <mergeCell ref="A198:J198"/>
    <mergeCell ref="I203:J203"/>
    <mergeCell ref="I199:J199"/>
    <mergeCell ref="I204:J204"/>
    <mergeCell ref="I202:J202"/>
    <mergeCell ref="A201:B201"/>
    <mergeCell ref="I201:J201"/>
    <mergeCell ref="A202:B202"/>
    <mergeCell ref="A203:B203"/>
  </mergeCells>
  <hyperlinks>
    <hyperlink ref="C33" r:id="rId1"/>
  </hyperlinks>
  <pageMargins left="0.39370078740157483" right="0.39370078740157483" top="0.98425196850393704" bottom="0.59055118110236227" header="0.19685039370078741" footer="0.19685039370078741"/>
  <pageSetup fitToHeight="0" orientation="portrait" r:id="rId2"/>
  <headerFooter>
    <oddHeader>&amp;C&amp;G</oddHeader>
    <oddFooter>&amp;L&amp;"Times New Roman,Bold"Ref No: &amp;F&amp;C&amp;G&amp;R&amp;P</oddFooter>
  </headerFooter>
  <rowBreaks count="3" manualBreakCount="3">
    <brk id="97" max="16383" man="1"/>
    <brk id="228" max="16383" man="1"/>
    <brk id="27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C8" sqref="C8"/>
    </sheetView>
  </sheetViews>
  <sheetFormatPr defaultRowHeight="14.5" x14ac:dyDescent="0.35"/>
  <cols>
    <col min="1" max="1" width="11.26953125" bestFit="1" customWidth="1"/>
    <col min="2" max="2" width="11.26953125" customWidth="1"/>
  </cols>
  <sheetData>
    <row r="1" spans="1:3" x14ac:dyDescent="0.35">
      <c r="A1" t="s">
        <v>163</v>
      </c>
      <c r="B1" t="s">
        <v>164</v>
      </c>
      <c r="C1" t="s">
        <v>166</v>
      </c>
    </row>
    <row r="2" spans="1:3" x14ac:dyDescent="0.35">
      <c r="C2" t="s">
        <v>165</v>
      </c>
    </row>
    <row r="5" spans="1:3" x14ac:dyDescent="0.35">
      <c r="A5" t="s">
        <v>167</v>
      </c>
      <c r="B5" t="s">
        <v>184</v>
      </c>
      <c r="C5" t="s">
        <v>166</v>
      </c>
    </row>
    <row r="6" spans="1:3" x14ac:dyDescent="0.35">
      <c r="C6" t="s">
        <v>185</v>
      </c>
    </row>
    <row r="8" spans="1:3" x14ac:dyDescent="0.35">
      <c r="A8" t="s">
        <v>186</v>
      </c>
      <c r="B8" t="s">
        <v>187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8" sqref="C8"/>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118</v>
      </c>
      <c r="B2" s="5" t="s">
        <v>119</v>
      </c>
      <c r="C2" s="5">
        <v>4</v>
      </c>
    </row>
    <row r="3" spans="1:15" x14ac:dyDescent="0.35">
      <c r="B3" t="s">
        <v>120</v>
      </c>
      <c r="C3" t="s">
        <v>121</v>
      </c>
    </row>
    <row r="4" spans="1:15" x14ac:dyDescent="0.35">
      <c r="A4" t="s">
        <v>122</v>
      </c>
      <c r="B4" s="4">
        <v>10</v>
      </c>
      <c r="C4" s="4">
        <v>10</v>
      </c>
      <c r="E4" s="9">
        <f>(100/B4)*C4</f>
        <v>100</v>
      </c>
    </row>
    <row r="5" spans="1:15" x14ac:dyDescent="0.35">
      <c r="A5" t="s">
        <v>123</v>
      </c>
      <c r="B5" t="s">
        <v>124</v>
      </c>
      <c r="C5" t="s">
        <v>125</v>
      </c>
      <c r="E5" s="9">
        <f>(100/B6)*C6</f>
        <v>100</v>
      </c>
      <c r="I5" s="4" t="s">
        <v>126</v>
      </c>
      <c r="J5" s="4" t="s">
        <v>127</v>
      </c>
      <c r="K5" s="4" t="s">
        <v>128</v>
      </c>
      <c r="L5" s="4" t="s">
        <v>38</v>
      </c>
      <c r="M5" s="4" t="s">
        <v>46</v>
      </c>
      <c r="N5" s="4" t="s">
        <v>129</v>
      </c>
      <c r="O5" s="4" t="s">
        <v>47</v>
      </c>
    </row>
    <row r="6" spans="1:15" x14ac:dyDescent="0.35">
      <c r="B6" s="4">
        <f>C2+1</f>
        <v>5</v>
      </c>
      <c r="C6" s="4">
        <v>5</v>
      </c>
      <c r="E6" s="9">
        <f>(100/B8)*C8</f>
        <v>100</v>
      </c>
      <c r="F6" s="6" t="s">
        <v>130</v>
      </c>
      <c r="I6" s="6">
        <f>C4</f>
        <v>10</v>
      </c>
      <c r="J6" s="6">
        <f>40/B6*C6</f>
        <v>40</v>
      </c>
      <c r="K6" s="6">
        <f>15/B8*C8</f>
        <v>15</v>
      </c>
      <c r="L6" s="6">
        <f>10/B10*C10</f>
        <v>0</v>
      </c>
      <c r="M6" s="6">
        <f>10/B12*C12</f>
        <v>0</v>
      </c>
      <c r="N6" s="6">
        <f>5/B14*C14</f>
        <v>0</v>
      </c>
      <c r="O6" s="6">
        <f>5/B16*C16</f>
        <v>0</v>
      </c>
    </row>
    <row r="7" spans="1:15" x14ac:dyDescent="0.35">
      <c r="A7" t="s">
        <v>131</v>
      </c>
      <c r="B7" t="s">
        <v>132</v>
      </c>
      <c r="C7" t="s">
        <v>133</v>
      </c>
      <c r="E7" s="9">
        <f>(100/B10)*C10</f>
        <v>0</v>
      </c>
      <c r="F7" s="4" t="s">
        <v>134</v>
      </c>
      <c r="G7" s="4"/>
      <c r="H7" s="4"/>
      <c r="I7" s="4">
        <f>I6+20</f>
        <v>30</v>
      </c>
      <c r="J7" s="4">
        <f>30/B6*C6</f>
        <v>30</v>
      </c>
      <c r="K7" s="4">
        <f>15/B8*C8</f>
        <v>15</v>
      </c>
      <c r="L7" s="4">
        <f>10/B10*C10</f>
        <v>0</v>
      </c>
      <c r="M7" s="4">
        <f>5/B12*C12</f>
        <v>0</v>
      </c>
      <c r="N7" s="4">
        <f>5/B14*C14</f>
        <v>0</v>
      </c>
      <c r="O7" s="4">
        <f>5/B16*C16</f>
        <v>0</v>
      </c>
    </row>
    <row r="8" spans="1:15" x14ac:dyDescent="0.35">
      <c r="B8" s="4">
        <v>5</v>
      </c>
      <c r="C8" s="4">
        <v>5</v>
      </c>
      <c r="E8" s="9">
        <f>(100/B12)*C12</f>
        <v>0</v>
      </c>
    </row>
    <row r="9" spans="1:15" x14ac:dyDescent="0.35">
      <c r="A9" t="s">
        <v>135</v>
      </c>
      <c r="B9" t="s">
        <v>132</v>
      </c>
      <c r="C9" t="s">
        <v>133</v>
      </c>
      <c r="E9" s="9">
        <f>(100/B14)*C14</f>
        <v>0</v>
      </c>
    </row>
    <row r="10" spans="1:15" x14ac:dyDescent="0.35">
      <c r="B10" s="4">
        <v>5</v>
      </c>
      <c r="C10" s="4">
        <v>0</v>
      </c>
      <c r="E10" s="9">
        <f>(100/B16)*C16</f>
        <v>0</v>
      </c>
    </row>
    <row r="11" spans="1:15" x14ac:dyDescent="0.35">
      <c r="A11" t="s">
        <v>46</v>
      </c>
      <c r="B11" t="s">
        <v>132</v>
      </c>
      <c r="C11" t="s">
        <v>133</v>
      </c>
    </row>
    <row r="12" spans="1:15" x14ac:dyDescent="0.35">
      <c r="B12" s="4">
        <v>5</v>
      </c>
      <c r="C12" s="4">
        <v>0</v>
      </c>
      <c r="F12" s="4"/>
      <c r="G12" s="4" t="s">
        <v>130</v>
      </c>
      <c r="H12" s="4" t="s">
        <v>136</v>
      </c>
      <c r="L12" t="s">
        <v>137</v>
      </c>
    </row>
    <row r="13" spans="1:15" ht="31.5" customHeight="1" x14ac:dyDescent="0.35">
      <c r="A13" s="7" t="s">
        <v>129</v>
      </c>
      <c r="B13" t="s">
        <v>132</v>
      </c>
      <c r="C13" t="s">
        <v>133</v>
      </c>
      <c r="F13" s="4" t="s">
        <v>36</v>
      </c>
      <c r="G13" s="4">
        <f>I6</f>
        <v>10</v>
      </c>
      <c r="H13" s="4">
        <f>I7</f>
        <v>30</v>
      </c>
      <c r="L13" t="s">
        <v>137</v>
      </c>
    </row>
    <row r="14" spans="1:15" x14ac:dyDescent="0.35">
      <c r="B14" s="4">
        <v>5</v>
      </c>
      <c r="C14" s="4">
        <v>0</v>
      </c>
      <c r="F14" s="4" t="s">
        <v>37</v>
      </c>
      <c r="G14" s="4">
        <f>J6</f>
        <v>40</v>
      </c>
      <c r="H14" s="4">
        <f>J7</f>
        <v>30</v>
      </c>
    </row>
    <row r="15" spans="1:15" x14ac:dyDescent="0.35">
      <c r="A15" t="s">
        <v>47</v>
      </c>
      <c r="B15" t="s">
        <v>132</v>
      </c>
      <c r="C15" t="s">
        <v>133</v>
      </c>
      <c r="F15" s="4" t="s">
        <v>128</v>
      </c>
      <c r="G15" s="4">
        <f>K6</f>
        <v>15</v>
      </c>
      <c r="H15" s="4">
        <f>K7</f>
        <v>15</v>
      </c>
    </row>
    <row r="16" spans="1:15" x14ac:dyDescent="0.35">
      <c r="B16" s="4">
        <v>5</v>
      </c>
      <c r="C16" s="4">
        <v>0</v>
      </c>
      <c r="F16" s="4" t="s">
        <v>38</v>
      </c>
      <c r="G16" s="4">
        <f>L6</f>
        <v>0</v>
      </c>
      <c r="H16" s="4">
        <f>L7</f>
        <v>0</v>
      </c>
    </row>
    <row r="17" spans="6:8" x14ac:dyDescent="0.35">
      <c r="F17" s="4" t="s">
        <v>46</v>
      </c>
      <c r="G17" s="4">
        <f>M6</f>
        <v>0</v>
      </c>
      <c r="H17" s="4">
        <f>M7</f>
        <v>0</v>
      </c>
    </row>
    <row r="18" spans="6:8" ht="29.25" customHeight="1" x14ac:dyDescent="0.35">
      <c r="F18" s="8" t="s">
        <v>129</v>
      </c>
      <c r="G18" s="4">
        <f>N6</f>
        <v>0</v>
      </c>
      <c r="H18" s="4">
        <f>N7</f>
        <v>0</v>
      </c>
    </row>
    <row r="19" spans="6:8" x14ac:dyDescent="0.35">
      <c r="F19" s="4" t="s">
        <v>47</v>
      </c>
      <c r="G19" s="4">
        <f>O6</f>
        <v>0</v>
      </c>
      <c r="H19" s="4">
        <f>O7</f>
        <v>0</v>
      </c>
    </row>
    <row r="20" spans="6:8" x14ac:dyDescent="0.35">
      <c r="F20" s="4" t="s">
        <v>138</v>
      </c>
      <c r="G20" s="4">
        <f>G13+G14+G15+G16+G17+G18+G19</f>
        <v>65</v>
      </c>
      <c r="H20" s="4">
        <f>H13+H14+H15+H16+H17+H18+H19</f>
        <v>75</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13" workbookViewId="0">
      <selection activeCell="C8" sqref="C8"/>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118</v>
      </c>
      <c r="B2" s="5" t="s">
        <v>119</v>
      </c>
      <c r="C2" s="5">
        <v>4</v>
      </c>
    </row>
    <row r="3" spans="1:15" x14ac:dyDescent="0.35">
      <c r="B3" t="s">
        <v>120</v>
      </c>
      <c r="C3" t="s">
        <v>121</v>
      </c>
    </row>
    <row r="4" spans="1:15" x14ac:dyDescent="0.35">
      <c r="A4" t="s">
        <v>122</v>
      </c>
      <c r="B4" s="4">
        <v>10</v>
      </c>
      <c r="C4" s="4">
        <v>10</v>
      </c>
      <c r="E4" s="9">
        <f>(100/B4)*C4</f>
        <v>100</v>
      </c>
    </row>
    <row r="5" spans="1:15" x14ac:dyDescent="0.35">
      <c r="A5" t="s">
        <v>123</v>
      </c>
      <c r="B5" t="s">
        <v>124</v>
      </c>
      <c r="C5" t="s">
        <v>125</v>
      </c>
      <c r="E5" s="9">
        <f>(100/B6)*C6</f>
        <v>80</v>
      </c>
      <c r="I5" s="4" t="s">
        <v>126</v>
      </c>
      <c r="J5" s="4" t="s">
        <v>127</v>
      </c>
      <c r="K5" s="4" t="s">
        <v>128</v>
      </c>
      <c r="L5" s="4" t="s">
        <v>38</v>
      </c>
      <c r="M5" s="4" t="s">
        <v>46</v>
      </c>
      <c r="N5" s="4" t="s">
        <v>129</v>
      </c>
      <c r="O5" s="4" t="s">
        <v>47</v>
      </c>
    </row>
    <row r="6" spans="1:15" x14ac:dyDescent="0.35">
      <c r="B6" s="4">
        <f>C2+1</f>
        <v>5</v>
      </c>
      <c r="C6" s="4">
        <v>4</v>
      </c>
      <c r="E6" s="9">
        <f>(100/B8)*C8</f>
        <v>60</v>
      </c>
      <c r="F6" s="6" t="s">
        <v>130</v>
      </c>
      <c r="I6" s="6">
        <f>C4</f>
        <v>10</v>
      </c>
      <c r="J6" s="6">
        <f>40/B6*C6</f>
        <v>32</v>
      </c>
      <c r="K6" s="6">
        <f>15/B8*C8</f>
        <v>9</v>
      </c>
      <c r="L6" s="6">
        <f>10/B10*C10</f>
        <v>0</v>
      </c>
      <c r="M6" s="6">
        <f>10/B12*C12</f>
        <v>0</v>
      </c>
      <c r="N6" s="6">
        <f>5/B14*C14</f>
        <v>0</v>
      </c>
      <c r="O6" s="6">
        <f>5/B16*C16</f>
        <v>0</v>
      </c>
    </row>
    <row r="7" spans="1:15" x14ac:dyDescent="0.35">
      <c r="A7" t="s">
        <v>131</v>
      </c>
      <c r="B7" t="s">
        <v>132</v>
      </c>
      <c r="C7" t="s">
        <v>133</v>
      </c>
      <c r="E7" s="9">
        <f>(100/B10)*C10</f>
        <v>0</v>
      </c>
      <c r="F7" s="4" t="s">
        <v>134</v>
      </c>
      <c r="G7" s="4"/>
      <c r="H7" s="4"/>
      <c r="I7" s="4">
        <f>I6+20</f>
        <v>30</v>
      </c>
      <c r="J7" s="4">
        <f>30/B6*C6</f>
        <v>24</v>
      </c>
      <c r="K7" s="4">
        <f>15/B8*C8</f>
        <v>9</v>
      </c>
      <c r="L7" s="4">
        <f>10/B10*C10</f>
        <v>0</v>
      </c>
      <c r="M7" s="4">
        <f>5/B12*C12</f>
        <v>0</v>
      </c>
      <c r="N7" s="4">
        <f>5/B14*C14</f>
        <v>0</v>
      </c>
      <c r="O7" s="4">
        <f>5/B16*C16</f>
        <v>0</v>
      </c>
    </row>
    <row r="8" spans="1:15" x14ac:dyDescent="0.35">
      <c r="B8" s="4">
        <v>5</v>
      </c>
      <c r="C8" s="4">
        <v>3</v>
      </c>
      <c r="E8" s="9">
        <f>(100/B12)*C12</f>
        <v>0</v>
      </c>
    </row>
    <row r="9" spans="1:15" x14ac:dyDescent="0.35">
      <c r="A9" t="s">
        <v>135</v>
      </c>
      <c r="B9" t="s">
        <v>132</v>
      </c>
      <c r="C9" t="s">
        <v>133</v>
      </c>
      <c r="E9" s="9">
        <f>(100/B14)*C14</f>
        <v>0</v>
      </c>
    </row>
    <row r="10" spans="1:15" x14ac:dyDescent="0.35">
      <c r="B10" s="4">
        <v>5</v>
      </c>
      <c r="C10" s="4">
        <v>0</v>
      </c>
      <c r="E10" s="9">
        <f>(100/B16)*C16</f>
        <v>0</v>
      </c>
    </row>
    <row r="11" spans="1:15" x14ac:dyDescent="0.35">
      <c r="A11" t="s">
        <v>46</v>
      </c>
      <c r="B11" t="s">
        <v>132</v>
      </c>
      <c r="C11" t="s">
        <v>133</v>
      </c>
    </row>
    <row r="12" spans="1:15" x14ac:dyDescent="0.35">
      <c r="B12" s="4">
        <v>5</v>
      </c>
      <c r="C12" s="4">
        <v>0</v>
      </c>
      <c r="F12" s="4"/>
      <c r="G12" s="4" t="s">
        <v>130</v>
      </c>
      <c r="H12" s="4" t="s">
        <v>136</v>
      </c>
      <c r="L12" t="s">
        <v>137</v>
      </c>
    </row>
    <row r="13" spans="1:15" ht="31.5" customHeight="1" x14ac:dyDescent="0.35">
      <c r="A13" s="7" t="s">
        <v>129</v>
      </c>
      <c r="B13" t="s">
        <v>132</v>
      </c>
      <c r="C13" t="s">
        <v>133</v>
      </c>
      <c r="F13" s="4" t="s">
        <v>36</v>
      </c>
      <c r="G13" s="4">
        <f>I6</f>
        <v>10</v>
      </c>
      <c r="H13" s="4">
        <f>I7</f>
        <v>30</v>
      </c>
      <c r="L13" t="s">
        <v>137</v>
      </c>
    </row>
    <row r="14" spans="1:15" x14ac:dyDescent="0.35">
      <c r="B14" s="4">
        <v>5</v>
      </c>
      <c r="C14" s="4">
        <v>0</v>
      </c>
      <c r="F14" s="4" t="s">
        <v>37</v>
      </c>
      <c r="G14" s="4">
        <f>J6</f>
        <v>32</v>
      </c>
      <c r="H14" s="4">
        <f>J7</f>
        <v>24</v>
      </c>
    </row>
    <row r="15" spans="1:15" x14ac:dyDescent="0.35">
      <c r="A15" t="s">
        <v>47</v>
      </c>
      <c r="B15" t="s">
        <v>132</v>
      </c>
      <c r="C15" t="s">
        <v>133</v>
      </c>
      <c r="F15" s="4" t="s">
        <v>128</v>
      </c>
      <c r="G15" s="4">
        <f>K6</f>
        <v>9</v>
      </c>
      <c r="H15" s="4">
        <f>K7</f>
        <v>9</v>
      </c>
    </row>
    <row r="16" spans="1:15" x14ac:dyDescent="0.35">
      <c r="B16" s="4">
        <v>5</v>
      </c>
      <c r="C16" s="4">
        <v>0</v>
      </c>
      <c r="F16" s="4" t="s">
        <v>38</v>
      </c>
      <c r="G16" s="4">
        <f>L6</f>
        <v>0</v>
      </c>
      <c r="H16" s="4">
        <f>L7</f>
        <v>0</v>
      </c>
    </row>
    <row r="17" spans="6:8" x14ac:dyDescent="0.35">
      <c r="F17" s="4" t="s">
        <v>46</v>
      </c>
      <c r="G17" s="4">
        <f>M6</f>
        <v>0</v>
      </c>
      <c r="H17" s="4">
        <f>M7</f>
        <v>0</v>
      </c>
    </row>
    <row r="18" spans="6:8" ht="29.25" customHeight="1" x14ac:dyDescent="0.35">
      <c r="F18" s="8" t="s">
        <v>129</v>
      </c>
      <c r="G18" s="4">
        <f>N6</f>
        <v>0</v>
      </c>
      <c r="H18" s="4">
        <f>N7</f>
        <v>0</v>
      </c>
    </row>
    <row r="19" spans="6:8" x14ac:dyDescent="0.35">
      <c r="F19" s="4" t="s">
        <v>47</v>
      </c>
      <c r="G19" s="4">
        <f>O6</f>
        <v>0</v>
      </c>
      <c r="H19" s="4">
        <f>O7</f>
        <v>0</v>
      </c>
    </row>
    <row r="20" spans="6:8" x14ac:dyDescent="0.35">
      <c r="F20" s="4" t="s">
        <v>138</v>
      </c>
      <c r="G20" s="4">
        <f>G13+G14+G15+G16+G17+G18+G19</f>
        <v>51</v>
      </c>
      <c r="H20" s="4">
        <f>H13+H14+H15+H16+H17+H18+H19</f>
        <v>63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8" sqref="C8"/>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118</v>
      </c>
      <c r="B2" s="5" t="s">
        <v>119</v>
      </c>
      <c r="C2" s="5">
        <v>4</v>
      </c>
    </row>
    <row r="3" spans="1:15" x14ac:dyDescent="0.35">
      <c r="B3" t="s">
        <v>120</v>
      </c>
      <c r="C3" t="s">
        <v>121</v>
      </c>
    </row>
    <row r="4" spans="1:15" x14ac:dyDescent="0.35">
      <c r="A4" t="s">
        <v>122</v>
      </c>
      <c r="B4" s="4">
        <v>10</v>
      </c>
      <c r="C4" s="4">
        <v>10</v>
      </c>
      <c r="E4" s="9">
        <f>(100/B4)*C4</f>
        <v>100</v>
      </c>
    </row>
    <row r="5" spans="1:15" x14ac:dyDescent="0.35">
      <c r="A5" t="s">
        <v>123</v>
      </c>
      <c r="B5" t="s">
        <v>124</v>
      </c>
      <c r="C5" t="s">
        <v>125</v>
      </c>
      <c r="E5" s="9">
        <f>(100/B6)*C6</f>
        <v>80</v>
      </c>
      <c r="I5" s="4" t="s">
        <v>126</v>
      </c>
      <c r="J5" s="4" t="s">
        <v>127</v>
      </c>
      <c r="K5" s="4" t="s">
        <v>128</v>
      </c>
      <c r="L5" s="4" t="s">
        <v>38</v>
      </c>
      <c r="M5" s="4" t="s">
        <v>46</v>
      </c>
      <c r="N5" s="4" t="s">
        <v>129</v>
      </c>
      <c r="O5" s="4" t="s">
        <v>47</v>
      </c>
    </row>
    <row r="6" spans="1:15" x14ac:dyDescent="0.35">
      <c r="B6" s="4">
        <f>C2+1</f>
        <v>5</v>
      </c>
      <c r="C6" s="4">
        <v>4</v>
      </c>
      <c r="E6" s="9">
        <f>(100/B8)*C8</f>
        <v>75</v>
      </c>
      <c r="F6" s="6" t="s">
        <v>130</v>
      </c>
      <c r="I6" s="6">
        <f>C4</f>
        <v>10</v>
      </c>
      <c r="J6" s="6">
        <f>40/B6*C6</f>
        <v>32</v>
      </c>
      <c r="K6" s="6">
        <f>15/B8*C8</f>
        <v>11.25</v>
      </c>
      <c r="L6" s="6">
        <f>10/B10*C10</f>
        <v>4</v>
      </c>
      <c r="M6" s="6">
        <f>10/B12*C12</f>
        <v>0</v>
      </c>
      <c r="N6" s="6">
        <f>5/B14*C14</f>
        <v>0</v>
      </c>
      <c r="O6" s="6">
        <f>5/B16*C16</f>
        <v>0</v>
      </c>
    </row>
    <row r="7" spans="1:15" x14ac:dyDescent="0.35">
      <c r="A7" t="s">
        <v>131</v>
      </c>
      <c r="B7" t="s">
        <v>132</v>
      </c>
      <c r="C7" t="s">
        <v>133</v>
      </c>
      <c r="E7" s="9">
        <f>(100/B10)*C10</f>
        <v>40</v>
      </c>
      <c r="F7" s="4" t="s">
        <v>134</v>
      </c>
      <c r="G7" s="4"/>
      <c r="H7" s="4"/>
      <c r="I7" s="4">
        <f>I6+20</f>
        <v>30</v>
      </c>
      <c r="J7" s="4">
        <f>30/B6*C6</f>
        <v>24</v>
      </c>
      <c r="K7" s="4">
        <f>15/B8*C8</f>
        <v>11.25</v>
      </c>
      <c r="L7" s="4">
        <f>10/B10*C10</f>
        <v>4</v>
      </c>
      <c r="M7" s="4">
        <f>5/B12*C12</f>
        <v>0</v>
      </c>
      <c r="N7" s="4">
        <f>5/B14*C14</f>
        <v>0</v>
      </c>
      <c r="O7" s="4">
        <f>5/B16*C16</f>
        <v>0</v>
      </c>
    </row>
    <row r="8" spans="1:15" x14ac:dyDescent="0.35">
      <c r="B8" s="4">
        <f>C2</f>
        <v>4</v>
      </c>
      <c r="C8" s="4">
        <v>3</v>
      </c>
      <c r="E8" s="9">
        <f>(100/B12)*C12</f>
        <v>0</v>
      </c>
    </row>
    <row r="9" spans="1:15" x14ac:dyDescent="0.35">
      <c r="A9" t="s">
        <v>135</v>
      </c>
      <c r="B9" t="s">
        <v>132</v>
      </c>
      <c r="C9" t="s">
        <v>133</v>
      </c>
      <c r="E9" s="9">
        <f>(100/B14)*C14</f>
        <v>0</v>
      </c>
    </row>
    <row r="10" spans="1:15" x14ac:dyDescent="0.35">
      <c r="B10" s="4">
        <f>C2</f>
        <v>4</v>
      </c>
      <c r="C10" s="4">
        <v>1.6</v>
      </c>
      <c r="E10" s="9">
        <f>(100/B16)*C16</f>
        <v>0</v>
      </c>
    </row>
    <row r="11" spans="1:15" x14ac:dyDescent="0.35">
      <c r="A11" t="s">
        <v>46</v>
      </c>
      <c r="B11" t="s">
        <v>132</v>
      </c>
      <c r="C11" t="s">
        <v>133</v>
      </c>
    </row>
    <row r="12" spans="1:15" x14ac:dyDescent="0.35">
      <c r="B12" s="4">
        <f>C2</f>
        <v>4</v>
      </c>
      <c r="C12" s="4">
        <v>0</v>
      </c>
      <c r="F12" s="4"/>
      <c r="G12" s="4" t="s">
        <v>130</v>
      </c>
      <c r="H12" s="4" t="s">
        <v>136</v>
      </c>
      <c r="L12" t="s">
        <v>137</v>
      </c>
    </row>
    <row r="13" spans="1:15" ht="31.5" customHeight="1" x14ac:dyDescent="0.35">
      <c r="A13" s="7" t="s">
        <v>129</v>
      </c>
      <c r="B13" t="s">
        <v>132</v>
      </c>
      <c r="C13" t="s">
        <v>133</v>
      </c>
      <c r="F13" s="4" t="s">
        <v>36</v>
      </c>
      <c r="G13" s="4">
        <f>I6</f>
        <v>10</v>
      </c>
      <c r="H13" s="4">
        <f>I7</f>
        <v>30</v>
      </c>
      <c r="L13" t="s">
        <v>137</v>
      </c>
    </row>
    <row r="14" spans="1:15" x14ac:dyDescent="0.35">
      <c r="B14" s="4">
        <f>C2</f>
        <v>4</v>
      </c>
      <c r="C14" s="4">
        <v>0</v>
      </c>
      <c r="F14" s="4" t="s">
        <v>37</v>
      </c>
      <c r="G14" s="4">
        <f>J6</f>
        <v>32</v>
      </c>
      <c r="H14" s="4">
        <f>J7</f>
        <v>24</v>
      </c>
    </row>
    <row r="15" spans="1:15" x14ac:dyDescent="0.35">
      <c r="A15" t="s">
        <v>47</v>
      </c>
      <c r="B15" t="s">
        <v>132</v>
      </c>
      <c r="C15" t="s">
        <v>133</v>
      </c>
      <c r="F15" s="4" t="s">
        <v>128</v>
      </c>
      <c r="G15" s="4">
        <f>K6</f>
        <v>11.25</v>
      </c>
      <c r="H15" s="4">
        <f>K7</f>
        <v>11.25</v>
      </c>
    </row>
    <row r="16" spans="1:15" x14ac:dyDescent="0.35">
      <c r="B16" s="4">
        <f>C2</f>
        <v>4</v>
      </c>
      <c r="C16" s="4">
        <v>0</v>
      </c>
      <c r="F16" s="4" t="s">
        <v>38</v>
      </c>
      <c r="G16" s="4">
        <f>L6</f>
        <v>4</v>
      </c>
      <c r="H16" s="4">
        <f>L7</f>
        <v>4</v>
      </c>
    </row>
    <row r="17" spans="6:8" x14ac:dyDescent="0.35">
      <c r="F17" s="4" t="s">
        <v>46</v>
      </c>
      <c r="G17" s="4">
        <f>M6</f>
        <v>0</v>
      </c>
      <c r="H17" s="4">
        <f>M7</f>
        <v>0</v>
      </c>
    </row>
    <row r="18" spans="6:8" ht="29.25" customHeight="1" x14ac:dyDescent="0.35">
      <c r="F18" s="8" t="s">
        <v>129</v>
      </c>
      <c r="G18" s="4">
        <f>N6</f>
        <v>0</v>
      </c>
      <c r="H18" s="4">
        <f>N7</f>
        <v>0</v>
      </c>
    </row>
    <row r="19" spans="6:8" x14ac:dyDescent="0.35">
      <c r="F19" s="4" t="s">
        <v>47</v>
      </c>
      <c r="G19" s="4">
        <f>O6</f>
        <v>0</v>
      </c>
      <c r="H19" s="4">
        <f>O7</f>
        <v>0</v>
      </c>
    </row>
    <row r="20" spans="6:8" x14ac:dyDescent="0.35">
      <c r="F20" s="4" t="s">
        <v>138</v>
      </c>
      <c r="G20" s="4">
        <f>G13+G14+G15+G16+G17+G18+G19</f>
        <v>57.25</v>
      </c>
      <c r="H20" s="4">
        <f>H13+H14+H15+H16+H17+H18+H19</f>
        <v>69.25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8" sqref="C8"/>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118</v>
      </c>
      <c r="B2" s="5" t="s">
        <v>119</v>
      </c>
      <c r="C2" s="5">
        <v>4</v>
      </c>
    </row>
    <row r="3" spans="1:15" x14ac:dyDescent="0.35">
      <c r="B3" t="s">
        <v>120</v>
      </c>
      <c r="C3" t="s">
        <v>121</v>
      </c>
    </row>
    <row r="4" spans="1:15" x14ac:dyDescent="0.35">
      <c r="A4" t="s">
        <v>122</v>
      </c>
      <c r="B4" s="4">
        <v>10</v>
      </c>
      <c r="C4" s="4">
        <v>10</v>
      </c>
      <c r="E4" s="9">
        <f>(100/B4)*C4</f>
        <v>100</v>
      </c>
    </row>
    <row r="5" spans="1:15" x14ac:dyDescent="0.35">
      <c r="A5" t="s">
        <v>123</v>
      </c>
      <c r="B5" t="s">
        <v>124</v>
      </c>
      <c r="C5" t="s">
        <v>125</v>
      </c>
      <c r="E5" s="9">
        <f>(100/B6)*C6</f>
        <v>80</v>
      </c>
      <c r="I5" s="4" t="s">
        <v>126</v>
      </c>
      <c r="J5" s="4" t="s">
        <v>127</v>
      </c>
      <c r="K5" s="4" t="s">
        <v>128</v>
      </c>
      <c r="L5" s="4" t="s">
        <v>38</v>
      </c>
      <c r="M5" s="4" t="s">
        <v>46</v>
      </c>
      <c r="N5" s="4" t="s">
        <v>129</v>
      </c>
      <c r="O5" s="4" t="s">
        <v>47</v>
      </c>
    </row>
    <row r="6" spans="1:15" x14ac:dyDescent="0.35">
      <c r="B6" s="4">
        <f>C2+1</f>
        <v>5</v>
      </c>
      <c r="C6" s="4">
        <v>4</v>
      </c>
      <c r="E6" s="9">
        <f>(100/B8)*C8</f>
        <v>60</v>
      </c>
      <c r="F6" s="6" t="s">
        <v>130</v>
      </c>
      <c r="I6" s="6">
        <f>C4</f>
        <v>10</v>
      </c>
      <c r="J6" s="6">
        <f>40/B6*C6</f>
        <v>32</v>
      </c>
      <c r="K6" s="6">
        <f>15/B8*C8</f>
        <v>9</v>
      </c>
      <c r="L6" s="6">
        <f>10/B10*C10</f>
        <v>2</v>
      </c>
      <c r="M6" s="6">
        <f>10/B12*C12</f>
        <v>0</v>
      </c>
      <c r="N6" s="6">
        <f>5/B14*C14</f>
        <v>0</v>
      </c>
      <c r="O6" s="6">
        <f>5/B16*C16</f>
        <v>0</v>
      </c>
    </row>
    <row r="7" spans="1:15" x14ac:dyDescent="0.35">
      <c r="A7" t="s">
        <v>131</v>
      </c>
      <c r="B7" t="s">
        <v>132</v>
      </c>
      <c r="C7" t="s">
        <v>133</v>
      </c>
      <c r="E7" s="9">
        <f>(100/B10)*C10</f>
        <v>20</v>
      </c>
      <c r="F7" s="4" t="s">
        <v>134</v>
      </c>
      <c r="G7" s="4"/>
      <c r="H7" s="4"/>
      <c r="I7" s="4">
        <f>I6+20</f>
        <v>30</v>
      </c>
      <c r="J7" s="4">
        <f>30/B6*C6</f>
        <v>24</v>
      </c>
      <c r="K7" s="4">
        <f>15/B8*C8</f>
        <v>9</v>
      </c>
      <c r="L7" s="4">
        <f>10/B10*C10</f>
        <v>2</v>
      </c>
      <c r="M7" s="4">
        <f>5/B12*C12</f>
        <v>0</v>
      </c>
      <c r="N7" s="4">
        <f>5/B14*C14</f>
        <v>0</v>
      </c>
      <c r="O7" s="4">
        <f>5/B16*C16</f>
        <v>0</v>
      </c>
    </row>
    <row r="8" spans="1:15" x14ac:dyDescent="0.35">
      <c r="B8" s="4">
        <v>5</v>
      </c>
      <c r="C8" s="4">
        <v>3</v>
      </c>
      <c r="E8" s="9">
        <f>(100/B12)*C12</f>
        <v>0</v>
      </c>
    </row>
    <row r="9" spans="1:15" x14ac:dyDescent="0.35">
      <c r="A9" t="s">
        <v>135</v>
      </c>
      <c r="B9" t="s">
        <v>132</v>
      </c>
      <c r="C9" t="s">
        <v>133</v>
      </c>
      <c r="E9" s="9">
        <f>(100/B14)*C14</f>
        <v>0</v>
      </c>
    </row>
    <row r="10" spans="1:15" x14ac:dyDescent="0.35">
      <c r="B10" s="4">
        <v>5</v>
      </c>
      <c r="C10" s="4">
        <v>1</v>
      </c>
      <c r="E10" s="9">
        <f>(100/B16)*C16</f>
        <v>0</v>
      </c>
    </row>
    <row r="11" spans="1:15" x14ac:dyDescent="0.35">
      <c r="A11" t="s">
        <v>46</v>
      </c>
      <c r="B11" t="s">
        <v>132</v>
      </c>
      <c r="C11" t="s">
        <v>133</v>
      </c>
    </row>
    <row r="12" spans="1:15" x14ac:dyDescent="0.35">
      <c r="B12" s="4">
        <v>5</v>
      </c>
      <c r="C12" s="4">
        <v>0</v>
      </c>
      <c r="F12" s="4"/>
      <c r="G12" s="4" t="s">
        <v>130</v>
      </c>
      <c r="H12" s="4" t="s">
        <v>136</v>
      </c>
      <c r="L12" t="s">
        <v>137</v>
      </c>
    </row>
    <row r="13" spans="1:15" ht="31.5" customHeight="1" x14ac:dyDescent="0.35">
      <c r="A13" s="7" t="s">
        <v>129</v>
      </c>
      <c r="B13" t="s">
        <v>132</v>
      </c>
      <c r="C13" t="s">
        <v>133</v>
      </c>
      <c r="F13" s="4" t="s">
        <v>36</v>
      </c>
      <c r="G13" s="4">
        <f>I6</f>
        <v>10</v>
      </c>
      <c r="H13" s="4">
        <f>I7</f>
        <v>30</v>
      </c>
      <c r="L13" t="s">
        <v>137</v>
      </c>
    </row>
    <row r="14" spans="1:15" x14ac:dyDescent="0.35">
      <c r="B14" s="4">
        <v>5</v>
      </c>
      <c r="C14" s="4">
        <v>0</v>
      </c>
      <c r="F14" s="4" t="s">
        <v>37</v>
      </c>
      <c r="G14" s="4">
        <f>J6</f>
        <v>32</v>
      </c>
      <c r="H14" s="4">
        <f>J7</f>
        <v>24</v>
      </c>
    </row>
    <row r="15" spans="1:15" x14ac:dyDescent="0.35">
      <c r="A15" t="s">
        <v>47</v>
      </c>
      <c r="B15" t="s">
        <v>132</v>
      </c>
      <c r="C15" t="s">
        <v>133</v>
      </c>
      <c r="F15" s="4" t="s">
        <v>128</v>
      </c>
      <c r="G15" s="4">
        <f>K6</f>
        <v>9</v>
      </c>
      <c r="H15" s="4">
        <f>K7</f>
        <v>9</v>
      </c>
    </row>
    <row r="16" spans="1:15" x14ac:dyDescent="0.35">
      <c r="B16" s="4">
        <v>5</v>
      </c>
      <c r="C16" s="4">
        <v>0</v>
      </c>
      <c r="F16" s="4" t="s">
        <v>38</v>
      </c>
      <c r="G16" s="4">
        <f>L6</f>
        <v>2</v>
      </c>
      <c r="H16" s="4">
        <f>L7</f>
        <v>2</v>
      </c>
    </row>
    <row r="17" spans="6:8" x14ac:dyDescent="0.35">
      <c r="F17" s="4" t="s">
        <v>46</v>
      </c>
      <c r="G17" s="4">
        <f>M6</f>
        <v>0</v>
      </c>
      <c r="H17" s="4">
        <f>M7</f>
        <v>0</v>
      </c>
    </row>
    <row r="18" spans="6:8" ht="29.25" customHeight="1" x14ac:dyDescent="0.35">
      <c r="F18" s="8" t="s">
        <v>129</v>
      </c>
      <c r="G18" s="4">
        <f>N6</f>
        <v>0</v>
      </c>
      <c r="H18" s="4">
        <f>N7</f>
        <v>0</v>
      </c>
    </row>
    <row r="19" spans="6:8" x14ac:dyDescent="0.35">
      <c r="F19" s="4" t="s">
        <v>47</v>
      </c>
      <c r="G19" s="4">
        <f>O6</f>
        <v>0</v>
      </c>
      <c r="H19" s="4">
        <f>O7</f>
        <v>0</v>
      </c>
    </row>
    <row r="20" spans="6:8" x14ac:dyDescent="0.35">
      <c r="F20" s="4" t="s">
        <v>138</v>
      </c>
      <c r="G20" s="4">
        <f>G13+G14+G15+G16+G17+G18+G19</f>
        <v>53</v>
      </c>
      <c r="H20" s="4">
        <f>H13+H14+H15+H16+H17+H18+H19</f>
        <v>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118</v>
      </c>
      <c r="B2" s="5" t="s">
        <v>119</v>
      </c>
      <c r="C2" s="5">
        <v>4</v>
      </c>
    </row>
    <row r="3" spans="1:15" x14ac:dyDescent="0.35">
      <c r="B3" t="s">
        <v>120</v>
      </c>
      <c r="C3" t="s">
        <v>121</v>
      </c>
    </row>
    <row r="4" spans="1:15" x14ac:dyDescent="0.35">
      <c r="A4" t="s">
        <v>122</v>
      </c>
      <c r="B4" s="4">
        <v>10</v>
      </c>
      <c r="C4" s="4">
        <v>10</v>
      </c>
      <c r="E4" s="9">
        <f>(100/B4)*C4</f>
        <v>100</v>
      </c>
    </row>
    <row r="5" spans="1:15" x14ac:dyDescent="0.35">
      <c r="A5" t="s">
        <v>123</v>
      </c>
      <c r="B5" t="s">
        <v>124</v>
      </c>
      <c r="C5" t="s">
        <v>125</v>
      </c>
      <c r="E5" s="9">
        <f>(100/B6)*C6</f>
        <v>40</v>
      </c>
      <c r="I5" s="4" t="s">
        <v>126</v>
      </c>
      <c r="J5" s="4" t="s">
        <v>127</v>
      </c>
      <c r="K5" s="4" t="s">
        <v>128</v>
      </c>
      <c r="L5" s="4" t="s">
        <v>38</v>
      </c>
      <c r="M5" s="4" t="s">
        <v>46</v>
      </c>
      <c r="N5" s="4" t="s">
        <v>129</v>
      </c>
      <c r="O5" s="4" t="s">
        <v>47</v>
      </c>
    </row>
    <row r="6" spans="1:15" x14ac:dyDescent="0.35">
      <c r="B6" s="4">
        <f>C2+1</f>
        <v>5</v>
      </c>
      <c r="C6" s="4">
        <v>2</v>
      </c>
      <c r="E6" s="9">
        <f>(100/B8)*C8</f>
        <v>0</v>
      </c>
      <c r="F6" s="6" t="s">
        <v>130</v>
      </c>
      <c r="I6" s="6">
        <f>C4</f>
        <v>10</v>
      </c>
      <c r="J6" s="6">
        <f>40/B6*C6</f>
        <v>16</v>
      </c>
      <c r="K6" s="6">
        <f>15/B8*C8</f>
        <v>0</v>
      </c>
      <c r="L6" s="6">
        <f>10/B10*C10</f>
        <v>0</v>
      </c>
      <c r="M6" s="6">
        <f>10/B12*C12</f>
        <v>0</v>
      </c>
      <c r="N6" s="6">
        <f>5/B14*C14</f>
        <v>0</v>
      </c>
      <c r="O6" s="6">
        <f>5/B16*C16</f>
        <v>0</v>
      </c>
    </row>
    <row r="7" spans="1:15" x14ac:dyDescent="0.35">
      <c r="A7" t="s">
        <v>131</v>
      </c>
      <c r="B7" t="s">
        <v>132</v>
      </c>
      <c r="C7" t="s">
        <v>133</v>
      </c>
      <c r="E7" s="9">
        <f>(100/B10)*C10</f>
        <v>0</v>
      </c>
      <c r="F7" s="4" t="s">
        <v>134</v>
      </c>
      <c r="G7" s="4"/>
      <c r="H7" s="4"/>
      <c r="I7" s="4">
        <f>I6+20</f>
        <v>30</v>
      </c>
      <c r="J7" s="4">
        <f>30/B6*C6</f>
        <v>12</v>
      </c>
      <c r="K7" s="4">
        <f>15/B8*C8</f>
        <v>0</v>
      </c>
      <c r="L7" s="4">
        <f>10/B10*C10</f>
        <v>0</v>
      </c>
      <c r="M7" s="4">
        <f>5/B12*C12</f>
        <v>0</v>
      </c>
      <c r="N7" s="4">
        <f>5/B14*C14</f>
        <v>0</v>
      </c>
      <c r="O7" s="4">
        <f>5/B16*C16</f>
        <v>0</v>
      </c>
    </row>
    <row r="8" spans="1:15" x14ac:dyDescent="0.35">
      <c r="B8" s="4">
        <v>5</v>
      </c>
      <c r="C8" s="4">
        <v>0</v>
      </c>
      <c r="E8" s="9">
        <f>(100/B12)*C12</f>
        <v>0</v>
      </c>
    </row>
    <row r="9" spans="1:15" x14ac:dyDescent="0.35">
      <c r="A9" t="s">
        <v>135</v>
      </c>
      <c r="B9" t="s">
        <v>132</v>
      </c>
      <c r="C9" t="s">
        <v>133</v>
      </c>
      <c r="E9" s="9">
        <f>(100/B14)*C14</f>
        <v>0</v>
      </c>
    </row>
    <row r="10" spans="1:15" x14ac:dyDescent="0.35">
      <c r="B10" s="4">
        <v>5</v>
      </c>
      <c r="C10" s="4">
        <v>0</v>
      </c>
      <c r="E10" s="9">
        <f>(100/B16)*C16</f>
        <v>0</v>
      </c>
    </row>
    <row r="11" spans="1:15" x14ac:dyDescent="0.35">
      <c r="A11" t="s">
        <v>46</v>
      </c>
      <c r="B11" t="s">
        <v>132</v>
      </c>
      <c r="C11" t="s">
        <v>133</v>
      </c>
    </row>
    <row r="12" spans="1:15" x14ac:dyDescent="0.35">
      <c r="B12" s="4">
        <v>5</v>
      </c>
      <c r="C12" s="4">
        <v>0</v>
      </c>
      <c r="F12" s="4"/>
      <c r="G12" s="4" t="s">
        <v>130</v>
      </c>
      <c r="H12" s="4" t="s">
        <v>136</v>
      </c>
      <c r="L12" t="s">
        <v>137</v>
      </c>
    </row>
    <row r="13" spans="1:15" ht="31.5" customHeight="1" x14ac:dyDescent="0.35">
      <c r="A13" s="7" t="s">
        <v>129</v>
      </c>
      <c r="B13" t="s">
        <v>132</v>
      </c>
      <c r="C13" t="s">
        <v>133</v>
      </c>
      <c r="F13" s="4" t="s">
        <v>36</v>
      </c>
      <c r="G13" s="4">
        <f>I6</f>
        <v>10</v>
      </c>
      <c r="H13" s="4">
        <f>I7</f>
        <v>30</v>
      </c>
      <c r="L13" t="s">
        <v>137</v>
      </c>
    </row>
    <row r="14" spans="1:15" x14ac:dyDescent="0.35">
      <c r="B14" s="4">
        <v>5</v>
      </c>
      <c r="C14" s="4">
        <v>0</v>
      </c>
      <c r="F14" s="4" t="s">
        <v>37</v>
      </c>
      <c r="G14" s="4">
        <f>J6</f>
        <v>16</v>
      </c>
      <c r="H14" s="4">
        <f>J7</f>
        <v>12</v>
      </c>
    </row>
    <row r="15" spans="1:15" x14ac:dyDescent="0.35">
      <c r="A15" t="s">
        <v>47</v>
      </c>
      <c r="B15" t="s">
        <v>132</v>
      </c>
      <c r="C15" t="s">
        <v>133</v>
      </c>
      <c r="F15" s="4" t="s">
        <v>128</v>
      </c>
      <c r="G15" s="4">
        <f>K6</f>
        <v>0</v>
      </c>
      <c r="H15" s="4">
        <f>K7</f>
        <v>0</v>
      </c>
    </row>
    <row r="16" spans="1:15" x14ac:dyDescent="0.35">
      <c r="B16" s="4">
        <v>5</v>
      </c>
      <c r="C16" s="4">
        <v>0</v>
      </c>
      <c r="F16" s="4" t="s">
        <v>38</v>
      </c>
      <c r="G16" s="4">
        <f>L6</f>
        <v>0</v>
      </c>
      <c r="H16" s="4">
        <f>L7</f>
        <v>0</v>
      </c>
    </row>
    <row r="17" spans="6:8" x14ac:dyDescent="0.35">
      <c r="F17" s="4" t="s">
        <v>46</v>
      </c>
      <c r="G17" s="4">
        <f>M6</f>
        <v>0</v>
      </c>
      <c r="H17" s="4">
        <f>M7</f>
        <v>0</v>
      </c>
    </row>
    <row r="18" spans="6:8" ht="29.25" customHeight="1" x14ac:dyDescent="0.35">
      <c r="F18" s="8" t="s">
        <v>129</v>
      </c>
      <c r="G18" s="4">
        <f>N6</f>
        <v>0</v>
      </c>
      <c r="H18" s="4">
        <f>N7</f>
        <v>0</v>
      </c>
    </row>
    <row r="19" spans="6:8" x14ac:dyDescent="0.35">
      <c r="F19" s="4" t="s">
        <v>47</v>
      </c>
      <c r="G19" s="4">
        <f>O6</f>
        <v>0</v>
      </c>
      <c r="H19" s="4">
        <f>O7</f>
        <v>0</v>
      </c>
    </row>
    <row r="20" spans="6:8" x14ac:dyDescent="0.35">
      <c r="F20" s="4" t="s">
        <v>138</v>
      </c>
      <c r="G20" s="4">
        <f>G13+G14+G15+G16+G17+G18+G19</f>
        <v>26</v>
      </c>
      <c r="H20" s="4">
        <f>H13+H14+H15+H16+H17+H18+H19</f>
        <v>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K7" sqref="K7"/>
    </sheetView>
  </sheetViews>
  <sheetFormatPr defaultColWidth="9.1796875" defaultRowHeight="14.5" x14ac:dyDescent="0.35"/>
  <cols>
    <col min="1" max="1" width="9.1796875" style="10"/>
    <col min="2" max="2" width="25.26953125" style="10" customWidth="1"/>
    <col min="3" max="3" width="41.81640625" style="10" customWidth="1"/>
    <col min="4" max="7" width="9.1796875" style="10"/>
    <col min="8" max="8" width="28.81640625" style="10" customWidth="1"/>
    <col min="9" max="16384" width="9.1796875" style="10"/>
  </cols>
  <sheetData>
    <row r="2" spans="1:9" x14ac:dyDescent="0.35">
      <c r="A2" s="11"/>
      <c r="B2" s="11"/>
      <c r="C2" s="11"/>
      <c r="D2" s="11"/>
      <c r="E2" s="11"/>
      <c r="F2" s="11"/>
      <c r="G2" s="11"/>
      <c r="H2" s="11"/>
    </row>
    <row r="3" spans="1:9" x14ac:dyDescent="0.35">
      <c r="A3" s="11"/>
      <c r="B3" s="197" t="s">
        <v>168</v>
      </c>
      <c r="C3" s="197"/>
      <c r="D3" s="197"/>
      <c r="E3" s="197"/>
      <c r="F3" s="197"/>
      <c r="G3" s="197"/>
      <c r="H3" s="197"/>
    </row>
    <row r="4" spans="1:9" ht="29" x14ac:dyDescent="0.35">
      <c r="A4" s="11"/>
      <c r="B4" s="12" t="s">
        <v>169</v>
      </c>
      <c r="C4" s="12" t="s">
        <v>170</v>
      </c>
      <c r="D4" s="12" t="s">
        <v>171</v>
      </c>
      <c r="E4" s="12" t="s">
        <v>172</v>
      </c>
      <c r="F4" s="12" t="s">
        <v>173</v>
      </c>
      <c r="G4" s="12" t="s">
        <v>174</v>
      </c>
      <c r="H4" s="12" t="s">
        <v>175</v>
      </c>
    </row>
    <row r="5" spans="1:9" x14ac:dyDescent="0.35">
      <c r="A5" s="11"/>
      <c r="B5" s="21" t="s">
        <v>181</v>
      </c>
      <c r="C5" s="20" t="s">
        <v>180</v>
      </c>
      <c r="D5" s="21" t="s">
        <v>109</v>
      </c>
      <c r="E5" s="13">
        <v>0</v>
      </c>
      <c r="F5" s="14">
        <v>585</v>
      </c>
      <c r="G5" s="14">
        <f>H5/F5</f>
        <v>3200</v>
      </c>
      <c r="H5" s="15">
        <v>1872000</v>
      </c>
    </row>
    <row r="6" spans="1:9" x14ac:dyDescent="0.35">
      <c r="A6" s="11"/>
      <c r="B6" s="21" t="s">
        <v>181</v>
      </c>
      <c r="C6" s="20" t="s">
        <v>180</v>
      </c>
      <c r="D6" s="21" t="s">
        <v>109</v>
      </c>
      <c r="E6" s="13">
        <v>0</v>
      </c>
      <c r="F6" s="14">
        <v>645</v>
      </c>
      <c r="G6" s="14">
        <f t="shared" ref="G6:G10" si="0">H6/F6</f>
        <v>3172.0930232558139</v>
      </c>
      <c r="H6" s="15">
        <v>2046000</v>
      </c>
    </row>
    <row r="7" spans="1:9" x14ac:dyDescent="0.35">
      <c r="A7" s="11"/>
      <c r="B7" s="21" t="s">
        <v>181</v>
      </c>
      <c r="C7" s="20" t="s">
        <v>180</v>
      </c>
      <c r="D7" s="21" t="s">
        <v>182</v>
      </c>
      <c r="E7" s="13">
        <v>0</v>
      </c>
      <c r="F7" s="14">
        <v>800</v>
      </c>
      <c r="G7" s="14">
        <f t="shared" si="0"/>
        <v>3200</v>
      </c>
      <c r="H7" s="15">
        <v>2560000</v>
      </c>
    </row>
    <row r="8" spans="1:9" x14ac:dyDescent="0.35">
      <c r="A8" s="11"/>
      <c r="B8" s="21" t="s">
        <v>183</v>
      </c>
      <c r="C8" s="20" t="s">
        <v>180</v>
      </c>
      <c r="D8" s="13" t="s">
        <v>177</v>
      </c>
      <c r="E8" s="13">
        <v>0</v>
      </c>
      <c r="F8" s="14">
        <v>585</v>
      </c>
      <c r="G8" s="14">
        <f t="shared" si="0"/>
        <v>3200</v>
      </c>
      <c r="H8" s="15">
        <v>1872000</v>
      </c>
    </row>
    <row r="9" spans="1:9" x14ac:dyDescent="0.35">
      <c r="A9" s="11"/>
      <c r="B9" s="21" t="s">
        <v>183</v>
      </c>
      <c r="C9" s="20" t="s">
        <v>180</v>
      </c>
      <c r="D9" s="13" t="s">
        <v>177</v>
      </c>
      <c r="E9" s="13">
        <v>0</v>
      </c>
      <c r="F9" s="14">
        <v>645</v>
      </c>
      <c r="G9" s="14">
        <f t="shared" si="0"/>
        <v>3200</v>
      </c>
      <c r="H9" s="15">
        <v>2064000</v>
      </c>
    </row>
    <row r="10" spans="1:9" x14ac:dyDescent="0.35">
      <c r="A10" s="11"/>
      <c r="B10" s="21" t="s">
        <v>183</v>
      </c>
      <c r="C10" s="20" t="s">
        <v>180</v>
      </c>
      <c r="D10" s="13" t="s">
        <v>176</v>
      </c>
      <c r="E10" s="13">
        <v>0</v>
      </c>
      <c r="F10" s="14">
        <v>800</v>
      </c>
      <c r="G10" s="14">
        <f t="shared" si="0"/>
        <v>3200</v>
      </c>
      <c r="H10" s="15">
        <v>2560000</v>
      </c>
    </row>
    <row r="11" spans="1:9" x14ac:dyDescent="0.35">
      <c r="A11" s="11"/>
      <c r="B11" s="16" t="s">
        <v>178</v>
      </c>
      <c r="C11" s="13"/>
      <c r="D11" s="13"/>
      <c r="E11" s="13"/>
      <c r="F11" s="13"/>
      <c r="G11" s="17">
        <f>AVERAGE(G5:G10)</f>
        <v>3195.348837209302</v>
      </c>
      <c r="H11" s="13"/>
    </row>
    <row r="12" spans="1:9" x14ac:dyDescent="0.35">
      <c r="B12" s="16" t="s">
        <v>179</v>
      </c>
      <c r="C12" s="13"/>
      <c r="D12" s="13"/>
      <c r="E12" s="13"/>
      <c r="F12" s="18"/>
      <c r="G12" s="16">
        <v>3200</v>
      </c>
      <c r="H12" s="16"/>
      <c r="I12" s="19"/>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 (2)</vt:lpstr>
      <vt:lpstr>Note</vt:lpstr>
      <vt:lpstr>C % 2A</vt:lpstr>
      <vt:lpstr>C % B</vt:lpstr>
      <vt:lpstr>C % 2C,D</vt:lpstr>
      <vt:lpstr>C % 2E</vt:lpstr>
      <vt:lpstr>C % 2F</vt:lpstr>
      <vt:lpstr>VALUATION</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2025-08-18T06:47:00Z</cp:lastPrinted>
  <dcterms:created xsi:type="dcterms:W3CDTF">2013-11-23T05:32:33Z</dcterms:created>
  <dcterms:modified xsi:type="dcterms:W3CDTF">2025-08-18T06:48:24Z</dcterms:modified>
</cp:coreProperties>
</file>