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4-08-2025\"/>
    </mc:Choice>
  </mc:AlternateContent>
  <bookViews>
    <workbookView xWindow="0" yWindow="0" windowWidth="19200" windowHeight="6640" tabRatio="729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5" i="1" l="1"/>
  <c r="G113" i="1" l="1"/>
  <c r="G114" i="1"/>
  <c r="E203" i="1"/>
  <c r="D176" i="1"/>
  <c r="D175" i="1"/>
  <c r="D174" i="1"/>
  <c r="D173" i="1"/>
  <c r="D172" i="1"/>
  <c r="D171" i="1"/>
  <c r="D170" i="1"/>
  <c r="A170" i="1"/>
  <c r="A171" i="1" s="1"/>
  <c r="A172" i="1" s="1"/>
  <c r="A173" i="1" s="1"/>
  <c r="A174" i="1" s="1"/>
  <c r="G169" i="1"/>
  <c r="D169" i="1"/>
  <c r="D238" i="1"/>
  <c r="D237" i="1"/>
  <c r="D236" i="1"/>
  <c r="D235" i="1"/>
  <c r="D234" i="1"/>
  <c r="D233" i="1"/>
  <c r="D232" i="1"/>
  <c r="D231" i="1"/>
  <c r="D230" i="1"/>
  <c r="G229" i="1"/>
  <c r="D229" i="1"/>
  <c r="D221" i="1"/>
  <c r="D210" i="1"/>
  <c r="D226" i="1"/>
  <c r="D225" i="1"/>
  <c r="D224" i="1"/>
  <c r="D223" i="1"/>
  <c r="D222" i="1"/>
  <c r="D220" i="1"/>
  <c r="D219" i="1"/>
  <c r="G218" i="1"/>
  <c r="D218" i="1"/>
  <c r="D167" i="1"/>
  <c r="D166" i="1"/>
  <c r="D164" i="1"/>
  <c r="D163" i="1"/>
  <c r="D162" i="1"/>
  <c r="D161" i="1"/>
  <c r="A161" i="1"/>
  <c r="A162" i="1" s="1"/>
  <c r="A163" i="1" s="1"/>
  <c r="A164" i="1" s="1"/>
  <c r="A165" i="1" s="1"/>
  <c r="G160" i="1"/>
  <c r="D160" i="1"/>
  <c r="D216" i="1"/>
  <c r="D215" i="1"/>
  <c r="D214" i="1"/>
  <c r="D213" i="1"/>
  <c r="D212" i="1"/>
  <c r="D211" i="1"/>
  <c r="D209" i="1"/>
  <c r="D208" i="1"/>
  <c r="D207" i="1"/>
  <c r="G207" i="1"/>
  <c r="D158" i="1"/>
  <c r="J158" i="1" s="1"/>
  <c r="D157" i="1"/>
  <c r="J157" i="1" s="1"/>
  <c r="D156" i="1"/>
  <c r="J156" i="1" s="1"/>
  <c r="D155" i="1"/>
  <c r="J155" i="1" s="1"/>
  <c r="D154" i="1"/>
  <c r="J154" i="1" s="1"/>
  <c r="D153" i="1"/>
  <c r="J153" i="1" s="1"/>
  <c r="D152" i="1"/>
  <c r="J152" i="1" s="1"/>
  <c r="D151" i="1"/>
  <c r="J151" i="1" s="1"/>
  <c r="A152" i="1"/>
  <c r="A153" i="1" s="1"/>
  <c r="A154" i="1" s="1"/>
  <c r="A155" i="1" s="1"/>
  <c r="A156" i="1" s="1"/>
  <c r="G151" i="1"/>
  <c r="E204" i="1"/>
  <c r="D203" i="1"/>
  <c r="D202" i="1"/>
  <c r="D201" i="1"/>
  <c r="D200" i="1"/>
  <c r="D199" i="1"/>
  <c r="D204" i="1"/>
  <c r="D149" i="1"/>
  <c r="J149" i="1" s="1"/>
  <c r="E148" i="1"/>
  <c r="D148" i="1"/>
  <c r="E145" i="1"/>
  <c r="E144" i="1"/>
  <c r="E146" i="1"/>
  <c r="E147" i="1"/>
  <c r="J144" i="1"/>
  <c r="I144" i="1"/>
  <c r="D147" i="1"/>
  <c r="D146" i="1"/>
  <c r="D145" i="1"/>
  <c r="D144" i="1"/>
  <c r="A145" i="1"/>
  <c r="A146" i="1" s="1"/>
  <c r="A147" i="1" s="1"/>
  <c r="A148" i="1" s="1"/>
  <c r="A149" i="1" s="1"/>
  <c r="G144" i="1"/>
  <c r="I123" i="1"/>
  <c r="D137" i="1"/>
  <c r="F137" i="1" s="1"/>
  <c r="J137" i="1" s="1"/>
  <c r="D136" i="1"/>
  <c r="F136" i="1" s="1"/>
  <c r="J136" i="1" s="1"/>
  <c r="D135" i="1"/>
  <c r="F135" i="1" s="1"/>
  <c r="J135" i="1" s="1"/>
  <c r="D134" i="1"/>
  <c r="F134" i="1" s="1"/>
  <c r="J134" i="1" s="1"/>
  <c r="D133" i="1"/>
  <c r="F133" i="1" s="1"/>
  <c r="J133" i="1" s="1"/>
  <c r="D132" i="1"/>
  <c r="F132" i="1" s="1"/>
  <c r="J132" i="1" s="1"/>
  <c r="D131" i="1"/>
  <c r="F131" i="1" s="1"/>
  <c r="J131" i="1" s="1"/>
  <c r="D130" i="1"/>
  <c r="F130" i="1" s="1"/>
  <c r="J130" i="1" s="1"/>
  <c r="D129" i="1"/>
  <c r="F129" i="1" s="1"/>
  <c r="J129" i="1" s="1"/>
  <c r="D128" i="1"/>
  <c r="F128" i="1" s="1"/>
  <c r="J128" i="1" s="1"/>
  <c r="D127" i="1"/>
  <c r="F127" i="1" s="1"/>
  <c r="J127" i="1" s="1"/>
  <c r="D126" i="1"/>
  <c r="F126" i="1" s="1"/>
  <c r="J126" i="1" s="1"/>
  <c r="D125" i="1"/>
  <c r="F125" i="1" s="1"/>
  <c r="J125" i="1" s="1"/>
  <c r="D124" i="1"/>
  <c r="F124" i="1" s="1"/>
  <c r="J124" i="1" s="1"/>
  <c r="D123" i="1"/>
  <c r="F123" i="1" s="1"/>
  <c r="J123" i="1" s="1"/>
  <c r="D122" i="1"/>
  <c r="I41" i="1"/>
  <c r="C110" i="1" l="1"/>
  <c r="F122" i="1"/>
  <c r="E114" i="1"/>
  <c r="E113" i="1"/>
  <c r="E110" i="1"/>
  <c r="C113" i="1"/>
  <c r="C114" i="1"/>
  <c r="I188" i="1"/>
  <c r="I189" i="1"/>
  <c r="I190" i="1"/>
  <c r="I191" i="1"/>
  <c r="I192" i="1"/>
  <c r="I193" i="1"/>
  <c r="I194" i="1"/>
  <c r="I187" i="1"/>
  <c r="K200" i="1"/>
  <c r="K199" i="1"/>
  <c r="L187" i="1"/>
  <c r="E182" i="1"/>
  <c r="D194" i="1"/>
  <c r="K194" i="1" s="1"/>
  <c r="D193" i="1"/>
  <c r="K193" i="1" s="1"/>
  <c r="D192" i="1"/>
  <c r="K192" i="1" s="1"/>
  <c r="D191" i="1"/>
  <c r="K191" i="1" s="1"/>
  <c r="D185" i="1"/>
  <c r="D184" i="1"/>
  <c r="D183" i="1"/>
  <c r="J183" i="1" s="1"/>
  <c r="D188" i="1"/>
  <c r="K188" i="1" s="1"/>
  <c r="D189" i="1"/>
  <c r="K189" i="1" s="1"/>
  <c r="D190" i="1"/>
  <c r="K190" i="1" s="1"/>
  <c r="D187" i="1"/>
  <c r="K187" i="1" s="1"/>
  <c r="E181" i="1"/>
  <c r="E179" i="1"/>
  <c r="E180" i="1"/>
  <c r="I178" i="1"/>
  <c r="E178" i="1"/>
  <c r="D178" i="1"/>
  <c r="D179" i="1"/>
  <c r="D180" i="1"/>
  <c r="D181" i="1"/>
  <c r="J122" i="1" l="1"/>
  <c r="G110" i="1"/>
  <c r="D182" i="1"/>
  <c r="A200" i="1" l="1"/>
  <c r="A201" i="1" s="1"/>
  <c r="A202" i="1" s="1"/>
  <c r="A203" i="1" s="1"/>
  <c r="A204" i="1" s="1"/>
  <c r="A205" i="1" s="1"/>
  <c r="G199" i="1"/>
  <c r="G49" i="1"/>
  <c r="G50" i="1" s="1"/>
  <c r="G115" i="1" l="1"/>
  <c r="E42" i="1"/>
  <c r="E43" i="1" s="1"/>
  <c r="E115" i="1" l="1"/>
  <c r="J115" i="1" s="1"/>
  <c r="C115" i="1"/>
  <c r="C14" i="1"/>
  <c r="E29" i="1" l="1"/>
  <c r="F107" i="1" l="1"/>
  <c r="B241" i="1" l="1"/>
  <c r="B24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2" i="1"/>
  <c r="G187" i="1"/>
  <c r="G178" i="1"/>
  <c r="A179" i="1"/>
  <c r="A180" i="1" s="1"/>
  <c r="A181" i="1" s="1"/>
  <c r="A182" i="1" s="1"/>
  <c r="A183" i="1" s="1"/>
  <c r="A184" i="1" s="1"/>
  <c r="A185" i="1" s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G122" i="1"/>
  <c r="J91" i="1"/>
  <c r="J90" i="1"/>
  <c r="J89" i="1"/>
  <c r="C80" i="1"/>
  <c r="J77" i="1"/>
  <c r="J76" i="1"/>
  <c r="J75" i="1"/>
  <c r="D54" i="1"/>
  <c r="C49" i="1"/>
  <c r="C50" i="1" s="1"/>
  <c r="E26" i="1"/>
  <c r="E24" i="1"/>
  <c r="E7" i="1"/>
  <c r="E3" i="1"/>
  <c r="H67" i="1"/>
  <c r="H81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86" i="1"/>
  <c r="J87" i="1" s="1"/>
  <c r="J92" i="1" s="1"/>
  <c r="J84" i="1"/>
  <c r="J85" i="1"/>
  <c r="C84" i="1" s="1"/>
  <c r="J83" i="1"/>
  <c r="J73" i="1" l="1"/>
  <c r="J78" i="1" s="1"/>
  <c r="J88" i="1"/>
  <c r="J93" i="1" s="1"/>
  <c r="C85" i="1" s="1"/>
  <c r="D86" i="1"/>
  <c r="D72" i="1"/>
  <c r="J68" i="1"/>
  <c r="D70" i="1"/>
  <c r="D84" i="1"/>
  <c r="J74" i="1" l="1"/>
  <c r="J79" i="1" s="1"/>
  <c r="C71" i="1" s="1"/>
  <c r="E70" i="1" s="1"/>
  <c r="D85" i="1"/>
  <c r="I81" i="1" s="1"/>
  <c r="E84" i="1"/>
  <c r="G84" i="1"/>
  <c r="J81" i="1"/>
  <c r="J67" i="1" l="1"/>
  <c r="D71" i="1"/>
  <c r="I67" i="1" s="1"/>
  <c r="I68" i="1" s="1"/>
  <c r="G70" i="1"/>
  <c r="D64" i="1" s="1"/>
  <c r="D65" i="1" s="1"/>
  <c r="I82" i="1"/>
  <c r="I80" i="1" s="1"/>
  <c r="C82" i="1" s="1"/>
  <c r="I66" i="1" l="1"/>
  <c r="C68" i="1" s="1"/>
  <c r="F65" i="1"/>
</calcChain>
</file>

<file path=xl/sharedStrings.xml><?xml version="1.0" encoding="utf-8"?>
<sst xmlns="http://schemas.openxmlformats.org/spreadsheetml/2006/main" count="412" uniqueCount="230">
  <si>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</si>
  <si>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</si>
  <si>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</si>
  <si>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</si>
  <si>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</si>
  <si>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</si>
  <si>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</si>
  <si>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</si>
  <si>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</si>
  <si>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</si>
  <si>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</si>
  <si>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</si>
  <si>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</si>
  <si>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</si>
  <si>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</si>
  <si>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</si>
  <si>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</si>
  <si>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</si>
  <si>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</si>
  <si>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</si>
  <si>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</si>
  <si>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</si>
  <si>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</si>
  <si>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</si>
  <si>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</si>
  <si>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</si>
  <si>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</si>
  <si>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</si>
  <si>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</si>
  <si>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</si>
  <si>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</si>
  <si>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</si>
  <si>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</si>
  <si>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</si>
  <si>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</si>
  <si>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</si>
  <si>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</si>
  <si>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</si>
  <si>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</si>
  <si>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</si>
  <si>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</si>
  <si>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</si>
  <si>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</si>
  <si>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</si>
  <si>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</si>
  <si>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</si>
  <si>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</si>
  <si>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</si>
  <si>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</si>
  <si>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</si>
  <si>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</si>
  <si>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</si>
  <si>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</si>
  <si>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</si>
  <si>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</si>
  <si>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</si>
  <si>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</si>
  <si>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</si>
  <si>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</si>
  <si>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</si>
  <si>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</si>
  <si>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</si>
  <si>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</si>
  <si>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</si>
  <si>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</si>
  <si>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</si>
  <si>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</si>
  <si>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</si>
  <si>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</si>
  <si>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</si>
  <si>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</si>
  <si>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</si>
  <si>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</si>
  <si>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</si>
  <si>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</si>
  <si>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</si>
  <si>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</si>
  <si>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</si>
  <si>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</si>
  <si>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</si>
  <si>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</si>
  <si>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</si>
  <si>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</si>
  <si>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</si>
  <si>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</si>
  <si>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</si>
  <si>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</si>
  <si>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</si>
  <si>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</si>
  <si>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</si>
  <si>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</si>
  <si>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</si>
  <si>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</si>
  <si>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</si>
  <si>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</si>
  <si>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</si>
  <si>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</si>
  <si>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</si>
  <si>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</si>
  <si>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</si>
  <si>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</si>
  <si>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</si>
  <si>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</si>
  <si>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</si>
  <si>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</si>
  <si>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</si>
  <si>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</si>
  <si>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</si>
  <si>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</si>
  <si>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</si>
  <si>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</si>
  <si>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</si>
  <si>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</si>
  <si>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</si>
  <si>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</si>
  <si>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</si>
  <si>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</si>
  <si>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</si>
  <si>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</si>
  <si>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</si>
  <si>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</si>
  <si>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</si>
  <si>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</si>
  <si>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</si>
  <si>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</si>
  <si>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</si>
  <si>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</si>
  <si>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</si>
  <si>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</si>
  <si>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</si>
  <si>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</si>
  <si>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</si>
  <si>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</si>
  <si>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</si>
  <si>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</si>
  <si>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</si>
  <si>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</si>
  <si>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</si>
  <si>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</si>
  <si>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</si>
  <si>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</si>
  <si>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</si>
  <si>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</si>
  <si>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</si>
  <si>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</si>
  <si>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</si>
  <si>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</si>
  <si>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</si>
  <si>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</si>
  <si>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</si>
  <si>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</si>
  <si>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</si>
  <si>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</si>
  <si>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</si>
  <si>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</si>
  <si>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</si>
  <si>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</si>
  <si>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</si>
  <si>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</si>
  <si>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</si>
  <si>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</si>
  <si>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</si>
  <si>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</si>
  <si>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</si>
  <si>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</si>
  <si>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</si>
  <si>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</si>
  <si>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</si>
  <si>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</si>
  <si>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</si>
  <si>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</si>
  <si>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</si>
  <si>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</si>
  <si>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</si>
  <si>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>Delta Palacio</t>
  </si>
  <si>
    <t>P52000047780</t>
  </si>
  <si>
    <t>Shreenathji Enterprises</t>
  </si>
  <si>
    <t>Plot No</t>
  </si>
  <si>
    <t>09, Sector - 26</t>
  </si>
  <si>
    <t>Panvel</t>
  </si>
  <si>
    <t>Raigad</t>
  </si>
  <si>
    <t>Open Plot</t>
  </si>
  <si>
    <t>Internal Road</t>
  </si>
  <si>
    <t>Approved Plans, CC, Builder Saleable Area</t>
  </si>
  <si>
    <t>2 Wing</t>
  </si>
  <si>
    <t>Mr.Ashish (8080995670)</t>
  </si>
  <si>
    <t>https://goo.gl/maps/iutC1mbuXfz9ttPB8</t>
  </si>
  <si>
    <t>1.6KM from Bamandongri Railway Station</t>
  </si>
  <si>
    <t>Bamandongri</t>
  </si>
  <si>
    <t>Pushpak</t>
  </si>
  <si>
    <t>City And Industrial Development Corporation Of Maharashtra Limited(CIDCO)</t>
  </si>
  <si>
    <t>As per RERA - 31/07/2027</t>
  </si>
  <si>
    <t>A Wing</t>
  </si>
  <si>
    <t>B Wing</t>
  </si>
  <si>
    <t>Ground Floor For Commercial &amp; Parking</t>
  </si>
  <si>
    <t>Shop</t>
  </si>
  <si>
    <t>3BHK</t>
  </si>
  <si>
    <t>1st &amp; 2nd Basement Floor For Parking</t>
  </si>
  <si>
    <t>Fitness Center, Fire control room</t>
  </si>
  <si>
    <t>1st Floor For Residential</t>
  </si>
  <si>
    <t>2BHK</t>
  </si>
  <si>
    <t>2nd to 6th Floor</t>
  </si>
  <si>
    <t>A &amp; B Wing</t>
  </si>
  <si>
    <t>B Wing = 2B + G + 1st to 13th Floor</t>
  </si>
  <si>
    <t>Ulwe</t>
  </si>
  <si>
    <t>Prime Villa</t>
  </si>
  <si>
    <t>Construction work is in process at the time of Visit.</t>
  </si>
  <si>
    <t>Office No. 1031, Wing J, Akshar Business Park, Plot No. 03 Sector 25, Near APMC Market, Vashi, 
Navi Mumbai, Maharashtra 400703 TEL: 022-46090378/79/80
E mail : vsjcapf@gmail.com. Web site : www.vsjadon.com</t>
  </si>
  <si>
    <t>A Wing = 2B + G + 1st to 13th Floor</t>
  </si>
  <si>
    <t>CIDCO/BP-18036/TPO(NM &amp; K)/2022/12130</t>
  </si>
  <si>
    <t>2B + Gr/St + 1st to 13th Floor
Total Built Up Area = 21216.5 Sq.M.
Residential Units = 225 Nos &amp; Commercial Units = 16 Nos.</t>
  </si>
  <si>
    <t>2nd &amp; 1st Basement Floor For Parking</t>
  </si>
  <si>
    <t>Ground Floor for Society Office, Fitness Center, Drivers Room, Meter Room &amp; Parking</t>
  </si>
  <si>
    <t>Ground Floor For Meter Room, Commercial &amp; Parking</t>
  </si>
  <si>
    <t>1st Floor For Swimming pool &amp; Residential</t>
  </si>
  <si>
    <t>2nd to 6th, 8th to 10th &amp; 12th Floor</t>
  </si>
  <si>
    <t>7th &amp; 11th Floor (Part Refuge Area)</t>
  </si>
  <si>
    <t>Refuge Area</t>
  </si>
  <si>
    <t>13th Floor</t>
  </si>
  <si>
    <t>A &amp; B Wing = 2B + Gr/St + 1st to 13th Floor</t>
  </si>
  <si>
    <t>We considered Gross carpet area = Net carpet + Balcony + Chajja Area.</t>
  </si>
  <si>
    <t>We have received latest approved floor plans &amp; CC (On 12/02/2025).</t>
  </si>
  <si>
    <t>Flats - 225, Shops -16</t>
  </si>
  <si>
    <t>Latitude,Longitude</t>
  </si>
  <si>
    <t>18.9657451,73.0321918</t>
  </si>
  <si>
    <t>Builder Saleable area
100%</t>
  </si>
  <si>
    <t xml:space="preserve"> Builder Saleable area
60%</t>
  </si>
  <si>
    <t>Mr. Dhiraj 9653191894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</si>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</sst>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/>
    <xf numFmtId="168" fontId="6" fillId="0" borderId="0" xfId="1" applyNumberFormat="1" applyFont="1" applyAlignment="1" applyProtection="1">
      <alignment horizontal="center" vertical="center" wrapText="1"/>
      <protection locked="0"/>
    </xf>
    <xf numFmtId="165" fontId="7" fillId="0" borderId="0" xfId="1" applyNumberFormat="1" applyFont="1" applyAlignment="1">
      <alignment horizontal="center" vertical="center"/>
    </xf>
    <xf numFmtId="0" fontId="24" fillId="2" borderId="12" xfId="0" applyFont="1" applyFill="1" applyBorder="1"/>
    <xf numFmtId="0" fontId="25" fillId="0" borderId="6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8" fillId="3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left"/>
      <protection locked="0"/>
    </xf>
    <xf numFmtId="0" fontId="7" fillId="0" borderId="18" xfId="1" applyFont="1" applyBorder="1" applyAlignment="1" applyProtection="1">
      <alignment horizontal="left"/>
      <protection locked="0"/>
    </xf>
    <xf numFmtId="0" fontId="7" fillId="0" borderId="6" xfId="1" applyFont="1" applyBorder="1" applyAlignment="1" applyProtection="1">
      <alignment horizontal="left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347</xdr:row>
      <xdr:rowOff>0</xdr:rowOff>
    </xdr:from>
    <xdr:to>
      <xdr:col>7</xdr:col>
      <xdr:colOff>113490</xdr:colOff>
      <xdr:row>380</xdr:row>
      <xdr:rowOff>52936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C614E37-0750-4952-9F93-0381CC41AE32}"/>
            </a:ext>
          </a:extLst>
        </xdr:cNvPr>
        <xdr:cNvGrpSpPr/>
      </xdr:nvGrpSpPr>
      <xdr:grpSpPr>
        <a:xfrm>
          <a:off x="581025" y="64928750"/>
          <a:ext cx="5526865" cy="6548986"/>
          <a:chOff x="581025" y="65473385"/>
          <a:chExt cx="5254792" cy="6581224"/>
        </a:xfrm>
      </xdr:grpSpPr>
      <xdr:pic>
        <xdr:nvPicPr>
          <xdr:cNvPr id="110" name="Picture 10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81025" y="65473385"/>
            <a:ext cx="5254792" cy="320483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111" name="Picture 110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81025" y="68849777"/>
            <a:ext cx="5254792" cy="3204832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</xdr:col>
      <xdr:colOff>314325</xdr:colOff>
      <xdr:row>306</xdr:row>
      <xdr:rowOff>133350</xdr:rowOff>
    </xdr:from>
    <xdr:to>
      <xdr:col>6</xdr:col>
      <xdr:colOff>302895</xdr:colOff>
      <xdr:row>328</xdr:row>
      <xdr:rowOff>52800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3475" y="55673625"/>
          <a:ext cx="4474845" cy="43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oneCellAnchor>
    <xdr:from>
      <xdr:col>9</xdr:col>
      <xdr:colOff>758521</xdr:colOff>
      <xdr:row>261</xdr:row>
      <xdr:rowOff>133350</xdr:rowOff>
    </xdr:from>
    <xdr:ext cx="596574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369121" y="498729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B Wing</a:t>
          </a:r>
        </a:p>
      </xdr:txBody>
    </xdr:sp>
    <xdr:clientData/>
  </xdr:oneCellAnchor>
  <xdr:twoCellAnchor editAs="oneCell">
    <xdr:from>
      <xdr:col>8</xdr:col>
      <xdr:colOff>762000</xdr:colOff>
      <xdr:row>41</xdr:row>
      <xdr:rowOff>133350</xdr:rowOff>
    </xdr:from>
    <xdr:to>
      <xdr:col>11</xdr:col>
      <xdr:colOff>166100</xdr:colOff>
      <xdr:row>47</xdr:row>
      <xdr:rowOff>173668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53400" y="9055100"/>
          <a:ext cx="2160000" cy="1450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285750</xdr:colOff>
      <xdr:row>47</xdr:row>
      <xdr:rowOff>234950</xdr:rowOff>
    </xdr:from>
    <xdr:to>
      <xdr:col>11</xdr:col>
      <xdr:colOff>409850</xdr:colOff>
      <xdr:row>50</xdr:row>
      <xdr:rowOff>496472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77150" y="10566400"/>
          <a:ext cx="2880000" cy="15061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319455</xdr:colOff>
      <xdr:row>115</xdr:row>
      <xdr:rowOff>134815</xdr:rowOff>
    </xdr:from>
    <xdr:to>
      <xdr:col>15</xdr:col>
      <xdr:colOff>249117</xdr:colOff>
      <xdr:row>129</xdr:row>
      <xdr:rowOff>60118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02263" y="23786123"/>
          <a:ext cx="3622431" cy="33176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406889</xdr:colOff>
      <xdr:row>131</xdr:row>
      <xdr:rowOff>116254</xdr:rowOff>
    </xdr:from>
    <xdr:to>
      <xdr:col>15</xdr:col>
      <xdr:colOff>121178</xdr:colOff>
      <xdr:row>140</xdr:row>
      <xdr:rowOff>82442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9697" y="27555581"/>
          <a:ext cx="3407058" cy="23620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575651</xdr:colOff>
      <xdr:row>194</xdr:row>
      <xdr:rowOff>195873</xdr:rowOff>
    </xdr:from>
    <xdr:to>
      <xdr:col>12</xdr:col>
      <xdr:colOff>671672</xdr:colOff>
      <xdr:row>211</xdr:row>
      <xdr:rowOff>28969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31478" y="36720585"/>
          <a:ext cx="3429771" cy="31888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572476</xdr:colOff>
      <xdr:row>211</xdr:row>
      <xdr:rowOff>106974</xdr:rowOff>
    </xdr:from>
    <xdr:to>
      <xdr:col>12</xdr:col>
      <xdr:colOff>658972</xdr:colOff>
      <xdr:row>226</xdr:row>
      <xdr:rowOff>23131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8303" y="39987416"/>
          <a:ext cx="3420246" cy="28835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572476</xdr:colOff>
      <xdr:row>226</xdr:row>
      <xdr:rowOff>94274</xdr:rowOff>
    </xdr:from>
    <xdr:to>
      <xdr:col>12</xdr:col>
      <xdr:colOff>658972</xdr:colOff>
      <xdr:row>243</xdr:row>
      <xdr:rowOff>23317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8303" y="42942120"/>
          <a:ext cx="3420246" cy="32921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68628</xdr:colOff>
      <xdr:row>263</xdr:row>
      <xdr:rowOff>59836</xdr:rowOff>
    </xdr:from>
    <xdr:to>
      <xdr:col>15</xdr:col>
      <xdr:colOff>481243</xdr:colOff>
      <xdr:row>300</xdr:row>
      <xdr:rowOff>174521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460028" y="50428036"/>
          <a:ext cx="6292715" cy="7391785"/>
          <a:chOff x="501650" y="49999900"/>
          <a:chExt cx="6311765" cy="7391784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17882" y="55771684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1438" y="4999990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0848" y="55771684"/>
            <a:ext cx="2157998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90524" y="5297579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1077" y="499999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71497" y="55771684"/>
            <a:ext cx="1213734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6087" y="5297579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1650" y="5297579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2613438" y="500253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/>
              <a:t>A Wing</a:t>
            </a:r>
          </a:p>
        </xdr:txBody>
      </xdr:sp>
    </xdr:grpSp>
    <xdr:clientData/>
  </xdr:twoCellAnchor>
  <xdr:twoCellAnchor>
    <xdr:from>
      <xdr:col>0</xdr:col>
      <xdr:colOff>342900</xdr:colOff>
      <xdr:row>262</xdr:row>
      <xdr:rowOff>95250</xdr:rowOff>
    </xdr:from>
    <xdr:to>
      <xdr:col>7</xdr:col>
      <xdr:colOff>1016666</xdr:colOff>
      <xdr:row>296</xdr:row>
      <xdr:rowOff>133744</xdr:rowOff>
    </xdr:to>
    <xdr:grpSp>
      <xdr:nvGrpSpPr>
        <xdr:cNvPr id="5" name="Group 4"/>
        <xdr:cNvGrpSpPr/>
      </xdr:nvGrpSpPr>
      <xdr:grpSpPr>
        <a:xfrm>
          <a:off x="342900" y="50266600"/>
          <a:ext cx="6668166" cy="6725044"/>
          <a:chOff x="342900" y="50266600"/>
          <a:chExt cx="6668166" cy="6725044"/>
        </a:xfrm>
      </xdr:grpSpPr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50901" y="5026660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4757" y="5483164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4758" y="52549122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8829" y="5483164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0357" y="5026660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20687" y="52549122"/>
            <a:ext cx="149037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54831644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8829" y="52549122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20685" y="54831644"/>
            <a:ext cx="1490381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52549122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8160" y="50266600"/>
            <a:ext cx="286671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utC1mbuXfz9ttPB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453125" style="38" customWidth="1"/>
    <col min="5" max="7" width="11.7265625" style="38" customWidth="1"/>
    <col min="8" max="8" width="20" style="38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8" ht="46.5" customHeight="1" x14ac:dyDescent="0.35">
      <c r="A1" s="155" t="s">
        <v>207</v>
      </c>
      <c r="B1" s="155"/>
      <c r="C1" s="155"/>
      <c r="D1" s="155"/>
      <c r="E1" s="155"/>
      <c r="F1" s="155"/>
      <c r="G1" s="155"/>
      <c r="H1" s="155"/>
    </row>
    <row r="2" spans="1:8" ht="16.5" customHeight="1" x14ac:dyDescent="0.3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5">
      <c r="A3" s="104" t="s">
        <v>1</v>
      </c>
      <c r="B3" s="104"/>
      <c r="C3" s="104"/>
      <c r="D3" s="104"/>
      <c r="E3" s="104" t="str">
        <f ca="1">TEXT(TODAY(),"DD/MM/YYYY")</f>
        <v>14/08/2025</v>
      </c>
      <c r="F3" s="104"/>
      <c r="G3" s="104"/>
      <c r="H3" s="104"/>
    </row>
    <row r="4" spans="1:8" ht="15" customHeight="1" x14ac:dyDescent="0.35">
      <c r="A4" s="104" t="s">
        <v>2</v>
      </c>
      <c r="B4" s="104"/>
      <c r="C4" s="104"/>
      <c r="D4" s="104"/>
      <c r="E4" s="104" t="s">
        <v>173</v>
      </c>
      <c r="F4" s="104"/>
      <c r="G4" s="104"/>
      <c r="H4" s="104"/>
    </row>
    <row r="5" spans="1:8" x14ac:dyDescent="0.35">
      <c r="A5" s="104" t="s">
        <v>3</v>
      </c>
      <c r="B5" s="104"/>
      <c r="C5" s="104"/>
      <c r="D5" s="104"/>
      <c r="E5" s="156">
        <v>45881</v>
      </c>
      <c r="F5" s="104"/>
      <c r="G5" s="104"/>
      <c r="H5" s="104"/>
    </row>
    <row r="6" spans="1:8" ht="16.5" customHeight="1" x14ac:dyDescent="0.35">
      <c r="A6" s="104" t="s">
        <v>4</v>
      </c>
      <c r="B6" s="104"/>
      <c r="C6" s="104"/>
      <c r="D6" s="104"/>
      <c r="E6" s="104" t="s">
        <v>176</v>
      </c>
      <c r="F6" s="104"/>
      <c r="G6" s="104"/>
      <c r="H6" s="104"/>
    </row>
    <row r="7" spans="1:8" ht="15" customHeight="1" x14ac:dyDescent="0.35">
      <c r="A7" s="104" t="s">
        <v>5</v>
      </c>
      <c r="B7" s="104"/>
      <c r="C7" s="104"/>
      <c r="D7" s="104"/>
      <c r="E7" s="104" t="str">
        <f>E6</f>
        <v>Shreenathji Enterprises</v>
      </c>
      <c r="F7" s="104"/>
      <c r="G7" s="104"/>
      <c r="H7" s="104"/>
    </row>
    <row r="8" spans="1:8" x14ac:dyDescent="0.35">
      <c r="A8" s="104" t="s">
        <v>6</v>
      </c>
      <c r="B8" s="104"/>
      <c r="C8" s="104"/>
      <c r="D8" s="104"/>
      <c r="E8" s="144" t="s">
        <v>174</v>
      </c>
      <c r="F8" s="144"/>
      <c r="G8" s="144"/>
      <c r="H8" s="144"/>
    </row>
    <row r="9" spans="1:8" x14ac:dyDescent="0.35">
      <c r="A9" s="104" t="s">
        <v>170</v>
      </c>
      <c r="B9" s="104"/>
      <c r="C9" s="104"/>
      <c r="D9" s="104"/>
      <c r="E9" s="104" t="s">
        <v>185</v>
      </c>
      <c r="F9" s="104"/>
      <c r="G9" s="104"/>
      <c r="H9" s="104"/>
    </row>
    <row r="10" spans="1:8" hidden="1" x14ac:dyDescent="0.35">
      <c r="A10" s="104" t="s">
        <v>171</v>
      </c>
      <c r="B10" s="104"/>
      <c r="C10" s="104"/>
      <c r="D10" s="104"/>
      <c r="E10" s="104" t="s">
        <v>227</v>
      </c>
      <c r="F10" s="104"/>
      <c r="G10" s="104"/>
      <c r="H10" s="104"/>
    </row>
    <row r="11" spans="1:8" x14ac:dyDescent="0.35">
      <c r="A11" s="104" t="s">
        <v>7</v>
      </c>
      <c r="B11" s="104"/>
      <c r="C11" s="104"/>
      <c r="D11" s="104"/>
      <c r="E11" s="104" t="s">
        <v>202</v>
      </c>
      <c r="F11" s="104"/>
      <c r="G11" s="104"/>
      <c r="H11" s="104"/>
    </row>
    <row r="12" spans="1:8" x14ac:dyDescent="0.35">
      <c r="A12" s="104" t="s">
        <v>8</v>
      </c>
      <c r="B12" s="104"/>
      <c r="C12" s="104"/>
      <c r="D12" s="104"/>
      <c r="E12" s="118" t="s">
        <v>183</v>
      </c>
      <c r="F12" s="118"/>
      <c r="G12" s="118"/>
      <c r="H12" s="118"/>
    </row>
    <row r="13" spans="1:8" x14ac:dyDescent="0.35">
      <c r="A13" s="104" t="s">
        <v>9</v>
      </c>
      <c r="B13" s="104"/>
      <c r="C13" s="104"/>
      <c r="D13" s="104"/>
      <c r="E13" s="118" t="s">
        <v>175</v>
      </c>
      <c r="F13" s="104"/>
      <c r="G13" s="104"/>
      <c r="H13" s="104"/>
    </row>
    <row r="14" spans="1:8" ht="33" customHeight="1" x14ac:dyDescent="0.35">
      <c r="A14" s="118" t="s">
        <v>10</v>
      </c>
      <c r="B14" s="118"/>
      <c r="C14" s="11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Delta Palacio, Plot No.09, Sector - 26, near Prime Villa, Internal Road, Ulwe, Pushpak, Bamandongri, Panvel, Raigad - 410206.</v>
      </c>
      <c r="D14" s="118"/>
      <c r="E14" s="118"/>
      <c r="F14" s="118"/>
      <c r="G14" s="118"/>
      <c r="H14" s="118"/>
    </row>
    <row r="15" spans="1:8" x14ac:dyDescent="0.35">
      <c r="A15" s="118" t="s">
        <v>177</v>
      </c>
      <c r="B15" s="118"/>
      <c r="C15" s="118" t="s">
        <v>178</v>
      </c>
      <c r="D15" s="118"/>
      <c r="E15" s="118"/>
      <c r="F15" s="118"/>
      <c r="G15" s="118"/>
      <c r="H15" s="118"/>
    </row>
    <row r="16" spans="1:8" ht="15.75" customHeight="1" x14ac:dyDescent="0.35">
      <c r="A16" s="118" t="s">
        <v>169</v>
      </c>
      <c r="B16" s="118"/>
      <c r="C16" s="118" t="s">
        <v>204</v>
      </c>
      <c r="D16" s="118"/>
      <c r="E16" s="118"/>
      <c r="F16" s="118"/>
      <c r="G16" s="118"/>
      <c r="H16" s="118"/>
    </row>
    <row r="17" spans="1:8" ht="15.75" customHeight="1" x14ac:dyDescent="0.35">
      <c r="A17" s="118" t="s">
        <v>11</v>
      </c>
      <c r="B17" s="118"/>
      <c r="C17" s="104" t="s">
        <v>182</v>
      </c>
      <c r="D17" s="104"/>
      <c r="E17" s="118" t="s">
        <v>75</v>
      </c>
      <c r="F17" s="118"/>
      <c r="G17" s="118" t="s">
        <v>189</v>
      </c>
      <c r="H17" s="118"/>
    </row>
    <row r="18" spans="1:8" x14ac:dyDescent="0.35">
      <c r="A18" s="104" t="s">
        <v>13</v>
      </c>
      <c r="B18" s="104"/>
      <c r="C18" s="118" t="s">
        <v>188</v>
      </c>
      <c r="D18" s="118"/>
      <c r="E18" s="118" t="s">
        <v>12</v>
      </c>
      <c r="F18" s="118"/>
      <c r="G18" s="158" t="s">
        <v>180</v>
      </c>
      <c r="H18" s="158"/>
    </row>
    <row r="19" spans="1:8" x14ac:dyDescent="0.35">
      <c r="A19" s="104" t="s">
        <v>76</v>
      </c>
      <c r="B19" s="104"/>
      <c r="C19" s="118" t="s">
        <v>179</v>
      </c>
      <c r="D19" s="118"/>
      <c r="E19" s="118" t="s">
        <v>14</v>
      </c>
      <c r="F19" s="118"/>
      <c r="G19" s="118">
        <v>410206</v>
      </c>
      <c r="H19" s="118"/>
    </row>
    <row r="20" spans="1:8" ht="32.25" customHeight="1" x14ac:dyDescent="0.35">
      <c r="A20" s="104" t="s">
        <v>127</v>
      </c>
      <c r="B20" s="104"/>
      <c r="C20" s="118" t="s">
        <v>205</v>
      </c>
      <c r="D20" s="118"/>
      <c r="E20" s="118" t="s">
        <v>15</v>
      </c>
      <c r="F20" s="118"/>
      <c r="G20" s="118" t="s">
        <v>187</v>
      </c>
      <c r="H20" s="118"/>
    </row>
    <row r="21" spans="1:8" ht="15" customHeight="1" x14ac:dyDescent="0.35">
      <c r="A21" s="118" t="s">
        <v>79</v>
      </c>
      <c r="B21" s="118"/>
      <c r="C21" s="118"/>
      <c r="D21" s="118"/>
      <c r="E21" s="104" t="s">
        <v>16</v>
      </c>
      <c r="F21" s="104"/>
      <c r="G21" s="104"/>
      <c r="H21" s="104"/>
    </row>
    <row r="22" spans="1:8" ht="18.75" customHeight="1" x14ac:dyDescent="0.35">
      <c r="A22" s="118"/>
      <c r="B22" s="118"/>
      <c r="C22" s="118"/>
      <c r="D22" s="118"/>
      <c r="E22" s="104"/>
      <c r="F22" s="104"/>
      <c r="G22" s="104"/>
      <c r="H22" s="104"/>
    </row>
    <row r="23" spans="1:8" ht="15" customHeight="1" x14ac:dyDescent="0.35">
      <c r="A23" s="117" t="s">
        <v>17</v>
      </c>
      <c r="B23" s="117"/>
      <c r="C23" s="117"/>
      <c r="D23" s="117"/>
      <c r="E23" s="118" t="s">
        <v>18</v>
      </c>
      <c r="F23" s="118"/>
      <c r="G23" s="118"/>
      <c r="H23" s="118"/>
    </row>
    <row r="24" spans="1:8" ht="15" customHeight="1" x14ac:dyDescent="0.35">
      <c r="A24" s="96" t="s">
        <v>19</v>
      </c>
      <c r="B24" s="96"/>
      <c r="C24" s="96"/>
      <c r="D24" s="96"/>
      <c r="E24" s="118" t="str">
        <f>IF(AND(G18="Mumbai"),"Upper Class","Middle Class")</f>
        <v>Middle Class</v>
      </c>
      <c r="F24" s="118"/>
      <c r="G24" s="118"/>
      <c r="H24" s="118"/>
    </row>
    <row r="25" spans="1:8" x14ac:dyDescent="0.35">
      <c r="A25" s="96" t="s">
        <v>20</v>
      </c>
      <c r="B25" s="96"/>
      <c r="C25" s="96"/>
      <c r="D25" s="96"/>
      <c r="E25" s="118" t="s">
        <v>21</v>
      </c>
      <c r="F25" s="118"/>
      <c r="G25" s="118"/>
      <c r="H25" s="118"/>
    </row>
    <row r="26" spans="1:8" ht="15.75" customHeight="1" x14ac:dyDescent="0.35">
      <c r="A26" s="96" t="s">
        <v>22</v>
      </c>
      <c r="B26" s="96"/>
      <c r="C26" s="96"/>
      <c r="D26" s="96"/>
      <c r="E26" s="118" t="str">
        <f>IF(AND(G18="Mumbai"),"Developed","Developing")</f>
        <v>Developing</v>
      </c>
      <c r="F26" s="118"/>
      <c r="G26" s="118"/>
      <c r="H26" s="118"/>
    </row>
    <row r="27" spans="1:8" x14ac:dyDescent="0.35">
      <c r="A27" s="96" t="s">
        <v>23</v>
      </c>
      <c r="B27" s="96"/>
      <c r="C27" s="96"/>
      <c r="D27" s="96"/>
      <c r="E27" s="118" t="s">
        <v>24</v>
      </c>
      <c r="F27" s="118"/>
      <c r="G27" s="118"/>
      <c r="H27" s="118"/>
    </row>
    <row r="28" spans="1:8" ht="15.75" customHeight="1" x14ac:dyDescent="0.35">
      <c r="A28" s="96" t="s">
        <v>84</v>
      </c>
      <c r="B28" s="96"/>
      <c r="C28" s="96"/>
      <c r="D28" s="96"/>
      <c r="E28" s="118" t="s">
        <v>85</v>
      </c>
      <c r="F28" s="118"/>
      <c r="G28" s="118"/>
      <c r="H28" s="118"/>
    </row>
    <row r="29" spans="1:8" ht="15" customHeight="1" x14ac:dyDescent="0.35">
      <c r="A29" s="96" t="s">
        <v>33</v>
      </c>
      <c r="B29" s="96"/>
      <c r="C29" s="96"/>
      <c r="D29" s="96"/>
      <c r="E29" s="11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18"/>
      <c r="G29" s="118"/>
      <c r="H29" s="118"/>
    </row>
    <row r="30" spans="1:8" ht="15.75" customHeight="1" x14ac:dyDescent="0.35">
      <c r="A30" s="96" t="s">
        <v>96</v>
      </c>
      <c r="B30" s="96"/>
      <c r="C30" s="96"/>
      <c r="D30" s="96"/>
      <c r="E30" s="118" t="s">
        <v>34</v>
      </c>
      <c r="F30" s="118"/>
      <c r="G30" s="118"/>
      <c r="H30" s="118"/>
    </row>
    <row r="31" spans="1:8" s="20" customFormat="1" x14ac:dyDescent="0.35">
      <c r="A31" s="162" t="s">
        <v>97</v>
      </c>
      <c r="B31" s="162"/>
      <c r="C31" s="161" t="s">
        <v>29</v>
      </c>
      <c r="D31" s="161"/>
      <c r="E31" s="161"/>
      <c r="F31" s="161" t="s">
        <v>31</v>
      </c>
      <c r="G31" s="161"/>
      <c r="H31" s="161"/>
    </row>
    <row r="32" spans="1:8" s="20" customFormat="1" x14ac:dyDescent="0.35">
      <c r="A32" s="159" t="s">
        <v>25</v>
      </c>
      <c r="B32" s="159" t="s">
        <v>30</v>
      </c>
      <c r="C32" s="160" t="s">
        <v>30</v>
      </c>
      <c r="D32" s="160"/>
      <c r="E32" s="160"/>
      <c r="F32" s="160" t="s">
        <v>181</v>
      </c>
      <c r="G32" s="160"/>
      <c r="H32" s="160"/>
    </row>
    <row r="33" spans="1:9" x14ac:dyDescent="0.35">
      <c r="A33" s="159" t="s">
        <v>26</v>
      </c>
      <c r="B33" s="159" t="s">
        <v>30</v>
      </c>
      <c r="C33" s="160" t="s">
        <v>30</v>
      </c>
      <c r="D33" s="160"/>
      <c r="E33" s="160"/>
      <c r="F33" s="160" t="s">
        <v>181</v>
      </c>
      <c r="G33" s="160"/>
      <c r="H33" s="160"/>
    </row>
    <row r="34" spans="1:9" s="20" customFormat="1" x14ac:dyDescent="0.35">
      <c r="A34" s="159" t="s">
        <v>28</v>
      </c>
      <c r="B34" s="159" t="s">
        <v>30</v>
      </c>
      <c r="C34" s="160" t="s">
        <v>30</v>
      </c>
      <c r="D34" s="160"/>
      <c r="E34" s="160"/>
      <c r="F34" s="160" t="s">
        <v>181</v>
      </c>
      <c r="G34" s="160"/>
      <c r="H34" s="160"/>
    </row>
    <row r="35" spans="1:9" x14ac:dyDescent="0.35">
      <c r="A35" s="159" t="s">
        <v>27</v>
      </c>
      <c r="B35" s="159" t="s">
        <v>30</v>
      </c>
      <c r="C35" s="160" t="s">
        <v>30</v>
      </c>
      <c r="D35" s="160"/>
      <c r="E35" s="160"/>
      <c r="F35" s="160" t="s">
        <v>11</v>
      </c>
      <c r="G35" s="160"/>
      <c r="H35" s="160"/>
    </row>
    <row r="36" spans="1:9" x14ac:dyDescent="0.35">
      <c r="A36" s="96" t="s">
        <v>32</v>
      </c>
      <c r="B36" s="96"/>
      <c r="C36" s="96"/>
      <c r="D36" s="96"/>
      <c r="E36" s="96"/>
      <c r="F36" s="96"/>
      <c r="G36" s="96"/>
      <c r="H36" s="96"/>
    </row>
    <row r="37" spans="1:9" ht="15.75" customHeight="1" x14ac:dyDescent="0.35">
      <c r="A37" s="128" t="s">
        <v>223</v>
      </c>
      <c r="B37" s="128"/>
      <c r="C37" s="179" t="s">
        <v>224</v>
      </c>
      <c r="D37" s="180"/>
      <c r="E37" s="180"/>
      <c r="F37" s="180"/>
      <c r="G37" s="180"/>
      <c r="H37" s="181"/>
    </row>
    <row r="38" spans="1:9" x14ac:dyDescent="0.35">
      <c r="A38" s="128" t="s">
        <v>168</v>
      </c>
      <c r="B38" s="128"/>
      <c r="C38" s="182" t="s">
        <v>186</v>
      </c>
      <c r="D38" s="118"/>
      <c r="E38" s="118"/>
      <c r="F38" s="118"/>
      <c r="G38" s="118"/>
      <c r="H38" s="118"/>
    </row>
    <row r="39" spans="1:9" x14ac:dyDescent="0.35">
      <c r="A39" s="138" t="s">
        <v>35</v>
      </c>
      <c r="B39" s="138"/>
      <c r="C39" s="138"/>
      <c r="D39" s="138"/>
      <c r="E39" s="138"/>
      <c r="F39" s="138"/>
      <c r="G39" s="138"/>
      <c r="H39" s="138"/>
    </row>
    <row r="40" spans="1:9" x14ac:dyDescent="0.35">
      <c r="A40" s="96" t="s">
        <v>36</v>
      </c>
      <c r="B40" s="96"/>
      <c r="C40" s="96"/>
      <c r="D40" s="96"/>
      <c r="E40" s="163">
        <v>5279.88</v>
      </c>
      <c r="F40" s="163"/>
      <c r="G40" s="163"/>
      <c r="H40" s="163"/>
    </row>
    <row r="41" spans="1:9" x14ac:dyDescent="0.35">
      <c r="A41" s="96" t="s">
        <v>37</v>
      </c>
      <c r="B41" s="96"/>
      <c r="C41" s="96"/>
      <c r="D41" s="96"/>
      <c r="E41" s="95">
        <v>2</v>
      </c>
      <c r="F41" s="95"/>
      <c r="G41" s="95"/>
      <c r="H41" s="95"/>
      <c r="I41" s="63">
        <f>10559.76/E40</f>
        <v>2</v>
      </c>
    </row>
    <row r="42" spans="1:9" x14ac:dyDescent="0.35">
      <c r="A42" s="96" t="s">
        <v>38</v>
      </c>
      <c r="B42" s="96"/>
      <c r="C42" s="96"/>
      <c r="D42" s="96"/>
      <c r="E42" s="95">
        <f>E44/E40-E41</f>
        <v>2.0183564777987373</v>
      </c>
      <c r="F42" s="95"/>
      <c r="G42" s="95"/>
      <c r="H42" s="95"/>
    </row>
    <row r="43" spans="1:9" x14ac:dyDescent="0.35">
      <c r="A43" s="96" t="s">
        <v>39</v>
      </c>
      <c r="B43" s="96"/>
      <c r="C43" s="96"/>
      <c r="D43" s="96"/>
      <c r="E43" s="95">
        <f>E41+E42</f>
        <v>4.0183564777987373</v>
      </c>
      <c r="F43" s="95"/>
      <c r="G43" s="95"/>
      <c r="H43" s="95"/>
    </row>
    <row r="44" spans="1:9" x14ac:dyDescent="0.35">
      <c r="A44" s="96" t="s">
        <v>95</v>
      </c>
      <c r="B44" s="96"/>
      <c r="C44" s="96"/>
      <c r="D44" s="96"/>
      <c r="E44" s="164">
        <v>21216.44</v>
      </c>
      <c r="F44" s="164"/>
      <c r="G44" s="164"/>
      <c r="H44" s="164"/>
    </row>
    <row r="45" spans="1:9" x14ac:dyDescent="0.35">
      <c r="A45" s="104" t="s">
        <v>40</v>
      </c>
      <c r="B45" s="104"/>
      <c r="C45" s="104"/>
      <c r="D45" s="104"/>
      <c r="E45" s="104" t="s">
        <v>184</v>
      </c>
      <c r="F45" s="104"/>
      <c r="G45" s="104"/>
      <c r="H45" s="104"/>
    </row>
    <row r="46" spans="1:9" x14ac:dyDescent="0.35">
      <c r="A46" s="138" t="s">
        <v>41</v>
      </c>
      <c r="B46" s="138"/>
      <c r="C46" s="138"/>
      <c r="D46" s="138"/>
      <c r="E46" s="138"/>
      <c r="F46" s="138"/>
      <c r="G46" s="138"/>
      <c r="H46" s="138"/>
    </row>
    <row r="47" spans="1:9" ht="33.75" customHeight="1" x14ac:dyDescent="0.35">
      <c r="A47" s="117" t="s">
        <v>155</v>
      </c>
      <c r="B47" s="117"/>
      <c r="C47" s="97" t="s">
        <v>190</v>
      </c>
      <c r="D47" s="144"/>
      <c r="E47" s="144"/>
      <c r="F47" s="144"/>
      <c r="G47" s="144"/>
      <c r="H47" s="144"/>
    </row>
    <row r="48" spans="1:9" ht="31.5" customHeight="1" x14ac:dyDescent="0.35">
      <c r="A48" s="99" t="s">
        <v>42</v>
      </c>
      <c r="B48" s="100"/>
      <c r="C48" s="99" t="s">
        <v>209</v>
      </c>
      <c r="D48" s="101"/>
      <c r="E48" s="100"/>
      <c r="F48" s="17" t="s">
        <v>43</v>
      </c>
      <c r="G48" s="102">
        <v>45415</v>
      </c>
      <c r="H48" s="100"/>
    </row>
    <row r="49" spans="1:14" ht="32.25" customHeight="1" x14ac:dyDescent="0.35">
      <c r="A49" s="99" t="s">
        <v>44</v>
      </c>
      <c r="B49" s="100"/>
      <c r="C49" s="99" t="str">
        <f>C48</f>
        <v>CIDCO/BP-18036/TPO(NM &amp; K)/2022/12130</v>
      </c>
      <c r="D49" s="101"/>
      <c r="E49" s="100"/>
      <c r="F49" s="17" t="s">
        <v>43</v>
      </c>
      <c r="G49" s="102">
        <f>G48</f>
        <v>45415</v>
      </c>
      <c r="H49" s="103"/>
    </row>
    <row r="50" spans="1:14" s="21" customFormat="1" ht="34.5" customHeight="1" x14ac:dyDescent="0.35">
      <c r="A50" s="172" t="s">
        <v>159</v>
      </c>
      <c r="B50" s="173"/>
      <c r="C50" s="99" t="str">
        <f>C49</f>
        <v>CIDCO/BP-18036/TPO(NM &amp; K)/2022/12130</v>
      </c>
      <c r="D50" s="101"/>
      <c r="E50" s="100"/>
      <c r="F50" s="17" t="s">
        <v>43</v>
      </c>
      <c r="G50" s="102">
        <f>G49</f>
        <v>45415</v>
      </c>
      <c r="H50" s="103"/>
    </row>
    <row r="51" spans="1:14" s="21" customFormat="1" ht="49.5" customHeight="1" x14ac:dyDescent="0.35">
      <c r="A51" s="174"/>
      <c r="B51" s="175"/>
      <c r="C51" s="99" t="s">
        <v>210</v>
      </c>
      <c r="D51" s="101"/>
      <c r="E51" s="101"/>
      <c r="F51" s="101"/>
      <c r="G51" s="101"/>
      <c r="H51" s="100"/>
    </row>
    <row r="52" spans="1:14" x14ac:dyDescent="0.35">
      <c r="A52" s="114" t="s">
        <v>45</v>
      </c>
      <c r="B52" s="115"/>
      <c r="C52" s="114" t="s">
        <v>109</v>
      </c>
      <c r="D52" s="116"/>
      <c r="E52" s="115"/>
      <c r="F52" s="41" t="s">
        <v>43</v>
      </c>
      <c r="G52" s="165" t="s">
        <v>30</v>
      </c>
      <c r="H52" s="166"/>
    </row>
    <row r="53" spans="1:14" x14ac:dyDescent="0.35">
      <c r="A53" s="129" t="s">
        <v>47</v>
      </c>
      <c r="B53" s="129"/>
      <c r="C53" s="129"/>
      <c r="D53" s="129"/>
      <c r="E53" s="129"/>
      <c r="F53" s="129"/>
      <c r="G53" s="129"/>
      <c r="H53" s="129"/>
    </row>
    <row r="54" spans="1:14" x14ac:dyDescent="0.35">
      <c r="A54" s="117" t="s">
        <v>94</v>
      </c>
      <c r="B54" s="117"/>
      <c r="C54" s="117"/>
      <c r="D54" s="104">
        <f>E44</f>
        <v>21216.44</v>
      </c>
      <c r="E54" s="104"/>
      <c r="F54" s="104"/>
      <c r="G54" s="104"/>
      <c r="H54" s="104"/>
    </row>
    <row r="55" spans="1:14" x14ac:dyDescent="0.35">
      <c r="A55" s="118" t="s">
        <v>48</v>
      </c>
      <c r="B55" s="104"/>
      <c r="C55" s="104"/>
      <c r="D55" s="104" t="s">
        <v>222</v>
      </c>
      <c r="E55" s="104"/>
      <c r="F55" s="104"/>
      <c r="G55" s="104"/>
      <c r="H55" s="104"/>
      <c r="I55" s="22"/>
    </row>
    <row r="56" spans="1:14" s="21" customFormat="1" x14ac:dyDescent="0.35">
      <c r="A56" s="105" t="s">
        <v>49</v>
      </c>
      <c r="B56" s="106"/>
      <c r="C56" s="183"/>
      <c r="D56" s="109" t="s">
        <v>219</v>
      </c>
      <c r="E56" s="110"/>
      <c r="F56" s="110"/>
      <c r="G56" s="110"/>
      <c r="H56" s="110"/>
    </row>
    <row r="57" spans="1:14" ht="15.75" customHeight="1" x14ac:dyDescent="0.35">
      <c r="A57" s="105" t="s">
        <v>92</v>
      </c>
      <c r="B57" s="106"/>
      <c r="C57" s="106"/>
      <c r="D57" s="109" t="s">
        <v>219</v>
      </c>
      <c r="E57" s="110"/>
      <c r="F57" s="110"/>
      <c r="G57" s="110"/>
      <c r="H57" s="110"/>
    </row>
    <row r="58" spans="1:14" ht="15.75" hidden="1" customHeight="1" x14ac:dyDescent="0.35">
      <c r="A58" s="107"/>
      <c r="B58" s="108"/>
      <c r="C58" s="108"/>
      <c r="D58" s="111" t="s">
        <v>203</v>
      </c>
      <c r="E58" s="112"/>
      <c r="F58" s="112"/>
      <c r="G58" s="112"/>
      <c r="H58" s="113"/>
    </row>
    <row r="59" spans="1:14" ht="15.75" customHeight="1" x14ac:dyDescent="0.35">
      <c r="A59" s="96" t="s">
        <v>46</v>
      </c>
      <c r="B59" s="96"/>
      <c r="C59" s="96"/>
      <c r="D59" s="117" t="s">
        <v>191</v>
      </c>
      <c r="E59" s="117"/>
      <c r="F59" s="117"/>
      <c r="G59" s="117"/>
      <c r="H59" s="117"/>
      <c r="J59" s="23"/>
      <c r="K59" s="22"/>
      <c r="N59" s="22"/>
    </row>
    <row r="60" spans="1:14" ht="15.75" customHeight="1" x14ac:dyDescent="0.35">
      <c r="A60" s="96" t="s">
        <v>90</v>
      </c>
      <c r="B60" s="96"/>
      <c r="C60" s="96"/>
      <c r="D60" s="133" t="str">
        <f>(IF(G52="NA","60 Years After Completion",IF(G52&lt;&gt;"NA",""&amp;60-ROUNDDOWN((E3-G52)/360,0)&amp;" Years"," ")))</f>
        <v>60 Years After Completion</v>
      </c>
      <c r="E60" s="133"/>
      <c r="F60" s="133"/>
      <c r="G60" s="133"/>
      <c r="H60" s="133"/>
      <c r="N60" s="22"/>
    </row>
    <row r="61" spans="1:14" ht="15.75" customHeight="1" x14ac:dyDescent="0.35">
      <c r="A61" s="96" t="s">
        <v>91</v>
      </c>
      <c r="B61" s="96"/>
      <c r="C61" s="96"/>
      <c r="D61" s="117" t="s">
        <v>24</v>
      </c>
      <c r="E61" s="117"/>
      <c r="F61" s="117"/>
      <c r="G61" s="117"/>
      <c r="H61" s="117"/>
      <c r="J61" s="24"/>
      <c r="K61" s="24"/>
    </row>
    <row r="62" spans="1:14" x14ac:dyDescent="0.35">
      <c r="A62" s="96" t="s">
        <v>77</v>
      </c>
      <c r="B62" s="96"/>
      <c r="C62" s="96"/>
      <c r="D62" s="118" t="s">
        <v>198</v>
      </c>
      <c r="E62" s="117"/>
      <c r="F62" s="117"/>
      <c r="G62" s="117"/>
      <c r="H62" s="117"/>
    </row>
    <row r="63" spans="1:14" x14ac:dyDescent="0.35">
      <c r="A63" s="117" t="s">
        <v>153</v>
      </c>
      <c r="B63" s="117"/>
      <c r="C63" s="117"/>
      <c r="D63" s="117" t="s">
        <v>30</v>
      </c>
      <c r="E63" s="117"/>
      <c r="F63" s="117"/>
      <c r="G63" s="117"/>
      <c r="H63" s="117"/>
      <c r="I63" s="25"/>
      <c r="J63" s="25"/>
      <c r="K63" s="25"/>
      <c r="L63" s="25"/>
      <c r="M63" s="25"/>
      <c r="N63" s="25"/>
    </row>
    <row r="64" spans="1:14" ht="15.75" customHeight="1" x14ac:dyDescent="0.35">
      <c r="A64" s="152" t="s">
        <v>89</v>
      </c>
      <c r="B64" s="152"/>
      <c r="C64" s="152"/>
      <c r="D64" s="109" t="str">
        <f ca="1">(IF(G70&gt;95%,"Nothing",IF(G70&gt;0%,"Cement, Aggregate, Steel, etc",IF(G70=0%,"Work not yet Started"))))</f>
        <v>Cement, Aggregate, Steel, etc</v>
      </c>
      <c r="E64" s="109"/>
      <c r="F64" s="109"/>
      <c r="G64" s="109"/>
      <c r="H64" s="109"/>
      <c r="J64" s="24"/>
    </row>
    <row r="65" spans="1:10" ht="33.75" customHeight="1" thickBot="1" x14ac:dyDescent="0.4">
      <c r="A65" s="151" t="s">
        <v>122</v>
      </c>
      <c r="B65" s="151"/>
      <c r="C65" s="151"/>
      <c r="D65" s="109" t="str">
        <f ca="1">(IF(D64="Nothing","Yes",IF(D64="Cement, Aggregate, Steel, etc","Under Construction",IF(D64="Work not yet Started","Work not yet Started"))))</f>
        <v>Under Construction</v>
      </c>
      <c r="E65" s="109"/>
      <c r="F65" s="109" t="str">
        <f ca="1">(IF(D64="Nothing","Yes",IF(D64="Cement, Aggregate, Steel, etc","Under Construction",IF(D64="Work not yet Started","Work not yet Started"))))</f>
        <v>Under Construction</v>
      </c>
      <c r="G65" s="109"/>
      <c r="H65" s="109"/>
    </row>
    <row r="66" spans="1:10" ht="15.75" customHeight="1" x14ac:dyDescent="0.35">
      <c r="A66" s="145" t="s">
        <v>145</v>
      </c>
      <c r="B66" s="146"/>
      <c r="C66" s="147" t="s">
        <v>208</v>
      </c>
      <c r="D66" s="148"/>
      <c r="E66" s="148"/>
      <c r="F66" s="148"/>
      <c r="G66" s="148"/>
      <c r="H66" s="149"/>
      <c r="I66" s="43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10 Floor, Painting upto 6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10 Floor, Painting upto 6 Floor</v>
      </c>
    </row>
    <row r="67" spans="1:10" x14ac:dyDescent="0.35">
      <c r="A67" s="15" t="s">
        <v>147</v>
      </c>
      <c r="B67" s="50">
        <v>2</v>
      </c>
      <c r="C67" s="50" t="s">
        <v>74</v>
      </c>
      <c r="D67" s="50">
        <v>1</v>
      </c>
      <c r="E67" s="50" t="s">
        <v>73</v>
      </c>
      <c r="F67" s="50">
        <v>0</v>
      </c>
      <c r="G67" s="50" t="s">
        <v>83</v>
      </c>
      <c r="H67" s="16">
        <f ca="1">--TRIM(RIGHT(SUBSTITUTE(LEFT(C66,_xlfn.AGGREGATE(16,6,FIND({0,1,2,3,4,5,6,7,8,9},C66,ROW(INDIRECT("1:"&amp;LEN(C66)))),1))," ",REPT(" ",LEN(C66))),LEN(C66)))</f>
        <v>13</v>
      </c>
      <c r="I67" s="4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.25" customHeight="1" x14ac:dyDescent="0.35">
      <c r="A68" s="143" t="s">
        <v>93</v>
      </c>
      <c r="B68" s="144"/>
      <c r="C68" s="97" t="str">
        <f ca="1">I66</f>
        <v>Excavation, Plinth, RCC Slab, Brickwork, Internal Plaster, External Plaster Completed, Flooring upto 10 Floor, Painting upto 6 Floor Completed</v>
      </c>
      <c r="D68" s="97"/>
      <c r="E68" s="97"/>
      <c r="F68" s="97"/>
      <c r="G68" s="97"/>
      <c r="H68" s="150"/>
      <c r="I68" s="45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0" ht="15.75" customHeight="1" x14ac:dyDescent="0.35">
      <c r="A69" s="157" t="s">
        <v>50</v>
      </c>
      <c r="B69" s="98"/>
      <c r="C69" s="53" t="s">
        <v>144</v>
      </c>
      <c r="D69" s="53" t="s">
        <v>86</v>
      </c>
      <c r="E69" s="98" t="s">
        <v>88</v>
      </c>
      <c r="F69" s="98"/>
      <c r="G69" s="98" t="s">
        <v>87</v>
      </c>
      <c r="H69" s="153"/>
      <c r="I69" s="13" t="s">
        <v>146</v>
      </c>
      <c r="J69" s="26">
        <f ca="1">H67*25%</f>
        <v>3.25</v>
      </c>
    </row>
    <row r="70" spans="1:10" x14ac:dyDescent="0.35">
      <c r="A70" s="98" t="s">
        <v>133</v>
      </c>
      <c r="B70" s="98"/>
      <c r="C70" s="71">
        <f ca="1">J71</f>
        <v>13</v>
      </c>
      <c r="D70" s="54">
        <f ca="1">((100/H67)*C70)/100</f>
        <v>1</v>
      </c>
      <c r="E70" s="154">
        <f ca="1">(((C71/H67*10)+(40/(D67+F67+H67)*C72)+(7.5/(H67)*C73)+(7.5/(H67)*C74)+(10/H67*C75)+(10/H67*C76)+(5/H67*C77)+(5/H67*C78)+(5/H67*C79))/100)</f>
        <v>0.85</v>
      </c>
      <c r="F70" s="154"/>
      <c r="G70" s="154">
        <f ca="1">((((C70/H67)*20)+((C71/H67)*25)+(30/(H67+F67+D67)*C72)+(5/H67*C73)+(5/H67*C74)+(5/H67*C75)+(5/H67*C76)+(0/H67*C77)+(0/H67*C78)+(5/H67*C79))/100)</f>
        <v>0.93846153846153835</v>
      </c>
      <c r="H70" s="154"/>
      <c r="I70" s="13" t="s">
        <v>104</v>
      </c>
      <c r="J70" s="27">
        <f ca="1">H67*50%</f>
        <v>6.5</v>
      </c>
    </row>
    <row r="71" spans="1:10" x14ac:dyDescent="0.35">
      <c r="A71" s="98" t="s">
        <v>51</v>
      </c>
      <c r="B71" s="98"/>
      <c r="C71" s="55">
        <f ca="1">J79</f>
        <v>13</v>
      </c>
      <c r="D71" s="54">
        <f ca="1">((100/H67)*C71)/100</f>
        <v>1</v>
      </c>
      <c r="E71" s="154"/>
      <c r="F71" s="154"/>
      <c r="G71" s="154"/>
      <c r="H71" s="154"/>
      <c r="I71" s="13" t="s">
        <v>105</v>
      </c>
      <c r="J71" s="27">
        <f ca="1">H67</f>
        <v>13</v>
      </c>
    </row>
    <row r="72" spans="1:10" ht="15.75" customHeight="1" x14ac:dyDescent="0.35">
      <c r="A72" s="98" t="s">
        <v>134</v>
      </c>
      <c r="B72" s="98"/>
      <c r="C72" s="71">
        <v>14</v>
      </c>
      <c r="D72" s="54">
        <f ca="1">((100/(D67+F67+H67))*C72)/100</f>
        <v>1</v>
      </c>
      <c r="E72" s="154"/>
      <c r="F72" s="154"/>
      <c r="G72" s="154"/>
      <c r="H72" s="154"/>
      <c r="I72" s="13" t="s">
        <v>106</v>
      </c>
      <c r="J72" s="28">
        <f ca="1">(IF(B67&gt;1,(H67/(B67+2)),H67/4))</f>
        <v>3.25</v>
      </c>
    </row>
    <row r="73" spans="1:10" ht="15.75" customHeight="1" x14ac:dyDescent="0.35">
      <c r="A73" s="98" t="s">
        <v>141</v>
      </c>
      <c r="B73" s="98" t="s">
        <v>135</v>
      </c>
      <c r="C73" s="71">
        <v>13</v>
      </c>
      <c r="D73" s="54">
        <f ca="1">((100/H67)*C73)/100</f>
        <v>1</v>
      </c>
      <c r="E73" s="154"/>
      <c r="F73" s="154"/>
      <c r="G73" s="154"/>
      <c r="H73" s="154"/>
      <c r="I73" s="13" t="s">
        <v>107</v>
      </c>
      <c r="J73" s="28">
        <f ca="1">(IF(B67&gt;1,(H67/(B67+2)+J72),H67/4+J72))</f>
        <v>6.5</v>
      </c>
    </row>
    <row r="74" spans="1:10" ht="15.75" customHeight="1" x14ac:dyDescent="0.35">
      <c r="A74" s="98" t="s">
        <v>142</v>
      </c>
      <c r="B74" s="98" t="s">
        <v>135</v>
      </c>
      <c r="C74" s="71">
        <v>13</v>
      </c>
      <c r="D74" s="54">
        <f ca="1">((100/H67)*C74)/100</f>
        <v>1</v>
      </c>
      <c r="E74" s="154"/>
      <c r="F74" s="154"/>
      <c r="G74" s="154"/>
      <c r="H74" s="154"/>
      <c r="I74" s="13" t="s">
        <v>151</v>
      </c>
      <c r="J74" s="28">
        <f ca="1">(IF(B67&gt;1,(H67/(B67+2)+J73),0))</f>
        <v>9.75</v>
      </c>
    </row>
    <row r="75" spans="1:10" ht="15" customHeight="1" x14ac:dyDescent="0.35">
      <c r="A75" s="98" t="s">
        <v>140</v>
      </c>
      <c r="B75" s="98" t="s">
        <v>137</v>
      </c>
      <c r="C75" s="71">
        <v>13</v>
      </c>
      <c r="D75" s="54">
        <f ca="1">((100/(H67))*C75)/100</f>
        <v>1</v>
      </c>
      <c r="E75" s="154"/>
      <c r="F75" s="154"/>
      <c r="G75" s="154"/>
      <c r="H75" s="154"/>
      <c r="I75" s="13" t="s">
        <v>148</v>
      </c>
      <c r="J75" s="28">
        <f>(IF(B67&gt;2,(H67/(B67+2)+J74),0))</f>
        <v>0</v>
      </c>
    </row>
    <row r="76" spans="1:10" ht="15.75" customHeight="1" x14ac:dyDescent="0.35">
      <c r="A76" s="98" t="s">
        <v>136</v>
      </c>
      <c r="B76" s="98" t="s">
        <v>136</v>
      </c>
      <c r="C76" s="71">
        <v>10</v>
      </c>
      <c r="D76" s="54">
        <f ca="1">((100/H67)*C76)/100</f>
        <v>0.76923076923076916</v>
      </c>
      <c r="E76" s="154"/>
      <c r="F76" s="154"/>
      <c r="G76" s="154"/>
      <c r="H76" s="154"/>
      <c r="I76" s="13" t="s">
        <v>149</v>
      </c>
      <c r="J76" s="29">
        <f>(IF(B67&gt;3,(H67/(B67+2)+J75),0))</f>
        <v>0</v>
      </c>
    </row>
    <row r="77" spans="1:10" ht="15.75" customHeight="1" x14ac:dyDescent="0.35">
      <c r="A77" s="98" t="s">
        <v>143</v>
      </c>
      <c r="B77" s="98"/>
      <c r="C77" s="71">
        <v>6</v>
      </c>
      <c r="D77" s="54">
        <f ca="1">((100/H67)*C77)/100</f>
        <v>0.46153846153846151</v>
      </c>
      <c r="E77" s="154"/>
      <c r="F77" s="154"/>
      <c r="G77" s="154"/>
      <c r="H77" s="154"/>
      <c r="I77" s="13" t="s">
        <v>150</v>
      </c>
      <c r="J77" s="28">
        <f>(IF(B67&gt;4,(H67/(B67+2)+J76),0))</f>
        <v>0</v>
      </c>
    </row>
    <row r="78" spans="1:10" ht="15.75" customHeight="1" x14ac:dyDescent="0.35">
      <c r="A78" s="98" t="s">
        <v>138</v>
      </c>
      <c r="B78" s="98" t="s">
        <v>138</v>
      </c>
      <c r="C78" s="71">
        <v>0</v>
      </c>
      <c r="D78" s="54">
        <f ca="1">((100/(H67))*C78)/100</f>
        <v>0</v>
      </c>
      <c r="E78" s="154"/>
      <c r="F78" s="154"/>
      <c r="G78" s="154"/>
      <c r="H78" s="154"/>
      <c r="I78" s="13" t="s">
        <v>152</v>
      </c>
      <c r="J78" s="28">
        <f>(IF(B67=1,(H67/(B67+3)+J73),IF(B67=0,(H67/4+J73),IF(B67&gt;1,0))))</f>
        <v>0</v>
      </c>
    </row>
    <row r="79" spans="1:10" ht="16" thickBot="1" x14ac:dyDescent="0.4">
      <c r="A79" s="98" t="s">
        <v>139</v>
      </c>
      <c r="B79" s="98"/>
      <c r="C79" s="71">
        <v>0</v>
      </c>
      <c r="D79" s="54">
        <f ca="1">((100/(H67))*C79)/100</f>
        <v>0</v>
      </c>
      <c r="E79" s="154"/>
      <c r="F79" s="154"/>
      <c r="G79" s="154"/>
      <c r="H79" s="154"/>
      <c r="I79" s="14" t="s">
        <v>108</v>
      </c>
      <c r="J79" s="30">
        <f ca="1">(IF(B67&gt;1.5,(H67/(B67+2)+J73+MAX(0,J74-J73)+MAX(0,J75-J74)+MAX(0,J76-J75)+MAX(0,J77-J76)+MAX(0,J78-J77)),IF(B67=1,(H67/(B67+3)+J78),IF(B67=0,H67/4+J78))))</f>
        <v>13</v>
      </c>
    </row>
    <row r="80" spans="1:10" ht="15.75" customHeight="1" x14ac:dyDescent="0.35">
      <c r="A80" s="97" t="s">
        <v>145</v>
      </c>
      <c r="B80" s="97"/>
      <c r="C80" s="97" t="str">
        <f>D58</f>
        <v>B Wing = 2B + G + 1st to 13th Floor</v>
      </c>
      <c r="D80" s="97"/>
      <c r="E80" s="97"/>
      <c r="F80" s="97"/>
      <c r="G80" s="97"/>
      <c r="H80" s="97"/>
      <c r="I80" s="66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 Completed, Flooring upto 10 Floor, Painting upto 7 Floor Completed</v>
      </c>
      <c r="J80" s="44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Flooring upto 10 Floor, Painting upto 7 Floor</v>
      </c>
    </row>
    <row r="81" spans="1:10" x14ac:dyDescent="0.35">
      <c r="A81" s="72" t="s">
        <v>147</v>
      </c>
      <c r="B81" s="72">
        <v>2</v>
      </c>
      <c r="C81" s="72" t="s">
        <v>74</v>
      </c>
      <c r="D81" s="72">
        <v>1</v>
      </c>
      <c r="E81" s="72" t="s">
        <v>73</v>
      </c>
      <c r="F81" s="72">
        <v>0</v>
      </c>
      <c r="G81" s="72" t="s">
        <v>83</v>
      </c>
      <c r="H81" s="72">
        <f ca="1">--TRIM(RIGHT(SUBSTITUTE(LEFT(C80,_xlfn.AGGREGATE(16,6,FIND({0,1,2,3,4,5,6,7,8,9},C80,ROW(INDIRECT("1:"&amp;LEN(C80)))),1))," ",REPT(" ",LEN(C80))),LEN(C80)))</f>
        <v>13</v>
      </c>
      <c r="I81" s="67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</v>
      </c>
      <c r="J81" s="46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.75" customHeight="1" x14ac:dyDescent="0.35">
      <c r="A82" s="144" t="s">
        <v>93</v>
      </c>
      <c r="B82" s="144"/>
      <c r="C82" s="97" t="str">
        <f ca="1">(IF($G$52="NA",I80,"All work Completed. OC Received."))</f>
        <v>Excavation, Plinth, RCC Slab, Brickwork, Internal Plaster, External Plaster Completed, Flooring upto 10 Floor, Painting upto 7 Floor Completed</v>
      </c>
      <c r="D82" s="97"/>
      <c r="E82" s="97"/>
      <c r="F82" s="97"/>
      <c r="G82" s="97"/>
      <c r="H82" s="97"/>
      <c r="I82" s="67" t="str">
        <f ca="1">IF(I81&lt;&gt;""," Completed","")</f>
        <v xml:space="preserve"> Completed</v>
      </c>
      <c r="J82" s="46" t="str">
        <f ca="1">IF(J80&lt;&gt;"","Completed","")</f>
        <v>Completed</v>
      </c>
    </row>
    <row r="83" spans="1:10" ht="15.75" customHeight="1" x14ac:dyDescent="0.35">
      <c r="A83" s="123" t="s">
        <v>50</v>
      </c>
      <c r="B83" s="123"/>
      <c r="C83" s="69" t="s">
        <v>144</v>
      </c>
      <c r="D83" s="69" t="s">
        <v>86</v>
      </c>
      <c r="E83" s="123" t="s">
        <v>88</v>
      </c>
      <c r="F83" s="123"/>
      <c r="G83" s="123" t="s">
        <v>87</v>
      </c>
      <c r="H83" s="123"/>
      <c r="I83" s="13" t="s">
        <v>146</v>
      </c>
      <c r="J83" s="26">
        <f ca="1">H81*25%</f>
        <v>3.25</v>
      </c>
    </row>
    <row r="84" spans="1:10" x14ac:dyDescent="0.35">
      <c r="A84" s="123" t="s">
        <v>133</v>
      </c>
      <c r="B84" s="123"/>
      <c r="C84" s="69">
        <f ca="1">J85</f>
        <v>13</v>
      </c>
      <c r="D84" s="18">
        <f ca="1">((100/H81)*C84)/100</f>
        <v>1</v>
      </c>
      <c r="E84" s="167">
        <f ca="1">(((C85/H81*10)+(40/(D81+F81+H81)*C86)+(7.5/(H81)*C87)+(7.5/(H81)*C88)+(10/H81*C89)+(10/H81*C90)+(5/H81*C91)+(5/H81*C92)+(5/H81*C93))/100)</f>
        <v>0.85384615384615392</v>
      </c>
      <c r="F84" s="167"/>
      <c r="G84" s="167">
        <f ca="1">((((C84/H81)*20)+((C85/H81)*25)+(30/(H81+F81+D81)*C86)+(5/H81*C87)+(5/H81*C88)+(5/H81*C89)+(5/H81*C90)+(0/H81*C91)+(0/H81*C92)+(5/H81*C93))/100)</f>
        <v>0.93846153846153835</v>
      </c>
      <c r="H84" s="167"/>
      <c r="I84" s="13" t="s">
        <v>104</v>
      </c>
      <c r="J84" s="27">
        <f ca="1">H81*50%</f>
        <v>6.5</v>
      </c>
    </row>
    <row r="85" spans="1:10" x14ac:dyDescent="0.35">
      <c r="A85" s="123" t="s">
        <v>51</v>
      </c>
      <c r="B85" s="123"/>
      <c r="C85" s="58">
        <f ca="1">J93</f>
        <v>13</v>
      </c>
      <c r="D85" s="18">
        <f ca="1">((100/H81)*C85)/100</f>
        <v>1</v>
      </c>
      <c r="E85" s="167"/>
      <c r="F85" s="167"/>
      <c r="G85" s="167"/>
      <c r="H85" s="167"/>
      <c r="I85" s="13" t="s">
        <v>105</v>
      </c>
      <c r="J85" s="27">
        <f ca="1">H81</f>
        <v>13</v>
      </c>
    </row>
    <row r="86" spans="1:10" ht="15.75" customHeight="1" x14ac:dyDescent="0.35">
      <c r="A86" s="123" t="s">
        <v>134</v>
      </c>
      <c r="B86" s="123"/>
      <c r="C86" s="69">
        <v>14</v>
      </c>
      <c r="D86" s="18">
        <f ca="1">((100/(D81+F81+H81))*C86)/100</f>
        <v>1</v>
      </c>
      <c r="E86" s="167"/>
      <c r="F86" s="167"/>
      <c r="G86" s="167"/>
      <c r="H86" s="167"/>
      <c r="I86" s="13" t="s">
        <v>106</v>
      </c>
      <c r="J86" s="28">
        <f ca="1">(IF(B81&gt;1,(H81/(B81+2)),H81/4))</f>
        <v>3.25</v>
      </c>
    </row>
    <row r="87" spans="1:10" ht="15.75" customHeight="1" x14ac:dyDescent="0.35">
      <c r="A87" s="123" t="s">
        <v>141</v>
      </c>
      <c r="B87" s="123" t="s">
        <v>135</v>
      </c>
      <c r="C87" s="69">
        <v>13</v>
      </c>
      <c r="D87" s="18">
        <f ca="1">((100/H81)*C87)/100</f>
        <v>1</v>
      </c>
      <c r="E87" s="167"/>
      <c r="F87" s="167"/>
      <c r="G87" s="167"/>
      <c r="H87" s="167"/>
      <c r="I87" s="13" t="s">
        <v>107</v>
      </c>
      <c r="J87" s="28">
        <f ca="1">(IF(B81&gt;1,(H81/(B81+2)+J86),H81/4+J86))</f>
        <v>6.5</v>
      </c>
    </row>
    <row r="88" spans="1:10" ht="15.75" customHeight="1" x14ac:dyDescent="0.35">
      <c r="A88" s="123" t="s">
        <v>142</v>
      </c>
      <c r="B88" s="123" t="s">
        <v>135</v>
      </c>
      <c r="C88" s="69">
        <v>13</v>
      </c>
      <c r="D88" s="18">
        <f ca="1">((100/H81)*C88)/100</f>
        <v>1</v>
      </c>
      <c r="E88" s="167"/>
      <c r="F88" s="167"/>
      <c r="G88" s="167"/>
      <c r="H88" s="167"/>
      <c r="I88" s="13" t="s">
        <v>151</v>
      </c>
      <c r="J88" s="28">
        <f ca="1">(IF(B81&gt;1,(H81/(B81+2)+J87),0))</f>
        <v>9.75</v>
      </c>
    </row>
    <row r="89" spans="1:10" ht="15" customHeight="1" x14ac:dyDescent="0.35">
      <c r="A89" s="123" t="s">
        <v>140</v>
      </c>
      <c r="B89" s="123" t="s">
        <v>137</v>
      </c>
      <c r="C89" s="69">
        <v>13</v>
      </c>
      <c r="D89" s="18">
        <f ca="1">((100/(H81))*C89)/100</f>
        <v>1</v>
      </c>
      <c r="E89" s="167"/>
      <c r="F89" s="167"/>
      <c r="G89" s="167"/>
      <c r="H89" s="167"/>
      <c r="I89" s="13" t="s">
        <v>148</v>
      </c>
      <c r="J89" s="28">
        <f>(IF(B81&gt;2,(H81/(B81+2)+J88),0))</f>
        <v>0</v>
      </c>
    </row>
    <row r="90" spans="1:10" ht="15.75" customHeight="1" x14ac:dyDescent="0.35">
      <c r="A90" s="123" t="s">
        <v>136</v>
      </c>
      <c r="B90" s="123" t="s">
        <v>136</v>
      </c>
      <c r="C90" s="69">
        <v>10</v>
      </c>
      <c r="D90" s="18">
        <f ca="1">((100/H81)*C90)/100</f>
        <v>0.76923076923076916</v>
      </c>
      <c r="E90" s="167"/>
      <c r="F90" s="167"/>
      <c r="G90" s="167"/>
      <c r="H90" s="167"/>
      <c r="I90" s="13" t="s">
        <v>149</v>
      </c>
      <c r="J90" s="29">
        <f>(IF(B81&gt;3,(H81/(B81+2)+J89),0))</f>
        <v>0</v>
      </c>
    </row>
    <row r="91" spans="1:10" ht="15.75" customHeight="1" x14ac:dyDescent="0.35">
      <c r="A91" s="123" t="s">
        <v>143</v>
      </c>
      <c r="B91" s="123"/>
      <c r="C91" s="69">
        <v>7</v>
      </c>
      <c r="D91" s="18">
        <f ca="1">((100/H81)*C91)/100</f>
        <v>0.53846153846153844</v>
      </c>
      <c r="E91" s="167"/>
      <c r="F91" s="167"/>
      <c r="G91" s="167"/>
      <c r="H91" s="167"/>
      <c r="I91" s="13" t="s">
        <v>150</v>
      </c>
      <c r="J91" s="28">
        <f>(IF(B81&gt;4,(H81/(B81+2)+J90),0))</f>
        <v>0</v>
      </c>
    </row>
    <row r="92" spans="1:10" ht="15.75" customHeight="1" x14ac:dyDescent="0.35">
      <c r="A92" s="123" t="s">
        <v>138</v>
      </c>
      <c r="B92" s="123" t="s">
        <v>138</v>
      </c>
      <c r="C92" s="69">
        <v>0</v>
      </c>
      <c r="D92" s="18">
        <f ca="1">((100/(H81))*C92)/100</f>
        <v>0</v>
      </c>
      <c r="E92" s="167"/>
      <c r="F92" s="167"/>
      <c r="G92" s="167"/>
      <c r="H92" s="167"/>
      <c r="I92" s="13" t="s">
        <v>152</v>
      </c>
      <c r="J92" s="28">
        <f>(IF(B81=1,(H81/(B81+3)+J87),IF(B81=0,(H81/4+J87),IF(B81&gt;1,0))))</f>
        <v>0</v>
      </c>
    </row>
    <row r="93" spans="1:10" ht="16" thickBot="1" x14ac:dyDescent="0.4">
      <c r="A93" s="123" t="s">
        <v>139</v>
      </c>
      <c r="B93" s="123"/>
      <c r="C93" s="69">
        <v>0</v>
      </c>
      <c r="D93" s="18">
        <f ca="1">((100/(H81))*C93)/100</f>
        <v>0</v>
      </c>
      <c r="E93" s="167"/>
      <c r="F93" s="167"/>
      <c r="G93" s="167"/>
      <c r="H93" s="167"/>
      <c r="I93" s="14" t="s">
        <v>108</v>
      </c>
      <c r="J93" s="30">
        <f ca="1">(IF(B81&gt;1.5,(H81/(B81+2)+J87+MAX(0,J88-J87)+MAX(0,J89-J88)+MAX(0,J90-J89)+MAX(0,J91-J90)+MAX(0,J92-J91)),IF(B81=1,(H81/(B81+3)+J92),IF(B81=0,H81/4+J92))))</f>
        <v>13</v>
      </c>
    </row>
    <row r="94" spans="1:10" x14ac:dyDescent="0.35">
      <c r="A94" s="134" t="s">
        <v>161</v>
      </c>
      <c r="B94" s="134"/>
      <c r="C94" s="134"/>
      <c r="D94" s="134"/>
      <c r="E94" s="134"/>
      <c r="F94" s="168" t="s">
        <v>166</v>
      </c>
      <c r="G94" s="168"/>
      <c r="H94" s="168"/>
    </row>
    <row r="95" spans="1:10" x14ac:dyDescent="0.35">
      <c r="A95" s="96" t="s">
        <v>164</v>
      </c>
      <c r="B95" s="96"/>
      <c r="C95" s="96"/>
      <c r="D95" s="96"/>
      <c r="E95" s="96"/>
      <c r="F95" s="124">
        <v>8300</v>
      </c>
      <c r="G95" s="124"/>
      <c r="H95" s="124"/>
    </row>
    <row r="96" spans="1:10" x14ac:dyDescent="0.35">
      <c r="A96" s="96" t="s">
        <v>163</v>
      </c>
      <c r="B96" s="96"/>
      <c r="C96" s="96"/>
      <c r="D96" s="96"/>
      <c r="E96" s="96"/>
      <c r="F96" s="124">
        <v>14000</v>
      </c>
      <c r="G96" s="124"/>
      <c r="H96" s="124"/>
    </row>
    <row r="97" spans="1:8" hidden="1" x14ac:dyDescent="0.35">
      <c r="A97" s="96" t="s">
        <v>165</v>
      </c>
      <c r="B97" s="96"/>
      <c r="C97" s="96"/>
      <c r="D97" s="96"/>
      <c r="E97" s="96"/>
      <c r="F97" s="124"/>
      <c r="G97" s="124"/>
      <c r="H97" s="124"/>
    </row>
    <row r="98" spans="1:8" s="31" customFormat="1" hidden="1" x14ac:dyDescent="0.3">
      <c r="A98" s="96" t="s">
        <v>162</v>
      </c>
      <c r="B98" s="96"/>
      <c r="C98" s="96"/>
      <c r="D98" s="96"/>
      <c r="E98" s="96"/>
      <c r="F98" s="124"/>
      <c r="G98" s="124"/>
      <c r="H98" s="124"/>
    </row>
    <row r="99" spans="1:8" s="31" customFormat="1" hidden="1" x14ac:dyDescent="0.3">
      <c r="A99" s="96" t="s">
        <v>98</v>
      </c>
      <c r="B99" s="96"/>
      <c r="C99" s="96"/>
      <c r="D99" s="96"/>
      <c r="E99" s="96"/>
      <c r="F99" s="124"/>
      <c r="G99" s="124"/>
      <c r="H99" s="124"/>
    </row>
    <row r="100" spans="1:8" s="31" customFormat="1" hidden="1" x14ac:dyDescent="0.3">
      <c r="A100" s="96" t="s">
        <v>99</v>
      </c>
      <c r="B100" s="96"/>
      <c r="C100" s="96"/>
      <c r="D100" s="96"/>
      <c r="E100" s="96"/>
      <c r="F100" s="124"/>
      <c r="G100" s="124"/>
      <c r="H100" s="124"/>
    </row>
    <row r="101" spans="1:8" s="31" customFormat="1" hidden="1" x14ac:dyDescent="0.3">
      <c r="A101" s="96" t="s">
        <v>167</v>
      </c>
      <c r="B101" s="96"/>
      <c r="C101" s="96"/>
      <c r="D101" s="96"/>
      <c r="E101" s="96"/>
      <c r="F101" s="124"/>
      <c r="G101" s="124"/>
      <c r="H101" s="124"/>
    </row>
    <row r="102" spans="1:8" s="31" customFormat="1" hidden="1" x14ac:dyDescent="0.3">
      <c r="A102" s="96" t="s">
        <v>100</v>
      </c>
      <c r="B102" s="96"/>
      <c r="C102" s="96"/>
      <c r="D102" s="96"/>
      <c r="E102" s="96"/>
      <c r="F102" s="124"/>
      <c r="G102" s="124"/>
      <c r="H102" s="124"/>
    </row>
    <row r="103" spans="1:8" s="31" customFormat="1" hidden="1" x14ac:dyDescent="0.3">
      <c r="A103" s="96" t="s">
        <v>101</v>
      </c>
      <c r="B103" s="96"/>
      <c r="C103" s="96"/>
      <c r="D103" s="96"/>
      <c r="E103" s="96"/>
      <c r="F103" s="124"/>
      <c r="G103" s="124"/>
      <c r="H103" s="124"/>
    </row>
    <row r="104" spans="1:8" s="31" customFormat="1" hidden="1" x14ac:dyDescent="0.3">
      <c r="A104" s="96" t="s">
        <v>102</v>
      </c>
      <c r="B104" s="96"/>
      <c r="C104" s="96"/>
      <c r="D104" s="96"/>
      <c r="E104" s="96"/>
      <c r="F104" s="124"/>
      <c r="G104" s="124"/>
      <c r="H104" s="124"/>
    </row>
    <row r="105" spans="1:8" s="31" customFormat="1" hidden="1" x14ac:dyDescent="0.3">
      <c r="A105" s="96" t="s">
        <v>103</v>
      </c>
      <c r="B105" s="96"/>
      <c r="C105" s="96"/>
      <c r="D105" s="96"/>
      <c r="E105" s="96"/>
      <c r="F105" s="124"/>
      <c r="G105" s="124"/>
      <c r="H105" s="124"/>
    </row>
    <row r="106" spans="1:8" x14ac:dyDescent="0.35">
      <c r="A106" s="96" t="s">
        <v>52</v>
      </c>
      <c r="B106" s="96"/>
      <c r="C106" s="96"/>
      <c r="D106" s="96"/>
      <c r="E106" s="96"/>
      <c r="F106" s="124">
        <v>300000</v>
      </c>
      <c r="G106" s="124"/>
      <c r="H106" s="124"/>
    </row>
    <row r="107" spans="1:8" s="32" customFormat="1" x14ac:dyDescent="0.35">
      <c r="A107" s="138" t="s">
        <v>53</v>
      </c>
      <c r="B107" s="138"/>
      <c r="C107" s="138"/>
      <c r="D107" s="138"/>
      <c r="E107" s="138"/>
      <c r="F107" s="124">
        <f>F95*0.8</f>
        <v>6640</v>
      </c>
      <c r="G107" s="124"/>
      <c r="H107" s="124"/>
    </row>
    <row r="108" spans="1:8" s="33" customFormat="1" ht="15.75" customHeight="1" x14ac:dyDescent="0.35">
      <c r="A108" s="137" t="s">
        <v>78</v>
      </c>
      <c r="B108" s="137"/>
      <c r="C108" s="137"/>
      <c r="D108" s="137"/>
      <c r="E108" s="137"/>
      <c r="F108" s="137"/>
      <c r="G108" s="137"/>
      <c r="H108" s="137"/>
    </row>
    <row r="109" spans="1:8" s="33" customFormat="1" ht="15.75" customHeight="1" x14ac:dyDescent="0.35">
      <c r="A109" s="120" t="s">
        <v>54</v>
      </c>
      <c r="B109" s="120"/>
      <c r="C109" s="127" t="s">
        <v>81</v>
      </c>
      <c r="D109" s="127"/>
      <c r="E109" s="132" t="s">
        <v>55</v>
      </c>
      <c r="F109" s="132"/>
      <c r="G109" s="120" t="s">
        <v>56</v>
      </c>
      <c r="H109" s="120"/>
    </row>
    <row r="110" spans="1:8" s="33" customFormat="1" x14ac:dyDescent="0.35">
      <c r="A110" s="140" t="s">
        <v>192</v>
      </c>
      <c r="B110" s="140"/>
      <c r="C110" s="141">
        <f>COUNT(D122:D137)</f>
        <v>16</v>
      </c>
      <c r="D110" s="142"/>
      <c r="E110" s="125">
        <f>SUM(D122:D137)</f>
        <v>10362.631968000002</v>
      </c>
      <c r="F110" s="126"/>
      <c r="G110" s="125">
        <f>SUM(F122:F137)</f>
        <v>20725.263936000003</v>
      </c>
      <c r="H110" s="126"/>
    </row>
    <row r="111" spans="1:8" s="33" customFormat="1" x14ac:dyDescent="0.35">
      <c r="A111" s="137" t="s">
        <v>72</v>
      </c>
      <c r="B111" s="137"/>
      <c r="C111" s="137"/>
      <c r="D111" s="137"/>
      <c r="E111" s="137"/>
      <c r="F111" s="137"/>
      <c r="G111" s="137"/>
      <c r="H111" s="137"/>
    </row>
    <row r="112" spans="1:8" s="33" customFormat="1" ht="15.75" customHeight="1" x14ac:dyDescent="0.35">
      <c r="A112" s="120" t="s">
        <v>54</v>
      </c>
      <c r="B112" s="120"/>
      <c r="C112" s="127" t="s">
        <v>81</v>
      </c>
      <c r="D112" s="127"/>
      <c r="E112" s="132" t="s">
        <v>55</v>
      </c>
      <c r="F112" s="132"/>
      <c r="G112" s="120" t="s">
        <v>56</v>
      </c>
      <c r="H112" s="120"/>
    </row>
    <row r="113" spans="1:14" s="33" customFormat="1" x14ac:dyDescent="0.35">
      <c r="A113" s="140" t="s">
        <v>192</v>
      </c>
      <c r="B113" s="140"/>
      <c r="C113" s="125">
        <f>COUNT(D144:D149)+COUNT(D151:D158)*9+COUNT(D160:D164,D166:D167)*2+COUNT(D169:D176)</f>
        <v>100</v>
      </c>
      <c r="D113" s="125"/>
      <c r="E113" s="125">
        <f>SUM(D144:D149)+SUM(D151:D158)*9+SUM(D160:D164,D166:D167)*2+SUM(D169:D176)</f>
        <v>75903.896015999999</v>
      </c>
      <c r="F113" s="125"/>
      <c r="G113" s="125">
        <f>SUM(F144:F149)+SUM(F151:F158)*9+SUM(F160:F164,F166:F167)*2+SUM(F169:F176)</f>
        <v>121990</v>
      </c>
      <c r="H113" s="125"/>
    </row>
    <row r="114" spans="1:14" s="33" customFormat="1" x14ac:dyDescent="0.35">
      <c r="A114" s="140" t="s">
        <v>193</v>
      </c>
      <c r="B114" s="140"/>
      <c r="C114" s="125">
        <f>COUNT(D199:D205)+COUNT(D207:D216)*9+COUNT(D218:D226)*2+COUNT(D229:D238)</f>
        <v>125</v>
      </c>
      <c r="D114" s="125"/>
      <c r="E114" s="125">
        <f>SUM(D199:D205)+SUM(D207:D216)*9+SUM(D218:D226)*2+SUM(D229:D238)</f>
        <v>93457.829906999992</v>
      </c>
      <c r="F114" s="125"/>
      <c r="G114" s="125">
        <f>SUM(F199:F205)+SUM(F207:F216)*9+SUM(F218:F226)*2+SUM(F229:F238)</f>
        <v>149230</v>
      </c>
      <c r="H114" s="125"/>
    </row>
    <row r="115" spans="1:14" s="33" customFormat="1" x14ac:dyDescent="0.35">
      <c r="A115" s="137" t="s">
        <v>154</v>
      </c>
      <c r="B115" s="137"/>
      <c r="C115" s="131">
        <f>SUM(C113:C114)</f>
        <v>225</v>
      </c>
      <c r="D115" s="127"/>
      <c r="E115" s="131">
        <f t="shared" ref="E115" si="0">SUM(E113:E114)</f>
        <v>169361.72592299999</v>
      </c>
      <c r="F115" s="127"/>
      <c r="G115" s="131">
        <f>SUM(G113:G114)</f>
        <v>271220</v>
      </c>
      <c r="H115" s="127"/>
      <c r="J115" s="56">
        <f>E110+E115</f>
        <v>179724.35789099999</v>
      </c>
    </row>
    <row r="116" spans="1:14" s="32" customFormat="1" x14ac:dyDescent="0.35">
      <c r="A116" s="128" t="s">
        <v>57</v>
      </c>
      <c r="B116" s="128"/>
      <c r="C116" s="128"/>
      <c r="D116" s="128"/>
      <c r="E116" s="128"/>
      <c r="F116" s="128"/>
      <c r="G116" s="128"/>
      <c r="H116" s="128"/>
    </row>
    <row r="117" spans="1:14" x14ac:dyDescent="0.35">
      <c r="A117" s="128" t="s">
        <v>58</v>
      </c>
      <c r="B117" s="128"/>
      <c r="C117" s="128"/>
      <c r="D117" s="128"/>
      <c r="E117" s="128"/>
      <c r="F117" s="128"/>
      <c r="G117" s="128"/>
      <c r="H117" s="128"/>
    </row>
    <row r="118" spans="1:14" ht="64.5" customHeight="1" x14ac:dyDescent="0.35">
      <c r="A118" s="40" t="s">
        <v>124</v>
      </c>
      <c r="B118" s="40" t="s">
        <v>123</v>
      </c>
      <c r="C118" s="40" t="s">
        <v>59</v>
      </c>
      <c r="D118" s="40" t="s">
        <v>60</v>
      </c>
      <c r="E118" s="48" t="s">
        <v>160</v>
      </c>
      <c r="F118" s="40" t="s">
        <v>225</v>
      </c>
      <c r="G118" s="121" t="s">
        <v>62</v>
      </c>
      <c r="H118" s="122"/>
    </row>
    <row r="119" spans="1:14" s="35" customFormat="1" x14ac:dyDescent="0.35">
      <c r="A119" s="169" t="s">
        <v>192</v>
      </c>
      <c r="B119" s="170"/>
      <c r="C119" s="170"/>
      <c r="D119" s="170"/>
      <c r="E119" s="170"/>
      <c r="F119" s="170"/>
      <c r="G119" s="170"/>
      <c r="H119" s="171"/>
      <c r="J119" s="34"/>
    </row>
    <row r="120" spans="1:14" s="35" customFormat="1" x14ac:dyDescent="0.35">
      <c r="A120" s="79" t="s">
        <v>211</v>
      </c>
      <c r="B120" s="80"/>
      <c r="C120" s="80"/>
      <c r="D120" s="80"/>
      <c r="E120" s="80"/>
      <c r="F120" s="80"/>
      <c r="G120" s="80"/>
      <c r="H120" s="81"/>
      <c r="J120" s="34"/>
    </row>
    <row r="121" spans="1:14" s="35" customFormat="1" x14ac:dyDescent="0.35">
      <c r="A121" s="91" t="s">
        <v>213</v>
      </c>
      <c r="B121" s="91"/>
      <c r="C121" s="91"/>
      <c r="D121" s="91"/>
      <c r="E121" s="91"/>
      <c r="F121" s="91"/>
      <c r="G121" s="91"/>
      <c r="H121" s="91"/>
      <c r="J121" s="34"/>
    </row>
    <row r="122" spans="1:14" s="35" customFormat="1" ht="15.75" customHeight="1" x14ac:dyDescent="0.35">
      <c r="A122" s="75">
        <v>1</v>
      </c>
      <c r="B122" s="75"/>
      <c r="C122" s="70" t="s">
        <v>195</v>
      </c>
      <c r="D122" s="70">
        <f>(73.225)*(10.764)</f>
        <v>788.19389999999987</v>
      </c>
      <c r="E122" s="70">
        <v>0</v>
      </c>
      <c r="F122" s="68">
        <f>D122*2</f>
        <v>1576.3877999999997</v>
      </c>
      <c r="G122" s="75" t="str">
        <f>A121</f>
        <v>Ground Floor For Meter Room, Commercial &amp; Parking</v>
      </c>
      <c r="H122" s="75"/>
      <c r="I122" s="51"/>
      <c r="J122" s="35">
        <f>F122/D122</f>
        <v>2</v>
      </c>
      <c r="L122" s="74"/>
      <c r="M122" s="74"/>
      <c r="N122" s="34"/>
    </row>
    <row r="123" spans="1:14" s="35" customFormat="1" ht="15.75" customHeight="1" x14ac:dyDescent="0.35">
      <c r="A123" s="75">
        <f t="shared" ref="A123:A137" si="1">A122+1</f>
        <v>2</v>
      </c>
      <c r="B123" s="75"/>
      <c r="C123" s="70" t="s">
        <v>195</v>
      </c>
      <c r="D123" s="70">
        <f>(40.815)*(10.764)</f>
        <v>439.33265999999998</v>
      </c>
      <c r="E123" s="70">
        <v>0</v>
      </c>
      <c r="F123" s="68">
        <f t="shared" ref="F123:F137" si="2">D123*2</f>
        <v>878.66531999999995</v>
      </c>
      <c r="G123" s="75"/>
      <c r="H123" s="75"/>
      <c r="I123" s="64">
        <f>3.116*13.099</f>
        <v>40.816484000000003</v>
      </c>
      <c r="J123" s="62">
        <f t="shared" ref="J123:J137" si="3">F123/D123</f>
        <v>2</v>
      </c>
      <c r="L123" s="74"/>
      <c r="M123" s="74"/>
      <c r="N123" s="34"/>
    </row>
    <row r="124" spans="1:14" s="35" customFormat="1" ht="15.75" customHeight="1" x14ac:dyDescent="0.35">
      <c r="A124" s="75">
        <f t="shared" si="1"/>
        <v>3</v>
      </c>
      <c r="B124" s="75"/>
      <c r="C124" s="70" t="s">
        <v>195</v>
      </c>
      <c r="D124" s="70">
        <f>(46.042)*(10.764)</f>
        <v>495.59608800000001</v>
      </c>
      <c r="E124" s="70">
        <v>0</v>
      </c>
      <c r="F124" s="68">
        <f t="shared" si="2"/>
        <v>991.19217600000002</v>
      </c>
      <c r="G124" s="75"/>
      <c r="H124" s="75"/>
      <c r="I124" s="51"/>
      <c r="J124" s="62">
        <f t="shared" si="3"/>
        <v>2</v>
      </c>
      <c r="L124" s="74"/>
      <c r="M124" s="74"/>
      <c r="N124" s="34"/>
    </row>
    <row r="125" spans="1:14" s="35" customFormat="1" ht="15.75" customHeight="1" x14ac:dyDescent="0.35">
      <c r="A125" s="75">
        <f t="shared" si="1"/>
        <v>4</v>
      </c>
      <c r="B125" s="75"/>
      <c r="C125" s="70" t="s">
        <v>195</v>
      </c>
      <c r="D125" s="70">
        <f>(67.928)*(10.764)</f>
        <v>731.17699199999993</v>
      </c>
      <c r="E125" s="70">
        <v>0</v>
      </c>
      <c r="F125" s="68">
        <f t="shared" si="2"/>
        <v>1462.3539839999999</v>
      </c>
      <c r="G125" s="75"/>
      <c r="H125" s="75"/>
      <c r="I125" s="51"/>
      <c r="J125" s="62">
        <f t="shared" si="3"/>
        <v>2</v>
      </c>
      <c r="L125" s="74"/>
      <c r="M125" s="74"/>
      <c r="N125" s="34"/>
    </row>
    <row r="126" spans="1:14" s="35" customFormat="1" ht="15.75" customHeight="1" x14ac:dyDescent="0.35">
      <c r="A126" s="75">
        <f t="shared" si="1"/>
        <v>5</v>
      </c>
      <c r="B126" s="75"/>
      <c r="C126" s="70" t="s">
        <v>195</v>
      </c>
      <c r="D126" s="70">
        <f>(64.511)*(10.764)</f>
        <v>694.39640399999996</v>
      </c>
      <c r="E126" s="70">
        <v>0</v>
      </c>
      <c r="F126" s="68">
        <f t="shared" si="2"/>
        <v>1388.7928079999999</v>
      </c>
      <c r="G126" s="75"/>
      <c r="H126" s="75"/>
      <c r="I126" s="51"/>
      <c r="J126" s="62">
        <f t="shared" si="3"/>
        <v>2</v>
      </c>
      <c r="L126" s="74"/>
      <c r="M126" s="74"/>
      <c r="N126" s="34"/>
    </row>
    <row r="127" spans="1:14" s="35" customFormat="1" ht="15.75" customHeight="1" x14ac:dyDescent="0.35">
      <c r="A127" s="75">
        <f t="shared" si="1"/>
        <v>6</v>
      </c>
      <c r="B127" s="75"/>
      <c r="C127" s="70" t="s">
        <v>195</v>
      </c>
      <c r="D127" s="70">
        <f>(69.292)*(10.764)</f>
        <v>745.85908799999993</v>
      </c>
      <c r="E127" s="70">
        <v>0</v>
      </c>
      <c r="F127" s="68">
        <f t="shared" si="2"/>
        <v>1491.7181759999999</v>
      </c>
      <c r="G127" s="75"/>
      <c r="H127" s="75"/>
      <c r="I127" s="51"/>
      <c r="J127" s="62">
        <f t="shared" si="3"/>
        <v>2</v>
      </c>
      <c r="L127" s="74"/>
      <c r="M127" s="74"/>
      <c r="N127" s="34"/>
    </row>
    <row r="128" spans="1:14" s="35" customFormat="1" ht="15.75" customHeight="1" x14ac:dyDescent="0.35">
      <c r="A128" s="75">
        <f t="shared" si="1"/>
        <v>7</v>
      </c>
      <c r="B128" s="75"/>
      <c r="C128" s="70" t="s">
        <v>195</v>
      </c>
      <c r="D128" s="70">
        <f>(70.733)*(10.764)</f>
        <v>761.37001199999997</v>
      </c>
      <c r="E128" s="70">
        <v>0</v>
      </c>
      <c r="F128" s="68">
        <f t="shared" si="2"/>
        <v>1522.7400239999999</v>
      </c>
      <c r="G128" s="75"/>
      <c r="H128" s="75"/>
      <c r="I128" s="51"/>
      <c r="J128" s="62">
        <f t="shared" si="3"/>
        <v>2</v>
      </c>
      <c r="L128" s="74"/>
      <c r="M128" s="74"/>
      <c r="N128" s="34"/>
    </row>
    <row r="129" spans="1:14" s="35" customFormat="1" ht="15.75" customHeight="1" x14ac:dyDescent="0.35">
      <c r="A129" s="75">
        <f t="shared" si="1"/>
        <v>8</v>
      </c>
      <c r="B129" s="75"/>
      <c r="C129" s="70" t="s">
        <v>195</v>
      </c>
      <c r="D129" s="70">
        <f>(69.292)*(10.764)</f>
        <v>745.85908799999993</v>
      </c>
      <c r="E129" s="70">
        <v>0</v>
      </c>
      <c r="F129" s="68">
        <f t="shared" si="2"/>
        <v>1491.7181759999999</v>
      </c>
      <c r="G129" s="75"/>
      <c r="H129" s="75"/>
      <c r="I129" s="47"/>
      <c r="J129" s="62">
        <f t="shared" si="3"/>
        <v>2</v>
      </c>
      <c r="L129" s="74"/>
      <c r="M129" s="74"/>
      <c r="N129" s="34"/>
    </row>
    <row r="130" spans="1:14" s="35" customFormat="1" ht="15.75" customHeight="1" x14ac:dyDescent="0.35">
      <c r="A130" s="75">
        <f t="shared" si="1"/>
        <v>9</v>
      </c>
      <c r="B130" s="75"/>
      <c r="C130" s="70" t="s">
        <v>195</v>
      </c>
      <c r="D130" s="70">
        <f>(58.289)*(10.764)</f>
        <v>627.42279599999995</v>
      </c>
      <c r="E130" s="70">
        <v>0</v>
      </c>
      <c r="F130" s="68">
        <f t="shared" si="2"/>
        <v>1254.8455919999999</v>
      </c>
      <c r="G130" s="75"/>
      <c r="H130" s="75"/>
      <c r="I130" s="47"/>
      <c r="J130" s="62">
        <f t="shared" si="3"/>
        <v>2</v>
      </c>
      <c r="L130" s="74"/>
      <c r="M130" s="74"/>
      <c r="N130" s="34"/>
    </row>
    <row r="131" spans="1:14" s="35" customFormat="1" ht="15.75" customHeight="1" x14ac:dyDescent="0.35">
      <c r="A131" s="75">
        <f t="shared" si="1"/>
        <v>10</v>
      </c>
      <c r="B131" s="75"/>
      <c r="C131" s="70" t="s">
        <v>195</v>
      </c>
      <c r="D131" s="70">
        <f>(69.292)*(10.764)</f>
        <v>745.85908799999993</v>
      </c>
      <c r="E131" s="70">
        <v>0</v>
      </c>
      <c r="F131" s="68">
        <f t="shared" si="2"/>
        <v>1491.7181759999999</v>
      </c>
      <c r="G131" s="75"/>
      <c r="H131" s="75"/>
      <c r="I131" s="47"/>
      <c r="J131" s="62">
        <f t="shared" si="3"/>
        <v>2</v>
      </c>
      <c r="L131" s="74"/>
      <c r="M131" s="74"/>
      <c r="N131" s="34"/>
    </row>
    <row r="132" spans="1:14" s="35" customFormat="1" ht="15.75" customHeight="1" x14ac:dyDescent="0.35">
      <c r="A132" s="75">
        <f t="shared" si="1"/>
        <v>11</v>
      </c>
      <c r="B132" s="75"/>
      <c r="C132" s="70" t="s">
        <v>195</v>
      </c>
      <c r="D132" s="70">
        <f>(70.733)*(10.764)</f>
        <v>761.37001199999997</v>
      </c>
      <c r="E132" s="70">
        <v>0</v>
      </c>
      <c r="F132" s="68">
        <f t="shared" si="2"/>
        <v>1522.7400239999999</v>
      </c>
      <c r="G132" s="75"/>
      <c r="H132" s="75"/>
      <c r="I132" s="47"/>
      <c r="J132" s="62">
        <f t="shared" si="3"/>
        <v>2</v>
      </c>
      <c r="L132" s="74"/>
      <c r="M132" s="74"/>
      <c r="N132" s="34"/>
    </row>
    <row r="133" spans="1:14" s="35" customFormat="1" ht="15.75" customHeight="1" x14ac:dyDescent="0.35">
      <c r="A133" s="75">
        <f t="shared" si="1"/>
        <v>12</v>
      </c>
      <c r="B133" s="75"/>
      <c r="C133" s="70" t="s">
        <v>195</v>
      </c>
      <c r="D133" s="70">
        <f>(69.292)*(10.764)</f>
        <v>745.85908799999993</v>
      </c>
      <c r="E133" s="70">
        <v>0</v>
      </c>
      <c r="F133" s="68">
        <f t="shared" si="2"/>
        <v>1491.7181759999999</v>
      </c>
      <c r="G133" s="75"/>
      <c r="H133" s="75"/>
      <c r="I133" s="47"/>
      <c r="J133" s="62">
        <f t="shared" si="3"/>
        <v>2</v>
      </c>
      <c r="L133" s="74"/>
      <c r="M133" s="74"/>
      <c r="N133" s="34"/>
    </row>
    <row r="134" spans="1:14" s="35" customFormat="1" ht="15.75" customHeight="1" x14ac:dyDescent="0.35">
      <c r="A134" s="75">
        <f t="shared" si="1"/>
        <v>13</v>
      </c>
      <c r="B134" s="75"/>
      <c r="C134" s="70" t="s">
        <v>195</v>
      </c>
      <c r="D134" s="70">
        <f>(67.664)*(10.764)</f>
        <v>728.33529599999997</v>
      </c>
      <c r="E134" s="70">
        <v>0</v>
      </c>
      <c r="F134" s="68">
        <f t="shared" si="2"/>
        <v>1456.6705919999999</v>
      </c>
      <c r="G134" s="75"/>
      <c r="H134" s="75"/>
      <c r="I134" s="47"/>
      <c r="J134" s="62">
        <f t="shared" si="3"/>
        <v>2</v>
      </c>
      <c r="L134" s="74"/>
      <c r="M134" s="74"/>
      <c r="N134" s="34"/>
    </row>
    <row r="135" spans="1:14" s="35" customFormat="1" ht="15.75" customHeight="1" x14ac:dyDescent="0.35">
      <c r="A135" s="75">
        <f t="shared" si="1"/>
        <v>14</v>
      </c>
      <c r="B135" s="75"/>
      <c r="C135" s="70" t="s">
        <v>195</v>
      </c>
      <c r="D135" s="70">
        <f>(59.022)*(10.764)</f>
        <v>635.3128079999999</v>
      </c>
      <c r="E135" s="70">
        <v>0</v>
      </c>
      <c r="F135" s="68">
        <f t="shared" si="2"/>
        <v>1270.6256159999998</v>
      </c>
      <c r="G135" s="75"/>
      <c r="H135" s="75"/>
      <c r="I135" s="47"/>
      <c r="J135" s="62">
        <f t="shared" si="3"/>
        <v>2</v>
      </c>
      <c r="L135" s="74"/>
      <c r="M135" s="74"/>
      <c r="N135" s="34"/>
    </row>
    <row r="136" spans="1:14" s="35" customFormat="1" ht="15.75" customHeight="1" x14ac:dyDescent="0.35">
      <c r="A136" s="75">
        <f t="shared" si="1"/>
        <v>15</v>
      </c>
      <c r="B136" s="75"/>
      <c r="C136" s="70" t="s">
        <v>195</v>
      </c>
      <c r="D136" s="70">
        <f>(32.562)*(10.764)</f>
        <v>350.49736799999994</v>
      </c>
      <c r="E136" s="70">
        <v>0</v>
      </c>
      <c r="F136" s="68">
        <f t="shared" si="2"/>
        <v>700.99473599999988</v>
      </c>
      <c r="G136" s="75"/>
      <c r="H136" s="75"/>
      <c r="I136" s="47"/>
      <c r="J136" s="62">
        <f t="shared" si="3"/>
        <v>2</v>
      </c>
      <c r="L136" s="74"/>
      <c r="M136" s="74"/>
      <c r="N136" s="34"/>
    </row>
    <row r="137" spans="1:14" s="35" customFormat="1" ht="15.75" customHeight="1" x14ac:dyDescent="0.35">
      <c r="A137" s="75">
        <f t="shared" si="1"/>
        <v>16</v>
      </c>
      <c r="B137" s="75"/>
      <c r="C137" s="70" t="s">
        <v>195</v>
      </c>
      <c r="D137" s="70">
        <f>(34.02)*(10.764)</f>
        <v>366.19128000000001</v>
      </c>
      <c r="E137" s="70">
        <v>0</v>
      </c>
      <c r="F137" s="68">
        <f t="shared" si="2"/>
        <v>732.38256000000001</v>
      </c>
      <c r="G137" s="75"/>
      <c r="H137" s="75"/>
      <c r="I137" s="47"/>
      <c r="J137" s="62">
        <f t="shared" si="3"/>
        <v>2</v>
      </c>
      <c r="L137" s="74"/>
      <c r="M137" s="74"/>
      <c r="N137" s="34"/>
    </row>
    <row r="138" spans="1:14" s="35" customFormat="1" x14ac:dyDescent="0.35">
      <c r="A138" s="76"/>
      <c r="B138" s="78"/>
      <c r="C138" s="78"/>
      <c r="D138" s="78"/>
      <c r="E138" s="78"/>
      <c r="F138" s="78"/>
      <c r="G138" s="78"/>
      <c r="H138" s="77"/>
      <c r="I138" s="34"/>
      <c r="N138" s="34"/>
    </row>
    <row r="139" spans="1:14" ht="63.75" customHeight="1" x14ac:dyDescent="0.35">
      <c r="A139" s="49" t="s">
        <v>125</v>
      </c>
      <c r="B139" s="49" t="s">
        <v>126</v>
      </c>
      <c r="C139" s="40" t="s">
        <v>59</v>
      </c>
      <c r="D139" s="40" t="s">
        <v>60</v>
      </c>
      <c r="E139" s="48" t="s">
        <v>61</v>
      </c>
      <c r="F139" s="40" t="s">
        <v>226</v>
      </c>
      <c r="G139" s="121" t="s">
        <v>62</v>
      </c>
      <c r="H139" s="122"/>
      <c r="I139" s="34"/>
    </row>
    <row r="140" spans="1:14" s="35" customFormat="1" x14ac:dyDescent="0.35">
      <c r="A140" s="169" t="s">
        <v>192</v>
      </c>
      <c r="B140" s="170"/>
      <c r="C140" s="170"/>
      <c r="D140" s="170"/>
      <c r="E140" s="170"/>
      <c r="F140" s="170"/>
      <c r="G140" s="170"/>
      <c r="H140" s="171"/>
      <c r="J140" s="34"/>
    </row>
    <row r="141" spans="1:14" s="35" customFormat="1" x14ac:dyDescent="0.35">
      <c r="A141" s="79" t="s">
        <v>197</v>
      </c>
      <c r="B141" s="80"/>
      <c r="C141" s="80"/>
      <c r="D141" s="80"/>
      <c r="E141" s="80"/>
      <c r="F141" s="80"/>
      <c r="G141" s="80"/>
      <c r="H141" s="81"/>
      <c r="J141" s="34"/>
    </row>
    <row r="142" spans="1:14" s="35" customFormat="1" x14ac:dyDescent="0.35">
      <c r="A142" s="79" t="s">
        <v>194</v>
      </c>
      <c r="B142" s="80"/>
      <c r="C142" s="80"/>
      <c r="D142" s="80"/>
      <c r="E142" s="80"/>
      <c r="F142" s="80"/>
      <c r="G142" s="80"/>
      <c r="H142" s="81"/>
      <c r="J142" s="34"/>
    </row>
    <row r="143" spans="1:14" s="60" customFormat="1" x14ac:dyDescent="0.35">
      <c r="A143" s="91" t="s">
        <v>214</v>
      </c>
      <c r="B143" s="91"/>
      <c r="C143" s="91"/>
      <c r="D143" s="91"/>
      <c r="E143" s="91"/>
      <c r="F143" s="91"/>
      <c r="G143" s="91"/>
      <c r="H143" s="91"/>
      <c r="I143" s="34"/>
      <c r="L143" s="74"/>
      <c r="M143" s="74"/>
    </row>
    <row r="144" spans="1:14" s="60" customFormat="1" ht="15.75" customHeight="1" x14ac:dyDescent="0.35">
      <c r="A144" s="75">
        <v>1</v>
      </c>
      <c r="B144" s="75"/>
      <c r="C144" s="59" t="s">
        <v>200</v>
      </c>
      <c r="D144" s="59">
        <f>(57.429+3.544)*(10.764)</f>
        <v>656.31337199999996</v>
      </c>
      <c r="E144" s="59">
        <f t="shared" ref="E144:E145" si="4">(2.625*5.1+5.69*2.9+2.1*6.55)*10.764</f>
        <v>469.77863400000001</v>
      </c>
      <c r="F144" s="59">
        <v>1150</v>
      </c>
      <c r="G144" s="82" t="str">
        <f>A143</f>
        <v>1st Floor For Swimming pool &amp; Residential</v>
      </c>
      <c r="H144" s="83"/>
      <c r="I144" s="52">
        <f>5.2*3.3+1.5*1.1+2.425*3.3+2.75*3.3+3.65*3.3+1.25*2.13+2.45*1.25+1.25*1+2.625*1.35</f>
        <v>58.451250000000009</v>
      </c>
      <c r="J144" s="60">
        <f>2.625*5.1+6*2.9+2.1*6.55</f>
        <v>44.542499999999997</v>
      </c>
      <c r="N144" s="34"/>
    </row>
    <row r="145" spans="1:14" s="60" customFormat="1" ht="15.75" customHeight="1" x14ac:dyDescent="0.35">
      <c r="A145" s="75">
        <f t="shared" ref="A145:A149" si="5">A144+1</f>
        <v>2</v>
      </c>
      <c r="B145" s="75"/>
      <c r="C145" s="59" t="s">
        <v>200</v>
      </c>
      <c r="D145" s="59">
        <f t="shared" ref="D145:D146" si="6">(57.429+3.544)*(10.764)</f>
        <v>656.31337199999996</v>
      </c>
      <c r="E145" s="59">
        <f t="shared" si="4"/>
        <v>469.77863400000001</v>
      </c>
      <c r="F145" s="59">
        <v>1150</v>
      </c>
      <c r="G145" s="84"/>
      <c r="H145" s="85"/>
      <c r="I145" s="52"/>
      <c r="N145" s="34"/>
    </row>
    <row r="146" spans="1:14" s="60" customFormat="1" ht="15.75" customHeight="1" x14ac:dyDescent="0.35">
      <c r="A146" s="75">
        <f t="shared" si="5"/>
        <v>3</v>
      </c>
      <c r="B146" s="75"/>
      <c r="C146" s="59" t="s">
        <v>200</v>
      </c>
      <c r="D146" s="59">
        <f t="shared" si="6"/>
        <v>656.31337199999996</v>
      </c>
      <c r="E146" s="59">
        <f>(2.625*5.1+5.69*2.9+2.1*6.55)*10.764</f>
        <v>469.77863400000001</v>
      </c>
      <c r="F146" s="59">
        <v>1150</v>
      </c>
      <c r="G146" s="84"/>
      <c r="H146" s="85"/>
      <c r="I146" s="52"/>
      <c r="N146" s="34"/>
    </row>
    <row r="147" spans="1:14" s="60" customFormat="1" ht="15.75" customHeight="1" x14ac:dyDescent="0.35">
      <c r="A147" s="75">
        <f t="shared" si="5"/>
        <v>4</v>
      </c>
      <c r="B147" s="75"/>
      <c r="C147" s="59" t="s">
        <v>200</v>
      </c>
      <c r="D147" s="59">
        <f>(57.02+3.544)*(10.764)</f>
        <v>651.91089599999998</v>
      </c>
      <c r="E147" s="59">
        <f>(2.625*5.1+5.79*2.9+2.15*6.55)*(10.764)</f>
        <v>476.4254039999999</v>
      </c>
      <c r="F147" s="59">
        <v>1150</v>
      </c>
      <c r="G147" s="84"/>
      <c r="H147" s="85"/>
      <c r="I147" s="52"/>
      <c r="N147" s="34"/>
    </row>
    <row r="148" spans="1:14" s="60" customFormat="1" ht="15.75" customHeight="1" x14ac:dyDescent="0.35">
      <c r="A148" s="75">
        <f t="shared" si="5"/>
        <v>5</v>
      </c>
      <c r="B148" s="75"/>
      <c r="C148" s="59" t="s">
        <v>196</v>
      </c>
      <c r="D148" s="59">
        <f>(72.848+3.26)*(10.764)</f>
        <v>819.22651199999996</v>
      </c>
      <c r="E148" s="59">
        <f>(2.415*7.45+1.6*4.75+1.2*8.1+2.415*3.3+0.5*6.75*10.5)*10.764</f>
        <v>847.32862499999999</v>
      </c>
      <c r="F148" s="59">
        <v>1455</v>
      </c>
      <c r="G148" s="84"/>
      <c r="H148" s="85"/>
      <c r="I148" s="52"/>
      <c r="N148" s="34"/>
    </row>
    <row r="149" spans="1:14" s="60" customFormat="1" ht="15.75" customHeight="1" x14ac:dyDescent="0.35">
      <c r="A149" s="75">
        <f t="shared" si="5"/>
        <v>6</v>
      </c>
      <c r="B149" s="75"/>
      <c r="C149" s="59" t="s">
        <v>196</v>
      </c>
      <c r="D149" s="59">
        <f>(71.914+3.51+0.75*(2.45+1.7+6.35))*(10.764)</f>
        <v>896.63043600000003</v>
      </c>
      <c r="E149" s="59">
        <v>0</v>
      </c>
      <c r="F149" s="59">
        <v>1425</v>
      </c>
      <c r="G149" s="84"/>
      <c r="H149" s="85"/>
      <c r="I149" s="52"/>
      <c r="J149" s="65">
        <f>F149/D149</f>
        <v>1.5892835473633196</v>
      </c>
      <c r="N149" s="34"/>
    </row>
    <row r="150" spans="1:14" s="60" customFormat="1" x14ac:dyDescent="0.35">
      <c r="A150" s="91" t="s">
        <v>215</v>
      </c>
      <c r="B150" s="91"/>
      <c r="C150" s="91"/>
      <c r="D150" s="91"/>
      <c r="E150" s="91"/>
      <c r="F150" s="91"/>
      <c r="G150" s="91"/>
      <c r="H150" s="91"/>
      <c r="I150" s="34"/>
      <c r="L150" s="74"/>
      <c r="M150" s="74"/>
    </row>
    <row r="151" spans="1:14" s="60" customFormat="1" ht="15.75" customHeight="1" x14ac:dyDescent="0.35">
      <c r="A151" s="75">
        <v>1</v>
      </c>
      <c r="B151" s="75"/>
      <c r="C151" s="59" t="s">
        <v>200</v>
      </c>
      <c r="D151" s="59">
        <f>(57.429+3.544+0.75*(2.1+5.75))*(10.764)</f>
        <v>719.68642199999999</v>
      </c>
      <c r="E151" s="59">
        <v>0</v>
      </c>
      <c r="F151" s="59">
        <v>1150</v>
      </c>
      <c r="G151" s="82" t="str">
        <f>A150</f>
        <v>2nd to 6th, 8th to 10th &amp; 12th Floor</v>
      </c>
      <c r="H151" s="83"/>
      <c r="I151" s="52"/>
      <c r="J151" s="60">
        <f>F151/D151</f>
        <v>1.5979181555269082</v>
      </c>
      <c r="N151" s="34"/>
    </row>
    <row r="152" spans="1:14" s="60" customFormat="1" ht="15.75" customHeight="1" x14ac:dyDescent="0.35">
      <c r="A152" s="75">
        <f t="shared" ref="A152:A156" si="7">A151+1</f>
        <v>2</v>
      </c>
      <c r="B152" s="75"/>
      <c r="C152" s="59" t="s">
        <v>200</v>
      </c>
      <c r="D152" s="59">
        <f>(57.429+3.544+0.75*(5.75+2.1))*(10.764)</f>
        <v>719.68642199999999</v>
      </c>
      <c r="E152" s="59">
        <v>0</v>
      </c>
      <c r="F152" s="59">
        <v>1150</v>
      </c>
      <c r="G152" s="84"/>
      <c r="H152" s="85"/>
      <c r="I152" s="52"/>
      <c r="J152" s="62">
        <f t="shared" ref="J152:J158" si="8">F152/D152</f>
        <v>1.5979181555269082</v>
      </c>
      <c r="N152" s="34"/>
    </row>
    <row r="153" spans="1:14" s="60" customFormat="1" ht="15.75" customHeight="1" x14ac:dyDescent="0.35">
      <c r="A153" s="75">
        <f t="shared" si="7"/>
        <v>3</v>
      </c>
      <c r="B153" s="75"/>
      <c r="C153" s="59" t="s">
        <v>200</v>
      </c>
      <c r="D153" s="59">
        <f>(57.429+3.544+0.75*(5.75+2.1))*(10.764)</f>
        <v>719.68642199999999</v>
      </c>
      <c r="E153" s="59">
        <v>0</v>
      </c>
      <c r="F153" s="59">
        <v>1150</v>
      </c>
      <c r="G153" s="84"/>
      <c r="H153" s="85"/>
      <c r="I153" s="52"/>
      <c r="J153" s="62">
        <f t="shared" si="8"/>
        <v>1.5979181555269082</v>
      </c>
      <c r="N153" s="34"/>
    </row>
    <row r="154" spans="1:14" s="60" customFormat="1" ht="15.75" customHeight="1" x14ac:dyDescent="0.35">
      <c r="A154" s="75">
        <f t="shared" si="7"/>
        <v>4</v>
      </c>
      <c r="B154" s="75"/>
      <c r="C154" s="59" t="s">
        <v>200</v>
      </c>
      <c r="D154" s="59">
        <f>(57.02+3.544+0.75*(5.75+2.1))*(10.764)</f>
        <v>715.2839459999999</v>
      </c>
      <c r="E154" s="59">
        <v>0</v>
      </c>
      <c r="F154" s="59">
        <v>1150</v>
      </c>
      <c r="G154" s="84"/>
      <c r="H154" s="85"/>
      <c r="I154" s="52"/>
      <c r="J154" s="62">
        <f t="shared" si="8"/>
        <v>1.6077531257775499</v>
      </c>
      <c r="N154" s="34"/>
    </row>
    <row r="155" spans="1:14" s="60" customFormat="1" ht="15.75" customHeight="1" x14ac:dyDescent="0.35">
      <c r="A155" s="75">
        <f t="shared" si="7"/>
        <v>5</v>
      </c>
      <c r="B155" s="75"/>
      <c r="C155" s="59" t="s">
        <v>196</v>
      </c>
      <c r="D155" s="59">
        <f>(72.848+3.26+0.75*(6.45+1.6+2.45))*(10.764)</f>
        <v>903.99301200000002</v>
      </c>
      <c r="E155" s="59">
        <v>0</v>
      </c>
      <c r="F155" s="59">
        <v>1455</v>
      </c>
      <c r="G155" s="84"/>
      <c r="H155" s="85"/>
      <c r="I155" s="52"/>
      <c r="J155" s="62">
        <f t="shared" si="8"/>
        <v>1.6095257161125045</v>
      </c>
      <c r="N155" s="34"/>
    </row>
    <row r="156" spans="1:14" s="60" customFormat="1" ht="15.75" customHeight="1" x14ac:dyDescent="0.35">
      <c r="A156" s="75">
        <f t="shared" si="7"/>
        <v>6</v>
      </c>
      <c r="B156" s="75"/>
      <c r="C156" s="59" t="s">
        <v>196</v>
      </c>
      <c r="D156" s="59">
        <f>(71.914+3.51+0.75*(2.45+1.7+6.35))*(10.764)</f>
        <v>896.63043600000003</v>
      </c>
      <c r="E156" s="59">
        <v>0</v>
      </c>
      <c r="F156" s="59">
        <v>1425</v>
      </c>
      <c r="G156" s="84"/>
      <c r="H156" s="85"/>
      <c r="I156" s="52"/>
      <c r="J156" s="62">
        <f t="shared" si="8"/>
        <v>1.5892835473633196</v>
      </c>
      <c r="N156" s="34"/>
    </row>
    <row r="157" spans="1:14" s="60" customFormat="1" ht="15.75" customHeight="1" x14ac:dyDescent="0.35">
      <c r="A157" s="76">
        <v>7</v>
      </c>
      <c r="B157" s="77"/>
      <c r="C157" s="59" t="s">
        <v>200</v>
      </c>
      <c r="D157" s="59">
        <f>(57.429+3.544+0.75*(5.69+2.1))*(10.764)</f>
        <v>719.20204200000001</v>
      </c>
      <c r="E157" s="59">
        <v>0</v>
      </c>
      <c r="F157" s="59">
        <v>1150</v>
      </c>
      <c r="G157" s="84"/>
      <c r="H157" s="85"/>
      <c r="I157" s="34"/>
      <c r="J157" s="62">
        <f t="shared" si="8"/>
        <v>1.5989943476829005</v>
      </c>
    </row>
    <row r="158" spans="1:14" s="60" customFormat="1" ht="15.75" customHeight="1" x14ac:dyDescent="0.35">
      <c r="A158" s="76">
        <v>8</v>
      </c>
      <c r="B158" s="77"/>
      <c r="C158" s="59" t="s">
        <v>200</v>
      </c>
      <c r="D158" s="59">
        <f>(57.429+3.544+0.75*(5.69+2.1))*(10.764)</f>
        <v>719.20204200000001</v>
      </c>
      <c r="E158" s="59">
        <v>0</v>
      </c>
      <c r="F158" s="59">
        <v>1150</v>
      </c>
      <c r="G158" s="86"/>
      <c r="H158" s="87"/>
      <c r="I158" s="34"/>
      <c r="J158" s="62">
        <f t="shared" si="8"/>
        <v>1.5989943476829005</v>
      </c>
    </row>
    <row r="159" spans="1:14" s="60" customFormat="1" x14ac:dyDescent="0.35">
      <c r="A159" s="91" t="s">
        <v>216</v>
      </c>
      <c r="B159" s="91"/>
      <c r="C159" s="91"/>
      <c r="D159" s="91"/>
      <c r="E159" s="91"/>
      <c r="F159" s="91"/>
      <c r="G159" s="91"/>
      <c r="H159" s="91"/>
      <c r="I159" s="34"/>
      <c r="L159" s="74"/>
      <c r="M159" s="74"/>
    </row>
    <row r="160" spans="1:14" s="60" customFormat="1" ht="15.75" customHeight="1" x14ac:dyDescent="0.35">
      <c r="A160" s="75">
        <v>1</v>
      </c>
      <c r="B160" s="75"/>
      <c r="C160" s="59" t="s">
        <v>200</v>
      </c>
      <c r="D160" s="59">
        <f>(57.429+3.544+0.75*(2.1+5.75))*(10.764)</f>
        <v>719.68642199999999</v>
      </c>
      <c r="E160" s="59">
        <v>0</v>
      </c>
      <c r="F160" s="59">
        <v>1150</v>
      </c>
      <c r="G160" s="82" t="str">
        <f>A159</f>
        <v>7th &amp; 11th Floor (Part Refuge Area)</v>
      </c>
      <c r="H160" s="83"/>
      <c r="I160" s="52"/>
      <c r="N160" s="34"/>
    </row>
    <row r="161" spans="1:14" s="60" customFormat="1" ht="15.75" customHeight="1" x14ac:dyDescent="0.35">
      <c r="A161" s="75">
        <f t="shared" ref="A161:A165" si="9">A160+1</f>
        <v>2</v>
      </c>
      <c r="B161" s="75"/>
      <c r="C161" s="59" t="s">
        <v>200</v>
      </c>
      <c r="D161" s="59">
        <f>(57.429+3.544+0.75*(5.75+2.1))*(10.764)</f>
        <v>719.68642199999999</v>
      </c>
      <c r="E161" s="59">
        <v>0</v>
      </c>
      <c r="F161" s="59">
        <v>1150</v>
      </c>
      <c r="G161" s="84"/>
      <c r="H161" s="85"/>
      <c r="I161" s="52"/>
      <c r="N161" s="34"/>
    </row>
    <row r="162" spans="1:14" s="60" customFormat="1" ht="15.75" customHeight="1" x14ac:dyDescent="0.35">
      <c r="A162" s="75">
        <f t="shared" si="9"/>
        <v>3</v>
      </c>
      <c r="B162" s="75"/>
      <c r="C162" s="59" t="s">
        <v>200</v>
      </c>
      <c r="D162" s="59">
        <f>(57.429+3.544+0.75*(5.75+2.1))*(10.764)</f>
        <v>719.68642199999999</v>
      </c>
      <c r="E162" s="59">
        <v>0</v>
      </c>
      <c r="F162" s="59">
        <v>1150</v>
      </c>
      <c r="G162" s="84"/>
      <c r="H162" s="85"/>
      <c r="I162" s="52"/>
      <c r="N162" s="34"/>
    </row>
    <row r="163" spans="1:14" s="60" customFormat="1" ht="15.75" customHeight="1" x14ac:dyDescent="0.35">
      <c r="A163" s="75">
        <f t="shared" si="9"/>
        <v>4</v>
      </c>
      <c r="B163" s="75"/>
      <c r="C163" s="59" t="s">
        <v>200</v>
      </c>
      <c r="D163" s="59">
        <f>(57.02+3.544+0.75*(5.75+2.1))*(10.764)</f>
        <v>715.2839459999999</v>
      </c>
      <c r="E163" s="59">
        <v>0</v>
      </c>
      <c r="F163" s="59">
        <v>1150</v>
      </c>
      <c r="G163" s="84"/>
      <c r="H163" s="85"/>
      <c r="I163" s="52"/>
      <c r="N163" s="34"/>
    </row>
    <row r="164" spans="1:14" s="60" customFormat="1" ht="15.75" customHeight="1" x14ac:dyDescent="0.35">
      <c r="A164" s="75">
        <f t="shared" si="9"/>
        <v>5</v>
      </c>
      <c r="B164" s="75"/>
      <c r="C164" s="59" t="s">
        <v>196</v>
      </c>
      <c r="D164" s="59">
        <f>(72.848+3.26+0.75*(6.45+1.6+2.45))*(10.764)</f>
        <v>903.99301200000002</v>
      </c>
      <c r="E164" s="59">
        <v>0</v>
      </c>
      <c r="F164" s="59">
        <v>1455</v>
      </c>
      <c r="G164" s="84"/>
      <c r="H164" s="85"/>
      <c r="I164" s="52"/>
      <c r="N164" s="34"/>
    </row>
    <row r="165" spans="1:14" s="60" customFormat="1" ht="15.75" customHeight="1" x14ac:dyDescent="0.35">
      <c r="A165" s="75">
        <f t="shared" si="9"/>
        <v>6</v>
      </c>
      <c r="B165" s="75"/>
      <c r="C165" s="88" t="s">
        <v>217</v>
      </c>
      <c r="D165" s="89"/>
      <c r="E165" s="89"/>
      <c r="F165" s="90"/>
      <c r="G165" s="84"/>
      <c r="H165" s="85"/>
      <c r="I165" s="52"/>
      <c r="J165" s="65"/>
      <c r="N165" s="34"/>
    </row>
    <row r="166" spans="1:14" s="60" customFormat="1" ht="15.75" customHeight="1" x14ac:dyDescent="0.35">
      <c r="A166" s="76">
        <v>7</v>
      </c>
      <c r="B166" s="77"/>
      <c r="C166" s="59" t="s">
        <v>200</v>
      </c>
      <c r="D166" s="59">
        <f>(57.429+3.544+0.75*(5.69+2.1))*(10.764)</f>
        <v>719.20204200000001</v>
      </c>
      <c r="E166" s="59">
        <v>0</v>
      </c>
      <c r="F166" s="59">
        <v>1150</v>
      </c>
      <c r="G166" s="84"/>
      <c r="H166" s="85"/>
      <c r="I166" s="34"/>
    </row>
    <row r="167" spans="1:14" s="60" customFormat="1" ht="15.75" customHeight="1" x14ac:dyDescent="0.35">
      <c r="A167" s="76">
        <v>8</v>
      </c>
      <c r="B167" s="77"/>
      <c r="C167" s="59" t="s">
        <v>200</v>
      </c>
      <c r="D167" s="59">
        <f>(57.429+3.544+0.75*(5.69+2.1))*(10.764)</f>
        <v>719.20204200000001</v>
      </c>
      <c r="E167" s="59">
        <v>0</v>
      </c>
      <c r="F167" s="59">
        <v>1150</v>
      </c>
      <c r="G167" s="86"/>
      <c r="H167" s="87"/>
      <c r="I167" s="34"/>
    </row>
    <row r="168" spans="1:14" s="60" customFormat="1" x14ac:dyDescent="0.35">
      <c r="A168" s="91" t="s">
        <v>218</v>
      </c>
      <c r="B168" s="91"/>
      <c r="C168" s="91"/>
      <c r="D168" s="91"/>
      <c r="E168" s="91"/>
      <c r="F168" s="91"/>
      <c r="G168" s="91"/>
      <c r="H168" s="91"/>
      <c r="I168" s="34"/>
      <c r="L168" s="74"/>
      <c r="M168" s="74"/>
    </row>
    <row r="169" spans="1:14" s="60" customFormat="1" ht="15.75" customHeight="1" x14ac:dyDescent="0.35">
      <c r="A169" s="75">
        <v>1</v>
      </c>
      <c r="B169" s="75"/>
      <c r="C169" s="70" t="s">
        <v>200</v>
      </c>
      <c r="D169" s="70">
        <f>(57.429+3.544+0.75*(2.1+5.75))*(10.764)</f>
        <v>719.68642199999999</v>
      </c>
      <c r="E169" s="70">
        <v>0</v>
      </c>
      <c r="F169" s="70">
        <v>1150</v>
      </c>
      <c r="G169" s="75" t="str">
        <f>A168</f>
        <v>13th Floor</v>
      </c>
      <c r="H169" s="75"/>
      <c r="I169" s="52"/>
      <c r="N169" s="34"/>
    </row>
    <row r="170" spans="1:14" s="60" customFormat="1" ht="15.75" customHeight="1" x14ac:dyDescent="0.35">
      <c r="A170" s="75">
        <f t="shared" ref="A170:A174" si="10">A169+1</f>
        <v>2</v>
      </c>
      <c r="B170" s="75"/>
      <c r="C170" s="70" t="s">
        <v>200</v>
      </c>
      <c r="D170" s="70">
        <f>(57.429+3.544+0.75*(5.75+2.1))*(10.764)</f>
        <v>719.68642199999999</v>
      </c>
      <c r="E170" s="70">
        <v>0</v>
      </c>
      <c r="F170" s="70">
        <v>1150</v>
      </c>
      <c r="G170" s="75"/>
      <c r="H170" s="75"/>
      <c r="I170" s="52"/>
      <c r="N170" s="34"/>
    </row>
    <row r="171" spans="1:14" s="60" customFormat="1" ht="15.75" customHeight="1" x14ac:dyDescent="0.35">
      <c r="A171" s="75">
        <f t="shared" si="10"/>
        <v>3</v>
      </c>
      <c r="B171" s="75"/>
      <c r="C171" s="70" t="s">
        <v>200</v>
      </c>
      <c r="D171" s="70">
        <f>(57.429+3.544+0.75*(5.75+2.1))*(10.764)</f>
        <v>719.68642199999999</v>
      </c>
      <c r="E171" s="70">
        <v>0</v>
      </c>
      <c r="F171" s="70">
        <v>1150</v>
      </c>
      <c r="G171" s="75"/>
      <c r="H171" s="75"/>
      <c r="I171" s="52"/>
      <c r="N171" s="34"/>
    </row>
    <row r="172" spans="1:14" s="60" customFormat="1" ht="15.75" customHeight="1" x14ac:dyDescent="0.35">
      <c r="A172" s="75">
        <f t="shared" si="10"/>
        <v>4</v>
      </c>
      <c r="B172" s="75"/>
      <c r="C172" s="70" t="s">
        <v>200</v>
      </c>
      <c r="D172" s="70">
        <f>(57.02+3.544+0.75*(5.75+2.1))*(10.764)</f>
        <v>715.2839459999999</v>
      </c>
      <c r="E172" s="70">
        <v>0</v>
      </c>
      <c r="F172" s="70">
        <v>1150</v>
      </c>
      <c r="G172" s="75"/>
      <c r="H172" s="75"/>
      <c r="I172" s="52"/>
      <c r="N172" s="34"/>
    </row>
    <row r="173" spans="1:14" s="60" customFormat="1" ht="15.75" customHeight="1" x14ac:dyDescent="0.35">
      <c r="A173" s="75">
        <f t="shared" si="10"/>
        <v>5</v>
      </c>
      <c r="B173" s="75"/>
      <c r="C173" s="70" t="s">
        <v>196</v>
      </c>
      <c r="D173" s="70">
        <f>(72.848+3.26+0.75*(6.45+1.6+2.45))*(10.764)</f>
        <v>903.99301200000002</v>
      </c>
      <c r="E173" s="70">
        <v>0</v>
      </c>
      <c r="F173" s="70">
        <v>1455</v>
      </c>
      <c r="G173" s="75"/>
      <c r="H173" s="75"/>
      <c r="I173" s="52"/>
      <c r="N173" s="34"/>
    </row>
    <row r="174" spans="1:14" s="60" customFormat="1" ht="15.75" customHeight="1" x14ac:dyDescent="0.35">
      <c r="A174" s="75">
        <f t="shared" si="10"/>
        <v>6</v>
      </c>
      <c r="B174" s="75"/>
      <c r="C174" s="70" t="s">
        <v>196</v>
      </c>
      <c r="D174" s="70">
        <f>(71.914+3.51+0.75*(2.45+1.7+6.35))*(10.764)</f>
        <v>896.63043600000003</v>
      </c>
      <c r="E174" s="70">
        <v>0</v>
      </c>
      <c r="F174" s="70">
        <v>1425</v>
      </c>
      <c r="G174" s="75"/>
      <c r="H174" s="75"/>
      <c r="I174" s="52"/>
      <c r="J174" s="65"/>
      <c r="N174" s="34"/>
    </row>
    <row r="175" spans="1:14" s="60" customFormat="1" ht="15.75" customHeight="1" x14ac:dyDescent="0.35">
      <c r="A175" s="75">
        <v>7</v>
      </c>
      <c r="B175" s="75"/>
      <c r="C175" s="70" t="s">
        <v>200</v>
      </c>
      <c r="D175" s="70">
        <f>(57.429+3.544+0.75*(5.69+2.1))*(10.764)</f>
        <v>719.20204200000001</v>
      </c>
      <c r="E175" s="70">
        <v>0</v>
      </c>
      <c r="F175" s="70">
        <v>1150</v>
      </c>
      <c r="G175" s="75"/>
      <c r="H175" s="75"/>
      <c r="I175" s="34"/>
    </row>
    <row r="176" spans="1:14" s="60" customFormat="1" ht="15.75" customHeight="1" x14ac:dyDescent="0.35">
      <c r="A176" s="75">
        <v>8</v>
      </c>
      <c r="B176" s="75"/>
      <c r="C176" s="70" t="s">
        <v>200</v>
      </c>
      <c r="D176" s="70">
        <f>(57.429+3.544+0.75*(5.69+2.1))*(10.764)</f>
        <v>719.20204200000001</v>
      </c>
      <c r="E176" s="70">
        <v>0</v>
      </c>
      <c r="F176" s="70">
        <v>1150</v>
      </c>
      <c r="G176" s="75"/>
      <c r="H176" s="75"/>
      <c r="I176" s="34"/>
    </row>
    <row r="177" spans="1:14" s="35" customFormat="1" hidden="1" x14ac:dyDescent="0.35">
      <c r="A177" s="139" t="s">
        <v>199</v>
      </c>
      <c r="B177" s="139"/>
      <c r="C177" s="139"/>
      <c r="D177" s="139"/>
      <c r="E177" s="139"/>
      <c r="F177" s="139"/>
      <c r="G177" s="139"/>
      <c r="H177" s="139"/>
      <c r="I177" s="34"/>
      <c r="L177" s="74"/>
      <c r="M177" s="74"/>
    </row>
    <row r="178" spans="1:14" s="35" customFormat="1" ht="15.75" hidden="1" customHeight="1" x14ac:dyDescent="0.35">
      <c r="A178" s="75">
        <v>1</v>
      </c>
      <c r="B178" s="75"/>
      <c r="C178" s="70" t="s">
        <v>200</v>
      </c>
      <c r="D178" s="70">
        <f>(57.02)*(10.764)</f>
        <v>613.76328000000001</v>
      </c>
      <c r="E178" s="70">
        <f>(2.625*3.6+5.69*0.8+4.3*2.1+5.69*0.75+2.1*0.75)*(10.764)</f>
        <v>310.80511799999999</v>
      </c>
      <c r="F178" s="70">
        <v>1150</v>
      </c>
      <c r="G178" s="75" t="str">
        <f>A177</f>
        <v>1st Floor For Residential</v>
      </c>
      <c r="H178" s="75"/>
      <c r="I178" s="52">
        <f>5.2*3.3+1.5*1.1+2.425*3.3+2.75*3.3+3.65*3.3+1.25*2.13+1.25*1+2.15*1.25</f>
        <v>54.532500000000006</v>
      </c>
      <c r="N178" s="34"/>
    </row>
    <row r="179" spans="1:14" s="35" customFormat="1" ht="15.75" hidden="1" customHeight="1" x14ac:dyDescent="0.35">
      <c r="A179" s="75">
        <f t="shared" ref="A179:A185" si="11">A178+1</f>
        <v>2</v>
      </c>
      <c r="B179" s="75"/>
      <c r="C179" s="70" t="s">
        <v>200</v>
      </c>
      <c r="D179" s="70">
        <f>(57.02)*(10.764)</f>
        <v>613.76328000000001</v>
      </c>
      <c r="E179" s="70">
        <f t="shared" ref="E179:E180" si="12">(2.625*3.6+5.69*0.8+4.3*2.1+5.69*0.75+2.1*0.75)*(10.764)</f>
        <v>310.80511799999999</v>
      </c>
      <c r="F179" s="70">
        <v>1150</v>
      </c>
      <c r="G179" s="75"/>
      <c r="H179" s="75"/>
      <c r="I179" s="52"/>
      <c r="N179" s="34"/>
    </row>
    <row r="180" spans="1:14" s="35" customFormat="1" ht="15.75" hidden="1" customHeight="1" x14ac:dyDescent="0.35">
      <c r="A180" s="75">
        <f t="shared" si="11"/>
        <v>3</v>
      </c>
      <c r="B180" s="75"/>
      <c r="C180" s="70" t="s">
        <v>200</v>
      </c>
      <c r="D180" s="70">
        <f>(57.02)*(10.764)</f>
        <v>613.76328000000001</v>
      </c>
      <c r="E180" s="70">
        <f t="shared" si="12"/>
        <v>310.80511799999999</v>
      </c>
      <c r="F180" s="70">
        <v>1150</v>
      </c>
      <c r="G180" s="75"/>
      <c r="H180" s="75"/>
      <c r="I180" s="52"/>
      <c r="N180" s="34"/>
    </row>
    <row r="181" spans="1:14" s="35" customFormat="1" ht="15.75" hidden="1" customHeight="1" x14ac:dyDescent="0.35">
      <c r="A181" s="75">
        <f t="shared" si="11"/>
        <v>4</v>
      </c>
      <c r="B181" s="75"/>
      <c r="C181" s="70" t="s">
        <v>200</v>
      </c>
      <c r="D181" s="70">
        <f>(57.02)*(10.764)</f>
        <v>613.76328000000001</v>
      </c>
      <c r="E181" s="70">
        <f>(2.625*3.5+5.69*0.8+2.15*4.11+1.2*0.8+(0.5*0.8*1.2)+(0.5*10.5*5)+5.69*0.75+2.15*0.75)*(10.764)</f>
        <v>604.35554400000001</v>
      </c>
      <c r="F181" s="70">
        <v>1150</v>
      </c>
      <c r="G181" s="75"/>
      <c r="H181" s="75"/>
      <c r="I181" s="52"/>
      <c r="N181" s="34"/>
    </row>
    <row r="182" spans="1:14" s="35" customFormat="1" ht="15.75" hidden="1" customHeight="1" x14ac:dyDescent="0.35">
      <c r="A182" s="75">
        <f t="shared" si="11"/>
        <v>5</v>
      </c>
      <c r="B182" s="75"/>
      <c r="C182" s="70" t="s">
        <v>196</v>
      </c>
      <c r="D182" s="70">
        <f>(71.914+6.5*0.75+1.7*0.75)*(10.764)</f>
        <v>840.28089599999998</v>
      </c>
      <c r="E182" s="70">
        <f>(1.8*0.75+2.5*1.9+2.415*2.065+3.5*2.415+3*1.7+4.015*0.75+1.6*0.75)*(10.764)</f>
        <v>310.54920389999995</v>
      </c>
      <c r="F182" s="70">
        <v>1455</v>
      </c>
      <c r="G182" s="75"/>
      <c r="H182" s="75"/>
      <c r="I182" s="52"/>
      <c r="N182" s="34"/>
    </row>
    <row r="183" spans="1:14" s="35" customFormat="1" ht="15.75" hidden="1" customHeight="1" x14ac:dyDescent="0.35">
      <c r="A183" s="75">
        <f t="shared" si="11"/>
        <v>6</v>
      </c>
      <c r="B183" s="75"/>
      <c r="C183" s="70" t="s">
        <v>196</v>
      </c>
      <c r="D183" s="70">
        <f>(71.914+6.5*0.75+3.365*0.75+1.6*0.75+2*0.75)*(10.764)</f>
        <v>882.78524100000004</v>
      </c>
      <c r="E183" s="70">
        <v>0</v>
      </c>
      <c r="F183" s="70">
        <v>1425</v>
      </c>
      <c r="G183" s="75"/>
      <c r="H183" s="75"/>
      <c r="I183" s="52"/>
      <c r="J183" s="65">
        <f>F183/D183</f>
        <v>1.6142091346993872</v>
      </c>
      <c r="N183" s="34"/>
    </row>
    <row r="184" spans="1:14" s="35" customFormat="1" ht="15.75" hidden="1" customHeight="1" x14ac:dyDescent="0.35">
      <c r="A184" s="75">
        <f t="shared" si="11"/>
        <v>7</v>
      </c>
      <c r="B184" s="75"/>
      <c r="C184" s="70" t="s">
        <v>200</v>
      </c>
      <c r="D184" s="70">
        <f>(57.02+5.69*0.75+2.2*0.75)*(10.764)</f>
        <v>677.45925</v>
      </c>
      <c r="E184" s="70">
        <v>0</v>
      </c>
      <c r="F184" s="70">
        <v>1150</v>
      </c>
      <c r="G184" s="75"/>
      <c r="H184" s="75"/>
      <c r="I184" s="34"/>
      <c r="N184" s="34"/>
    </row>
    <row r="185" spans="1:14" s="35" customFormat="1" ht="15.75" hidden="1" customHeight="1" x14ac:dyDescent="0.35">
      <c r="A185" s="75">
        <f t="shared" si="11"/>
        <v>8</v>
      </c>
      <c r="B185" s="75"/>
      <c r="C185" s="70" t="s">
        <v>200</v>
      </c>
      <c r="D185" s="70">
        <f>(57.02+5.69*0.75+2.2*0.75)*(10.764)</f>
        <v>677.45925</v>
      </c>
      <c r="E185" s="70">
        <v>0</v>
      </c>
      <c r="F185" s="70">
        <v>1150</v>
      </c>
      <c r="G185" s="75"/>
      <c r="H185" s="75"/>
      <c r="I185" s="34"/>
      <c r="N185" s="34"/>
    </row>
    <row r="186" spans="1:14" s="35" customFormat="1" hidden="1" x14ac:dyDescent="0.35">
      <c r="A186" s="91" t="s">
        <v>201</v>
      </c>
      <c r="B186" s="91"/>
      <c r="C186" s="91"/>
      <c r="D186" s="91"/>
      <c r="E186" s="91"/>
      <c r="F186" s="91"/>
      <c r="G186" s="91"/>
      <c r="H186" s="91"/>
      <c r="I186" s="34"/>
    </row>
    <row r="187" spans="1:14" s="35" customFormat="1" ht="15.75" hidden="1" customHeight="1" x14ac:dyDescent="0.35">
      <c r="A187" s="75">
        <v>1</v>
      </c>
      <c r="B187" s="75"/>
      <c r="C187" s="70" t="s">
        <v>200</v>
      </c>
      <c r="D187" s="70">
        <f>(57.02+((5.69+2.1)*0.75))*10.764</f>
        <v>676.65195000000006</v>
      </c>
      <c r="E187" s="70">
        <v>0</v>
      </c>
      <c r="F187" s="70">
        <v>1150</v>
      </c>
      <c r="G187" s="75" t="str">
        <f>A186</f>
        <v>2nd to 6th Floor</v>
      </c>
      <c r="H187" s="75"/>
      <c r="I187" s="34">
        <f>8200*F187</f>
        <v>9430000</v>
      </c>
      <c r="J187" s="35">
        <v>1150</v>
      </c>
      <c r="K187" s="35">
        <f>J187/D187</f>
        <v>1.699544352159186</v>
      </c>
      <c r="L187" s="35">
        <f>9600000/F187</f>
        <v>8347.826086956522</v>
      </c>
    </row>
    <row r="188" spans="1:14" s="35" customFormat="1" ht="15.75" hidden="1" customHeight="1" x14ac:dyDescent="0.35">
      <c r="A188" s="75">
        <v>2</v>
      </c>
      <c r="B188" s="75"/>
      <c r="C188" s="70" t="s">
        <v>200</v>
      </c>
      <c r="D188" s="70">
        <f t="shared" ref="D188:D190" si="13">(57.02+((5.69+2.1)*0.75))*10.764</f>
        <v>676.65195000000006</v>
      </c>
      <c r="E188" s="70">
        <v>0</v>
      </c>
      <c r="F188" s="70">
        <v>1150</v>
      </c>
      <c r="G188" s="75"/>
      <c r="H188" s="75"/>
      <c r="I188" s="34">
        <f t="shared" ref="I188:I194" si="14">8200*F188</f>
        <v>9430000</v>
      </c>
      <c r="J188" s="35">
        <v>1150</v>
      </c>
      <c r="K188" s="35">
        <f t="shared" ref="K188:K194" si="15">J188/D188</f>
        <v>1.699544352159186</v>
      </c>
    </row>
    <row r="189" spans="1:14" s="35" customFormat="1" ht="15.75" hidden="1" customHeight="1" x14ac:dyDescent="0.35">
      <c r="A189" s="75">
        <v>3</v>
      </c>
      <c r="B189" s="75"/>
      <c r="C189" s="70" t="s">
        <v>200</v>
      </c>
      <c r="D189" s="70">
        <f t="shared" si="13"/>
        <v>676.65195000000006</v>
      </c>
      <c r="E189" s="70">
        <v>0</v>
      </c>
      <c r="F189" s="70">
        <v>1150</v>
      </c>
      <c r="G189" s="75"/>
      <c r="H189" s="75"/>
      <c r="I189" s="34">
        <f t="shared" si="14"/>
        <v>9430000</v>
      </c>
      <c r="J189" s="35">
        <v>1150</v>
      </c>
      <c r="K189" s="35">
        <f t="shared" si="15"/>
        <v>1.699544352159186</v>
      </c>
    </row>
    <row r="190" spans="1:14" s="35" customFormat="1" ht="15.75" hidden="1" customHeight="1" x14ac:dyDescent="0.35">
      <c r="A190" s="75">
        <v>4</v>
      </c>
      <c r="B190" s="75"/>
      <c r="C190" s="70" t="s">
        <v>200</v>
      </c>
      <c r="D190" s="70">
        <f t="shared" si="13"/>
        <v>676.65195000000006</v>
      </c>
      <c r="E190" s="70">
        <v>0</v>
      </c>
      <c r="F190" s="70">
        <v>1150</v>
      </c>
      <c r="G190" s="75"/>
      <c r="H190" s="75"/>
      <c r="I190" s="34">
        <f t="shared" si="14"/>
        <v>9430000</v>
      </c>
      <c r="J190" s="35">
        <v>1150</v>
      </c>
      <c r="K190" s="35">
        <f t="shared" si="15"/>
        <v>1.699544352159186</v>
      </c>
    </row>
    <row r="191" spans="1:14" s="35" customFormat="1" ht="15.75" hidden="1" customHeight="1" x14ac:dyDescent="0.35">
      <c r="A191" s="75">
        <v>5</v>
      </c>
      <c r="B191" s="75"/>
      <c r="C191" s="70" t="s">
        <v>196</v>
      </c>
      <c r="D191" s="70">
        <f>(71.914+6.5*0.75+1.8*0.75+1.8*0.75)*(10.764)</f>
        <v>855.61959599999989</v>
      </c>
      <c r="E191" s="70">
        <v>0</v>
      </c>
      <c r="F191" s="70">
        <v>1455</v>
      </c>
      <c r="G191" s="75"/>
      <c r="H191" s="75"/>
      <c r="I191" s="34">
        <f t="shared" si="14"/>
        <v>11931000</v>
      </c>
      <c r="J191" s="35">
        <v>1455</v>
      </c>
      <c r="K191" s="35">
        <f t="shared" si="15"/>
        <v>1.7005220623768886</v>
      </c>
    </row>
    <row r="192" spans="1:14" s="35" customFormat="1" ht="15.75" hidden="1" customHeight="1" x14ac:dyDescent="0.35">
      <c r="A192" s="75">
        <v>6</v>
      </c>
      <c r="B192" s="75"/>
      <c r="C192" s="70" t="s">
        <v>196</v>
      </c>
      <c r="D192" s="70">
        <f>(71.914+6.5*0.75+2*0.75)*(10.764)</f>
        <v>842.70279599999992</v>
      </c>
      <c r="E192" s="70">
        <v>0</v>
      </c>
      <c r="F192" s="70">
        <v>1425</v>
      </c>
      <c r="G192" s="75"/>
      <c r="H192" s="75"/>
      <c r="I192" s="34">
        <f t="shared" si="14"/>
        <v>11685000</v>
      </c>
      <c r="J192" s="35">
        <v>1425</v>
      </c>
      <c r="K192" s="35">
        <f t="shared" si="15"/>
        <v>1.6909876254878358</v>
      </c>
    </row>
    <row r="193" spans="1:14" s="35" customFormat="1" ht="15.75" hidden="1" customHeight="1" x14ac:dyDescent="0.35">
      <c r="A193" s="75">
        <v>7</v>
      </c>
      <c r="B193" s="75"/>
      <c r="C193" s="70" t="s">
        <v>200</v>
      </c>
      <c r="D193" s="70">
        <f>(57.02+5.69*0.75+2.2*0.75)*(10.764)</f>
        <v>677.45925</v>
      </c>
      <c r="E193" s="70">
        <v>0</v>
      </c>
      <c r="F193" s="70">
        <v>1150</v>
      </c>
      <c r="G193" s="75"/>
      <c r="H193" s="75"/>
      <c r="I193" s="34">
        <f t="shared" si="14"/>
        <v>9430000</v>
      </c>
      <c r="J193" s="35">
        <v>1150</v>
      </c>
      <c r="K193" s="35">
        <f t="shared" si="15"/>
        <v>1.6975190758706151</v>
      </c>
    </row>
    <row r="194" spans="1:14" s="35" customFormat="1" ht="15.75" hidden="1" customHeight="1" x14ac:dyDescent="0.35">
      <c r="A194" s="75">
        <v>8</v>
      </c>
      <c r="B194" s="75"/>
      <c r="C194" s="70" t="s">
        <v>200</v>
      </c>
      <c r="D194" s="70">
        <f>(57.02+5.69*0.75+2.2*0.75)*(10.764)</f>
        <v>677.45925</v>
      </c>
      <c r="E194" s="70">
        <v>0</v>
      </c>
      <c r="F194" s="70">
        <v>1150</v>
      </c>
      <c r="G194" s="75"/>
      <c r="H194" s="75"/>
      <c r="I194" s="34">
        <f t="shared" si="14"/>
        <v>9430000</v>
      </c>
      <c r="J194" s="35">
        <v>1150</v>
      </c>
      <c r="K194" s="35">
        <f t="shared" si="15"/>
        <v>1.6975190758706151</v>
      </c>
    </row>
    <row r="195" spans="1:14" s="35" customFormat="1" x14ac:dyDescent="0.35">
      <c r="A195" s="178" t="s">
        <v>193</v>
      </c>
      <c r="B195" s="178"/>
      <c r="C195" s="178"/>
      <c r="D195" s="178"/>
      <c r="E195" s="178"/>
      <c r="F195" s="178"/>
      <c r="G195" s="178"/>
      <c r="H195" s="178"/>
      <c r="J195" s="34"/>
    </row>
    <row r="196" spans="1:14" s="35" customFormat="1" ht="15.65" customHeight="1" x14ac:dyDescent="0.35">
      <c r="A196" s="91" t="s">
        <v>211</v>
      </c>
      <c r="B196" s="91"/>
      <c r="C196" s="91"/>
      <c r="D196" s="91"/>
      <c r="E196" s="91"/>
      <c r="F196" s="91"/>
      <c r="G196" s="91"/>
      <c r="H196" s="91"/>
      <c r="J196" s="34"/>
    </row>
    <row r="197" spans="1:14" s="35" customFormat="1" x14ac:dyDescent="0.35">
      <c r="A197" s="91" t="s">
        <v>212</v>
      </c>
      <c r="B197" s="91"/>
      <c r="C197" s="91"/>
      <c r="D197" s="91"/>
      <c r="E197" s="91"/>
      <c r="F197" s="91"/>
      <c r="G197" s="91"/>
      <c r="H197" s="91"/>
      <c r="J197" s="34"/>
    </row>
    <row r="198" spans="1:14" s="35" customFormat="1" x14ac:dyDescent="0.35">
      <c r="A198" s="91" t="s">
        <v>199</v>
      </c>
      <c r="B198" s="91"/>
      <c r="C198" s="91"/>
      <c r="D198" s="91"/>
      <c r="E198" s="91"/>
      <c r="F198" s="91"/>
      <c r="G198" s="91"/>
      <c r="H198" s="91"/>
      <c r="I198" s="34"/>
      <c r="L198" s="74"/>
      <c r="M198" s="74"/>
    </row>
    <row r="199" spans="1:14" s="35" customFormat="1" ht="15.75" customHeight="1" x14ac:dyDescent="0.35">
      <c r="A199" s="75">
        <v>1</v>
      </c>
      <c r="B199" s="75"/>
      <c r="C199" s="70" t="s">
        <v>196</v>
      </c>
      <c r="D199" s="70">
        <f>(71.914+3.51+0.75*(2.45+1.8+6.23))*(10.764)</f>
        <v>896.468976</v>
      </c>
      <c r="E199" s="70">
        <v>0</v>
      </c>
      <c r="F199" s="70">
        <v>1425</v>
      </c>
      <c r="G199" s="75" t="str">
        <f>A198</f>
        <v>1st Floor For Residential</v>
      </c>
      <c r="H199" s="75"/>
      <c r="I199" s="34"/>
      <c r="K199" s="35">
        <f>14100000/F199</f>
        <v>9894.7368421052633</v>
      </c>
      <c r="N199" s="34"/>
    </row>
    <row r="200" spans="1:14" s="35" customFormat="1" ht="15.75" customHeight="1" x14ac:dyDescent="0.35">
      <c r="A200" s="75">
        <f t="shared" ref="A200:A205" si="16">A199+1</f>
        <v>2</v>
      </c>
      <c r="B200" s="75"/>
      <c r="C200" s="70" t="s">
        <v>200</v>
      </c>
      <c r="D200" s="70">
        <f>(57.395+3.544+0.75*(5.69+2.1))*(10.764)</f>
        <v>718.83606599999985</v>
      </c>
      <c r="E200" s="70">
        <v>0</v>
      </c>
      <c r="F200" s="70">
        <v>1150</v>
      </c>
      <c r="G200" s="75"/>
      <c r="H200" s="75"/>
      <c r="I200" s="34"/>
      <c r="K200" s="35">
        <f>96630000/F200</f>
        <v>84026.086956521744</v>
      </c>
      <c r="N200" s="34"/>
    </row>
    <row r="201" spans="1:14" s="35" customFormat="1" ht="15.75" customHeight="1" x14ac:dyDescent="0.35">
      <c r="A201" s="75">
        <f t="shared" si="16"/>
        <v>3</v>
      </c>
      <c r="B201" s="75"/>
      <c r="C201" s="70" t="s">
        <v>200</v>
      </c>
      <c r="D201" s="70">
        <f>(57.395+3.544+0.75*(5.69+2.1))*(10.764)</f>
        <v>718.83606599999985</v>
      </c>
      <c r="E201" s="70">
        <v>0</v>
      </c>
      <c r="F201" s="70">
        <v>1150</v>
      </c>
      <c r="G201" s="75"/>
      <c r="H201" s="75"/>
      <c r="I201" s="34"/>
      <c r="N201" s="34"/>
    </row>
    <row r="202" spans="1:14" s="35" customFormat="1" ht="15.75" customHeight="1" x14ac:dyDescent="0.35">
      <c r="A202" s="75">
        <f t="shared" si="16"/>
        <v>4</v>
      </c>
      <c r="B202" s="75"/>
      <c r="C202" s="70" t="s">
        <v>200</v>
      </c>
      <c r="D202" s="70">
        <f>(57.429+3.544+0.75*(5.69+2.1))*(10.764)</f>
        <v>719.20204200000001</v>
      </c>
      <c r="E202" s="70">
        <v>0</v>
      </c>
      <c r="F202" s="70">
        <v>1150</v>
      </c>
      <c r="G202" s="75"/>
      <c r="H202" s="75"/>
      <c r="I202" s="34"/>
      <c r="N202" s="34"/>
    </row>
    <row r="203" spans="1:14" s="35" customFormat="1" ht="15.75" customHeight="1" x14ac:dyDescent="0.35">
      <c r="A203" s="75">
        <f t="shared" si="16"/>
        <v>5</v>
      </c>
      <c r="B203" s="75"/>
      <c r="C203" s="70" t="s">
        <v>200</v>
      </c>
      <c r="D203" s="70">
        <f>(57.417+3.544+0.75*5.69)*(10.764)</f>
        <v>702.11957399999994</v>
      </c>
      <c r="E203" s="70">
        <f>(5.1*3.7+0.5*8.65*11.3+1.15*1.25)*10.764</f>
        <v>744.65352000000007</v>
      </c>
      <c r="F203" s="70">
        <v>1170</v>
      </c>
      <c r="G203" s="75"/>
      <c r="H203" s="75"/>
      <c r="I203" s="34"/>
      <c r="N203" s="34"/>
    </row>
    <row r="204" spans="1:14" s="35" customFormat="1" ht="15.75" customHeight="1" x14ac:dyDescent="0.35">
      <c r="A204" s="75">
        <f t="shared" si="16"/>
        <v>6</v>
      </c>
      <c r="B204" s="75"/>
      <c r="C204" s="70" t="s">
        <v>200</v>
      </c>
      <c r="D204" s="70">
        <f>(57.417+3.544)*(10.764)</f>
        <v>656.18420399999991</v>
      </c>
      <c r="E204" s="70">
        <f>(2.625*5.15+5.8*3+3.65*6.5+0.5*9.6*10.1)*10.764</f>
        <v>1110.0240449999999</v>
      </c>
      <c r="F204" s="70">
        <v>1170</v>
      </c>
      <c r="G204" s="75"/>
      <c r="H204" s="75"/>
      <c r="I204" s="34"/>
      <c r="N204" s="34"/>
    </row>
    <row r="205" spans="1:14" s="35" customFormat="1" ht="15.75" customHeight="1" x14ac:dyDescent="0.35">
      <c r="A205" s="75">
        <f t="shared" si="16"/>
        <v>7</v>
      </c>
      <c r="B205" s="75"/>
      <c r="C205" s="70" t="s">
        <v>200</v>
      </c>
      <c r="D205" s="70">
        <f>(53.534+10.87*0.75+2.125*0.75)*(10.764)</f>
        <v>681.14861099999996</v>
      </c>
      <c r="E205" s="70">
        <v>0</v>
      </c>
      <c r="F205" s="70">
        <v>1045</v>
      </c>
      <c r="G205" s="75"/>
      <c r="H205" s="75"/>
      <c r="I205" s="34"/>
      <c r="N205" s="34"/>
    </row>
    <row r="206" spans="1:14" s="60" customFormat="1" ht="15.75" customHeight="1" x14ac:dyDescent="0.35">
      <c r="A206" s="79" t="s">
        <v>215</v>
      </c>
      <c r="B206" s="80"/>
      <c r="C206" s="80"/>
      <c r="D206" s="80"/>
      <c r="E206" s="80"/>
      <c r="F206" s="80"/>
      <c r="G206" s="80"/>
      <c r="H206" s="81"/>
      <c r="I206" s="34"/>
    </row>
    <row r="207" spans="1:14" s="60" customFormat="1" ht="15.75" customHeight="1" x14ac:dyDescent="0.35">
      <c r="A207" s="76">
        <v>1</v>
      </c>
      <c r="B207" s="77"/>
      <c r="C207" s="59" t="s">
        <v>196</v>
      </c>
      <c r="D207" s="59">
        <f>(71.914+3.51+0.75*(2.45+1.8+6.23))*(10.764)</f>
        <v>896.468976</v>
      </c>
      <c r="E207" s="59">
        <v>0</v>
      </c>
      <c r="F207" s="59">
        <v>1425</v>
      </c>
      <c r="G207" s="82" t="str">
        <f>A206</f>
        <v>2nd to 6th, 8th to 10th &amp; 12th Floor</v>
      </c>
      <c r="H207" s="83"/>
      <c r="I207" s="34"/>
    </row>
    <row r="208" spans="1:14" s="60" customFormat="1" ht="15.75" customHeight="1" x14ac:dyDescent="0.35">
      <c r="A208" s="76">
        <v>2</v>
      </c>
      <c r="B208" s="77"/>
      <c r="C208" s="59" t="s">
        <v>200</v>
      </c>
      <c r="D208" s="59">
        <f>(57.395+3.544+0.75*(5.69+2.1))*(10.764)</f>
        <v>718.83606599999985</v>
      </c>
      <c r="E208" s="59">
        <v>0</v>
      </c>
      <c r="F208" s="59">
        <v>1150</v>
      </c>
      <c r="G208" s="84"/>
      <c r="H208" s="85"/>
      <c r="I208" s="34"/>
    </row>
    <row r="209" spans="1:9" s="60" customFormat="1" ht="15.75" customHeight="1" x14ac:dyDescent="0.35">
      <c r="A209" s="76">
        <v>3</v>
      </c>
      <c r="B209" s="77"/>
      <c r="C209" s="59" t="s">
        <v>200</v>
      </c>
      <c r="D209" s="59">
        <f>(57.395+3.544+0.75*(5.69+2.1))*(10.764)</f>
        <v>718.83606599999985</v>
      </c>
      <c r="E209" s="59">
        <v>0</v>
      </c>
      <c r="F209" s="59">
        <v>1150</v>
      </c>
      <c r="G209" s="84"/>
      <c r="H209" s="85"/>
      <c r="I209" s="34"/>
    </row>
    <row r="210" spans="1:9" s="60" customFormat="1" ht="15.75" customHeight="1" x14ac:dyDescent="0.35">
      <c r="A210" s="76">
        <v>4</v>
      </c>
      <c r="B210" s="77"/>
      <c r="C210" s="59" t="s">
        <v>200</v>
      </c>
      <c r="D210" s="59">
        <f>(57.429+3.544+0.75*(5.69+2.1))*(10.764)</f>
        <v>719.20204200000001</v>
      </c>
      <c r="E210" s="59">
        <v>0</v>
      </c>
      <c r="F210" s="59">
        <v>1150</v>
      </c>
      <c r="G210" s="84"/>
      <c r="H210" s="85"/>
      <c r="I210" s="34"/>
    </row>
    <row r="211" spans="1:9" s="60" customFormat="1" ht="15.75" customHeight="1" x14ac:dyDescent="0.35">
      <c r="A211" s="76">
        <v>5</v>
      </c>
      <c r="B211" s="77"/>
      <c r="C211" s="59" t="s">
        <v>200</v>
      </c>
      <c r="D211" s="59">
        <f>(57.417+3.544+0.75*(5.69+3.415))*(10.764)</f>
        <v>729.68886899999995</v>
      </c>
      <c r="E211" s="59">
        <v>0</v>
      </c>
      <c r="F211" s="59">
        <v>1170</v>
      </c>
      <c r="G211" s="84"/>
      <c r="H211" s="85"/>
      <c r="I211" s="34"/>
    </row>
    <row r="212" spans="1:9" s="60" customFormat="1" ht="15.75" customHeight="1" x14ac:dyDescent="0.35">
      <c r="A212" s="76">
        <v>6</v>
      </c>
      <c r="B212" s="77"/>
      <c r="C212" s="59" t="s">
        <v>200</v>
      </c>
      <c r="D212" s="59">
        <f>(57.417+3.544+0.75*(5.69+3.45))*(10.764)</f>
        <v>729.97142399999996</v>
      </c>
      <c r="E212" s="59">
        <v>0</v>
      </c>
      <c r="F212" s="59">
        <v>1170</v>
      </c>
      <c r="G212" s="84"/>
      <c r="H212" s="85"/>
      <c r="I212" s="34"/>
    </row>
    <row r="213" spans="1:9" s="60" customFormat="1" ht="15.75" customHeight="1" x14ac:dyDescent="0.35">
      <c r="A213" s="76">
        <v>7</v>
      </c>
      <c r="B213" s="77"/>
      <c r="C213" s="59" t="s">
        <v>200</v>
      </c>
      <c r="D213" s="59">
        <f>(53.534+10.871*0.75+2.125*0.75)*(10.764)</f>
        <v>681.15668399999993</v>
      </c>
      <c r="E213" s="59">
        <v>0</v>
      </c>
      <c r="F213" s="59">
        <v>1045</v>
      </c>
      <c r="G213" s="84"/>
      <c r="H213" s="85"/>
      <c r="I213" s="34"/>
    </row>
    <row r="214" spans="1:9" s="60" customFormat="1" ht="15.75" customHeight="1" x14ac:dyDescent="0.35">
      <c r="A214" s="76">
        <v>8</v>
      </c>
      <c r="B214" s="77"/>
      <c r="C214" s="59" t="s">
        <v>200</v>
      </c>
      <c r="D214" s="59">
        <f>(57.395+3.544+0.75*(5.69+2.1))*(10.764)</f>
        <v>718.83606599999985</v>
      </c>
      <c r="E214" s="59">
        <v>0</v>
      </c>
      <c r="F214" s="59">
        <v>1150</v>
      </c>
      <c r="G214" s="84"/>
      <c r="H214" s="85"/>
      <c r="I214" s="34"/>
    </row>
    <row r="215" spans="1:9" s="60" customFormat="1" ht="15.75" customHeight="1" x14ac:dyDescent="0.35">
      <c r="A215" s="76">
        <v>9</v>
      </c>
      <c r="B215" s="77"/>
      <c r="C215" s="59" t="s">
        <v>200</v>
      </c>
      <c r="D215" s="59">
        <f>(57.395+3.544+0.75*(5.69+2.1))*(10.764)</f>
        <v>718.83606599999985</v>
      </c>
      <c r="E215" s="59">
        <v>0</v>
      </c>
      <c r="F215" s="59">
        <v>1150</v>
      </c>
      <c r="G215" s="84"/>
      <c r="H215" s="85"/>
      <c r="I215" s="34"/>
    </row>
    <row r="216" spans="1:9" s="60" customFormat="1" ht="15.75" customHeight="1" x14ac:dyDescent="0.35">
      <c r="A216" s="76">
        <v>10</v>
      </c>
      <c r="B216" s="77"/>
      <c r="C216" s="59" t="s">
        <v>196</v>
      </c>
      <c r="D216" s="59">
        <f>(71.914+3.51+0.75*(6.23+2))*(10.764)</f>
        <v>878.30472599999996</v>
      </c>
      <c r="E216" s="59">
        <v>0</v>
      </c>
      <c r="F216" s="59">
        <v>1425</v>
      </c>
      <c r="G216" s="86"/>
      <c r="H216" s="87"/>
      <c r="I216" s="34"/>
    </row>
    <row r="217" spans="1:9" s="60" customFormat="1" ht="15.75" customHeight="1" x14ac:dyDescent="0.35">
      <c r="A217" s="79" t="s">
        <v>216</v>
      </c>
      <c r="B217" s="80"/>
      <c r="C217" s="80"/>
      <c r="D217" s="80"/>
      <c r="E217" s="80"/>
      <c r="F217" s="80"/>
      <c r="G217" s="80"/>
      <c r="H217" s="81"/>
      <c r="I217" s="34"/>
    </row>
    <row r="218" spans="1:9" s="60" customFormat="1" ht="15.75" customHeight="1" x14ac:dyDescent="0.35">
      <c r="A218" s="76">
        <v>1</v>
      </c>
      <c r="B218" s="77"/>
      <c r="C218" s="59" t="s">
        <v>196</v>
      </c>
      <c r="D218" s="59">
        <f>(71.914+3.51+0.75*(2.45+1.8+6.23))*(10.764)</f>
        <v>896.468976</v>
      </c>
      <c r="E218" s="59">
        <v>0</v>
      </c>
      <c r="F218" s="59">
        <v>1425</v>
      </c>
      <c r="G218" s="82" t="str">
        <f>A217</f>
        <v>7th &amp; 11th Floor (Part Refuge Area)</v>
      </c>
      <c r="H218" s="83"/>
      <c r="I218" s="34"/>
    </row>
    <row r="219" spans="1:9" s="60" customFormat="1" ht="15.75" customHeight="1" x14ac:dyDescent="0.35">
      <c r="A219" s="76">
        <v>2</v>
      </c>
      <c r="B219" s="77"/>
      <c r="C219" s="59" t="s">
        <v>200</v>
      </c>
      <c r="D219" s="59">
        <f>(57.395+3.544+0.75*(5.69+2.1))*(10.764)</f>
        <v>718.83606599999985</v>
      </c>
      <c r="E219" s="59">
        <v>0</v>
      </c>
      <c r="F219" s="59">
        <v>1150</v>
      </c>
      <c r="G219" s="84"/>
      <c r="H219" s="85"/>
      <c r="I219" s="34"/>
    </row>
    <row r="220" spans="1:9" s="60" customFormat="1" ht="15.75" customHeight="1" x14ac:dyDescent="0.35">
      <c r="A220" s="76">
        <v>3</v>
      </c>
      <c r="B220" s="77"/>
      <c r="C220" s="59" t="s">
        <v>200</v>
      </c>
      <c r="D220" s="59">
        <f>(57.395+3.544+0.75*(5.69+2.1))*(10.764)</f>
        <v>718.83606599999985</v>
      </c>
      <c r="E220" s="59">
        <v>0</v>
      </c>
      <c r="F220" s="59">
        <v>1150</v>
      </c>
      <c r="G220" s="84"/>
      <c r="H220" s="85"/>
      <c r="I220" s="34"/>
    </row>
    <row r="221" spans="1:9" s="60" customFormat="1" ht="15.75" customHeight="1" x14ac:dyDescent="0.35">
      <c r="A221" s="76">
        <v>4</v>
      </c>
      <c r="B221" s="77"/>
      <c r="C221" s="59" t="s">
        <v>200</v>
      </c>
      <c r="D221" s="59">
        <f>(57.429+3.544+0.75*(5.69+2.1))*(10.764)</f>
        <v>719.20204200000001</v>
      </c>
      <c r="E221" s="59">
        <v>0</v>
      </c>
      <c r="F221" s="59">
        <v>1150</v>
      </c>
      <c r="G221" s="84"/>
      <c r="H221" s="85"/>
      <c r="I221" s="34"/>
    </row>
    <row r="222" spans="1:9" s="60" customFormat="1" ht="15.75" customHeight="1" x14ac:dyDescent="0.35">
      <c r="A222" s="76">
        <v>5</v>
      </c>
      <c r="B222" s="77"/>
      <c r="C222" s="59" t="s">
        <v>200</v>
      </c>
      <c r="D222" s="59">
        <f>(57.417+3.544+0.75*(5.69+3.415))*(10.764)</f>
        <v>729.68886899999995</v>
      </c>
      <c r="E222" s="59">
        <v>0</v>
      </c>
      <c r="F222" s="59">
        <v>1170</v>
      </c>
      <c r="G222" s="84"/>
      <c r="H222" s="85"/>
      <c r="I222" s="34"/>
    </row>
    <row r="223" spans="1:9" s="60" customFormat="1" ht="15.75" customHeight="1" x14ac:dyDescent="0.35">
      <c r="A223" s="76">
        <v>6</v>
      </c>
      <c r="B223" s="77"/>
      <c r="C223" s="59" t="s">
        <v>200</v>
      </c>
      <c r="D223" s="59">
        <f>(57.417+3.544+0.75*(5.69+3.45))*(10.764)</f>
        <v>729.97142399999996</v>
      </c>
      <c r="E223" s="59">
        <v>0</v>
      </c>
      <c r="F223" s="59">
        <v>1170</v>
      </c>
      <c r="G223" s="84"/>
      <c r="H223" s="85"/>
      <c r="I223" s="34"/>
    </row>
    <row r="224" spans="1:9" s="60" customFormat="1" ht="15.75" customHeight="1" x14ac:dyDescent="0.35">
      <c r="A224" s="76">
        <v>7</v>
      </c>
      <c r="B224" s="77"/>
      <c r="C224" s="59" t="s">
        <v>200</v>
      </c>
      <c r="D224" s="59">
        <f>(53.534+10.871*0.75+2.125*0.75)*(10.764)</f>
        <v>681.15668399999993</v>
      </c>
      <c r="E224" s="59">
        <v>0</v>
      </c>
      <c r="F224" s="59">
        <v>1045</v>
      </c>
      <c r="G224" s="84"/>
      <c r="H224" s="85"/>
      <c r="I224" s="34"/>
    </row>
    <row r="225" spans="1:9" s="60" customFormat="1" ht="15.75" customHeight="1" x14ac:dyDescent="0.35">
      <c r="A225" s="76">
        <v>8</v>
      </c>
      <c r="B225" s="77"/>
      <c r="C225" s="59" t="s">
        <v>200</v>
      </c>
      <c r="D225" s="59">
        <f>(57.395+3.544+0.75*(5.69+2.1))*(10.764)</f>
        <v>718.83606599999985</v>
      </c>
      <c r="E225" s="59">
        <v>0</v>
      </c>
      <c r="F225" s="59">
        <v>1150</v>
      </c>
      <c r="G225" s="84"/>
      <c r="H225" s="85"/>
      <c r="I225" s="34"/>
    </row>
    <row r="226" spans="1:9" s="60" customFormat="1" ht="15.75" customHeight="1" x14ac:dyDescent="0.35">
      <c r="A226" s="76">
        <v>9</v>
      </c>
      <c r="B226" s="77"/>
      <c r="C226" s="59" t="s">
        <v>200</v>
      </c>
      <c r="D226" s="59">
        <f>(57.395+3.544+0.75*(5.69+2.1))*(10.764)</f>
        <v>718.83606599999985</v>
      </c>
      <c r="E226" s="59">
        <v>0</v>
      </c>
      <c r="F226" s="59">
        <v>1150</v>
      </c>
      <c r="G226" s="84"/>
      <c r="H226" s="85"/>
      <c r="I226" s="34"/>
    </row>
    <row r="227" spans="1:9" s="60" customFormat="1" ht="15.75" customHeight="1" x14ac:dyDescent="0.35">
      <c r="A227" s="76">
        <v>10</v>
      </c>
      <c r="B227" s="77"/>
      <c r="C227" s="76" t="s">
        <v>217</v>
      </c>
      <c r="D227" s="78"/>
      <c r="E227" s="78"/>
      <c r="F227" s="77"/>
      <c r="G227" s="86"/>
      <c r="H227" s="87"/>
      <c r="I227" s="34"/>
    </row>
    <row r="228" spans="1:9" s="60" customFormat="1" ht="15.75" customHeight="1" x14ac:dyDescent="0.35">
      <c r="A228" s="91" t="s">
        <v>218</v>
      </c>
      <c r="B228" s="91"/>
      <c r="C228" s="91"/>
      <c r="D228" s="91"/>
      <c r="E228" s="91"/>
      <c r="F228" s="91"/>
      <c r="G228" s="91"/>
      <c r="H228" s="91"/>
      <c r="I228" s="34"/>
    </row>
    <row r="229" spans="1:9" s="60" customFormat="1" ht="15.75" customHeight="1" x14ac:dyDescent="0.35">
      <c r="A229" s="75">
        <v>1</v>
      </c>
      <c r="B229" s="75"/>
      <c r="C229" s="70" t="s">
        <v>196</v>
      </c>
      <c r="D229" s="70">
        <f>(71.914+3.51+0.75*(2.45+1.8+6.23))*(10.764)</f>
        <v>896.468976</v>
      </c>
      <c r="E229" s="70">
        <v>0</v>
      </c>
      <c r="F229" s="70">
        <v>1425</v>
      </c>
      <c r="G229" s="75" t="str">
        <f>A228</f>
        <v>13th Floor</v>
      </c>
      <c r="H229" s="75"/>
      <c r="I229" s="34"/>
    </row>
    <row r="230" spans="1:9" s="60" customFormat="1" ht="15.75" customHeight="1" x14ac:dyDescent="0.35">
      <c r="A230" s="75">
        <v>2</v>
      </c>
      <c r="B230" s="75"/>
      <c r="C230" s="70" t="s">
        <v>200</v>
      </c>
      <c r="D230" s="70">
        <f>(57.395+3.544+0.75*(5.69+2.1))*(10.764)</f>
        <v>718.83606599999985</v>
      </c>
      <c r="E230" s="70">
        <v>0</v>
      </c>
      <c r="F230" s="70">
        <v>1150</v>
      </c>
      <c r="G230" s="75"/>
      <c r="H230" s="75"/>
      <c r="I230" s="34"/>
    </row>
    <row r="231" spans="1:9" s="60" customFormat="1" ht="15.75" customHeight="1" x14ac:dyDescent="0.35">
      <c r="A231" s="75">
        <v>3</v>
      </c>
      <c r="B231" s="75"/>
      <c r="C231" s="70" t="s">
        <v>200</v>
      </c>
      <c r="D231" s="70">
        <f>(57.395+3.544+0.75*(5.69+2.1))*(10.764)</f>
        <v>718.83606599999985</v>
      </c>
      <c r="E231" s="70">
        <v>0</v>
      </c>
      <c r="F231" s="70">
        <v>1150</v>
      </c>
      <c r="G231" s="75"/>
      <c r="H231" s="75"/>
      <c r="I231" s="34"/>
    </row>
    <row r="232" spans="1:9" s="60" customFormat="1" ht="15.75" customHeight="1" x14ac:dyDescent="0.35">
      <c r="A232" s="75">
        <v>4</v>
      </c>
      <c r="B232" s="75"/>
      <c r="C232" s="70" t="s">
        <v>200</v>
      </c>
      <c r="D232" s="70">
        <f>(57.429+3.544+0.75*(5.69+2.1))*(10.764)</f>
        <v>719.20204200000001</v>
      </c>
      <c r="E232" s="70">
        <v>0</v>
      </c>
      <c r="F232" s="70">
        <v>1150</v>
      </c>
      <c r="G232" s="75"/>
      <c r="H232" s="75"/>
      <c r="I232" s="34"/>
    </row>
    <row r="233" spans="1:9" s="60" customFormat="1" ht="15.75" customHeight="1" x14ac:dyDescent="0.35">
      <c r="A233" s="75">
        <v>5</v>
      </c>
      <c r="B233" s="75"/>
      <c r="C233" s="70" t="s">
        <v>200</v>
      </c>
      <c r="D233" s="70">
        <f>(57.417+3.544+0.75*(5.69+3.415))*(10.764)</f>
        <v>729.68886899999995</v>
      </c>
      <c r="E233" s="70">
        <v>0</v>
      </c>
      <c r="F233" s="70">
        <v>1170</v>
      </c>
      <c r="G233" s="75"/>
      <c r="H233" s="75"/>
      <c r="I233" s="34"/>
    </row>
    <row r="234" spans="1:9" s="60" customFormat="1" ht="15.75" customHeight="1" x14ac:dyDescent="0.35">
      <c r="A234" s="75">
        <v>6</v>
      </c>
      <c r="B234" s="75"/>
      <c r="C234" s="70" t="s">
        <v>200</v>
      </c>
      <c r="D234" s="70">
        <f>(57.417+3.544+0.75*(5.69+3.45))*(10.764)</f>
        <v>729.97142399999996</v>
      </c>
      <c r="E234" s="70">
        <v>0</v>
      </c>
      <c r="F234" s="70">
        <v>1170</v>
      </c>
      <c r="G234" s="75"/>
      <c r="H234" s="75"/>
      <c r="I234" s="34"/>
    </row>
    <row r="235" spans="1:9" s="60" customFormat="1" ht="15.75" customHeight="1" x14ac:dyDescent="0.35">
      <c r="A235" s="75">
        <v>7</v>
      </c>
      <c r="B235" s="75"/>
      <c r="C235" s="70" t="s">
        <v>200</v>
      </c>
      <c r="D235" s="70">
        <f>(53.534+10.871*0.75+2.125*0.75)*(10.764)</f>
        <v>681.15668399999993</v>
      </c>
      <c r="E235" s="70">
        <v>0</v>
      </c>
      <c r="F235" s="70">
        <v>1045</v>
      </c>
      <c r="G235" s="75"/>
      <c r="H235" s="75"/>
      <c r="I235" s="34"/>
    </row>
    <row r="236" spans="1:9" s="60" customFormat="1" ht="15.75" customHeight="1" x14ac:dyDescent="0.35">
      <c r="A236" s="75">
        <v>8</v>
      </c>
      <c r="B236" s="75"/>
      <c r="C236" s="70" t="s">
        <v>200</v>
      </c>
      <c r="D236" s="70">
        <f>(57.395+3.544+0.75*(5.69+2.1))*(10.764)</f>
        <v>718.83606599999985</v>
      </c>
      <c r="E236" s="70">
        <v>0</v>
      </c>
      <c r="F236" s="70">
        <v>1150</v>
      </c>
      <c r="G236" s="75"/>
      <c r="H236" s="75"/>
      <c r="I236" s="34"/>
    </row>
    <row r="237" spans="1:9" s="60" customFormat="1" ht="15.75" customHeight="1" x14ac:dyDescent="0.35">
      <c r="A237" s="75">
        <v>9</v>
      </c>
      <c r="B237" s="75"/>
      <c r="C237" s="70" t="s">
        <v>200</v>
      </c>
      <c r="D237" s="70">
        <f>(57.395+3.544+0.75*(5.69+2.1))*(10.764)</f>
        <v>718.83606599999985</v>
      </c>
      <c r="E237" s="70">
        <v>0</v>
      </c>
      <c r="F237" s="70">
        <v>1150</v>
      </c>
      <c r="G237" s="75"/>
      <c r="H237" s="75"/>
      <c r="I237" s="34"/>
    </row>
    <row r="238" spans="1:9" s="60" customFormat="1" ht="15.75" customHeight="1" x14ac:dyDescent="0.35">
      <c r="A238" s="75">
        <v>10</v>
      </c>
      <c r="B238" s="75"/>
      <c r="C238" s="70" t="s">
        <v>196</v>
      </c>
      <c r="D238" s="70">
        <f>(71.914+3.51+0.75*(6.23+2))*(10.764)</f>
        <v>878.30472599999996</v>
      </c>
      <c r="E238" s="70">
        <v>0</v>
      </c>
      <c r="F238" s="70">
        <v>1425</v>
      </c>
      <c r="G238" s="75"/>
      <c r="H238" s="75"/>
      <c r="I238" s="34"/>
    </row>
    <row r="239" spans="1:9" s="33" customFormat="1" x14ac:dyDescent="0.35">
      <c r="A239" s="177" t="s">
        <v>70</v>
      </c>
      <c r="B239" s="177"/>
      <c r="C239" s="177"/>
      <c r="D239" s="177"/>
      <c r="E239" s="177"/>
      <c r="F239" s="177"/>
      <c r="G239" s="177"/>
      <c r="H239" s="177"/>
    </row>
    <row r="240" spans="1:9" s="33" customFormat="1" x14ac:dyDescent="0.35">
      <c r="A240" s="73" t="s">
        <v>157</v>
      </c>
      <c r="B240" s="130" t="s">
        <v>206</v>
      </c>
      <c r="C240" s="130"/>
      <c r="D240" s="130"/>
      <c r="E240" s="130"/>
      <c r="F240" s="130"/>
      <c r="G240" s="130"/>
      <c r="H240" s="130"/>
    </row>
    <row r="241" spans="1:11" s="33" customFormat="1" x14ac:dyDescent="0.35">
      <c r="A241" s="73" t="s">
        <v>157</v>
      </c>
      <c r="B241" s="130" t="str">
        <f>(IF(F139="Saleable area Loading :","We have considered Saleable area of Flats as per our Calculation.","We considered Saleable area of Flat as per Builder area Sheet."))</f>
        <v>We considered Saleable area of Flat as per Builder area Sheet.</v>
      </c>
      <c r="C241" s="130"/>
      <c r="D241" s="130"/>
      <c r="E241" s="130"/>
      <c r="F241" s="130"/>
      <c r="G241" s="130"/>
      <c r="H241" s="130"/>
      <c r="K241" s="33">
        <v>8</v>
      </c>
    </row>
    <row r="242" spans="1:11" s="33" customFormat="1" x14ac:dyDescent="0.35">
      <c r="A242" s="73" t="s">
        <v>157</v>
      </c>
      <c r="B242" s="130" t="str">
        <f>(IF(F118="Saleable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42" s="130"/>
      <c r="D242" s="130"/>
      <c r="E242" s="130"/>
      <c r="F242" s="130"/>
      <c r="G242" s="130"/>
      <c r="H242" s="130"/>
    </row>
    <row r="243" spans="1:11" s="33" customFormat="1" x14ac:dyDescent="0.35">
      <c r="A243" s="73" t="s">
        <v>157</v>
      </c>
      <c r="B243" s="176" t="s">
        <v>128</v>
      </c>
      <c r="C243" s="176"/>
      <c r="D243" s="176"/>
      <c r="E243" s="176"/>
      <c r="F243" s="176"/>
      <c r="G243" s="176"/>
      <c r="H243" s="176"/>
    </row>
    <row r="244" spans="1:11" s="33" customFormat="1" x14ac:dyDescent="0.35">
      <c r="A244" s="61" t="s">
        <v>157</v>
      </c>
      <c r="B244" s="176" t="s">
        <v>220</v>
      </c>
      <c r="C244" s="176"/>
      <c r="D244" s="176"/>
      <c r="E244" s="176"/>
      <c r="F244" s="176"/>
      <c r="G244" s="176"/>
      <c r="H244" s="176"/>
    </row>
    <row r="245" spans="1:11" s="33" customFormat="1" x14ac:dyDescent="0.35">
      <c r="A245" s="61" t="s">
        <v>157</v>
      </c>
      <c r="B245" s="176" t="s">
        <v>156</v>
      </c>
      <c r="C245" s="176"/>
      <c r="D245" s="176"/>
      <c r="E245" s="176"/>
      <c r="F245" s="176"/>
      <c r="G245" s="176"/>
      <c r="H245" s="176"/>
    </row>
    <row r="246" spans="1:11" s="33" customFormat="1" x14ac:dyDescent="0.35">
      <c r="A246" s="42" t="s">
        <v>157</v>
      </c>
      <c r="B246" s="92" t="s">
        <v>129</v>
      </c>
      <c r="C246" s="93"/>
      <c r="D246" s="93"/>
      <c r="E246" s="93"/>
      <c r="F246" s="93"/>
      <c r="G246" s="93"/>
      <c r="H246" s="94"/>
    </row>
    <row r="247" spans="1:11" s="33" customFormat="1" ht="34.5" customHeight="1" x14ac:dyDescent="0.35">
      <c r="A247" s="42" t="s">
        <v>157</v>
      </c>
      <c r="B247" s="92" t="s">
        <v>158</v>
      </c>
      <c r="C247" s="93"/>
      <c r="D247" s="93"/>
      <c r="E247" s="93"/>
      <c r="F247" s="93"/>
      <c r="G247" s="93"/>
      <c r="H247" s="94"/>
    </row>
    <row r="248" spans="1:11" s="33" customFormat="1" x14ac:dyDescent="0.35">
      <c r="A248" s="57" t="s">
        <v>157</v>
      </c>
      <c r="B248" s="92" t="s">
        <v>130</v>
      </c>
      <c r="C248" s="93"/>
      <c r="D248" s="93"/>
      <c r="E248" s="93"/>
      <c r="F248" s="93"/>
      <c r="G248" s="93"/>
      <c r="H248" s="94"/>
    </row>
    <row r="249" spans="1:11" s="33" customFormat="1" x14ac:dyDescent="0.35">
      <c r="A249" s="42" t="s">
        <v>157</v>
      </c>
      <c r="B249" s="92" t="s">
        <v>221</v>
      </c>
      <c r="C249" s="93"/>
      <c r="D249" s="93"/>
      <c r="E249" s="93"/>
      <c r="F249" s="93"/>
      <c r="G249" s="93"/>
      <c r="H249" s="94"/>
    </row>
    <row r="250" spans="1:11" x14ac:dyDescent="0.35">
      <c r="A250" s="129" t="s">
        <v>63</v>
      </c>
      <c r="B250" s="129"/>
      <c r="C250" s="129"/>
      <c r="D250" s="129"/>
      <c r="E250" s="129"/>
      <c r="F250" s="129"/>
      <c r="G250" s="129"/>
      <c r="H250" s="129"/>
    </row>
    <row r="251" spans="1:11" x14ac:dyDescent="0.35">
      <c r="A251" s="96" t="s">
        <v>64</v>
      </c>
      <c r="B251" s="96"/>
      <c r="C251" s="96"/>
      <c r="D251" s="96"/>
      <c r="E251" s="96"/>
      <c r="F251" s="96"/>
      <c r="G251" s="96"/>
      <c r="H251" s="96"/>
    </row>
    <row r="252" spans="1:11" ht="15.75" customHeight="1" x14ac:dyDescent="0.35">
      <c r="A252" s="119" t="s">
        <v>65</v>
      </c>
      <c r="B252" s="119"/>
      <c r="C252" s="119"/>
      <c r="D252" s="119"/>
      <c r="E252" s="119"/>
      <c r="F252" s="119"/>
      <c r="G252" s="119"/>
      <c r="H252" s="119"/>
    </row>
    <row r="253" spans="1:11" x14ac:dyDescent="0.35">
      <c r="A253" s="96" t="s">
        <v>66</v>
      </c>
      <c r="B253" s="96"/>
      <c r="C253" s="96"/>
      <c r="D253" s="96"/>
      <c r="E253" s="96"/>
      <c r="F253" s="96"/>
      <c r="G253" s="96"/>
      <c r="H253" s="96"/>
    </row>
    <row r="254" spans="1:11" x14ac:dyDescent="0.35">
      <c r="A254" s="96" t="s">
        <v>67</v>
      </c>
      <c r="B254" s="96"/>
      <c r="C254" s="96"/>
      <c r="D254" s="96"/>
      <c r="E254" s="96"/>
      <c r="F254" s="96"/>
      <c r="G254" s="96"/>
      <c r="H254" s="96"/>
    </row>
    <row r="255" spans="1:11" x14ac:dyDescent="0.35">
      <c r="A255" s="96" t="s">
        <v>131</v>
      </c>
      <c r="B255" s="96"/>
      <c r="C255" s="96"/>
      <c r="D255" s="96"/>
      <c r="E255" s="96"/>
      <c r="F255" s="96"/>
      <c r="G255" s="96"/>
      <c r="H255" s="96"/>
    </row>
    <row r="256" spans="1:11" x14ac:dyDescent="0.35">
      <c r="A256" s="117" t="s">
        <v>132</v>
      </c>
      <c r="B256" s="117"/>
      <c r="C256" s="117"/>
      <c r="D256" s="117"/>
      <c r="E256" s="117"/>
      <c r="F256" s="117"/>
      <c r="G256" s="117"/>
      <c r="H256" s="117"/>
    </row>
    <row r="257" spans="1:8" x14ac:dyDescent="0.35">
      <c r="A257" s="136" t="s">
        <v>80</v>
      </c>
      <c r="B257" s="136"/>
      <c r="C257" s="136" t="s">
        <v>229</v>
      </c>
      <c r="D257" s="136"/>
      <c r="E257" s="136" t="s">
        <v>110</v>
      </c>
      <c r="F257" s="136"/>
      <c r="G257" s="136" t="s">
        <v>228</v>
      </c>
      <c r="H257" s="136"/>
    </row>
    <row r="258" spans="1:8" x14ac:dyDescent="0.35">
      <c r="A258" s="135" t="s">
        <v>82</v>
      </c>
      <c r="B258" s="135"/>
      <c r="C258" s="135"/>
      <c r="D258" s="135"/>
      <c r="E258" s="135"/>
      <c r="F258" s="135"/>
      <c r="G258" s="135"/>
      <c r="H258" s="135"/>
    </row>
    <row r="259" spans="1:8" x14ac:dyDescent="0.35">
      <c r="A259" s="135"/>
      <c r="B259" s="135"/>
      <c r="C259" s="135"/>
      <c r="D259" s="135"/>
      <c r="E259" s="135"/>
      <c r="F259" s="135"/>
      <c r="G259" s="135"/>
      <c r="H259" s="135"/>
    </row>
    <row r="260" spans="1:8" x14ac:dyDescent="0.35">
      <c r="A260" s="135"/>
      <c r="B260" s="135"/>
      <c r="C260" s="135"/>
      <c r="D260" s="135"/>
      <c r="E260" s="135"/>
      <c r="F260" s="135"/>
      <c r="G260" s="135"/>
      <c r="H260" s="135"/>
    </row>
    <row r="261" spans="1:8" x14ac:dyDescent="0.35">
      <c r="A261" s="135"/>
      <c r="B261" s="135"/>
      <c r="C261" s="135"/>
      <c r="D261" s="135"/>
      <c r="E261" s="135"/>
      <c r="F261" s="135"/>
      <c r="G261" s="135"/>
      <c r="H261" s="135"/>
    </row>
    <row r="262" spans="1:8" x14ac:dyDescent="0.35">
      <c r="A262" s="36" t="s">
        <v>68</v>
      </c>
      <c r="B262" s="37"/>
      <c r="C262" s="37"/>
      <c r="D262" s="36" t="str">
        <f>E8</f>
        <v>Delta Palacio</v>
      </c>
      <c r="F262" s="37"/>
      <c r="G262" s="37"/>
      <c r="H262" s="37"/>
    </row>
    <row r="263" spans="1:8" x14ac:dyDescent="0.35">
      <c r="A263" s="37"/>
      <c r="B263" s="37"/>
      <c r="C263" s="37"/>
      <c r="D263" s="37"/>
      <c r="E263" s="37"/>
      <c r="F263" s="37"/>
      <c r="G263" s="37"/>
      <c r="H263" s="37"/>
    </row>
    <row r="264" spans="1:8" x14ac:dyDescent="0.35">
      <c r="A264" s="37"/>
      <c r="B264" s="37"/>
      <c r="C264" s="37"/>
      <c r="D264" s="37"/>
      <c r="E264" s="37"/>
      <c r="F264" s="37"/>
      <c r="G264" s="37"/>
      <c r="H264" s="37"/>
    </row>
    <row r="265" spans="1:8" ht="15" customHeight="1" x14ac:dyDescent="0.35"/>
    <row r="304" spans="1:8" x14ac:dyDescent="0.35">
      <c r="A304" s="39"/>
      <c r="B304" s="19"/>
      <c r="C304" s="19"/>
      <c r="D304" s="19"/>
      <c r="E304" s="19"/>
      <c r="F304" s="19"/>
      <c r="G304" s="19"/>
      <c r="H304" s="19"/>
    </row>
    <row r="305" spans="1:1" x14ac:dyDescent="0.35">
      <c r="A305" s="39" t="s">
        <v>172</v>
      </c>
    </row>
    <row r="336" hidden="1" x14ac:dyDescent="0.35"/>
    <row r="337" spans="1:8" hidden="1" x14ac:dyDescent="0.35"/>
    <row r="338" spans="1:8" hidden="1" x14ac:dyDescent="0.35"/>
    <row r="339" spans="1:8" hidden="1" x14ac:dyDescent="0.35"/>
    <row r="340" spans="1:8" hidden="1" x14ac:dyDescent="0.35"/>
    <row r="341" spans="1:8" hidden="1" x14ac:dyDescent="0.35"/>
    <row r="342" spans="1:8" hidden="1" x14ac:dyDescent="0.35"/>
    <row r="343" spans="1:8" hidden="1" x14ac:dyDescent="0.35"/>
    <row r="344" spans="1:8" hidden="1" x14ac:dyDescent="0.35"/>
    <row r="345" spans="1:8" hidden="1" x14ac:dyDescent="0.35"/>
    <row r="346" spans="1:8" x14ac:dyDescent="0.35">
      <c r="A346" s="39" t="s">
        <v>69</v>
      </c>
      <c r="B346" s="19"/>
      <c r="C346" s="19"/>
      <c r="D346" s="19"/>
      <c r="E346" s="19"/>
      <c r="F346" s="19"/>
      <c r="G346" s="19"/>
      <c r="H346" s="19"/>
    </row>
  </sheetData>
  <mergeCells count="410">
    <mergeCell ref="C37:H37"/>
    <mergeCell ref="A38:B38"/>
    <mergeCell ref="C38:H38"/>
    <mergeCell ref="B247:H247"/>
    <mergeCell ref="A47:B47"/>
    <mergeCell ref="C47:H47"/>
    <mergeCell ref="B245:H245"/>
    <mergeCell ref="G84:H93"/>
    <mergeCell ref="A85:B85"/>
    <mergeCell ref="A86:B86"/>
    <mergeCell ref="A87:B87"/>
    <mergeCell ref="F96:H96"/>
    <mergeCell ref="A96:E96"/>
    <mergeCell ref="A98:E98"/>
    <mergeCell ref="A122:B122"/>
    <mergeCell ref="A123:B123"/>
    <mergeCell ref="A124:B124"/>
    <mergeCell ref="A125:B125"/>
    <mergeCell ref="A99:E99"/>
    <mergeCell ref="A105:E105"/>
    <mergeCell ref="G115:H115"/>
    <mergeCell ref="D56:H56"/>
    <mergeCell ref="A56:C56"/>
    <mergeCell ref="G49:H49"/>
    <mergeCell ref="A50:B51"/>
    <mergeCell ref="L177:M177"/>
    <mergeCell ref="A138:H138"/>
    <mergeCell ref="A182:B182"/>
    <mergeCell ref="A179:B179"/>
    <mergeCell ref="A180:B180"/>
    <mergeCell ref="A187:B187"/>
    <mergeCell ref="A181:B181"/>
    <mergeCell ref="B244:H244"/>
    <mergeCell ref="A239:H239"/>
    <mergeCell ref="A191:B191"/>
    <mergeCell ref="A186:H186"/>
    <mergeCell ref="A142:H142"/>
    <mergeCell ref="A140:H140"/>
    <mergeCell ref="B240:H240"/>
    <mergeCell ref="B241:H241"/>
    <mergeCell ref="B243:H243"/>
    <mergeCell ref="A195:H195"/>
    <mergeCell ref="A196:H196"/>
    <mergeCell ref="A183:B183"/>
    <mergeCell ref="A184:B184"/>
    <mergeCell ref="G178:H185"/>
    <mergeCell ref="L198:M198"/>
    <mergeCell ref="L124:M124"/>
    <mergeCell ref="L122:M122"/>
    <mergeCell ref="A77:B77"/>
    <mergeCell ref="C113:D113"/>
    <mergeCell ref="E113:F113"/>
    <mergeCell ref="G113:H113"/>
    <mergeCell ref="F101:H101"/>
    <mergeCell ref="A95:E95"/>
    <mergeCell ref="A121:H121"/>
    <mergeCell ref="G118:H118"/>
    <mergeCell ref="A84:B84"/>
    <mergeCell ref="E84:F93"/>
    <mergeCell ref="A91:B91"/>
    <mergeCell ref="A92:B92"/>
    <mergeCell ref="A93:B93"/>
    <mergeCell ref="F94:H94"/>
    <mergeCell ref="F99:H99"/>
    <mergeCell ref="A119:H119"/>
    <mergeCell ref="A120:H120"/>
    <mergeCell ref="F104:H104"/>
    <mergeCell ref="E109:F109"/>
    <mergeCell ref="A109:B109"/>
    <mergeCell ref="A115:B115"/>
    <mergeCell ref="A82:B82"/>
    <mergeCell ref="G70:H79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A46:H46"/>
    <mergeCell ref="G52:H52"/>
    <mergeCell ref="C51:H51"/>
    <mergeCell ref="A53:H53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1:D22"/>
    <mergeCell ref="E21:H22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C112:D112"/>
    <mergeCell ref="G112:H112"/>
    <mergeCell ref="A251:H251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G69:H69"/>
    <mergeCell ref="E70:F79"/>
    <mergeCell ref="A78:B78"/>
    <mergeCell ref="A100:E100"/>
    <mergeCell ref="F100:H100"/>
    <mergeCell ref="A258:H261"/>
    <mergeCell ref="A257:B257"/>
    <mergeCell ref="E257:F257"/>
    <mergeCell ref="C257:D257"/>
    <mergeCell ref="G257:H257"/>
    <mergeCell ref="A108:H108"/>
    <mergeCell ref="A106:E106"/>
    <mergeCell ref="F106:H106"/>
    <mergeCell ref="A107:E107"/>
    <mergeCell ref="F107:H107"/>
    <mergeCell ref="A177:H177"/>
    <mergeCell ref="A113:B113"/>
    <mergeCell ref="A189:B189"/>
    <mergeCell ref="A110:B110"/>
    <mergeCell ref="A253:H253"/>
    <mergeCell ref="A111:H111"/>
    <mergeCell ref="A256:H256"/>
    <mergeCell ref="A254:H254"/>
    <mergeCell ref="E115:F115"/>
    <mergeCell ref="A114:B114"/>
    <mergeCell ref="C110:D110"/>
    <mergeCell ref="G114:H114"/>
    <mergeCell ref="E110:F110"/>
    <mergeCell ref="C115:D115"/>
    <mergeCell ref="A141:H141"/>
    <mergeCell ref="A130:B130"/>
    <mergeCell ref="A137:B137"/>
    <mergeCell ref="E112:F112"/>
    <mergeCell ref="A116:H116"/>
    <mergeCell ref="A60:C60"/>
    <mergeCell ref="D60:H60"/>
    <mergeCell ref="A101:E101"/>
    <mergeCell ref="A103:E103"/>
    <mergeCell ref="F97:H97"/>
    <mergeCell ref="A102:E102"/>
    <mergeCell ref="A97:E97"/>
    <mergeCell ref="A94:E94"/>
    <mergeCell ref="F98:H98"/>
    <mergeCell ref="C114:D114"/>
    <mergeCell ref="E114:F114"/>
    <mergeCell ref="C82:H82"/>
    <mergeCell ref="A83:B83"/>
    <mergeCell ref="E83:F83"/>
    <mergeCell ref="G83:H83"/>
    <mergeCell ref="A76:B76"/>
    <mergeCell ref="A72:B72"/>
    <mergeCell ref="A255:H255"/>
    <mergeCell ref="A252:H252"/>
    <mergeCell ref="A178:B178"/>
    <mergeCell ref="A112:B112"/>
    <mergeCell ref="G139:H139"/>
    <mergeCell ref="A88:B88"/>
    <mergeCell ref="A89:B89"/>
    <mergeCell ref="A90:B90"/>
    <mergeCell ref="F95:H95"/>
    <mergeCell ref="G110:H110"/>
    <mergeCell ref="F102:H102"/>
    <mergeCell ref="C109:D109"/>
    <mergeCell ref="F105:H105"/>
    <mergeCell ref="F103:H103"/>
    <mergeCell ref="A188:B188"/>
    <mergeCell ref="A117:H117"/>
    <mergeCell ref="G109:H109"/>
    <mergeCell ref="A104:E104"/>
    <mergeCell ref="A185:B185"/>
    <mergeCell ref="A250:H250"/>
    <mergeCell ref="A132:B132"/>
    <mergeCell ref="B249:H249"/>
    <mergeCell ref="B246:H246"/>
    <mergeCell ref="B242:H242"/>
    <mergeCell ref="E41:H41"/>
    <mergeCell ref="A41:D41"/>
    <mergeCell ref="A80:B80"/>
    <mergeCell ref="C80:H80"/>
    <mergeCell ref="A75:B75"/>
    <mergeCell ref="A48:B48"/>
    <mergeCell ref="C48:E48"/>
    <mergeCell ref="G48:H48"/>
    <mergeCell ref="G50:H50"/>
    <mergeCell ref="D54:H54"/>
    <mergeCell ref="C50:E50"/>
    <mergeCell ref="A57:C58"/>
    <mergeCell ref="D57:H57"/>
    <mergeCell ref="D58:H58"/>
    <mergeCell ref="C49:E49"/>
    <mergeCell ref="A52:B52"/>
    <mergeCell ref="C52:E52"/>
    <mergeCell ref="A49:B49"/>
    <mergeCell ref="A54:C54"/>
    <mergeCell ref="A55:C55"/>
    <mergeCell ref="D55:H55"/>
    <mergeCell ref="A70:B70"/>
    <mergeCell ref="A79:B79"/>
    <mergeCell ref="A69:B69"/>
    <mergeCell ref="L137:M137"/>
    <mergeCell ref="G122:H137"/>
    <mergeCell ref="L133:M133"/>
    <mergeCell ref="A134:B134"/>
    <mergeCell ref="L134:M134"/>
    <mergeCell ref="A135:B135"/>
    <mergeCell ref="L135:M135"/>
    <mergeCell ref="A136:B136"/>
    <mergeCell ref="L136:M136"/>
    <mergeCell ref="A126:B126"/>
    <mergeCell ref="L126:M126"/>
    <mergeCell ref="A127:B127"/>
    <mergeCell ref="L127:M127"/>
    <mergeCell ref="A128:B128"/>
    <mergeCell ref="L128:M128"/>
    <mergeCell ref="A129:B129"/>
    <mergeCell ref="L129:M129"/>
    <mergeCell ref="L130:M130"/>
    <mergeCell ref="A131:B131"/>
    <mergeCell ref="L131:M131"/>
    <mergeCell ref="L132:M132"/>
    <mergeCell ref="A133:B133"/>
    <mergeCell ref="L125:M125"/>
    <mergeCell ref="L123:M123"/>
    <mergeCell ref="B248:H248"/>
    <mergeCell ref="G187:H194"/>
    <mergeCell ref="A190:B190"/>
    <mergeCell ref="A192:B192"/>
    <mergeCell ref="A193:B193"/>
    <mergeCell ref="A194:B194"/>
    <mergeCell ref="G199:H205"/>
    <mergeCell ref="A197:H197"/>
    <mergeCell ref="A198:H198"/>
    <mergeCell ref="A199:B199"/>
    <mergeCell ref="A200:B200"/>
    <mergeCell ref="A201:B201"/>
    <mergeCell ref="A202:B202"/>
    <mergeCell ref="A217:H217"/>
    <mergeCell ref="A218:B218"/>
    <mergeCell ref="G218:H227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150:H150"/>
    <mergeCell ref="L150:M150"/>
    <mergeCell ref="A151:B151"/>
    <mergeCell ref="A152:B152"/>
    <mergeCell ref="A153:B153"/>
    <mergeCell ref="A154:B154"/>
    <mergeCell ref="A155:B155"/>
    <mergeCell ref="A156:B156"/>
    <mergeCell ref="A143:H143"/>
    <mergeCell ref="L143:M143"/>
    <mergeCell ref="A144:B144"/>
    <mergeCell ref="G144:H149"/>
    <mergeCell ref="A145:B145"/>
    <mergeCell ref="A146:B146"/>
    <mergeCell ref="A147:B147"/>
    <mergeCell ref="A148:B148"/>
    <mergeCell ref="A149:B149"/>
    <mergeCell ref="A157:B157"/>
    <mergeCell ref="A158:B158"/>
    <mergeCell ref="G151:H158"/>
    <mergeCell ref="A206:H206"/>
    <mergeCell ref="A207:B207"/>
    <mergeCell ref="G207:H216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159:H159"/>
    <mergeCell ref="A168:H168"/>
    <mergeCell ref="A203:B203"/>
    <mergeCell ref="A204:B204"/>
    <mergeCell ref="A205:B205"/>
    <mergeCell ref="L159:M159"/>
    <mergeCell ref="A160:B160"/>
    <mergeCell ref="G160:H167"/>
    <mergeCell ref="A161:B161"/>
    <mergeCell ref="A162:B162"/>
    <mergeCell ref="A163:B163"/>
    <mergeCell ref="A164:B164"/>
    <mergeCell ref="A165:B165"/>
    <mergeCell ref="A166:B166"/>
    <mergeCell ref="A167:B167"/>
    <mergeCell ref="C165:F165"/>
    <mergeCell ref="A227:B227"/>
    <mergeCell ref="C227:F227"/>
    <mergeCell ref="A228:H228"/>
    <mergeCell ref="A229:B229"/>
    <mergeCell ref="G229:H238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L168:M168"/>
    <mergeCell ref="A169:B169"/>
    <mergeCell ref="G169:H176"/>
    <mergeCell ref="A170:B170"/>
    <mergeCell ref="A171:B171"/>
    <mergeCell ref="A172:B172"/>
    <mergeCell ref="A173:B173"/>
    <mergeCell ref="A174:B174"/>
    <mergeCell ref="A175:B175"/>
    <mergeCell ref="A176:B176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9" max="16383" man="1"/>
    <brk id="261" max="16383" man="1"/>
    <brk id="303" max="16383" man="1"/>
    <brk id="3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4" t="s">
        <v>111</v>
      </c>
      <c r="C3" s="184"/>
      <c r="D3" s="184"/>
      <c r="E3" s="184"/>
      <c r="F3" s="184"/>
      <c r="G3" s="184"/>
      <c r="H3" s="184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2025-05-12T08:52:02Z</cp:lastPrinted>
  <dcterms:created xsi:type="dcterms:W3CDTF">2019-07-16T09:29:46Z</dcterms:created>
  <dcterms:modified xsi:type="dcterms:W3CDTF">2025-08-14T06:05:46Z</dcterms:modified>
</cp:coreProperties>
</file>