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1" l="1"/>
  <c r="F184" i="1" s="1"/>
  <c r="D183" i="1"/>
  <c r="F183" i="1" s="1"/>
  <c r="D182" i="1"/>
  <c r="F182" i="1" s="1"/>
  <c r="D181" i="1"/>
  <c r="F180" i="1"/>
  <c r="D180" i="1"/>
  <c r="F179" i="1" s="1"/>
  <c r="D179" i="1"/>
  <c r="F178" i="1" s="1"/>
  <c r="D178" i="1"/>
  <c r="D177" i="1"/>
  <c r="F177" i="1" s="1"/>
  <c r="I177" i="1" s="1"/>
  <c r="D176" i="1"/>
  <c r="F176" i="1" s="1"/>
  <c r="D175" i="1"/>
  <c r="F175" i="1" s="1"/>
  <c r="A175" i="1"/>
  <c r="A176" i="1" s="1"/>
  <c r="A177" i="1" s="1"/>
  <c r="A178" i="1" s="1"/>
  <c r="A179" i="1" s="1"/>
  <c r="A180" i="1" s="1"/>
  <c r="A181" i="1" s="1"/>
  <c r="A182" i="1" s="1"/>
  <c r="A183" i="1" s="1"/>
  <c r="A184" i="1" s="1"/>
  <c r="G174" i="1"/>
  <c r="D174" i="1"/>
  <c r="F174" i="1" s="1"/>
  <c r="F181" i="1" l="1"/>
  <c r="D163" i="1"/>
  <c r="I168" i="1" l="1"/>
  <c r="I163" i="1"/>
  <c r="D271" i="1"/>
  <c r="D270" i="1"/>
  <c r="D269" i="1"/>
  <c r="D268" i="1"/>
  <c r="D267" i="1"/>
  <c r="D266" i="1"/>
  <c r="D265" i="1"/>
  <c r="D264" i="1"/>
  <c r="D263" i="1"/>
  <c r="D261" i="1"/>
  <c r="D260" i="1"/>
  <c r="D258" i="1"/>
  <c r="D257" i="1"/>
  <c r="D256" i="1"/>
  <c r="D255" i="1"/>
  <c r="D254" i="1"/>
  <c r="D253" i="1"/>
  <c r="D251" i="1"/>
  <c r="D250" i="1"/>
  <c r="D249" i="1"/>
  <c r="D248" i="1"/>
  <c r="D247" i="1"/>
  <c r="D246" i="1"/>
  <c r="D245" i="1"/>
  <c r="D244" i="1"/>
  <c r="D243" i="1"/>
  <c r="D241" i="1"/>
  <c r="D240" i="1"/>
  <c r="D239" i="1"/>
  <c r="D238" i="1"/>
  <c r="D237" i="1"/>
  <c r="D236" i="1"/>
  <c r="D235" i="1"/>
  <c r="D234" i="1"/>
  <c r="D233" i="1"/>
  <c r="D230" i="1"/>
  <c r="D229" i="1"/>
  <c r="D228" i="1"/>
  <c r="D227" i="1"/>
  <c r="D226" i="1"/>
  <c r="D225" i="1"/>
  <c r="D224" i="1"/>
  <c r="D223" i="1"/>
  <c r="D220" i="1"/>
  <c r="D219" i="1"/>
  <c r="D218" i="1"/>
  <c r="D217" i="1"/>
  <c r="D216" i="1"/>
  <c r="D215" i="1"/>
  <c r="D214" i="1"/>
  <c r="D213" i="1"/>
  <c r="D212" i="1"/>
  <c r="D211" i="1"/>
  <c r="D210" i="1"/>
  <c r="D208" i="1"/>
  <c r="D207" i="1"/>
  <c r="D206" i="1"/>
  <c r="D205" i="1"/>
  <c r="D204" i="1"/>
  <c r="D203" i="1"/>
  <c r="D201" i="1"/>
  <c r="D200" i="1"/>
  <c r="D199" i="1"/>
  <c r="D198" i="1"/>
  <c r="D196" i="1"/>
  <c r="D195" i="1"/>
  <c r="D194" i="1"/>
  <c r="D193" i="1"/>
  <c r="D192" i="1"/>
  <c r="D191" i="1"/>
  <c r="F191" i="1" s="1"/>
  <c r="J191" i="1" s="1"/>
  <c r="J192" i="1" s="1"/>
  <c r="D190" i="1"/>
  <c r="D189" i="1"/>
  <c r="D188" i="1"/>
  <c r="D187" i="1"/>
  <c r="D186" i="1"/>
  <c r="D172" i="1"/>
  <c r="D171" i="1"/>
  <c r="D170" i="1"/>
  <c r="D169" i="1"/>
  <c r="D168" i="1"/>
  <c r="D167" i="1"/>
  <c r="D166" i="1"/>
  <c r="D165" i="1"/>
  <c r="D164" i="1"/>
  <c r="D162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C115" i="1" l="1"/>
  <c r="C116" i="1"/>
  <c r="E111" i="1"/>
  <c r="E112" i="1" s="1"/>
  <c r="C117" i="1"/>
  <c r="C111" i="1"/>
  <c r="C112" i="1" s="1"/>
  <c r="E116" i="1"/>
  <c r="E115" i="1"/>
  <c r="F271" i="1"/>
  <c r="F270" i="1"/>
  <c r="F269" i="1"/>
  <c r="F268" i="1"/>
  <c r="F267" i="1"/>
  <c r="F266" i="1"/>
  <c r="F265" i="1"/>
  <c r="F264" i="1"/>
  <c r="A264" i="1"/>
  <c r="A265" i="1" s="1"/>
  <c r="A266" i="1" s="1"/>
  <c r="A267" i="1" s="1"/>
  <c r="A268" i="1" s="1"/>
  <c r="A269" i="1" s="1"/>
  <c r="A270" i="1" s="1"/>
  <c r="A271" i="1" s="1"/>
  <c r="G263" i="1"/>
  <c r="F263" i="1"/>
  <c r="F261" i="1"/>
  <c r="F260" i="1"/>
  <c r="F258" i="1"/>
  <c r="F257" i="1"/>
  <c r="F256" i="1"/>
  <c r="F255" i="1"/>
  <c r="F254" i="1"/>
  <c r="A254" i="1"/>
  <c r="A255" i="1" s="1"/>
  <c r="A256" i="1" s="1"/>
  <c r="A257" i="1" s="1"/>
  <c r="A258" i="1" s="1"/>
  <c r="A259" i="1" s="1"/>
  <c r="A260" i="1" s="1"/>
  <c r="A261" i="1" s="1"/>
  <c r="G253" i="1"/>
  <c r="F253" i="1"/>
  <c r="G243" i="1"/>
  <c r="F251" i="1"/>
  <c r="F250" i="1"/>
  <c r="F249" i="1"/>
  <c r="F248" i="1"/>
  <c r="F247" i="1"/>
  <c r="F246" i="1"/>
  <c r="F245" i="1"/>
  <c r="F244" i="1"/>
  <c r="A244" i="1"/>
  <c r="A245" i="1" s="1"/>
  <c r="A246" i="1" s="1"/>
  <c r="A247" i="1" s="1"/>
  <c r="A248" i="1" s="1"/>
  <c r="A249" i="1" s="1"/>
  <c r="A250" i="1" s="1"/>
  <c r="A251" i="1" s="1"/>
  <c r="F243" i="1"/>
  <c r="F235" i="1"/>
  <c r="F241" i="1"/>
  <c r="F240" i="1"/>
  <c r="F239" i="1"/>
  <c r="F237" i="1"/>
  <c r="F234" i="1"/>
  <c r="F238" i="1"/>
  <c r="F236" i="1"/>
  <c r="A234" i="1"/>
  <c r="A235" i="1" s="1"/>
  <c r="A236" i="1" s="1"/>
  <c r="A237" i="1" s="1"/>
  <c r="A238" i="1" s="1"/>
  <c r="A239" i="1" s="1"/>
  <c r="A240" i="1" s="1"/>
  <c r="A241" i="1" s="1"/>
  <c r="G233" i="1"/>
  <c r="F233" i="1"/>
  <c r="F224" i="1"/>
  <c r="F223" i="1"/>
  <c r="F229" i="1"/>
  <c r="F228" i="1"/>
  <c r="F227" i="1"/>
  <c r="F226" i="1"/>
  <c r="F225" i="1"/>
  <c r="G223" i="1"/>
  <c r="F230" i="1"/>
  <c r="A224" i="1"/>
  <c r="A225" i="1" s="1"/>
  <c r="A226" i="1" s="1"/>
  <c r="A227" i="1" s="1"/>
  <c r="A228" i="1" s="1"/>
  <c r="A229" i="1" s="1"/>
  <c r="A230" i="1" s="1"/>
  <c r="A231" i="1" s="1"/>
  <c r="F220" i="1"/>
  <c r="F219" i="1"/>
  <c r="F218" i="1"/>
  <c r="F216" i="1"/>
  <c r="F215" i="1"/>
  <c r="F214" i="1"/>
  <c r="F213" i="1"/>
  <c r="F212" i="1"/>
  <c r="F211" i="1"/>
  <c r="A211" i="1"/>
  <c r="A212" i="1" s="1"/>
  <c r="A213" i="1" s="1"/>
  <c r="A214" i="1" s="1"/>
  <c r="A215" i="1" s="1"/>
  <c r="A216" i="1" s="1"/>
  <c r="A217" i="1" s="1"/>
  <c r="A218" i="1" s="1"/>
  <c r="A219" i="1" s="1"/>
  <c r="A220" i="1" s="1"/>
  <c r="G210" i="1"/>
  <c r="F210" i="1"/>
  <c r="E117" i="1" l="1"/>
  <c r="G116" i="1"/>
  <c r="F217" i="1"/>
  <c r="F208" i="1" l="1"/>
  <c r="F207" i="1"/>
  <c r="F206" i="1"/>
  <c r="F205" i="1"/>
  <c r="F204" i="1"/>
  <c r="F203" i="1"/>
  <c r="F201" i="1"/>
  <c r="F200" i="1"/>
  <c r="F199" i="1"/>
  <c r="F198" i="1"/>
  <c r="F195" i="1"/>
  <c r="F194" i="1"/>
  <c r="F192" i="1"/>
  <c r="F190" i="1"/>
  <c r="F189" i="1"/>
  <c r="I189" i="1" s="1"/>
  <c r="F188" i="1"/>
  <c r="F187" i="1"/>
  <c r="F186" i="1"/>
  <c r="F172" i="1"/>
  <c r="G162" i="1"/>
  <c r="A199" i="1"/>
  <c r="A200" i="1" s="1"/>
  <c r="A201" i="1" s="1"/>
  <c r="G198" i="1"/>
  <c r="G186" i="1"/>
  <c r="F196" i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F166" i="1"/>
  <c r="G126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I127" i="1"/>
  <c r="I130" i="1"/>
  <c r="I126" i="1"/>
  <c r="G50" i="1"/>
  <c r="G51" i="1" s="1"/>
  <c r="F193" i="1" l="1"/>
  <c r="A202" i="1"/>
  <c r="A203" i="1" s="1"/>
  <c r="A204" i="1" s="1"/>
  <c r="A205" i="1" s="1"/>
  <c r="A206" i="1" s="1"/>
  <c r="A207" i="1" s="1"/>
  <c r="A208" i="1" s="1"/>
  <c r="Z12" i="1"/>
  <c r="I14" i="1"/>
  <c r="F162" i="1" l="1"/>
  <c r="F126" i="1"/>
  <c r="E118" i="1" l="1"/>
  <c r="C118" i="1"/>
  <c r="E43" i="1" l="1"/>
  <c r="E44" i="1" s="1"/>
  <c r="C15" i="1" l="1"/>
  <c r="E30" i="1" l="1"/>
  <c r="F163" i="1" l="1"/>
  <c r="F164" i="1"/>
  <c r="F165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F108" i="1" l="1"/>
  <c r="F127" i="1" l="1"/>
  <c r="F128" i="1"/>
  <c r="F129" i="1"/>
  <c r="G111" i="1" l="1"/>
  <c r="G112" i="1" s="1"/>
  <c r="B274" i="1"/>
  <c r="F171" i="1" l="1"/>
  <c r="F170" i="1"/>
  <c r="F168" i="1"/>
  <c r="F167" i="1"/>
  <c r="F169" i="1"/>
  <c r="G115" i="1" l="1"/>
  <c r="G117" i="1" s="1"/>
  <c r="G118" i="1" s="1"/>
  <c r="B27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B82" i="1"/>
  <c r="B68" i="1"/>
  <c r="D55" i="1"/>
  <c r="C50" i="1"/>
  <c r="C51" i="1" s="1"/>
  <c r="E27" i="1"/>
  <c r="E25" i="1"/>
  <c r="E7" i="1"/>
  <c r="E3" i="1"/>
  <c r="D61" i="1" l="1"/>
  <c r="H68" i="1"/>
  <c r="H82" i="1"/>
  <c r="J86" i="1" l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C85" i="1" l="1"/>
  <c r="D85" i="1" s="1"/>
  <c r="J80" i="1"/>
  <c r="J94" i="1"/>
  <c r="C86" i="1" s="1"/>
  <c r="C72" i="1" l="1"/>
  <c r="G71" i="1" s="1"/>
  <c r="D65" i="1" s="1"/>
  <c r="J82" i="1"/>
  <c r="E85" i="1"/>
  <c r="G85" i="1"/>
  <c r="D86" i="1"/>
  <c r="I82" i="1" s="1"/>
  <c r="I83" i="1" s="1"/>
  <c r="J68" i="1" l="1"/>
  <c r="E71" i="1"/>
  <c r="D66" i="1"/>
  <c r="F66" i="1"/>
  <c r="D72" i="1"/>
  <c r="I68" i="1" s="1"/>
  <c r="I69" i="1" s="1"/>
  <c r="I81" i="1"/>
  <c r="C83" i="1" s="1"/>
  <c r="I67" i="1" l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<sst xmlns="http://schemas.openxmlformats.org/spreadsheetml/2006/main" count="560" uniqueCount="295">
  <si>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</si>
  <si>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</si>
  <si>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</si>
  <si>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</si>
  <si>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</si>
  <si>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</si>
  <si>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</si>
  <si>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</si>
  <si>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</si>
  <si>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</si>
  <si>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</si>
  <si>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</si>
  <si>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</si>
  <si>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</si>
  <si>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</si>
  <si>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</si>
  <si>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</si>
  <si>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</si>
  <si>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</si>
  <si>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</si>
  <si>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</si>
  <si>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</si>
  <si>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</si>
  <si>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</si>
  <si>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</si>
  <si>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</si>
  <si>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</si>
  <si>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</si>
  <si>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</si>
  <si>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</si>
  <si>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</si>
  <si>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</si>
  <si>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</si>
  <si>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</si>
  <si>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</si>
  <si>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</si>
  <si>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</si>
  <si>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</si>
  <si>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</si>
  <si>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</si>
  <si>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</si>
  <si>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</si>
  <si>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</si>
  <si>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</si>
  <si>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</si>
  <si>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</si>
  <si>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</si>
  <si>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</si>
  <si>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</si>
  <si>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</si>
  <si>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</si>
  <si>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</si>
  <si>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</si>
  <si>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</si>
  <si>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</si>
  <si>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</si>
  <si>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</si>
  <si>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</si>
  <si>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</si>
  <si>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</si>
  <si>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</si>
  <si>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</si>
  <si>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</si>
  <si>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</si>
  <si>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</si>
  <si>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</si>
  <si>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</si>
  <si>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</si>
  <si>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</si>
  <si>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</si>
  <si>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</si>
  <si>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</si>
  <si>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</si>
  <si>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</si>
  <si>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</si>
  <si>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</si>
  <si>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</si>
  <si>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</si>
  <si>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</si>
  <si>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</si>
  <si>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</si>
  <si>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</si>
  <si>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</si>
  <si>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</si>
  <si>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</si>
  <si>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</si>
  <si>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</si>
  <si>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</si>
  <si>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</si>
  <si>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</si>
  <si>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</si>
  <si>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</si>
  <si>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</si>
  <si>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</si>
  <si>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</si>
  <si>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</si>
  <si>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</si>
  <si>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</si>
  <si>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</si>
  <si>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</si>
  <si>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</si>
  <si>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</si>
  <si>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</si>
  <si>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</si>
  <si>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</si>
  <si>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</si>
  <si>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</si>
  <si>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</si>
  <si>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</si>
  <si>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</si>
  <si>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</si>
  <si>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</si>
  <si>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</si>
  <si>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</si>
  <si>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</si>
  <si>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</si>
  <si>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</si>
  <si>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</si>
  <si>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</si>
  <si>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</si>
  <si>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</si>
  <si>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</si>
  <si>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</si>
  <si>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</si>
  <si>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</si>
  <si>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</si>
  <si>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</si>
  <si>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</si>
  <si>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</si>
  <si>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</si>
  <si>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</si>
  <si>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</si>
  <si>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</si>
  <si>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</si>
  <si>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</si>
  <si>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</si>
  <si>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</si>
  <si>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</si>
  <si>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</si>
  <si>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</si>
  <si>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</si>
  <si>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</si>
  <si>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</si>
  <si>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</si>
  <si>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</si>
  <si>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</si>
  <si>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</si>
  <si>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</si>
  <si>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</si>
  <si>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</si>
  <si>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</si>
  <si>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</si>
  <si>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</si>
  <si>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</si>
  <si>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</si>
  <si>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</si>
  <si>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</si>
  <si>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</si>
  <si>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</si>
  <si>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</si>
  <si>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</si>
  <si>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</si>
  <si>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</si>
  <si>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</si>
  <si>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</si>
  <si>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</si>
  <si>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</si>
  <si>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</si>
  <si>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</si>
  <si>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</si>
  <si>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</si>
  <si>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</si>
  <si>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</si>
  <si>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</si>
  <si>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</si>
  <si>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</si>
  <si>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</si>
  <si>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</si>
  <si>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</si>
  <si>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</si>
  <si>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</si>
  <si>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</si>
  <si>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</si>
  <si>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</si>
  <si>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</si>
  <si>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</si>
  <si>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</si>
  <si>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</si>
  <si>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</si>
  <si>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</si>
  <si>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</si>
  <si>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</si>
  <si>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</si>
  <si>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</si>
  <si>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</si>
  <si>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</si>
  <si>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</si>
  <si>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</si>
  <si>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</si>
  <si>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</si>
  <si>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</si>
  <si>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</si>
  <si>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</si>
  <si>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</si>
  <si>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</si>
  <si>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</si>
  <si>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</si>
  <si>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</si>
  <si>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</si>
  <si>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</si>
  <si>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</si>
  <si>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</si>
  <si>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</si>
  <si>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</si>
  <si>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</si>
  <si>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</si>
  <si>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</si>
  <si>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</si>
  <si>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</si>
  <si>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</si>
  <si>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</si>
  <si>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</si>
  <si>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</si>
  <si>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</si>
  <si>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</si>
  <si>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</si>
  <si>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</si>
  <si>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</si>
  <si>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</si>
  <si>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Shreenathji Enterprises</t>
  </si>
  <si>
    <t>Delta Flora</t>
  </si>
  <si>
    <t>P52000052222</t>
  </si>
  <si>
    <t>Plot No</t>
  </si>
  <si>
    <t>105, Sector - 08</t>
  </si>
  <si>
    <t>02 Building</t>
  </si>
  <si>
    <t xml:space="preserve">City and Industrial Development Corporation of Maharashtra (CIDCO)
</t>
  </si>
  <si>
    <t>CIDCO/BP-18279/TPO(NM &amp; K)/2022/
10785</t>
  </si>
  <si>
    <t>A &amp; B Wing</t>
  </si>
  <si>
    <t>B Wing = 1B + Gr + 1st to 9th Floor</t>
  </si>
  <si>
    <t>As per RERA - 31/12/2028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</si>
  <si>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</si>
  <si>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A Wing</t>
  </si>
  <si>
    <t xml:space="preserve">Basement Floor For Lobby &amp; Parking </t>
  </si>
  <si>
    <t>Ground Floor For Commercial, Meter Room, Entrance Lobby &amp; Parking</t>
  </si>
  <si>
    <t>Shop</t>
  </si>
  <si>
    <t>1BHK</t>
  </si>
  <si>
    <t>2BHK</t>
  </si>
  <si>
    <t>8th Floor ( Part Refuge Area )</t>
  </si>
  <si>
    <t>Refuge Area</t>
  </si>
  <si>
    <t>9th Floor</t>
  </si>
  <si>
    <t xml:space="preserve">B Wing </t>
  </si>
  <si>
    <t>1st Floor For Residential ( Part Society Office, Drivers Room &amp; Fitness Center )</t>
  </si>
  <si>
    <t>2nd Floor ( Part Terrace Area )</t>
  </si>
  <si>
    <t>We considered Gross carpet area = Net carpet + Balcony Area</t>
  </si>
  <si>
    <t>Residential Area Details : Flat</t>
  </si>
  <si>
    <t>Pushpak Nagar</t>
  </si>
  <si>
    <t>Internal Road</t>
  </si>
  <si>
    <t>Ulwe, Navi Mumbai</t>
  </si>
  <si>
    <t>Internal Road/Open Plot</t>
  </si>
  <si>
    <t>Open Plot</t>
  </si>
  <si>
    <t xml:space="preserve">Internal Road/Bhaveshwar hills
Apartment </t>
  </si>
  <si>
    <t>https://goo.gl/maps/G5nTptWgUQS9XMQY9</t>
  </si>
  <si>
    <t>Panvel West</t>
  </si>
  <si>
    <t xml:space="preserve">Bhaveshwar hills Apartment </t>
  </si>
  <si>
    <t>9.7 KM from Panvel Railway Station</t>
  </si>
  <si>
    <t xml:space="preserve">A Wing = 1B + Gr + 1st to 9th Floor
B Wing = 1B + Gr + 1st to 9th Floor
</t>
  </si>
  <si>
    <t>Commercial Area Details : Shop</t>
  </si>
  <si>
    <t xml:space="preserve">A Wing </t>
  </si>
  <si>
    <t>B Wing</t>
  </si>
  <si>
    <t>A &amp; B Wing  = 1B + Gr + 1st to 9th Floor</t>
  </si>
  <si>
    <t>https://urbanohomes.com/property/delt-flora-pushpak-nagar/</t>
  </si>
  <si>
    <t>24 x 7 Water Supply, Kids Play Area, Landscaping and Tree, Society Room, CCTV Surveillance, Lobby, Meter Room. Fitness Center, Driver Room, Lift, Parking etc</t>
  </si>
  <si>
    <t xml:space="preserve"> A &amp; B Wing </t>
  </si>
  <si>
    <t>A Wing &amp; B Wing</t>
  </si>
  <si>
    <t>18.967720,73.080413</t>
  </si>
  <si>
    <t>Other Plot</t>
  </si>
  <si>
    <t>24.00 M Wide Road</t>
  </si>
  <si>
    <t>Mr. Ashish Ajani 8080995670</t>
  </si>
  <si>
    <t>Flats - 177, Shops - 31</t>
  </si>
  <si>
    <t>3rd, 4th, 5th, 6th &amp; 7th Floor</t>
  </si>
  <si>
    <t>1st Floor For Residential, Pool &amp; Recreation Ground)</t>
  </si>
  <si>
    <t xml:space="preserve"> Fitness Center, Society Office, Drivers Room</t>
  </si>
  <si>
    <t xml:space="preserve"> 6th Floor </t>
  </si>
  <si>
    <t>Development Charges (Only for 2BHK)</t>
  </si>
  <si>
    <t>Society Formation Charges (Only for 2BHK)</t>
  </si>
  <si>
    <t>Plus 2BHK</t>
  </si>
  <si>
    <t xml:space="preserve">2nd, 3rd, 4th, 5th, 7th Floor </t>
  </si>
  <si>
    <t>Mr. Akshay 8080995670</t>
  </si>
  <si>
    <t>A &amp; B Wing = 1B + Gr + 1st to 11th Floor</t>
  </si>
  <si>
    <t>B Wing = 1B + Gr + 1st to 11th Floor</t>
  </si>
  <si>
    <t>Construction stage is reduced due to revision in proposed structure of project.</t>
  </si>
  <si>
    <t>Construction work goes beyond approved no. of floor. Please provide revised approved floor plans &amp; CC.</t>
  </si>
  <si>
    <t>Construction work is in process at the time of Visit.</t>
  </si>
  <si>
    <t>Pooja Kawale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</si>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</sst>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26" fillId="0" borderId="24" xfId="10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3" borderId="23" xfId="1" applyFont="1" applyFill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5" fillId="0" borderId="8" xfId="0" applyFont="1" applyBorder="1"/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0" fontId="8" fillId="0" borderId="36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145677</xdr:colOff>
      <xdr:row>386</xdr:row>
      <xdr:rowOff>201082</xdr:rowOff>
    </xdr:from>
    <xdr:to>
      <xdr:col>6</xdr:col>
      <xdr:colOff>754445</xdr:colOff>
      <xdr:row>404</xdr:row>
      <xdr:rowOff>181582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005" t="17689" r="25834" b="11085"/>
        <a:stretch/>
      </xdr:blipFill>
      <xdr:spPr>
        <a:xfrm>
          <a:off x="960594" y="79480832"/>
          <a:ext cx="5053768" cy="3600000"/>
        </a:xfrm>
        <a:prstGeom prst="rect">
          <a:avLst/>
        </a:prstGeom>
        <a:ln w="9525">
          <a:solidFill>
            <a:sysClr val="windowText" lastClr="000000"/>
          </a:solidFill>
        </a:ln>
      </xdr:spPr>
    </xdr:pic>
    <xdr:clientData/>
  </xdr:twoCellAnchor>
  <xdr:twoCellAnchor>
    <xdr:from>
      <xdr:col>4</xdr:col>
      <xdr:colOff>216925</xdr:colOff>
      <xdr:row>396</xdr:row>
      <xdr:rowOff>121715</xdr:rowOff>
    </xdr:from>
    <xdr:to>
      <xdr:col>4</xdr:col>
      <xdr:colOff>557428</xdr:colOff>
      <xdr:row>398</xdr:row>
      <xdr:rowOff>184052</xdr:rowOff>
    </xdr:to>
    <xdr:sp macro="" textlink="">
      <xdr:nvSpPr>
        <xdr:cNvPr id="14" name="TextBox 26"/>
        <xdr:cNvSpPr txBox="1"/>
      </xdr:nvSpPr>
      <xdr:spPr>
        <a:xfrm rot="18193095">
          <a:off x="3760161" y="80588979"/>
          <a:ext cx="459902" cy="3405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 b="1">
              <a:solidFill>
                <a:srgbClr val="002060"/>
              </a:solidFill>
            </a:rPr>
            <a:t>    </a:t>
          </a:r>
          <a:r>
            <a:rPr lang="en-US" sz="800" b="1">
              <a:solidFill>
                <a:srgbClr val="0ADCE6"/>
              </a:solidFill>
            </a:rPr>
            <a:t>A Wing</a:t>
          </a:r>
          <a:endParaRPr lang="en-IN" sz="800" b="1">
            <a:solidFill>
              <a:srgbClr val="0ADCE6"/>
            </a:solidFill>
          </a:endParaRPr>
        </a:p>
      </xdr:txBody>
    </xdr:sp>
    <xdr:clientData/>
  </xdr:twoCellAnchor>
  <xdr:twoCellAnchor>
    <xdr:from>
      <xdr:col>4</xdr:col>
      <xdr:colOff>80593</xdr:colOff>
      <xdr:row>397</xdr:row>
      <xdr:rowOff>168694</xdr:rowOff>
    </xdr:from>
    <xdr:to>
      <xdr:col>4</xdr:col>
      <xdr:colOff>421096</xdr:colOff>
      <xdr:row>400</xdr:row>
      <xdr:rowOff>32244</xdr:rowOff>
    </xdr:to>
    <xdr:sp macro="" textlink="">
      <xdr:nvSpPr>
        <xdr:cNvPr id="15" name="TextBox 33"/>
        <xdr:cNvSpPr txBox="1"/>
      </xdr:nvSpPr>
      <xdr:spPr>
        <a:xfrm rot="18399859">
          <a:off x="3623831" y="80834739"/>
          <a:ext cx="459898" cy="3405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 b="1">
              <a:solidFill>
                <a:srgbClr val="0ADCE6"/>
              </a:solidFill>
            </a:rPr>
            <a:t>    B  Wing</a:t>
          </a:r>
          <a:endParaRPr lang="en-IN" sz="800" b="1">
            <a:solidFill>
              <a:srgbClr val="0ADCE6"/>
            </a:solidFill>
          </a:endParaRPr>
        </a:p>
      </xdr:txBody>
    </xdr:sp>
    <xdr:clientData/>
  </xdr:twoCellAnchor>
  <xdr:twoCellAnchor>
    <xdr:from>
      <xdr:col>4</xdr:col>
      <xdr:colOff>0</xdr:colOff>
      <xdr:row>396</xdr:row>
      <xdr:rowOff>174380</xdr:rowOff>
    </xdr:from>
    <xdr:to>
      <xdr:col>4</xdr:col>
      <xdr:colOff>552914</xdr:colOff>
      <xdr:row>399</xdr:row>
      <xdr:rowOff>195479</xdr:rowOff>
    </xdr:to>
    <xdr:grpSp>
      <xdr:nvGrpSpPr>
        <xdr:cNvPr id="23" name="Group 22"/>
        <xdr:cNvGrpSpPr/>
      </xdr:nvGrpSpPr>
      <xdr:grpSpPr>
        <a:xfrm>
          <a:off x="3517900" y="74742430"/>
          <a:ext cx="552914" cy="611649"/>
          <a:chOff x="-11585" y="145890"/>
          <a:chExt cx="1265335" cy="1266763"/>
        </a:xfrm>
      </xdr:grpSpPr>
      <xdr:cxnSp macro="">
        <xdr:nvCxnSpPr>
          <xdr:cNvPr id="24" name="Straight Connector 23"/>
          <xdr:cNvCxnSpPr/>
        </xdr:nvCxnSpPr>
        <xdr:spPr>
          <a:xfrm flipV="1">
            <a:off x="673416" y="444408"/>
            <a:ext cx="569702" cy="946937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/>
          <xdr:cNvCxnSpPr/>
        </xdr:nvCxnSpPr>
        <xdr:spPr>
          <a:xfrm flipH="1" flipV="1">
            <a:off x="612782" y="145890"/>
            <a:ext cx="640968" cy="279545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/>
          <xdr:cNvCxnSpPr/>
        </xdr:nvCxnSpPr>
        <xdr:spPr>
          <a:xfrm flipV="1">
            <a:off x="-11585" y="154387"/>
            <a:ext cx="626685" cy="1024074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26"/>
          <xdr:cNvCxnSpPr/>
        </xdr:nvCxnSpPr>
        <xdr:spPr>
          <a:xfrm flipH="1" flipV="1">
            <a:off x="11362" y="1178457"/>
            <a:ext cx="514117" cy="234196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Arc 27"/>
          <xdr:cNvSpPr/>
        </xdr:nvSpPr>
        <xdr:spPr>
          <a:xfrm rot="6658157">
            <a:off x="441185" y="1168520"/>
            <a:ext cx="176975" cy="305912"/>
          </a:xfrm>
          <a:prstGeom prst="arc">
            <a:avLst>
              <a:gd name="adj1" fmla="val 16216614"/>
              <a:gd name="adj2" fmla="val 0"/>
            </a:avLst>
          </a:prstGeom>
          <a:noFill/>
          <a:ln w="127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</xdr:col>
      <xdr:colOff>126996</xdr:colOff>
      <xdr:row>405</xdr:row>
      <xdr:rowOff>105838</xdr:rowOff>
    </xdr:from>
    <xdr:to>
      <xdr:col>6</xdr:col>
      <xdr:colOff>736396</xdr:colOff>
      <xdr:row>422</xdr:row>
      <xdr:rowOff>79637</xdr:rowOff>
    </xdr:to>
    <xdr:pic>
      <xdr:nvPicPr>
        <xdr:cNvPr id="33" name="Picture 3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291" t="19102" r="25436" b="10143"/>
        <a:stretch/>
      </xdr:blipFill>
      <xdr:spPr>
        <a:xfrm>
          <a:off x="941913" y="83206171"/>
          <a:ext cx="5054400" cy="3392215"/>
        </a:xfrm>
        <a:prstGeom prst="rect">
          <a:avLst/>
        </a:prstGeom>
        <a:ln w="635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412739</xdr:colOff>
      <xdr:row>342</xdr:row>
      <xdr:rowOff>16981</xdr:rowOff>
    </xdr:from>
    <xdr:to>
      <xdr:col>6</xdr:col>
      <xdr:colOff>379055</xdr:colOff>
      <xdr:row>360</xdr:row>
      <xdr:rowOff>737</xdr:rowOff>
    </xdr:to>
    <xdr:pic>
      <xdr:nvPicPr>
        <xdr:cNvPr id="34" name="Picture 3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540" t="17453" r="20264" b="12735"/>
        <a:stretch/>
      </xdr:blipFill>
      <xdr:spPr>
        <a:xfrm>
          <a:off x="1227656" y="69803481"/>
          <a:ext cx="4411316" cy="360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9</xdr:col>
      <xdr:colOff>676440</xdr:colOff>
      <xdr:row>294</xdr:row>
      <xdr:rowOff>33903</xdr:rowOff>
    </xdr:from>
    <xdr:to>
      <xdr:col>10</xdr:col>
      <xdr:colOff>537229</xdr:colOff>
      <xdr:row>295</xdr:row>
      <xdr:rowOff>63210</xdr:rowOff>
    </xdr:to>
    <xdr:sp macro="" textlink="">
      <xdr:nvSpPr>
        <xdr:cNvPr id="30" name="TextBox 29"/>
        <xdr:cNvSpPr txBox="1"/>
      </xdr:nvSpPr>
      <xdr:spPr>
        <a:xfrm>
          <a:off x="8220240" y="61279653"/>
          <a:ext cx="622789" cy="2293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Wing B</a:t>
          </a:r>
        </a:p>
      </xdr:txBody>
    </xdr:sp>
    <xdr:clientData/>
  </xdr:twoCellAnchor>
  <xdr:twoCellAnchor>
    <xdr:from>
      <xdr:col>2</xdr:col>
      <xdr:colOff>83528</xdr:colOff>
      <xdr:row>349</xdr:row>
      <xdr:rowOff>21248</xdr:rowOff>
    </xdr:from>
    <xdr:to>
      <xdr:col>2</xdr:col>
      <xdr:colOff>310662</xdr:colOff>
      <xdr:row>352</xdr:row>
      <xdr:rowOff>43962</xdr:rowOff>
    </xdr:to>
    <xdr:sp macro="" textlink="">
      <xdr:nvSpPr>
        <xdr:cNvPr id="40" name="TextBox 39"/>
        <xdr:cNvSpPr txBox="1"/>
      </xdr:nvSpPr>
      <xdr:spPr>
        <a:xfrm rot="5400000">
          <a:off x="1447800" y="71075551"/>
          <a:ext cx="622789" cy="2271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solidFill>
                <a:srgbClr val="FF0000"/>
              </a:solidFill>
            </a:rPr>
            <a:t>Wing B</a:t>
          </a:r>
        </a:p>
      </xdr:txBody>
    </xdr:sp>
    <xdr:clientData/>
  </xdr:twoCellAnchor>
  <xdr:twoCellAnchor>
    <xdr:from>
      <xdr:col>6</xdr:col>
      <xdr:colOff>45428</xdr:colOff>
      <xdr:row>349</xdr:row>
      <xdr:rowOff>11723</xdr:rowOff>
    </xdr:from>
    <xdr:to>
      <xdr:col>6</xdr:col>
      <xdr:colOff>272562</xdr:colOff>
      <xdr:row>352</xdr:row>
      <xdr:rowOff>34437</xdr:rowOff>
    </xdr:to>
    <xdr:sp macro="" textlink="">
      <xdr:nvSpPr>
        <xdr:cNvPr id="41" name="TextBox 40"/>
        <xdr:cNvSpPr txBox="1"/>
      </xdr:nvSpPr>
      <xdr:spPr>
        <a:xfrm rot="5400000">
          <a:off x="4762500" y="71066026"/>
          <a:ext cx="622789" cy="2271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solidFill>
                <a:srgbClr val="FF0000"/>
              </a:solidFill>
            </a:rPr>
            <a:t>Wing A</a:t>
          </a:r>
        </a:p>
      </xdr:txBody>
    </xdr:sp>
    <xdr:clientData/>
  </xdr:twoCellAnchor>
  <xdr:twoCellAnchor>
    <xdr:from>
      <xdr:col>9</xdr:col>
      <xdr:colOff>0</xdr:colOff>
      <xdr:row>298</xdr:row>
      <xdr:rowOff>0</xdr:rowOff>
    </xdr:from>
    <xdr:to>
      <xdr:col>9</xdr:col>
      <xdr:colOff>734674</xdr:colOff>
      <xdr:row>299</xdr:row>
      <xdr:rowOff>53325</xdr:rowOff>
    </xdr:to>
    <xdr:sp macro="" textlink="">
      <xdr:nvSpPr>
        <xdr:cNvPr id="29" name="TextBox 28"/>
        <xdr:cNvSpPr txBox="1"/>
      </xdr:nvSpPr>
      <xdr:spPr>
        <a:xfrm>
          <a:off x="8470900" y="58629550"/>
          <a:ext cx="734674" cy="24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12</xdr:col>
      <xdr:colOff>605827</xdr:colOff>
      <xdr:row>301</xdr:row>
      <xdr:rowOff>137898</xdr:rowOff>
    </xdr:from>
    <xdr:to>
      <xdr:col>13</xdr:col>
      <xdr:colOff>515001</xdr:colOff>
      <xdr:row>302</xdr:row>
      <xdr:rowOff>184873</xdr:rowOff>
    </xdr:to>
    <xdr:sp macro="" textlink="">
      <xdr:nvSpPr>
        <xdr:cNvPr id="32" name="TextBox 31"/>
        <xdr:cNvSpPr txBox="1"/>
      </xdr:nvSpPr>
      <xdr:spPr>
        <a:xfrm>
          <a:off x="11350027" y="59351648"/>
          <a:ext cx="734674" cy="24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0</xdr:col>
      <xdr:colOff>374650</xdr:colOff>
      <xdr:row>296</xdr:row>
      <xdr:rowOff>107950</xdr:rowOff>
    </xdr:from>
    <xdr:to>
      <xdr:col>7</xdr:col>
      <xdr:colOff>929935</xdr:colOff>
      <xdr:row>337</xdr:row>
      <xdr:rowOff>60678</xdr:rowOff>
    </xdr:to>
    <xdr:grpSp>
      <xdr:nvGrpSpPr>
        <xdr:cNvPr id="3" name="Group 2"/>
        <xdr:cNvGrpSpPr/>
      </xdr:nvGrpSpPr>
      <xdr:grpSpPr>
        <a:xfrm>
          <a:off x="374650" y="58343800"/>
          <a:ext cx="6511585" cy="8017228"/>
          <a:chOff x="374650" y="58343800"/>
          <a:chExt cx="6511585" cy="8017228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1856" y="6420102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4388" y="58343800"/>
            <a:ext cx="2166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61344414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7822" y="61344414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5370" y="6420102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1236" y="61344414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2023" y="58343800"/>
            <a:ext cx="3822288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0" name="TextBox 49"/>
          <xdr:cNvSpPr txBox="1"/>
        </xdr:nvSpPr>
        <xdr:spPr>
          <a:xfrm>
            <a:off x="3270773" y="59245500"/>
            <a:ext cx="734674" cy="243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Wing A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838723" y="58629550"/>
            <a:ext cx="734674" cy="243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Wing 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urbanohomes.com/property/delt-flora-pushpak-nagar/" TargetMode="External"/><Relationship Id="rId1" Type="http://schemas.openxmlformats.org/officeDocument/2006/relationships/hyperlink" Target="https://goo.gl/maps/G5nTptWgUQS9XMQY9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86"/>
  <sheetViews>
    <sheetView tabSelected="1" view="pageBreakPreview" zoomScaleNormal="100" zoomScaleSheetLayoutView="100" zoomScalePageLayoutView="9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8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185" t="s">
        <v>162</v>
      </c>
      <c r="B1" s="185"/>
      <c r="C1" s="185"/>
      <c r="D1" s="185"/>
      <c r="E1" s="185"/>
      <c r="F1" s="185"/>
      <c r="G1" s="185"/>
      <c r="H1" s="185"/>
    </row>
    <row r="2" spans="1:26" ht="16.5" customHeight="1" x14ac:dyDescent="0.35">
      <c r="A2" s="186" t="s">
        <v>0</v>
      </c>
      <c r="B2" s="186"/>
      <c r="C2" s="186"/>
      <c r="D2" s="186"/>
      <c r="E2" s="186"/>
      <c r="F2" s="186"/>
      <c r="G2" s="186"/>
      <c r="H2" s="186"/>
    </row>
    <row r="3" spans="1:26" x14ac:dyDescent="0.35">
      <c r="A3" s="163" t="s">
        <v>1</v>
      </c>
      <c r="B3" s="163"/>
      <c r="C3" s="163"/>
      <c r="D3" s="163"/>
      <c r="E3" s="163" t="str">
        <f ca="1">TEXT(TODAY(),"DD/MM/YYYY")</f>
        <v>14/08/2025</v>
      </c>
      <c r="F3" s="163"/>
      <c r="G3" s="163"/>
      <c r="H3" s="163"/>
    </row>
    <row r="4" spans="1:26" ht="15" customHeight="1" x14ac:dyDescent="0.35">
      <c r="A4" s="163" t="s">
        <v>2</v>
      </c>
      <c r="B4" s="163"/>
      <c r="C4" s="163"/>
      <c r="D4" s="163"/>
      <c r="E4" s="122" t="s">
        <v>228</v>
      </c>
      <c r="F4" s="122"/>
      <c r="G4" s="122"/>
      <c r="H4" s="122"/>
    </row>
    <row r="5" spans="1:26" x14ac:dyDescent="0.35">
      <c r="A5" s="163" t="s">
        <v>3</v>
      </c>
      <c r="B5" s="163"/>
      <c r="C5" s="163"/>
      <c r="D5" s="163"/>
      <c r="E5" s="187">
        <v>45880</v>
      </c>
      <c r="F5" s="163"/>
      <c r="G5" s="163"/>
      <c r="H5" s="163"/>
    </row>
    <row r="6" spans="1:26" ht="16.5" customHeight="1" x14ac:dyDescent="0.35">
      <c r="A6" s="163" t="s">
        <v>4</v>
      </c>
      <c r="B6" s="163"/>
      <c r="C6" s="163"/>
      <c r="D6" s="163"/>
      <c r="E6" s="163" t="s">
        <v>229</v>
      </c>
      <c r="F6" s="163"/>
      <c r="G6" s="163"/>
      <c r="H6" s="163"/>
    </row>
    <row r="7" spans="1:26" ht="15" customHeight="1" x14ac:dyDescent="0.35">
      <c r="A7" s="163" t="s">
        <v>5</v>
      </c>
      <c r="B7" s="163"/>
      <c r="C7" s="163"/>
      <c r="D7" s="163"/>
      <c r="E7" s="163" t="str">
        <f>E6</f>
        <v>Shreenathji Enterprises</v>
      </c>
      <c r="F7" s="163"/>
      <c r="G7" s="163"/>
      <c r="H7" s="163"/>
    </row>
    <row r="8" spans="1:26" x14ac:dyDescent="0.35">
      <c r="A8" s="163" t="s">
        <v>6</v>
      </c>
      <c r="B8" s="163"/>
      <c r="C8" s="163"/>
      <c r="D8" s="163"/>
      <c r="E8" s="124" t="s">
        <v>230</v>
      </c>
      <c r="F8" s="124"/>
      <c r="G8" s="124"/>
      <c r="H8" s="124"/>
    </row>
    <row r="9" spans="1:26" x14ac:dyDescent="0.35">
      <c r="A9" s="163" t="s">
        <v>165</v>
      </c>
      <c r="B9" s="163"/>
      <c r="C9" s="163"/>
      <c r="D9" s="163"/>
      <c r="E9" s="163" t="s">
        <v>277</v>
      </c>
      <c r="F9" s="163"/>
      <c r="G9" s="163"/>
      <c r="H9" s="163"/>
    </row>
    <row r="10" spans="1:26" hidden="1" x14ac:dyDescent="0.35">
      <c r="A10" s="163" t="s">
        <v>166</v>
      </c>
      <c r="B10" s="163"/>
      <c r="C10" s="163"/>
      <c r="D10" s="163"/>
      <c r="E10" s="163" t="s">
        <v>287</v>
      </c>
      <c r="F10" s="163"/>
      <c r="G10" s="163"/>
      <c r="H10" s="163"/>
    </row>
    <row r="11" spans="1:26" x14ac:dyDescent="0.35">
      <c r="A11" s="163" t="s">
        <v>7</v>
      </c>
      <c r="B11" s="163"/>
      <c r="C11" s="163"/>
      <c r="D11" s="163"/>
      <c r="E11" s="163" t="s">
        <v>237</v>
      </c>
      <c r="F11" s="163"/>
      <c r="G11" s="163"/>
      <c r="H11" s="163"/>
    </row>
    <row r="12" spans="1:26" x14ac:dyDescent="0.35">
      <c r="A12" s="163" t="s">
        <v>168</v>
      </c>
      <c r="B12" s="163"/>
      <c r="C12" s="163"/>
      <c r="D12" s="163"/>
      <c r="E12" s="163" t="s">
        <v>29</v>
      </c>
      <c r="F12" s="163"/>
      <c r="G12" s="163"/>
      <c r="H12" s="163"/>
      <c r="S12" s="59" t="s">
        <v>175</v>
      </c>
      <c r="T12" s="59" t="s">
        <v>185</v>
      </c>
      <c r="U12" s="59" t="s">
        <v>169</v>
      </c>
      <c r="V12" s="59" t="s">
        <v>190</v>
      </c>
      <c r="W12" s="59" t="s">
        <v>208</v>
      </c>
      <c r="X12"/>
      <c r="Y12" t="s">
        <v>190</v>
      </c>
      <c r="Z12" t="e">
        <f ca="1">OFFSET($S$12,1,MATCH($G19,$S$12:$W$12,0)-1,15,1)</f>
        <v>#VALUE!</v>
      </c>
    </row>
    <row r="13" spans="1:26" x14ac:dyDescent="0.35">
      <c r="A13" s="96" t="s">
        <v>8</v>
      </c>
      <c r="B13" s="96"/>
      <c r="C13" s="96"/>
      <c r="D13" s="96"/>
      <c r="E13" s="183" t="s">
        <v>223</v>
      </c>
      <c r="F13" s="183"/>
      <c r="G13" s="183"/>
      <c r="H13" s="183"/>
      <c r="S13" s="59" t="s">
        <v>176</v>
      </c>
      <c r="T13" s="59" t="s">
        <v>183</v>
      </c>
      <c r="U13" s="59" t="s">
        <v>205</v>
      </c>
      <c r="V13" s="59" t="s">
        <v>191</v>
      </c>
      <c r="W13" s="59" t="s">
        <v>209</v>
      </c>
      <c r="X13"/>
      <c r="Y13"/>
      <c r="Z13"/>
    </row>
    <row r="14" spans="1:26" x14ac:dyDescent="0.35">
      <c r="A14" s="96" t="s">
        <v>9</v>
      </c>
      <c r="B14" s="96"/>
      <c r="C14" s="96"/>
      <c r="D14" s="96"/>
      <c r="E14" s="183" t="s">
        <v>231</v>
      </c>
      <c r="F14" s="122"/>
      <c r="G14" s="122"/>
      <c r="H14" s="122"/>
      <c r="I14" s="209" t="e">
        <f ca="1">OFFSET($D$4,1,MATCH($J12,$D$4:$H$4,0)-1,15,1)</f>
        <v>#N/A</v>
      </c>
      <c r="J14" s="81"/>
      <c r="K14" s="81"/>
      <c r="L14" s="81"/>
      <c r="M14" s="81"/>
      <c r="N14" s="81"/>
      <c r="O14" s="81"/>
      <c r="P14" s="81"/>
      <c r="S14" s="59" t="s">
        <v>177</v>
      </c>
      <c r="T14" s="59" t="s">
        <v>184</v>
      </c>
      <c r="U14" s="59" t="s">
        <v>206</v>
      </c>
      <c r="V14" s="59" t="s">
        <v>192</v>
      </c>
      <c r="W14" s="59" t="s">
        <v>222</v>
      </c>
      <c r="X14"/>
      <c r="Y14"/>
      <c r="Z14"/>
    </row>
    <row r="15" spans="1:26" ht="33" customHeight="1" x14ac:dyDescent="0.35">
      <c r="A15" s="133" t="s">
        <v>10</v>
      </c>
      <c r="B15" s="133"/>
      <c r="C15" s="13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Delta Flora, Plot No.105, Sector - 08, near Bhaveshwar hills Apartment , Internal Road, Ulwe, Navi Mumbai, Pushpak Nagar, Panvel West, Panvel, Raigad - 410221.</v>
      </c>
      <c r="D15" s="133"/>
      <c r="E15" s="133"/>
      <c r="F15" s="133"/>
      <c r="G15" s="133"/>
      <c r="H15" s="133"/>
      <c r="S15" s="59" t="s">
        <v>178</v>
      </c>
      <c r="T15" s="59" t="s">
        <v>186</v>
      </c>
      <c r="U15" s="59" t="s">
        <v>207</v>
      </c>
      <c r="V15" s="59" t="s">
        <v>193</v>
      </c>
      <c r="W15" s="59" t="s">
        <v>210</v>
      </c>
      <c r="X15"/>
      <c r="Y15"/>
      <c r="Z15"/>
    </row>
    <row r="16" spans="1:26" x14ac:dyDescent="0.35">
      <c r="A16" s="183" t="s">
        <v>232</v>
      </c>
      <c r="B16" s="183"/>
      <c r="C16" s="183" t="s">
        <v>233</v>
      </c>
      <c r="D16" s="183"/>
      <c r="E16" s="183"/>
      <c r="F16" s="183"/>
      <c r="G16" s="183"/>
      <c r="H16" s="183"/>
      <c r="S16" s="59" t="s">
        <v>179</v>
      </c>
      <c r="T16" s="59" t="s">
        <v>187</v>
      </c>
      <c r="U16" s="59"/>
      <c r="V16" s="59" t="s">
        <v>194</v>
      </c>
      <c r="W16" s="59" t="s">
        <v>211</v>
      </c>
      <c r="X16"/>
      <c r="Y16"/>
      <c r="Z16"/>
    </row>
    <row r="17" spans="1:26" ht="15.75" customHeight="1" x14ac:dyDescent="0.35">
      <c r="A17" s="159" t="s">
        <v>160</v>
      </c>
      <c r="B17" s="159"/>
      <c r="C17" s="159" t="s">
        <v>257</v>
      </c>
      <c r="D17" s="159"/>
      <c r="E17" s="159"/>
      <c r="F17" s="159"/>
      <c r="G17" s="159"/>
      <c r="H17" s="159"/>
      <c r="S17" s="59" t="s">
        <v>180</v>
      </c>
      <c r="T17" s="59" t="s">
        <v>185</v>
      </c>
      <c r="U17" s="59"/>
      <c r="V17" s="59" t="s">
        <v>195</v>
      </c>
      <c r="W17" s="59" t="s">
        <v>212</v>
      </c>
      <c r="X17"/>
      <c r="Y17"/>
      <c r="Z17"/>
    </row>
    <row r="18" spans="1:26" ht="15.75" customHeight="1" x14ac:dyDescent="0.35">
      <c r="A18" s="133" t="s">
        <v>11</v>
      </c>
      <c r="B18" s="133"/>
      <c r="C18" s="163" t="s">
        <v>256</v>
      </c>
      <c r="D18" s="163"/>
      <c r="E18" s="133" t="s">
        <v>72</v>
      </c>
      <c r="F18" s="133"/>
      <c r="G18" s="159" t="s">
        <v>255</v>
      </c>
      <c r="H18" s="159"/>
      <c r="S18" s="59" t="s">
        <v>181</v>
      </c>
      <c r="T18" s="59" t="s">
        <v>188</v>
      </c>
      <c r="U18" s="59"/>
      <c r="V18" s="59" t="s">
        <v>196</v>
      </c>
      <c r="W18" s="59" t="s">
        <v>213</v>
      </c>
      <c r="X18"/>
      <c r="Y18"/>
      <c r="Z18"/>
    </row>
    <row r="19" spans="1:26" x14ac:dyDescent="0.35">
      <c r="A19" s="96" t="s">
        <v>13</v>
      </c>
      <c r="B19" s="96"/>
      <c r="C19" s="183" t="s">
        <v>262</v>
      </c>
      <c r="D19" s="183"/>
      <c r="E19" s="183" t="s">
        <v>12</v>
      </c>
      <c r="F19" s="183"/>
      <c r="G19" s="184" t="s">
        <v>190</v>
      </c>
      <c r="H19" s="184"/>
      <c r="S19" s="59" t="s">
        <v>182</v>
      </c>
      <c r="T19" s="59" t="s">
        <v>189</v>
      </c>
      <c r="U19" s="59"/>
      <c r="V19" s="59" t="s">
        <v>197</v>
      </c>
      <c r="W19" s="59" t="s">
        <v>214</v>
      </c>
      <c r="X19"/>
      <c r="Y19"/>
      <c r="Z19"/>
    </row>
    <row r="20" spans="1:26" x14ac:dyDescent="0.35">
      <c r="A20" s="96" t="s">
        <v>73</v>
      </c>
      <c r="B20" s="96"/>
      <c r="C20" s="183" t="s">
        <v>192</v>
      </c>
      <c r="D20" s="183"/>
      <c r="E20" s="183" t="s">
        <v>14</v>
      </c>
      <c r="F20" s="183"/>
      <c r="G20" s="183">
        <v>410221</v>
      </c>
      <c r="H20" s="183"/>
      <c r="S20" s="59"/>
      <c r="T20" s="59"/>
      <c r="U20" s="59"/>
      <c r="V20" s="59" t="s">
        <v>198</v>
      </c>
      <c r="W20" s="59" t="s">
        <v>215</v>
      </c>
      <c r="X20"/>
      <c r="Y20"/>
      <c r="Z20"/>
    </row>
    <row r="21" spans="1:26" ht="33" customHeight="1" x14ac:dyDescent="0.35">
      <c r="A21" s="96" t="s">
        <v>118</v>
      </c>
      <c r="B21" s="96"/>
      <c r="C21" s="183" t="s">
        <v>263</v>
      </c>
      <c r="D21" s="183"/>
      <c r="E21" s="183" t="s">
        <v>15</v>
      </c>
      <c r="F21" s="183"/>
      <c r="G21" s="183" t="s">
        <v>264</v>
      </c>
      <c r="H21" s="183"/>
      <c r="S21" s="59"/>
      <c r="T21" s="59"/>
      <c r="U21" s="59"/>
      <c r="V21" s="59" t="s">
        <v>199</v>
      </c>
      <c r="W21" s="59" t="s">
        <v>216</v>
      </c>
      <c r="X21"/>
      <c r="Y21"/>
      <c r="Z21"/>
    </row>
    <row r="22" spans="1:26" ht="15" customHeight="1" x14ac:dyDescent="0.35">
      <c r="A22" s="133" t="s">
        <v>74</v>
      </c>
      <c r="B22" s="133"/>
      <c r="C22" s="133"/>
      <c r="D22" s="133"/>
      <c r="E22" s="163" t="s">
        <v>16</v>
      </c>
      <c r="F22" s="163"/>
      <c r="G22" s="163"/>
      <c r="H22" s="163"/>
      <c r="S22" s="59"/>
      <c r="T22" s="59"/>
      <c r="U22" s="59"/>
      <c r="V22" s="59" t="s">
        <v>200</v>
      </c>
      <c r="W22" s="59" t="s">
        <v>217</v>
      </c>
      <c r="X22"/>
      <c r="Y22"/>
      <c r="Z22"/>
    </row>
    <row r="23" spans="1:26" ht="18.75" customHeight="1" x14ac:dyDescent="0.35">
      <c r="A23" s="133"/>
      <c r="B23" s="133"/>
      <c r="C23" s="133"/>
      <c r="D23" s="133"/>
      <c r="E23" s="163"/>
      <c r="F23" s="163"/>
      <c r="G23" s="163"/>
      <c r="H23" s="163"/>
      <c r="S23" s="59"/>
      <c r="T23" s="59"/>
      <c r="U23" s="59"/>
      <c r="V23" s="59" t="s">
        <v>201</v>
      </c>
      <c r="W23" s="59" t="s">
        <v>218</v>
      </c>
      <c r="X23"/>
      <c r="Y23"/>
      <c r="Z23"/>
    </row>
    <row r="24" spans="1:26" ht="15" customHeight="1" x14ac:dyDescent="0.35">
      <c r="A24" s="133" t="s">
        <v>17</v>
      </c>
      <c r="B24" s="133"/>
      <c r="C24" s="133"/>
      <c r="D24" s="133"/>
      <c r="E24" s="159" t="s">
        <v>18</v>
      </c>
      <c r="F24" s="159"/>
      <c r="G24" s="159"/>
      <c r="H24" s="159"/>
      <c r="S24" s="59"/>
      <c r="T24" s="59"/>
      <c r="U24" s="59"/>
      <c r="V24" s="59" t="s">
        <v>202</v>
      </c>
      <c r="W24" s="59" t="s">
        <v>219</v>
      </c>
      <c r="X24"/>
      <c r="Y24"/>
      <c r="Z24"/>
    </row>
    <row r="25" spans="1:26" ht="15" customHeight="1" x14ac:dyDescent="0.35">
      <c r="A25" s="96" t="s">
        <v>19</v>
      </c>
      <c r="B25" s="96"/>
      <c r="C25" s="96"/>
      <c r="D25" s="96"/>
      <c r="E25" s="159" t="str">
        <f>IF(AND(G19="Mumbai"),"Upper Class","Middle Class")</f>
        <v>Middle Class</v>
      </c>
      <c r="F25" s="159"/>
      <c r="G25" s="159"/>
      <c r="H25" s="159"/>
      <c r="S25" s="59"/>
      <c r="T25" s="59"/>
      <c r="U25" s="59"/>
      <c r="V25" s="59" t="s">
        <v>203</v>
      </c>
      <c r="W25" s="59" t="s">
        <v>220</v>
      </c>
      <c r="X25"/>
      <c r="Y25"/>
      <c r="Z25"/>
    </row>
    <row r="26" spans="1:26" x14ac:dyDescent="0.35">
      <c r="A26" s="96" t="s">
        <v>20</v>
      </c>
      <c r="B26" s="96"/>
      <c r="C26" s="96"/>
      <c r="D26" s="96"/>
      <c r="E26" s="159" t="s">
        <v>21</v>
      </c>
      <c r="F26" s="159"/>
      <c r="G26" s="159"/>
      <c r="H26" s="159"/>
      <c r="S26" s="59"/>
      <c r="T26" s="59"/>
      <c r="U26" s="59"/>
      <c r="V26" s="59" t="s">
        <v>204</v>
      </c>
      <c r="W26" s="59" t="s">
        <v>221</v>
      </c>
      <c r="X26"/>
      <c r="Y26"/>
      <c r="Z26"/>
    </row>
    <row r="27" spans="1:26" ht="15.75" customHeight="1" x14ac:dyDescent="0.35">
      <c r="A27" s="96" t="s">
        <v>22</v>
      </c>
      <c r="B27" s="96"/>
      <c r="C27" s="96"/>
      <c r="D27" s="96"/>
      <c r="E27" s="159" t="str">
        <f>IF(AND(G19="Mumbai"),"Developed","Developing")</f>
        <v>Developing</v>
      </c>
      <c r="F27" s="159"/>
      <c r="G27" s="159"/>
      <c r="H27" s="159"/>
    </row>
    <row r="28" spans="1:26" x14ac:dyDescent="0.35">
      <c r="A28" s="96" t="s">
        <v>23</v>
      </c>
      <c r="B28" s="96"/>
      <c r="C28" s="96"/>
      <c r="D28" s="96"/>
      <c r="E28" s="159" t="s">
        <v>24</v>
      </c>
      <c r="F28" s="159"/>
      <c r="G28" s="159"/>
      <c r="H28" s="159"/>
    </row>
    <row r="29" spans="1:26" ht="15.75" customHeight="1" x14ac:dyDescent="0.35">
      <c r="A29" s="96" t="s">
        <v>79</v>
      </c>
      <c r="B29" s="96"/>
      <c r="C29" s="96"/>
      <c r="D29" s="96"/>
      <c r="E29" s="159" t="s">
        <v>80</v>
      </c>
      <c r="F29" s="159"/>
      <c r="G29" s="159"/>
      <c r="H29" s="159"/>
    </row>
    <row r="30" spans="1:26" ht="15" customHeight="1" x14ac:dyDescent="0.35">
      <c r="A30" s="96" t="s">
        <v>32</v>
      </c>
      <c r="B30" s="96"/>
      <c r="C30" s="96"/>
      <c r="D30" s="96"/>
      <c r="E30" s="15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59"/>
      <c r="G30" s="159"/>
      <c r="H30" s="159"/>
    </row>
    <row r="31" spans="1:26" ht="15.75" customHeight="1" x14ac:dyDescent="0.35">
      <c r="A31" s="96" t="s">
        <v>91</v>
      </c>
      <c r="B31" s="96"/>
      <c r="C31" s="96"/>
      <c r="D31" s="96"/>
      <c r="E31" s="159" t="s">
        <v>33</v>
      </c>
      <c r="F31" s="159"/>
      <c r="G31" s="159"/>
      <c r="H31" s="159"/>
    </row>
    <row r="32" spans="1:26" s="22" customFormat="1" x14ac:dyDescent="0.35">
      <c r="A32" s="182" t="s">
        <v>92</v>
      </c>
      <c r="B32" s="182"/>
      <c r="C32" s="179" t="s">
        <v>170</v>
      </c>
      <c r="D32" s="180"/>
      <c r="E32" s="181"/>
      <c r="F32" s="179" t="s">
        <v>30</v>
      </c>
      <c r="G32" s="180"/>
      <c r="H32" s="181"/>
    </row>
    <row r="33" spans="1:8" s="22" customFormat="1" x14ac:dyDescent="0.35">
      <c r="A33" s="177" t="s">
        <v>25</v>
      </c>
      <c r="B33" s="177" t="s">
        <v>29</v>
      </c>
      <c r="C33" s="178" t="s">
        <v>276</v>
      </c>
      <c r="D33" s="161"/>
      <c r="E33" s="162"/>
      <c r="F33" s="178" t="s">
        <v>258</v>
      </c>
      <c r="G33" s="161"/>
      <c r="H33" s="162"/>
    </row>
    <row r="34" spans="1:8" x14ac:dyDescent="0.35">
      <c r="A34" s="177" t="s">
        <v>26</v>
      </c>
      <c r="B34" s="177" t="s">
        <v>29</v>
      </c>
      <c r="C34" s="178" t="s">
        <v>275</v>
      </c>
      <c r="D34" s="161"/>
      <c r="E34" s="162"/>
      <c r="F34" s="178" t="s">
        <v>259</v>
      </c>
      <c r="G34" s="161"/>
      <c r="H34" s="162"/>
    </row>
    <row r="35" spans="1:8" s="22" customFormat="1" x14ac:dyDescent="0.35">
      <c r="A35" s="177" t="s">
        <v>28</v>
      </c>
      <c r="B35" s="177" t="s">
        <v>29</v>
      </c>
      <c r="C35" s="178" t="s">
        <v>275</v>
      </c>
      <c r="D35" s="161"/>
      <c r="E35" s="162"/>
      <c r="F35" s="178" t="s">
        <v>259</v>
      </c>
      <c r="G35" s="161"/>
      <c r="H35" s="162"/>
    </row>
    <row r="36" spans="1:8" ht="33.75" customHeight="1" x14ac:dyDescent="0.35">
      <c r="A36" s="152" t="s">
        <v>27</v>
      </c>
      <c r="B36" s="152" t="s">
        <v>29</v>
      </c>
      <c r="C36" s="153" t="s">
        <v>276</v>
      </c>
      <c r="D36" s="154"/>
      <c r="E36" s="155"/>
      <c r="F36" s="160" t="s">
        <v>260</v>
      </c>
      <c r="G36" s="161"/>
      <c r="H36" s="162"/>
    </row>
    <row r="37" spans="1:8" x14ac:dyDescent="0.35">
      <c r="A37" s="96" t="s">
        <v>31</v>
      </c>
      <c r="B37" s="96"/>
      <c r="C37" s="96"/>
      <c r="D37" s="96"/>
      <c r="E37" s="96"/>
      <c r="F37" s="96"/>
      <c r="G37" s="96"/>
      <c r="H37" s="96"/>
    </row>
    <row r="38" spans="1:8" ht="15.75" customHeight="1" x14ac:dyDescent="0.35">
      <c r="A38" s="96" t="s">
        <v>163</v>
      </c>
      <c r="B38" s="96"/>
      <c r="C38" s="137" t="s">
        <v>274</v>
      </c>
      <c r="D38" s="137"/>
      <c r="E38" s="137"/>
      <c r="F38" s="137"/>
      <c r="G38" s="137"/>
      <c r="H38" s="137"/>
    </row>
    <row r="39" spans="1:8" x14ac:dyDescent="0.35">
      <c r="A39" s="96" t="s">
        <v>159</v>
      </c>
      <c r="B39" s="96"/>
      <c r="C39" s="158" t="s">
        <v>261</v>
      </c>
      <c r="D39" s="159"/>
      <c r="E39" s="159"/>
      <c r="F39" s="159"/>
      <c r="G39" s="159"/>
      <c r="H39" s="159"/>
    </row>
    <row r="40" spans="1:8" x14ac:dyDescent="0.35">
      <c r="A40" s="137" t="s">
        <v>34</v>
      </c>
      <c r="B40" s="137"/>
      <c r="C40" s="137"/>
      <c r="D40" s="137"/>
      <c r="E40" s="137"/>
      <c r="F40" s="137"/>
      <c r="G40" s="137"/>
      <c r="H40" s="137"/>
    </row>
    <row r="41" spans="1:8" x14ac:dyDescent="0.35">
      <c r="A41" s="96" t="s">
        <v>35</v>
      </c>
      <c r="B41" s="96"/>
      <c r="C41" s="96"/>
      <c r="D41" s="96"/>
      <c r="E41" s="156">
        <v>4779.51</v>
      </c>
      <c r="F41" s="156"/>
      <c r="G41" s="156"/>
      <c r="H41" s="156"/>
    </row>
    <row r="42" spans="1:8" x14ac:dyDescent="0.35">
      <c r="A42" s="96" t="s">
        <v>36</v>
      </c>
      <c r="B42" s="96"/>
      <c r="C42" s="96"/>
      <c r="D42" s="96"/>
      <c r="E42" s="150">
        <v>1.1000000000000001</v>
      </c>
      <c r="F42" s="150"/>
      <c r="G42" s="150"/>
      <c r="H42" s="150"/>
    </row>
    <row r="43" spans="1:8" x14ac:dyDescent="0.35">
      <c r="A43" s="96" t="s">
        <v>37</v>
      </c>
      <c r="B43" s="96"/>
      <c r="C43" s="96"/>
      <c r="D43" s="96"/>
      <c r="E43" s="150">
        <f>E45/E41-E42</f>
        <v>1.8989019794916211</v>
      </c>
      <c r="F43" s="150"/>
      <c r="G43" s="150"/>
      <c r="H43" s="150"/>
    </row>
    <row r="44" spans="1:8" x14ac:dyDescent="0.35">
      <c r="A44" s="96" t="s">
        <v>38</v>
      </c>
      <c r="B44" s="96"/>
      <c r="C44" s="96"/>
      <c r="D44" s="96"/>
      <c r="E44" s="150">
        <f>E42+E43</f>
        <v>2.9989019794916212</v>
      </c>
      <c r="F44" s="150"/>
      <c r="G44" s="150"/>
      <c r="H44" s="150"/>
    </row>
    <row r="45" spans="1:8" x14ac:dyDescent="0.35">
      <c r="A45" s="96" t="s">
        <v>90</v>
      </c>
      <c r="B45" s="96"/>
      <c r="C45" s="96"/>
      <c r="D45" s="96"/>
      <c r="E45" s="127">
        <v>14333.281999999999</v>
      </c>
      <c r="F45" s="127"/>
      <c r="G45" s="127"/>
      <c r="H45" s="127"/>
    </row>
    <row r="46" spans="1:8" x14ac:dyDescent="0.35">
      <c r="A46" s="163" t="s">
        <v>39</v>
      </c>
      <c r="B46" s="163"/>
      <c r="C46" s="163"/>
      <c r="D46" s="163"/>
      <c r="E46" s="122" t="s">
        <v>234</v>
      </c>
      <c r="F46" s="122"/>
      <c r="G46" s="122"/>
      <c r="H46" s="122"/>
    </row>
    <row r="47" spans="1:8" x14ac:dyDescent="0.35">
      <c r="A47" s="137" t="s">
        <v>40</v>
      </c>
      <c r="B47" s="137"/>
      <c r="C47" s="137"/>
      <c r="D47" s="137"/>
      <c r="E47" s="137"/>
      <c r="F47" s="137"/>
      <c r="G47" s="137"/>
      <c r="H47" s="137"/>
    </row>
    <row r="48" spans="1:8" ht="33.75" customHeight="1" x14ac:dyDescent="0.35">
      <c r="A48" s="82" t="s">
        <v>147</v>
      </c>
      <c r="B48" s="83"/>
      <c r="C48" s="84" t="s">
        <v>235</v>
      </c>
      <c r="D48" s="85"/>
      <c r="E48" s="85"/>
      <c r="F48" s="85"/>
      <c r="G48" s="85"/>
      <c r="H48" s="86"/>
    </row>
    <row r="49" spans="1:14" ht="30" customHeight="1" x14ac:dyDescent="0.35">
      <c r="A49" s="82" t="s">
        <v>41</v>
      </c>
      <c r="B49" s="83"/>
      <c r="C49" s="82" t="s">
        <v>236</v>
      </c>
      <c r="D49" s="174"/>
      <c r="E49" s="83"/>
      <c r="F49" s="18" t="s">
        <v>42</v>
      </c>
      <c r="G49" s="169">
        <v>45077</v>
      </c>
      <c r="H49" s="83"/>
    </row>
    <row r="50" spans="1:14" ht="30.75" customHeight="1" x14ac:dyDescent="0.35">
      <c r="A50" s="82" t="s">
        <v>43</v>
      </c>
      <c r="B50" s="83"/>
      <c r="C50" s="82" t="str">
        <f>C49</f>
        <v>CIDCO/BP-18279/TPO(NM &amp; K)/2022/
10785</v>
      </c>
      <c r="D50" s="174"/>
      <c r="E50" s="83"/>
      <c r="F50" s="18" t="s">
        <v>42</v>
      </c>
      <c r="G50" s="169">
        <f>G49</f>
        <v>45077</v>
      </c>
      <c r="H50" s="83"/>
    </row>
    <row r="51" spans="1:14" s="23" customFormat="1" ht="30" customHeight="1" x14ac:dyDescent="0.35">
      <c r="A51" s="170" t="s">
        <v>151</v>
      </c>
      <c r="B51" s="171"/>
      <c r="C51" s="82" t="str">
        <f>C50</f>
        <v>CIDCO/BP-18279/TPO(NM &amp; K)/2022/
10785</v>
      </c>
      <c r="D51" s="174"/>
      <c r="E51" s="83"/>
      <c r="F51" s="18" t="s">
        <v>42</v>
      </c>
      <c r="G51" s="169">
        <f>G50</f>
        <v>45077</v>
      </c>
      <c r="H51" s="83"/>
    </row>
    <row r="52" spans="1:14" s="23" customFormat="1" ht="17.25" customHeight="1" x14ac:dyDescent="0.35">
      <c r="A52" s="172"/>
      <c r="B52" s="173"/>
      <c r="C52" s="82" t="s">
        <v>269</v>
      </c>
      <c r="D52" s="174"/>
      <c r="E52" s="174"/>
      <c r="F52" s="174"/>
      <c r="G52" s="174"/>
      <c r="H52" s="83"/>
    </row>
    <row r="53" spans="1:14" x14ac:dyDescent="0.35">
      <c r="A53" s="210" t="s">
        <v>44</v>
      </c>
      <c r="B53" s="211"/>
      <c r="C53" s="210" t="s">
        <v>102</v>
      </c>
      <c r="D53" s="212"/>
      <c r="E53" s="211"/>
      <c r="F53" s="46" t="s">
        <v>42</v>
      </c>
      <c r="G53" s="204" t="s">
        <v>29</v>
      </c>
      <c r="H53" s="205"/>
    </row>
    <row r="54" spans="1:14" x14ac:dyDescent="0.35">
      <c r="A54" s="191" t="s">
        <v>46</v>
      </c>
      <c r="B54" s="191"/>
      <c r="C54" s="191"/>
      <c r="D54" s="191"/>
      <c r="E54" s="191"/>
      <c r="F54" s="191"/>
      <c r="G54" s="191"/>
      <c r="H54" s="191"/>
    </row>
    <row r="55" spans="1:14" x14ac:dyDescent="0.35">
      <c r="A55" s="133" t="s">
        <v>89</v>
      </c>
      <c r="B55" s="133"/>
      <c r="C55" s="133"/>
      <c r="D55" s="96">
        <f>E45</f>
        <v>14333.281999999999</v>
      </c>
      <c r="E55" s="96"/>
      <c r="F55" s="96"/>
      <c r="G55" s="96"/>
      <c r="H55" s="96"/>
    </row>
    <row r="56" spans="1:14" x14ac:dyDescent="0.35">
      <c r="A56" s="159" t="s">
        <v>47</v>
      </c>
      <c r="B56" s="163"/>
      <c r="C56" s="163"/>
      <c r="D56" s="163" t="s">
        <v>278</v>
      </c>
      <c r="E56" s="163"/>
      <c r="F56" s="163"/>
      <c r="G56" s="163"/>
      <c r="H56" s="163"/>
      <c r="I56" s="24"/>
    </row>
    <row r="57" spans="1:14" ht="33" customHeight="1" x14ac:dyDescent="0.35">
      <c r="A57" s="166" t="s">
        <v>48</v>
      </c>
      <c r="B57" s="167"/>
      <c r="C57" s="168"/>
      <c r="D57" s="164" t="s">
        <v>265</v>
      </c>
      <c r="E57" s="165"/>
      <c r="F57" s="165"/>
      <c r="G57" s="165"/>
      <c r="H57" s="165"/>
    </row>
    <row r="58" spans="1:14" ht="15.75" customHeight="1" x14ac:dyDescent="0.35">
      <c r="A58" s="166" t="s">
        <v>87</v>
      </c>
      <c r="B58" s="167"/>
      <c r="C58" s="167"/>
      <c r="D58" s="122" t="s">
        <v>288</v>
      </c>
      <c r="E58" s="122"/>
      <c r="F58" s="122"/>
      <c r="G58" s="122"/>
      <c r="H58" s="122"/>
    </row>
    <row r="59" spans="1:14" ht="15.75" hidden="1" customHeight="1" x14ac:dyDescent="0.35">
      <c r="A59" s="175"/>
      <c r="B59" s="176"/>
      <c r="C59" s="176"/>
      <c r="D59" s="122" t="s">
        <v>238</v>
      </c>
      <c r="E59" s="122"/>
      <c r="F59" s="122"/>
      <c r="G59" s="122"/>
      <c r="H59" s="122"/>
    </row>
    <row r="60" spans="1:14" ht="15.75" customHeight="1" x14ac:dyDescent="0.35">
      <c r="A60" s="96" t="s">
        <v>45</v>
      </c>
      <c r="B60" s="96"/>
      <c r="C60" s="96"/>
      <c r="D60" s="157" t="s">
        <v>239</v>
      </c>
      <c r="E60" s="157"/>
      <c r="F60" s="157"/>
      <c r="G60" s="157"/>
      <c r="H60" s="157"/>
      <c r="J60" s="25"/>
      <c r="K60" s="24"/>
      <c r="N60" s="24"/>
    </row>
    <row r="61" spans="1:14" ht="15.75" customHeight="1" x14ac:dyDescent="0.35">
      <c r="A61" s="96" t="s">
        <v>85</v>
      </c>
      <c r="B61" s="96"/>
      <c r="C61" s="96"/>
      <c r="D61" s="149" t="str">
        <f>(IF(G53="NA","60 Years After Completion",IF(G53&lt;&gt;"NA",""&amp;60-ROUNDDOWN((E3-G53)/360,0)&amp;" Years"," ")))</f>
        <v>60 Years After Completion</v>
      </c>
      <c r="E61" s="149"/>
      <c r="F61" s="149"/>
      <c r="G61" s="149"/>
      <c r="H61" s="149"/>
      <c r="N61" s="24"/>
    </row>
    <row r="62" spans="1:14" ht="15.75" customHeight="1" x14ac:dyDescent="0.35">
      <c r="A62" s="96" t="s">
        <v>86</v>
      </c>
      <c r="B62" s="96"/>
      <c r="C62" s="96"/>
      <c r="D62" s="133" t="s">
        <v>24</v>
      </c>
      <c r="E62" s="133"/>
      <c r="F62" s="133"/>
      <c r="G62" s="133"/>
      <c r="H62" s="133"/>
      <c r="J62" s="26"/>
      <c r="K62" s="26"/>
    </row>
    <row r="63" spans="1:14" ht="48" customHeight="1" x14ac:dyDescent="0.35">
      <c r="A63" s="122" t="s">
        <v>240</v>
      </c>
      <c r="B63" s="122"/>
      <c r="C63" s="122"/>
      <c r="D63" s="159" t="s">
        <v>271</v>
      </c>
      <c r="E63" s="133"/>
      <c r="F63" s="133"/>
      <c r="G63" s="133"/>
      <c r="H63" s="133"/>
      <c r="I63" s="80" t="s">
        <v>270</v>
      </c>
      <c r="J63" s="81"/>
      <c r="K63" s="81"/>
    </row>
    <row r="64" spans="1:14" x14ac:dyDescent="0.35">
      <c r="A64" s="133" t="s">
        <v>144</v>
      </c>
      <c r="B64" s="133"/>
      <c r="C64" s="133"/>
      <c r="D64" s="133" t="s">
        <v>29</v>
      </c>
      <c r="E64" s="133"/>
      <c r="F64" s="133"/>
      <c r="G64" s="133"/>
      <c r="H64" s="133"/>
      <c r="I64" s="27"/>
      <c r="J64" s="27"/>
      <c r="K64" s="27"/>
      <c r="L64" s="27"/>
      <c r="M64" s="27"/>
      <c r="N64" s="27"/>
    </row>
    <row r="65" spans="1:10" ht="15.75" customHeight="1" x14ac:dyDescent="0.35">
      <c r="A65" s="213" t="s">
        <v>84</v>
      </c>
      <c r="B65" s="213"/>
      <c r="C65" s="213"/>
      <c r="D65" s="206" t="str">
        <f ca="1">(IF(G71&gt;95%,"Nothing",IF(G71&gt;0%,"Cement, Aggregate, Steel, etc",IF(G71=0%,"Work not yet Started"))))</f>
        <v>Cement, Aggregate, Steel, etc</v>
      </c>
      <c r="E65" s="206"/>
      <c r="F65" s="206"/>
      <c r="G65" s="206"/>
      <c r="H65" s="206"/>
      <c r="J65" s="26"/>
    </row>
    <row r="66" spans="1:10" ht="33.75" customHeight="1" thickBot="1" x14ac:dyDescent="0.4">
      <c r="A66" s="208" t="s">
        <v>115</v>
      </c>
      <c r="B66" s="208"/>
      <c r="C66" s="208"/>
      <c r="D66" s="206" t="str">
        <f ca="1">(IF(D65="Nothing","Yes",IF(D65="Cement, Aggregate, Steel, etc","Under Construction",IF(D65="Work not yet Started","Work not yet Started"))))</f>
        <v>Under Construction</v>
      </c>
      <c r="E66" s="206"/>
      <c r="F66" s="206" t="str">
        <f ca="1">(IF(D65="Nothing","Yes",IF(D65="Cement, Aggregate, Steel, etc","Under Construction",IF(D65="Work not yet Started","Work not yet Started"))))</f>
        <v>Under Construction</v>
      </c>
      <c r="G66" s="206"/>
      <c r="H66" s="206"/>
    </row>
    <row r="67" spans="1:10" ht="15.75" customHeight="1" x14ac:dyDescent="0.35">
      <c r="A67" s="128" t="s">
        <v>136</v>
      </c>
      <c r="B67" s="129"/>
      <c r="C67" s="130" t="s">
        <v>288</v>
      </c>
      <c r="D67" s="131"/>
      <c r="E67" s="131"/>
      <c r="F67" s="131"/>
      <c r="G67" s="131"/>
      <c r="H67" s="132"/>
      <c r="I67" s="50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10 Floor, External Plaster upto 7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10 Floor, External Plaster upto 7 Floor</v>
      </c>
    </row>
    <row r="68" spans="1:10" x14ac:dyDescent="0.35">
      <c r="A68" s="16" t="s">
        <v>138</v>
      </c>
      <c r="B68" s="54">
        <f>IF(AND(ISNUMBER(SEARCH("1B",C67))),1,IF(AND(ISNUMBER(SEARCH("2B",C67))),2,IF(AND(ISNUMBER(SEARCH("3B",C67))),3,IF(AND(ISNUMBER(SEARCH("4B",C67))),4,IF(ISNUMBER(SEARCH("5B",C67)),5,0)))))</f>
        <v>1</v>
      </c>
      <c r="C68" s="48" t="s">
        <v>71</v>
      </c>
      <c r="D68" s="48">
        <v>1</v>
      </c>
      <c r="E68" s="48" t="s">
        <v>70</v>
      </c>
      <c r="F68" s="67">
        <v>0</v>
      </c>
      <c r="G68" s="49" t="s">
        <v>78</v>
      </c>
      <c r="H68" s="17">
        <f ca="1">--TRIM(RIGHT(SUBSTITUTE(LEFT(C67,_xlfn.AGGREGATE(16,6,FIND({0,1,2,3,4,5,6,7,8,9},C67,ROW(INDIRECT("1:"&amp;LEN(C67)))),1))," ",REPT(" ",LEN(C67))),LEN(C67)))</f>
        <v>11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" customHeight="1" x14ac:dyDescent="0.35">
      <c r="A69" s="124" t="s">
        <v>88</v>
      </c>
      <c r="B69" s="124"/>
      <c r="C69" s="125" t="str">
        <f ca="1">I67</f>
        <v>Excavation, Plinth, RCC Slab, Brickwork Completed, Internal Plaster upto 10 Floor, External Plaster upto 7 Floor Completed</v>
      </c>
      <c r="D69" s="125"/>
      <c r="E69" s="125"/>
      <c r="F69" s="125"/>
      <c r="G69" s="125"/>
      <c r="H69" s="125"/>
      <c r="I69" s="225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35">
      <c r="A70" s="94" t="s">
        <v>49</v>
      </c>
      <c r="B70" s="94"/>
      <c r="C70" s="74" t="s">
        <v>135</v>
      </c>
      <c r="D70" s="74" t="s">
        <v>81</v>
      </c>
      <c r="E70" s="94" t="s">
        <v>83</v>
      </c>
      <c r="F70" s="94"/>
      <c r="G70" s="94" t="s">
        <v>82</v>
      </c>
      <c r="H70" s="94"/>
      <c r="I70" s="14" t="s">
        <v>137</v>
      </c>
      <c r="J70" s="28">
        <f ca="1">H68*25%</f>
        <v>2.75</v>
      </c>
    </row>
    <row r="71" spans="1:10" x14ac:dyDescent="0.35">
      <c r="A71" s="94" t="s">
        <v>124</v>
      </c>
      <c r="B71" s="94"/>
      <c r="C71" s="74">
        <f ca="1">J72</f>
        <v>11</v>
      </c>
      <c r="D71" s="19">
        <f ca="1">((100/H68)*C71)/100</f>
        <v>1.0000000000000002</v>
      </c>
      <c r="E71" s="231">
        <f ca="1">(((C72/H68*10)+(40/(D68+F68+H68)*C73)+(7.5/(H68)*C74)+(7.5/(H68)*C75)+(10/H68*C76)+(10/H68*C77)+(5/H68*C78)+(5/H68*C79)+(5/H68*C80))/100)</f>
        <v>0.70681818181818168</v>
      </c>
      <c r="F71" s="231"/>
      <c r="G71" s="231">
        <f ca="1">((((C71/H68)*20)+((C72/H68)*25)+(30/(H68+F68+D68)*C73)+(5/H68*C74)+(5/H68*C75)+(5/H68*C76)+(5/H68*C77)+(0/H68*C78)+(0/H68*C79)+(5/H68*C80))/100)</f>
        <v>0.87727272727272732</v>
      </c>
      <c r="H71" s="231"/>
      <c r="I71" s="14" t="s">
        <v>97</v>
      </c>
      <c r="J71" s="29">
        <f ca="1">H68*50%</f>
        <v>5.5</v>
      </c>
    </row>
    <row r="72" spans="1:10" x14ac:dyDescent="0.35">
      <c r="A72" s="94" t="s">
        <v>50</v>
      </c>
      <c r="B72" s="94"/>
      <c r="C72" s="56">
        <f ca="1">J80</f>
        <v>11</v>
      </c>
      <c r="D72" s="19">
        <f ca="1">((100/H68)*C72)/100</f>
        <v>1.0000000000000002</v>
      </c>
      <c r="E72" s="231"/>
      <c r="F72" s="231"/>
      <c r="G72" s="231"/>
      <c r="H72" s="231"/>
      <c r="I72" s="14" t="s">
        <v>98</v>
      </c>
      <c r="J72" s="29">
        <f ca="1">H68</f>
        <v>11</v>
      </c>
    </row>
    <row r="73" spans="1:10" ht="15.75" customHeight="1" x14ac:dyDescent="0.35">
      <c r="A73" s="94" t="s">
        <v>125</v>
      </c>
      <c r="B73" s="94"/>
      <c r="C73" s="74">
        <v>12</v>
      </c>
      <c r="D73" s="19">
        <f ca="1">((100/(D68+F68+H68))*C73)/100</f>
        <v>1</v>
      </c>
      <c r="E73" s="231"/>
      <c r="F73" s="231"/>
      <c r="G73" s="231"/>
      <c r="H73" s="231"/>
      <c r="I73" s="14" t="s">
        <v>99</v>
      </c>
      <c r="J73" s="30">
        <f ca="1">(IF(B68&gt;1,(H68/(B68+2)),H68/4))</f>
        <v>2.75</v>
      </c>
    </row>
    <row r="74" spans="1:10" ht="15.75" customHeight="1" x14ac:dyDescent="0.35">
      <c r="A74" s="94" t="s">
        <v>132</v>
      </c>
      <c r="B74" s="94" t="s">
        <v>126</v>
      </c>
      <c r="C74" s="74">
        <v>11</v>
      </c>
      <c r="D74" s="19">
        <f ca="1">((100/H68)*C74)/100</f>
        <v>1.0000000000000002</v>
      </c>
      <c r="E74" s="231"/>
      <c r="F74" s="231"/>
      <c r="G74" s="231"/>
      <c r="H74" s="231"/>
      <c r="I74" s="14" t="s">
        <v>100</v>
      </c>
      <c r="J74" s="30">
        <f ca="1">(IF(B68&gt;1,(H68/(B68+2)+J73),H68/4+J73))</f>
        <v>5.5</v>
      </c>
    </row>
    <row r="75" spans="1:10" ht="15.75" customHeight="1" x14ac:dyDescent="0.35">
      <c r="A75" s="94" t="s">
        <v>133</v>
      </c>
      <c r="B75" s="94" t="s">
        <v>126</v>
      </c>
      <c r="C75" s="74">
        <v>10</v>
      </c>
      <c r="D75" s="19">
        <f ca="1">((100/H68)*C75)/100</f>
        <v>0.90909090909090917</v>
      </c>
      <c r="E75" s="231"/>
      <c r="F75" s="231"/>
      <c r="G75" s="231"/>
      <c r="H75" s="231"/>
      <c r="I75" s="14" t="s">
        <v>142</v>
      </c>
      <c r="J75" s="30">
        <f>(IF(B68&gt;1,(H68/(B68+2)+J74),0))</f>
        <v>0</v>
      </c>
    </row>
    <row r="76" spans="1:10" ht="15" customHeight="1" x14ac:dyDescent="0.35">
      <c r="A76" s="94" t="s">
        <v>131</v>
      </c>
      <c r="B76" s="94" t="s">
        <v>128</v>
      </c>
      <c r="C76" s="74">
        <v>7</v>
      </c>
      <c r="D76" s="19">
        <f ca="1">((100/(H68))*C76)/100</f>
        <v>0.63636363636363635</v>
      </c>
      <c r="E76" s="231"/>
      <c r="F76" s="231"/>
      <c r="G76" s="231"/>
      <c r="H76" s="231"/>
      <c r="I76" s="14" t="s">
        <v>139</v>
      </c>
      <c r="J76" s="30">
        <f>(IF(B68&gt;2,(H68/(B68+2)+J75),0))</f>
        <v>0</v>
      </c>
    </row>
    <row r="77" spans="1:10" ht="15.75" customHeight="1" x14ac:dyDescent="0.35">
      <c r="A77" s="94" t="s">
        <v>127</v>
      </c>
      <c r="B77" s="94" t="s">
        <v>127</v>
      </c>
      <c r="C77" s="74">
        <v>0</v>
      </c>
      <c r="D77" s="19">
        <f ca="1">((100/H68)*C77)/100</f>
        <v>0</v>
      </c>
      <c r="E77" s="231"/>
      <c r="F77" s="231"/>
      <c r="G77" s="231"/>
      <c r="H77" s="231"/>
      <c r="I77" s="14" t="s">
        <v>140</v>
      </c>
      <c r="J77" s="31">
        <f>(IF(B68&gt;3,(H68/(B68+2)+J76),0))</f>
        <v>0</v>
      </c>
    </row>
    <row r="78" spans="1:10" ht="15.75" customHeight="1" x14ac:dyDescent="0.35">
      <c r="A78" s="94" t="s">
        <v>134</v>
      </c>
      <c r="B78" s="94"/>
      <c r="C78" s="74">
        <v>0</v>
      </c>
      <c r="D78" s="19">
        <f ca="1">((100/H68)*C78)/100</f>
        <v>0</v>
      </c>
      <c r="E78" s="231"/>
      <c r="F78" s="231"/>
      <c r="G78" s="231"/>
      <c r="H78" s="231"/>
      <c r="I78" s="14" t="s">
        <v>141</v>
      </c>
      <c r="J78" s="30">
        <f>(IF(B68&gt;4,(H68/(B68+2)+J77),0))</f>
        <v>0</v>
      </c>
    </row>
    <row r="79" spans="1:10" ht="15.75" customHeight="1" x14ac:dyDescent="0.35">
      <c r="A79" s="94" t="s">
        <v>129</v>
      </c>
      <c r="B79" s="94" t="s">
        <v>129</v>
      </c>
      <c r="C79" s="74">
        <v>0</v>
      </c>
      <c r="D79" s="19">
        <f ca="1">((100/(H68))*C79)/100</f>
        <v>0</v>
      </c>
      <c r="E79" s="231"/>
      <c r="F79" s="231"/>
      <c r="G79" s="231"/>
      <c r="H79" s="231"/>
      <c r="I79" s="14" t="s">
        <v>143</v>
      </c>
      <c r="J79" s="30">
        <f ca="1">(IF(B68=1,(H68/(B68+3)+J74),IF(B68=0,(H68/4+J74),IF(B68&gt;1,0))))</f>
        <v>8.25</v>
      </c>
    </row>
    <row r="80" spans="1:10" ht="16" thickBot="1" x14ac:dyDescent="0.4">
      <c r="A80" s="94" t="s">
        <v>130</v>
      </c>
      <c r="B80" s="94"/>
      <c r="C80" s="74">
        <v>0</v>
      </c>
      <c r="D80" s="19">
        <f ca="1">((100/(H68))*C80)/100</f>
        <v>0</v>
      </c>
      <c r="E80" s="231"/>
      <c r="F80" s="231"/>
      <c r="G80" s="231"/>
      <c r="H80" s="231"/>
      <c r="I80" s="15" t="s">
        <v>101</v>
      </c>
      <c r="J80" s="32">
        <f ca="1">(IF(B68&gt;1.5,(H68/(B68+2)+J74+MAX(0,J75-J74)+MAX(0,J76-J75)+MAX(0,J77-J76)+MAX(0,J78-J77)+MAX(0,J79-J78)),IF(B68=1,(H68/(B68+3)+J79),IF(B68=0,H68/4+J79))))</f>
        <v>11</v>
      </c>
    </row>
    <row r="81" spans="1:10" ht="15.75" hidden="1" customHeight="1" x14ac:dyDescent="0.35">
      <c r="A81" s="226" t="s">
        <v>136</v>
      </c>
      <c r="B81" s="227"/>
      <c r="C81" s="228" t="s">
        <v>289</v>
      </c>
      <c r="D81" s="229"/>
      <c r="E81" s="229"/>
      <c r="F81" s="229"/>
      <c r="G81" s="229"/>
      <c r="H81" s="230"/>
      <c r="I81" s="50" t="str">
        <f ca="1">IF(D94=100%,"All work Completed. Possession granted to the Building.",IF(D93=100%,"All work Completed, Waiting for OC",I82&amp;""&amp;I83&amp;""&amp;J82&amp;""&amp;J81&amp;" "&amp;J83))</f>
        <v>Excavation, Plinth, RCC Slab, Brickwork Completed, Internal Plaster upto 9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Internal Plaster upto 9 Floor</v>
      </c>
    </row>
    <row r="82" spans="1:10" hidden="1" x14ac:dyDescent="0.35">
      <c r="A82" s="16" t="s">
        <v>138</v>
      </c>
      <c r="B82" s="55">
        <f>IF(AND(ISNUMBER(SEARCH("1B",C81))),1,IF(AND(ISNUMBER(SEARCH("2B",C81))),2,IF(AND(ISNUMBER(SEARCH("3B",C81))),3,IF(AND(ISNUMBER(SEARCH("4B",C81))),4,IF(ISNUMBER(SEARCH("5B",C81)),5,0)))))</f>
        <v>1</v>
      </c>
      <c r="C82" s="48" t="s">
        <v>71</v>
      </c>
      <c r="D82" s="48">
        <v>1</v>
      </c>
      <c r="E82" s="48" t="s">
        <v>70</v>
      </c>
      <c r="F82" s="67">
        <v>0</v>
      </c>
      <c r="G82" s="49" t="s">
        <v>78</v>
      </c>
      <c r="H82" s="17">
        <f ca="1">--TRIM(RIGHT(SUBSTITUTE(LEFT(C81,_xlfn.AGGREGATE(16,6,FIND({0,1,2,3,4,5,6,7,8,9},C81,ROW(INDIRECT("1:"&amp;LEN(C81)))),1))," ",REPT(" ",LEN(C81))),LEN(C81)))</f>
        <v>11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17.25" hidden="1" customHeight="1" x14ac:dyDescent="0.35">
      <c r="A83" s="123" t="s">
        <v>88</v>
      </c>
      <c r="B83" s="124"/>
      <c r="C83" s="125" t="str">
        <f ca="1">(IF($G$53="NA",I81,"All work Completed. OC Received."))</f>
        <v>Excavation, Plinth, RCC Slab, Brickwork Completed, Internal Plaster upto 9 Floor Completed</v>
      </c>
      <c r="D83" s="125"/>
      <c r="E83" s="125"/>
      <c r="F83" s="125"/>
      <c r="G83" s="125"/>
      <c r="H83" s="126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hidden="1" customHeight="1" x14ac:dyDescent="0.35">
      <c r="A84" s="93" t="s">
        <v>49</v>
      </c>
      <c r="B84" s="94"/>
      <c r="C84" s="44" t="s">
        <v>135</v>
      </c>
      <c r="D84" s="44" t="s">
        <v>81</v>
      </c>
      <c r="E84" s="94" t="s">
        <v>83</v>
      </c>
      <c r="F84" s="94"/>
      <c r="G84" s="94" t="s">
        <v>82</v>
      </c>
      <c r="H84" s="207"/>
      <c r="I84" s="14" t="s">
        <v>137</v>
      </c>
      <c r="J84" s="28">
        <f ca="1">H82*25%</f>
        <v>2.75</v>
      </c>
    </row>
    <row r="85" spans="1:10" hidden="1" x14ac:dyDescent="0.35">
      <c r="A85" s="93" t="s">
        <v>124</v>
      </c>
      <c r="B85" s="94"/>
      <c r="C85" s="44">
        <f ca="1">J86</f>
        <v>11</v>
      </c>
      <c r="D85" s="19">
        <f ca="1">((100/H82)*C85)/100</f>
        <v>1.0000000000000002</v>
      </c>
      <c r="E85" s="87">
        <f ca="1">(((C86/H82*10)+(40/(D82+F82+H82)*C87)+(7.5/(H82)*C88)+(7.5/(H82)*C89)+(10/H82*C90)+(10/H82*C91)+(5/H82*C92)+(5/H82*C93)+(5/H82*C94))/100)</f>
        <v>0.63636363636363635</v>
      </c>
      <c r="F85" s="144"/>
      <c r="G85" s="87">
        <f ca="1">((((C85/H82)*20)+((C86/H82)*25)+(30/(H82+F82+D82)*C87)+(5/H82*C88)+(5/H82*C89)+(5/H82*C90)+(5/H82*C91)+(0/H82*C92)+(0/H82*C93)+(5/H82*C94))/100)</f>
        <v>0.84090909090909094</v>
      </c>
      <c r="H85" s="88"/>
      <c r="I85" s="14" t="s">
        <v>97</v>
      </c>
      <c r="J85" s="29">
        <f ca="1">H82*50%</f>
        <v>5.5</v>
      </c>
    </row>
    <row r="86" spans="1:10" hidden="1" x14ac:dyDescent="0.35">
      <c r="A86" s="93" t="s">
        <v>50</v>
      </c>
      <c r="B86" s="94"/>
      <c r="C86" s="56">
        <f ca="1">J94</f>
        <v>11</v>
      </c>
      <c r="D86" s="19">
        <f ca="1">((100/H82)*C86)/100</f>
        <v>1.0000000000000002</v>
      </c>
      <c r="E86" s="89"/>
      <c r="F86" s="145"/>
      <c r="G86" s="89"/>
      <c r="H86" s="90"/>
      <c r="I86" s="14" t="s">
        <v>98</v>
      </c>
      <c r="J86" s="29">
        <f ca="1">H82</f>
        <v>11</v>
      </c>
    </row>
    <row r="87" spans="1:10" ht="15.75" hidden="1" customHeight="1" x14ac:dyDescent="0.35">
      <c r="A87" s="93" t="s">
        <v>125</v>
      </c>
      <c r="B87" s="94"/>
      <c r="C87" s="44">
        <v>12</v>
      </c>
      <c r="D87" s="19">
        <f ca="1">((100/(D82+F82+H82))*C87)/100</f>
        <v>1</v>
      </c>
      <c r="E87" s="89"/>
      <c r="F87" s="145"/>
      <c r="G87" s="89"/>
      <c r="H87" s="90"/>
      <c r="I87" s="14" t="s">
        <v>99</v>
      </c>
      <c r="J87" s="30">
        <f ca="1">(IF(B82&gt;1,(H82/(B82+2)),H82/4))</f>
        <v>2.75</v>
      </c>
    </row>
    <row r="88" spans="1:10" ht="15.75" hidden="1" customHeight="1" x14ac:dyDescent="0.35">
      <c r="A88" s="93" t="s">
        <v>132</v>
      </c>
      <c r="B88" s="94" t="s">
        <v>126</v>
      </c>
      <c r="C88" s="44">
        <v>11</v>
      </c>
      <c r="D88" s="19">
        <f ca="1">((100/H82)*C88)/100</f>
        <v>1.0000000000000002</v>
      </c>
      <c r="E88" s="89"/>
      <c r="F88" s="145"/>
      <c r="G88" s="89"/>
      <c r="H88" s="90"/>
      <c r="I88" s="14" t="s">
        <v>100</v>
      </c>
      <c r="J88" s="30">
        <f ca="1">(IF(B82&gt;1,(H82/(B82+2)+J87),H82/4+J87))</f>
        <v>5.5</v>
      </c>
    </row>
    <row r="89" spans="1:10" ht="15.75" hidden="1" customHeight="1" x14ac:dyDescent="0.35">
      <c r="A89" s="93" t="s">
        <v>133</v>
      </c>
      <c r="B89" s="94" t="s">
        <v>126</v>
      </c>
      <c r="C89" s="44">
        <v>9</v>
      </c>
      <c r="D89" s="19">
        <f ca="1">((100/H82)*C89)/100</f>
        <v>0.81818181818181823</v>
      </c>
      <c r="E89" s="89"/>
      <c r="F89" s="145"/>
      <c r="G89" s="89"/>
      <c r="H89" s="90"/>
      <c r="I89" s="14" t="s">
        <v>142</v>
      </c>
      <c r="J89" s="30">
        <f>(IF(B82&gt;1,(H82/(B82+2)+J88),0))</f>
        <v>0</v>
      </c>
    </row>
    <row r="90" spans="1:10" ht="15" hidden="1" customHeight="1" x14ac:dyDescent="0.35">
      <c r="A90" s="93" t="s">
        <v>131</v>
      </c>
      <c r="B90" s="94" t="s">
        <v>128</v>
      </c>
      <c r="C90" s="44">
        <v>0</v>
      </c>
      <c r="D90" s="19">
        <f ca="1">((100/(H82))*C90)/100</f>
        <v>0</v>
      </c>
      <c r="E90" s="89"/>
      <c r="F90" s="145"/>
      <c r="G90" s="89"/>
      <c r="H90" s="90"/>
      <c r="I90" s="14" t="s">
        <v>139</v>
      </c>
      <c r="J90" s="30">
        <f>(IF(B82&gt;2,(H82/(B82+2)+J89),0))</f>
        <v>0</v>
      </c>
    </row>
    <row r="91" spans="1:10" ht="15.75" hidden="1" customHeight="1" x14ac:dyDescent="0.35">
      <c r="A91" s="93" t="s">
        <v>127</v>
      </c>
      <c r="B91" s="94" t="s">
        <v>127</v>
      </c>
      <c r="C91" s="44">
        <v>0</v>
      </c>
      <c r="D91" s="19">
        <f ca="1">((100/H82)*C91)/100</f>
        <v>0</v>
      </c>
      <c r="E91" s="89"/>
      <c r="F91" s="145"/>
      <c r="G91" s="89"/>
      <c r="H91" s="90"/>
      <c r="I91" s="14" t="s">
        <v>140</v>
      </c>
      <c r="J91" s="31">
        <f>(IF(B82&gt;3,(H82/(B82+2)+J90),0))</f>
        <v>0</v>
      </c>
    </row>
    <row r="92" spans="1:10" ht="15.75" hidden="1" customHeight="1" x14ac:dyDescent="0.35">
      <c r="A92" s="93" t="s">
        <v>134</v>
      </c>
      <c r="B92" s="94"/>
      <c r="C92" s="44">
        <v>0</v>
      </c>
      <c r="D92" s="19">
        <f ca="1">((100/H82)*C92)/100</f>
        <v>0</v>
      </c>
      <c r="E92" s="89"/>
      <c r="F92" s="145"/>
      <c r="G92" s="89"/>
      <c r="H92" s="90"/>
      <c r="I92" s="14" t="s">
        <v>141</v>
      </c>
      <c r="J92" s="30">
        <f>(IF(B82&gt;4,(H82/(B82+2)+J91),0))</f>
        <v>0</v>
      </c>
    </row>
    <row r="93" spans="1:10" ht="15.75" hidden="1" customHeight="1" x14ac:dyDescent="0.35">
      <c r="A93" s="93" t="s">
        <v>129</v>
      </c>
      <c r="B93" s="94" t="s">
        <v>129</v>
      </c>
      <c r="C93" s="44">
        <v>0</v>
      </c>
      <c r="D93" s="19">
        <f ca="1">((100/(H82))*C93)/100</f>
        <v>0</v>
      </c>
      <c r="E93" s="89"/>
      <c r="F93" s="145"/>
      <c r="G93" s="89"/>
      <c r="H93" s="90"/>
      <c r="I93" s="14" t="s">
        <v>143</v>
      </c>
      <c r="J93" s="30">
        <f ca="1">(IF(B82=1,(H82/(B82+3)+J88),IF(B82=0,(H82/4+J88),IF(B82&gt;1,0))))</f>
        <v>8.25</v>
      </c>
    </row>
    <row r="94" spans="1:10" ht="16" hidden="1" thickBot="1" x14ac:dyDescent="0.4">
      <c r="A94" s="147" t="s">
        <v>130</v>
      </c>
      <c r="B94" s="148"/>
      <c r="C94" s="45">
        <v>0</v>
      </c>
      <c r="D94" s="20">
        <f ca="1">((100/(H82))*C94)/100</f>
        <v>0</v>
      </c>
      <c r="E94" s="91"/>
      <c r="F94" s="146"/>
      <c r="G94" s="91"/>
      <c r="H94" s="92"/>
      <c r="I94" s="15" t="s">
        <v>101</v>
      </c>
      <c r="J94" s="32">
        <f ca="1">(IF(B82&gt;1.5,(H82/(B82+2)+J88+MAX(0,J89-J88)+MAX(0,J90-J89)+MAX(0,J91-J90)+MAX(0,J92-J91)+MAX(0,J93-J92)),IF(B82=1,(H82/(B82+3)+J93),IF(B82=0,H82/4+J93))))</f>
        <v>11</v>
      </c>
    </row>
    <row r="95" spans="1:10" x14ac:dyDescent="0.35">
      <c r="A95" s="200" t="s">
        <v>153</v>
      </c>
      <c r="B95" s="200"/>
      <c r="C95" s="200"/>
      <c r="D95" s="200"/>
      <c r="E95" s="200"/>
      <c r="F95" s="201" t="s">
        <v>157</v>
      </c>
      <c r="G95" s="201"/>
      <c r="H95" s="201"/>
    </row>
    <row r="96" spans="1:10" x14ac:dyDescent="0.35">
      <c r="A96" s="96" t="s">
        <v>155</v>
      </c>
      <c r="B96" s="96"/>
      <c r="C96" s="96"/>
      <c r="D96" s="96"/>
      <c r="E96" s="96"/>
      <c r="F96" s="95">
        <v>6800</v>
      </c>
      <c r="G96" s="95"/>
      <c r="H96" s="95"/>
    </row>
    <row r="97" spans="1:8" x14ac:dyDescent="0.35">
      <c r="A97" s="96" t="s">
        <v>154</v>
      </c>
      <c r="B97" s="96"/>
      <c r="C97" s="96"/>
      <c r="D97" s="96"/>
      <c r="E97" s="96"/>
      <c r="F97" s="95">
        <v>11000</v>
      </c>
      <c r="G97" s="95"/>
      <c r="H97" s="95"/>
    </row>
    <row r="98" spans="1:8" hidden="1" x14ac:dyDescent="0.35">
      <c r="A98" s="96" t="s">
        <v>156</v>
      </c>
      <c r="B98" s="96"/>
      <c r="C98" s="96"/>
      <c r="D98" s="96"/>
      <c r="E98" s="96"/>
      <c r="F98" s="95"/>
      <c r="G98" s="95"/>
      <c r="H98" s="95"/>
    </row>
    <row r="99" spans="1:8" s="33" customFormat="1" hidden="1" x14ac:dyDescent="0.3">
      <c r="A99" s="96" t="s">
        <v>172</v>
      </c>
      <c r="B99" s="96"/>
      <c r="C99" s="96"/>
      <c r="D99" s="96"/>
      <c r="E99" s="96"/>
      <c r="F99" s="95"/>
      <c r="G99" s="95"/>
      <c r="H99" s="95"/>
    </row>
    <row r="100" spans="1:8" s="33" customFormat="1" x14ac:dyDescent="0.3">
      <c r="A100" s="96" t="s">
        <v>283</v>
      </c>
      <c r="B100" s="96"/>
      <c r="C100" s="96"/>
      <c r="D100" s="96"/>
      <c r="E100" s="96"/>
      <c r="F100" s="95">
        <v>250000</v>
      </c>
      <c r="G100" s="95"/>
      <c r="H100" s="95"/>
    </row>
    <row r="101" spans="1:8" s="33" customFormat="1" hidden="1" x14ac:dyDescent="0.3">
      <c r="A101" s="96" t="s">
        <v>93</v>
      </c>
      <c r="B101" s="96"/>
      <c r="C101" s="96"/>
      <c r="D101" s="96"/>
      <c r="E101" s="96"/>
      <c r="F101" s="95"/>
      <c r="G101" s="95"/>
      <c r="H101" s="95"/>
    </row>
    <row r="102" spans="1:8" s="33" customFormat="1" hidden="1" x14ac:dyDescent="0.3">
      <c r="A102" s="96" t="s">
        <v>158</v>
      </c>
      <c r="B102" s="96"/>
      <c r="C102" s="96"/>
      <c r="D102" s="96"/>
      <c r="E102" s="96"/>
      <c r="F102" s="95"/>
      <c r="G102" s="95"/>
      <c r="H102" s="95"/>
    </row>
    <row r="103" spans="1:8" s="33" customFormat="1" hidden="1" x14ac:dyDescent="0.3">
      <c r="A103" s="96" t="s">
        <v>94</v>
      </c>
      <c r="B103" s="96"/>
      <c r="C103" s="96"/>
      <c r="D103" s="96"/>
      <c r="E103" s="96"/>
      <c r="F103" s="95"/>
      <c r="G103" s="95"/>
      <c r="H103" s="95"/>
    </row>
    <row r="104" spans="1:8" s="33" customFormat="1" hidden="1" x14ac:dyDescent="0.3">
      <c r="A104" s="96" t="s">
        <v>95</v>
      </c>
      <c r="B104" s="96"/>
      <c r="C104" s="96"/>
      <c r="D104" s="96"/>
      <c r="E104" s="96"/>
      <c r="F104" s="95"/>
      <c r="G104" s="95"/>
      <c r="H104" s="95"/>
    </row>
    <row r="105" spans="1:8" s="33" customFormat="1" x14ac:dyDescent="0.3">
      <c r="A105" s="96" t="s">
        <v>284</v>
      </c>
      <c r="B105" s="96"/>
      <c r="C105" s="96"/>
      <c r="D105" s="96"/>
      <c r="E105" s="96"/>
      <c r="F105" s="95">
        <v>100000</v>
      </c>
      <c r="G105" s="95"/>
      <c r="H105" s="95"/>
    </row>
    <row r="106" spans="1:8" s="33" customFormat="1" hidden="1" x14ac:dyDescent="0.3">
      <c r="A106" s="96" t="s">
        <v>96</v>
      </c>
      <c r="B106" s="96"/>
      <c r="C106" s="96"/>
      <c r="D106" s="96"/>
      <c r="E106" s="96"/>
      <c r="F106" s="95"/>
      <c r="G106" s="95"/>
      <c r="H106" s="95"/>
    </row>
    <row r="107" spans="1:8" x14ac:dyDescent="0.35">
      <c r="A107" s="96" t="s">
        <v>51</v>
      </c>
      <c r="B107" s="96"/>
      <c r="C107" s="96"/>
      <c r="D107" s="96"/>
      <c r="E107" s="96"/>
      <c r="F107" s="95">
        <v>350000</v>
      </c>
      <c r="G107" s="95"/>
      <c r="H107" s="95"/>
    </row>
    <row r="108" spans="1:8" s="34" customFormat="1" x14ac:dyDescent="0.35">
      <c r="A108" s="137" t="s">
        <v>52</v>
      </c>
      <c r="B108" s="137"/>
      <c r="C108" s="137"/>
      <c r="D108" s="137"/>
      <c r="E108" s="137"/>
      <c r="F108" s="95">
        <f>F96*0.8</f>
        <v>5440</v>
      </c>
      <c r="G108" s="95"/>
      <c r="H108" s="95"/>
    </row>
    <row r="109" spans="1:8" s="35" customFormat="1" ht="15.75" customHeight="1" x14ac:dyDescent="0.35">
      <c r="A109" s="134" t="s">
        <v>266</v>
      </c>
      <c r="B109" s="134"/>
      <c r="C109" s="134"/>
      <c r="D109" s="134"/>
      <c r="E109" s="134"/>
      <c r="F109" s="134"/>
      <c r="G109" s="134"/>
      <c r="H109" s="134"/>
    </row>
    <row r="110" spans="1:8" s="35" customFormat="1" ht="15.75" customHeight="1" x14ac:dyDescent="0.35">
      <c r="A110" s="192" t="s">
        <v>53</v>
      </c>
      <c r="B110" s="192"/>
      <c r="C110" s="136" t="s">
        <v>76</v>
      </c>
      <c r="D110" s="136"/>
      <c r="E110" s="194" t="s">
        <v>54</v>
      </c>
      <c r="F110" s="194"/>
      <c r="G110" s="192" t="s">
        <v>55</v>
      </c>
      <c r="H110" s="192"/>
    </row>
    <row r="111" spans="1:8" s="35" customFormat="1" x14ac:dyDescent="0.35">
      <c r="A111" s="190" t="s">
        <v>272</v>
      </c>
      <c r="B111" s="190"/>
      <c r="C111" s="115">
        <f>COUNT(D126:D156)</f>
        <v>31</v>
      </c>
      <c r="D111" s="116"/>
      <c r="E111" s="114">
        <f>SUM(D126:D156)</f>
        <v>13512.490523999995</v>
      </c>
      <c r="F111" s="117"/>
      <c r="G111" s="114">
        <f>SUM(F126:F156)</f>
        <v>20944.360312200002</v>
      </c>
      <c r="H111" s="117"/>
    </row>
    <row r="112" spans="1:8" s="35" customFormat="1" x14ac:dyDescent="0.35">
      <c r="A112" s="134" t="s">
        <v>146</v>
      </c>
      <c r="B112" s="134"/>
      <c r="C112" s="135">
        <f t="shared" ref="C112:G112" si="0">SUM(C111)</f>
        <v>31</v>
      </c>
      <c r="D112" s="136"/>
      <c r="E112" s="193">
        <f t="shared" si="0"/>
        <v>13512.490523999995</v>
      </c>
      <c r="F112" s="194"/>
      <c r="G112" s="192">
        <f t="shared" si="0"/>
        <v>20944.360312200002</v>
      </c>
      <c r="H112" s="192"/>
    </row>
    <row r="113" spans="1:14" s="35" customFormat="1" x14ac:dyDescent="0.35">
      <c r="A113" s="134" t="s">
        <v>254</v>
      </c>
      <c r="B113" s="134"/>
      <c r="C113" s="134"/>
      <c r="D113" s="134"/>
      <c r="E113" s="134"/>
      <c r="F113" s="134"/>
      <c r="G113" s="134"/>
      <c r="H113" s="134"/>
    </row>
    <row r="114" spans="1:14" s="35" customFormat="1" ht="15.75" customHeight="1" x14ac:dyDescent="0.35">
      <c r="A114" s="192" t="s">
        <v>53</v>
      </c>
      <c r="B114" s="192"/>
      <c r="C114" s="136" t="s">
        <v>76</v>
      </c>
      <c r="D114" s="136"/>
      <c r="E114" s="194" t="s">
        <v>54</v>
      </c>
      <c r="F114" s="194"/>
      <c r="G114" s="192" t="s">
        <v>55</v>
      </c>
      <c r="H114" s="192"/>
    </row>
    <row r="115" spans="1:14" s="35" customFormat="1" x14ac:dyDescent="0.35">
      <c r="A115" s="190" t="s">
        <v>267</v>
      </c>
      <c r="B115" s="190"/>
      <c r="C115" s="115">
        <f>COUNT(D162:D172)+COUNT(D186:D196)*6+COUNT(D198:D201)+COUNT(D203:D208)+COUNT(D210:D220)</f>
        <v>98</v>
      </c>
      <c r="D115" s="115"/>
      <c r="E115" s="114">
        <f>SUM(D162:D172)+SUM(D186:D196)*6+SUM(D198:D201)+SUM(D203:D208)+SUM(D210:D220)</f>
        <v>53705.740139999994</v>
      </c>
      <c r="F115" s="114"/>
      <c r="G115" s="114">
        <f>SUM(F162:F172)+SUM(F186:F196)*6+SUM(F198:F201)+SUM(F203:F208)+SUM(F210:F220)</f>
        <v>83609.629412399983</v>
      </c>
      <c r="H115" s="114"/>
    </row>
    <row r="116" spans="1:14" s="35" customFormat="1" x14ac:dyDescent="0.35">
      <c r="A116" s="190" t="s">
        <v>268</v>
      </c>
      <c r="B116" s="190"/>
      <c r="C116" s="115">
        <f>COUNT(D223:D230)+COUNT(D233:D241)+COUNT(D243:D251)*5+COUNT(D253:D258)+COUNT(D260:D261)+COUNT(D263:D271)</f>
        <v>79</v>
      </c>
      <c r="D116" s="115"/>
      <c r="E116" s="114">
        <f>SUM(D223:D230)+SUM(D233:D241)+SUM(D243:D251)*5+SUM(D253:D258)+SUM(D260:D261)+SUM(D263:D271)</f>
        <v>49776.621803999988</v>
      </c>
      <c r="F116" s="114"/>
      <c r="G116" s="114">
        <f>SUM(F223:F230)+SUM(F233:F241)+SUM(F243:F251)*5+SUM(F253:F258)+SUM(F260:F261)+SUM(F263:F271)</f>
        <v>74664.932706000007</v>
      </c>
      <c r="H116" s="114"/>
    </row>
    <row r="117" spans="1:14" s="35" customFormat="1" ht="16" thickBot="1" x14ac:dyDescent="0.4">
      <c r="A117" s="151" t="s">
        <v>146</v>
      </c>
      <c r="B117" s="151"/>
      <c r="C117" s="203">
        <f t="shared" ref="C117:G117" si="1">SUM(C115:D116)</f>
        <v>177</v>
      </c>
      <c r="D117" s="203"/>
      <c r="E117" s="195">
        <f t="shared" si="1"/>
        <v>103482.36194399997</v>
      </c>
      <c r="F117" s="196"/>
      <c r="G117" s="107">
        <f t="shared" si="1"/>
        <v>158274.5621184</v>
      </c>
      <c r="H117" s="107"/>
    </row>
    <row r="118" spans="1:14" s="35" customFormat="1" ht="16" thickBot="1" x14ac:dyDescent="0.4">
      <c r="A118" s="197" t="s">
        <v>164</v>
      </c>
      <c r="B118" s="198"/>
      <c r="C118" s="199">
        <f>C112+C117</f>
        <v>208</v>
      </c>
      <c r="D118" s="199"/>
      <c r="E118" s="118">
        <f>E112+E117</f>
        <v>116994.85246799997</v>
      </c>
      <c r="F118" s="118"/>
      <c r="G118" s="119">
        <f>G112+G117</f>
        <v>179218.92243060001</v>
      </c>
      <c r="H118" s="120"/>
    </row>
    <row r="119" spans="1:14" s="34" customFormat="1" x14ac:dyDescent="0.35">
      <c r="A119" s="201" t="s">
        <v>56</v>
      </c>
      <c r="B119" s="201"/>
      <c r="C119" s="201"/>
      <c r="D119" s="201"/>
      <c r="E119" s="201"/>
      <c r="F119" s="201"/>
      <c r="G119" s="201"/>
      <c r="H119" s="201"/>
    </row>
    <row r="120" spans="1:14" x14ac:dyDescent="0.35">
      <c r="A120" s="186" t="s">
        <v>171</v>
      </c>
      <c r="B120" s="186"/>
      <c r="C120" s="186"/>
      <c r="D120" s="186"/>
      <c r="E120" s="186"/>
      <c r="F120" s="186"/>
      <c r="G120" s="186"/>
      <c r="H120" s="186"/>
    </row>
    <row r="121" spans="1:14" ht="47.25" customHeight="1" x14ac:dyDescent="0.35">
      <c r="A121" s="97" t="s">
        <v>116</v>
      </c>
      <c r="B121" s="97" t="s">
        <v>173</v>
      </c>
      <c r="C121" s="97" t="s">
        <v>57</v>
      </c>
      <c r="D121" s="97" t="s">
        <v>58</v>
      </c>
      <c r="E121" s="138" t="s">
        <v>152</v>
      </c>
      <c r="F121" s="43" t="s">
        <v>145</v>
      </c>
      <c r="G121" s="140" t="s">
        <v>60</v>
      </c>
      <c r="H121" s="141"/>
      <c r="I121" s="66">
        <v>10.763999999999999</v>
      </c>
    </row>
    <row r="122" spans="1:14" s="37" customFormat="1" x14ac:dyDescent="0.35">
      <c r="A122" s="98"/>
      <c r="B122" s="98"/>
      <c r="C122" s="98"/>
      <c r="D122" s="98"/>
      <c r="E122" s="139"/>
      <c r="F122" s="13">
        <v>0.55000000000000004</v>
      </c>
      <c r="G122" s="142"/>
      <c r="H122" s="143"/>
    </row>
    <row r="123" spans="1:14" s="37" customFormat="1" ht="15.75" customHeight="1" x14ac:dyDescent="0.35">
      <c r="A123" s="214" t="s">
        <v>273</v>
      </c>
      <c r="B123" s="215"/>
      <c r="C123" s="215"/>
      <c r="D123" s="215"/>
      <c r="E123" s="215"/>
      <c r="F123" s="215"/>
      <c r="G123" s="215"/>
      <c r="H123" s="216"/>
      <c r="J123" s="36"/>
    </row>
    <row r="124" spans="1:14" s="61" customFormat="1" x14ac:dyDescent="0.35">
      <c r="A124" s="111" t="s">
        <v>242</v>
      </c>
      <c r="B124" s="112"/>
      <c r="C124" s="112"/>
      <c r="D124" s="112"/>
      <c r="E124" s="112"/>
      <c r="F124" s="112"/>
      <c r="G124" s="112"/>
      <c r="H124" s="113"/>
      <c r="J124" s="36"/>
    </row>
    <row r="125" spans="1:14" s="61" customFormat="1" x14ac:dyDescent="0.35">
      <c r="A125" s="111" t="s">
        <v>243</v>
      </c>
      <c r="B125" s="112"/>
      <c r="C125" s="112"/>
      <c r="D125" s="112"/>
      <c r="E125" s="112"/>
      <c r="F125" s="112"/>
      <c r="G125" s="112"/>
      <c r="H125" s="113"/>
      <c r="J125" s="36"/>
    </row>
    <row r="126" spans="1:14" s="37" customFormat="1" ht="15.75" customHeight="1" x14ac:dyDescent="0.35">
      <c r="A126" s="121">
        <v>1</v>
      </c>
      <c r="B126" s="121"/>
      <c r="C126" s="75" t="s">
        <v>244</v>
      </c>
      <c r="D126" s="66">
        <f>(40.97)*10.764</f>
        <v>441.00107999999994</v>
      </c>
      <c r="E126" s="75">
        <v>0</v>
      </c>
      <c r="F126" s="75">
        <f>(D126+E126)*(($F$122)+1)</f>
        <v>683.55167399999993</v>
      </c>
      <c r="G126" s="121" t="str">
        <f>A125</f>
        <v>Ground Floor For Commercial, Meter Room, Entrance Lobby &amp; Parking</v>
      </c>
      <c r="H126" s="121"/>
      <c r="I126" s="36">
        <f>3.2*13.1</f>
        <v>41.92</v>
      </c>
      <c r="L126" s="108"/>
      <c r="M126" s="108"/>
      <c r="N126" s="36"/>
    </row>
    <row r="127" spans="1:14" s="37" customFormat="1" x14ac:dyDescent="0.35">
      <c r="A127" s="121">
        <f t="shared" ref="A127:A131" si="2">A126+1</f>
        <v>2</v>
      </c>
      <c r="B127" s="121"/>
      <c r="C127" s="75" t="s">
        <v>244</v>
      </c>
      <c r="D127" s="66">
        <f>(40.512)*10.764</f>
        <v>436.071168</v>
      </c>
      <c r="E127" s="75">
        <v>0</v>
      </c>
      <c r="F127" s="75">
        <f t="shared" ref="F127:F156" si="3">(D127+E127)*(($F$122)+1)</f>
        <v>675.91031040000007</v>
      </c>
      <c r="G127" s="121"/>
      <c r="H127" s="121"/>
      <c r="I127" s="36">
        <f>3.05*9.875</f>
        <v>30.118749999999999</v>
      </c>
      <c r="L127" s="108"/>
      <c r="M127" s="108"/>
      <c r="N127" s="36"/>
    </row>
    <row r="128" spans="1:14" s="37" customFormat="1" x14ac:dyDescent="0.35">
      <c r="A128" s="121">
        <f t="shared" si="2"/>
        <v>3</v>
      </c>
      <c r="B128" s="121"/>
      <c r="C128" s="75" t="s">
        <v>244</v>
      </c>
      <c r="D128" s="66">
        <f>(30.439)*10.764</f>
        <v>327.64539600000001</v>
      </c>
      <c r="E128" s="75">
        <v>0</v>
      </c>
      <c r="F128" s="75">
        <f t="shared" si="3"/>
        <v>507.85036380000003</v>
      </c>
      <c r="G128" s="121"/>
      <c r="H128" s="121"/>
      <c r="I128" s="36"/>
      <c r="L128" s="108"/>
      <c r="M128" s="108"/>
      <c r="N128" s="36"/>
    </row>
    <row r="129" spans="1:14" s="37" customFormat="1" x14ac:dyDescent="0.35">
      <c r="A129" s="121">
        <f t="shared" si="2"/>
        <v>4</v>
      </c>
      <c r="B129" s="121"/>
      <c r="C129" s="75" t="s">
        <v>244</v>
      </c>
      <c r="D129" s="66">
        <f>(30.439)*10.764</f>
        <v>327.64539600000001</v>
      </c>
      <c r="E129" s="75">
        <v>0</v>
      </c>
      <c r="F129" s="75">
        <f t="shared" si="3"/>
        <v>507.85036380000003</v>
      </c>
      <c r="G129" s="121"/>
      <c r="H129" s="121"/>
      <c r="I129" s="36"/>
      <c r="L129" s="108"/>
      <c r="M129" s="108"/>
      <c r="N129" s="36"/>
    </row>
    <row r="130" spans="1:14" s="61" customFormat="1" x14ac:dyDescent="0.35">
      <c r="A130" s="121">
        <f t="shared" si="2"/>
        <v>5</v>
      </c>
      <c r="B130" s="121"/>
      <c r="C130" s="75" t="s">
        <v>244</v>
      </c>
      <c r="D130" s="66">
        <f>(54.129)*10.764</f>
        <v>582.64455599999997</v>
      </c>
      <c r="E130" s="75">
        <v>0</v>
      </c>
      <c r="F130" s="75">
        <f t="shared" si="3"/>
        <v>903.09906179999996</v>
      </c>
      <c r="G130" s="121"/>
      <c r="H130" s="121"/>
      <c r="I130" s="36">
        <f>5*9.875</f>
        <v>49.375</v>
      </c>
      <c r="N130" s="36"/>
    </row>
    <row r="131" spans="1:14" s="61" customFormat="1" x14ac:dyDescent="0.35">
      <c r="A131" s="121">
        <f t="shared" si="2"/>
        <v>6</v>
      </c>
      <c r="B131" s="121"/>
      <c r="C131" s="75" t="s">
        <v>244</v>
      </c>
      <c r="D131" s="66">
        <f>(41.883)*10.764</f>
        <v>450.82861200000002</v>
      </c>
      <c r="E131" s="75">
        <v>0</v>
      </c>
      <c r="F131" s="75">
        <f t="shared" si="3"/>
        <v>698.78434860000004</v>
      </c>
      <c r="G131" s="121"/>
      <c r="H131" s="121"/>
      <c r="I131" s="36"/>
      <c r="N131" s="36"/>
    </row>
    <row r="132" spans="1:14" s="61" customFormat="1" x14ac:dyDescent="0.35">
      <c r="A132" s="121">
        <f t="shared" ref="A132:A156" si="4">A131+1</f>
        <v>7</v>
      </c>
      <c r="B132" s="121"/>
      <c r="C132" s="75" t="s">
        <v>244</v>
      </c>
      <c r="D132" s="66">
        <f>(39.142)*10.764</f>
        <v>421.32448800000003</v>
      </c>
      <c r="E132" s="75">
        <v>0</v>
      </c>
      <c r="F132" s="75">
        <f t="shared" si="3"/>
        <v>653.05295640000008</v>
      </c>
      <c r="G132" s="121"/>
      <c r="H132" s="121"/>
      <c r="I132" s="36"/>
      <c r="N132" s="36"/>
    </row>
    <row r="133" spans="1:14" s="61" customFormat="1" x14ac:dyDescent="0.35">
      <c r="A133" s="121">
        <f t="shared" si="4"/>
        <v>8</v>
      </c>
      <c r="B133" s="121"/>
      <c r="C133" s="75" t="s">
        <v>244</v>
      </c>
      <c r="D133" s="66">
        <f>(35.137)*10.764</f>
        <v>378.21466799999996</v>
      </c>
      <c r="E133" s="75">
        <v>0</v>
      </c>
      <c r="F133" s="75">
        <f t="shared" si="3"/>
        <v>586.23273539999991</v>
      </c>
      <c r="G133" s="121"/>
      <c r="H133" s="121"/>
      <c r="I133" s="36"/>
      <c r="N133" s="36"/>
    </row>
    <row r="134" spans="1:14" s="61" customFormat="1" x14ac:dyDescent="0.35">
      <c r="A134" s="121">
        <f t="shared" si="4"/>
        <v>9</v>
      </c>
      <c r="B134" s="121"/>
      <c r="C134" s="75" t="s">
        <v>244</v>
      </c>
      <c r="D134" s="66">
        <f>(35.137)*10.764</f>
        <v>378.21466799999996</v>
      </c>
      <c r="E134" s="75">
        <v>0</v>
      </c>
      <c r="F134" s="75">
        <f t="shared" si="3"/>
        <v>586.23273539999991</v>
      </c>
      <c r="G134" s="121"/>
      <c r="H134" s="121"/>
      <c r="I134" s="36"/>
      <c r="N134" s="36"/>
    </row>
    <row r="135" spans="1:14" s="61" customFormat="1" x14ac:dyDescent="0.35">
      <c r="A135" s="121">
        <f t="shared" si="4"/>
        <v>10</v>
      </c>
      <c r="B135" s="121"/>
      <c r="C135" s="75" t="s">
        <v>244</v>
      </c>
      <c r="D135" s="66">
        <f>(38.276)*10.764</f>
        <v>412.00286399999999</v>
      </c>
      <c r="E135" s="75">
        <v>0</v>
      </c>
      <c r="F135" s="75">
        <f t="shared" si="3"/>
        <v>638.6044392</v>
      </c>
      <c r="G135" s="121"/>
      <c r="H135" s="121"/>
      <c r="I135" s="36"/>
      <c r="N135" s="36"/>
    </row>
    <row r="136" spans="1:14" s="61" customFormat="1" x14ac:dyDescent="0.35">
      <c r="A136" s="121">
        <f t="shared" si="4"/>
        <v>11</v>
      </c>
      <c r="B136" s="121"/>
      <c r="C136" s="75" t="s">
        <v>244</v>
      </c>
      <c r="D136" s="66">
        <f>(40.748)*10.764</f>
        <v>438.61147199999994</v>
      </c>
      <c r="E136" s="75">
        <v>0</v>
      </c>
      <c r="F136" s="75">
        <f t="shared" si="3"/>
        <v>679.84778159999996</v>
      </c>
      <c r="G136" s="121"/>
      <c r="H136" s="121"/>
      <c r="I136" s="36"/>
      <c r="N136" s="36"/>
    </row>
    <row r="137" spans="1:14" s="61" customFormat="1" x14ac:dyDescent="0.35">
      <c r="A137" s="121">
        <f t="shared" si="4"/>
        <v>12</v>
      </c>
      <c r="B137" s="121"/>
      <c r="C137" s="75" t="s">
        <v>244</v>
      </c>
      <c r="D137" s="66">
        <f>(41.316)*10.764</f>
        <v>444.72542399999998</v>
      </c>
      <c r="E137" s="75">
        <v>0</v>
      </c>
      <c r="F137" s="75">
        <f t="shared" si="3"/>
        <v>689.3244072</v>
      </c>
      <c r="G137" s="121"/>
      <c r="H137" s="121"/>
      <c r="I137" s="36"/>
      <c r="N137" s="36"/>
    </row>
    <row r="138" spans="1:14" s="61" customFormat="1" x14ac:dyDescent="0.35">
      <c r="A138" s="121">
        <f t="shared" si="4"/>
        <v>13</v>
      </c>
      <c r="B138" s="121"/>
      <c r="C138" s="75" t="s">
        <v>244</v>
      </c>
      <c r="D138" s="66">
        <f>(40.982)*10.764</f>
        <v>441.13024799999994</v>
      </c>
      <c r="E138" s="75">
        <v>0</v>
      </c>
      <c r="F138" s="75">
        <f t="shared" si="3"/>
        <v>683.75188439999988</v>
      </c>
      <c r="G138" s="121"/>
      <c r="H138" s="121"/>
      <c r="I138" s="36"/>
      <c r="N138" s="36"/>
    </row>
    <row r="139" spans="1:14" s="61" customFormat="1" x14ac:dyDescent="0.35">
      <c r="A139" s="121">
        <f t="shared" si="4"/>
        <v>14</v>
      </c>
      <c r="B139" s="121"/>
      <c r="C139" s="75" t="s">
        <v>244</v>
      </c>
      <c r="D139" s="66">
        <f>(40.748)*10.764</f>
        <v>438.61147199999994</v>
      </c>
      <c r="E139" s="75">
        <v>0</v>
      </c>
      <c r="F139" s="75">
        <f t="shared" si="3"/>
        <v>679.84778159999996</v>
      </c>
      <c r="G139" s="121"/>
      <c r="H139" s="121"/>
      <c r="I139" s="36"/>
      <c r="N139" s="36"/>
    </row>
    <row r="140" spans="1:14" s="61" customFormat="1" x14ac:dyDescent="0.35">
      <c r="A140" s="121">
        <f t="shared" si="4"/>
        <v>15</v>
      </c>
      <c r="B140" s="121"/>
      <c r="C140" s="75" t="s">
        <v>244</v>
      </c>
      <c r="D140" s="66">
        <f>(40.748)*10.764</f>
        <v>438.61147199999994</v>
      </c>
      <c r="E140" s="75">
        <v>0</v>
      </c>
      <c r="F140" s="75">
        <f t="shared" si="3"/>
        <v>679.84778159999996</v>
      </c>
      <c r="G140" s="121"/>
      <c r="H140" s="121"/>
      <c r="I140" s="36"/>
      <c r="N140" s="36"/>
    </row>
    <row r="141" spans="1:14" s="61" customFormat="1" x14ac:dyDescent="0.35">
      <c r="A141" s="121">
        <f t="shared" si="4"/>
        <v>16</v>
      </c>
      <c r="B141" s="121"/>
      <c r="C141" s="75" t="s">
        <v>244</v>
      </c>
      <c r="D141" s="66">
        <f>(40.881)*10.764</f>
        <v>440.04308399999996</v>
      </c>
      <c r="E141" s="75">
        <v>0</v>
      </c>
      <c r="F141" s="75">
        <f t="shared" si="3"/>
        <v>682.06678019999993</v>
      </c>
      <c r="G141" s="121"/>
      <c r="H141" s="121"/>
      <c r="I141" s="36"/>
      <c r="N141" s="36"/>
    </row>
    <row r="142" spans="1:14" s="61" customFormat="1" x14ac:dyDescent="0.35">
      <c r="A142" s="121">
        <f t="shared" si="4"/>
        <v>17</v>
      </c>
      <c r="B142" s="121"/>
      <c r="C142" s="75" t="s">
        <v>244</v>
      </c>
      <c r="D142" s="66">
        <f>(40.748)*10.764</f>
        <v>438.61147199999994</v>
      </c>
      <c r="E142" s="75">
        <v>0</v>
      </c>
      <c r="F142" s="75">
        <f t="shared" si="3"/>
        <v>679.84778159999996</v>
      </c>
      <c r="G142" s="121"/>
      <c r="H142" s="121"/>
      <c r="I142" s="36"/>
      <c r="N142" s="36"/>
    </row>
    <row r="143" spans="1:14" s="61" customFormat="1" x14ac:dyDescent="0.35">
      <c r="A143" s="121">
        <f t="shared" si="4"/>
        <v>18</v>
      </c>
      <c r="B143" s="121"/>
      <c r="C143" s="75" t="s">
        <v>244</v>
      </c>
      <c r="D143" s="66">
        <f>(40.748)*10.764</f>
        <v>438.61147199999994</v>
      </c>
      <c r="E143" s="75">
        <v>0</v>
      </c>
      <c r="F143" s="75">
        <f t="shared" si="3"/>
        <v>679.84778159999996</v>
      </c>
      <c r="G143" s="121"/>
      <c r="H143" s="121"/>
      <c r="I143" s="36"/>
      <c r="N143" s="36"/>
    </row>
    <row r="144" spans="1:14" s="61" customFormat="1" x14ac:dyDescent="0.35">
      <c r="A144" s="121">
        <f t="shared" si="4"/>
        <v>19</v>
      </c>
      <c r="B144" s="121"/>
      <c r="C144" s="75" t="s">
        <v>244</v>
      </c>
      <c r="D144" s="66">
        <f>(66.259)*10.764</f>
        <v>713.21187599999996</v>
      </c>
      <c r="E144" s="75">
        <v>0</v>
      </c>
      <c r="F144" s="75">
        <f t="shared" si="3"/>
        <v>1105.4784078</v>
      </c>
      <c r="G144" s="121"/>
      <c r="H144" s="121"/>
      <c r="I144" s="36"/>
      <c r="N144" s="36"/>
    </row>
    <row r="145" spans="1:14" s="37" customFormat="1" x14ac:dyDescent="0.35">
      <c r="A145" s="121">
        <f t="shared" si="4"/>
        <v>20</v>
      </c>
      <c r="B145" s="121"/>
      <c r="C145" s="75" t="s">
        <v>244</v>
      </c>
      <c r="D145" s="66">
        <f>(31.287)*10.764</f>
        <v>336.77326799999997</v>
      </c>
      <c r="E145" s="75">
        <v>0</v>
      </c>
      <c r="F145" s="75">
        <f t="shared" si="3"/>
        <v>521.99856539999996</v>
      </c>
      <c r="G145" s="121"/>
      <c r="H145" s="121"/>
      <c r="I145" s="36"/>
      <c r="N145" s="36"/>
    </row>
    <row r="146" spans="1:14" s="61" customFormat="1" x14ac:dyDescent="0.35">
      <c r="A146" s="121">
        <f t="shared" si="4"/>
        <v>21</v>
      </c>
      <c r="B146" s="121"/>
      <c r="C146" s="75" t="s">
        <v>244</v>
      </c>
      <c r="D146" s="66">
        <f>(32.188)*10.764</f>
        <v>346.471632</v>
      </c>
      <c r="E146" s="75">
        <v>0</v>
      </c>
      <c r="F146" s="75">
        <f t="shared" si="3"/>
        <v>537.03102960000001</v>
      </c>
      <c r="G146" s="121"/>
      <c r="H146" s="121"/>
      <c r="I146" s="36"/>
      <c r="N146" s="36"/>
    </row>
    <row r="147" spans="1:14" s="61" customFormat="1" x14ac:dyDescent="0.35">
      <c r="A147" s="121">
        <f t="shared" si="4"/>
        <v>22</v>
      </c>
      <c r="B147" s="121"/>
      <c r="C147" s="75" t="s">
        <v>244</v>
      </c>
      <c r="D147" s="66">
        <f>(45.395)*10.764</f>
        <v>488.63177999999999</v>
      </c>
      <c r="E147" s="75">
        <v>0</v>
      </c>
      <c r="F147" s="75">
        <f t="shared" si="3"/>
        <v>757.37925900000005</v>
      </c>
      <c r="G147" s="121"/>
      <c r="H147" s="121"/>
      <c r="I147" s="36"/>
      <c r="N147" s="36"/>
    </row>
    <row r="148" spans="1:14" s="61" customFormat="1" x14ac:dyDescent="0.35">
      <c r="A148" s="121">
        <f t="shared" si="4"/>
        <v>23</v>
      </c>
      <c r="B148" s="121"/>
      <c r="C148" s="75" t="s">
        <v>244</v>
      </c>
      <c r="D148" s="66">
        <f>(56.614)*10.764</f>
        <v>609.3930959999999</v>
      </c>
      <c r="E148" s="75">
        <v>0</v>
      </c>
      <c r="F148" s="75">
        <f t="shared" si="3"/>
        <v>944.55929879999985</v>
      </c>
      <c r="G148" s="121"/>
      <c r="H148" s="121"/>
      <c r="I148" s="36"/>
      <c r="N148" s="36"/>
    </row>
    <row r="149" spans="1:14" s="61" customFormat="1" x14ac:dyDescent="0.35">
      <c r="A149" s="121">
        <f t="shared" si="4"/>
        <v>24</v>
      </c>
      <c r="B149" s="121"/>
      <c r="C149" s="75" t="s">
        <v>244</v>
      </c>
      <c r="D149" s="66">
        <f>(27.524)*10.764</f>
        <v>296.26833599999998</v>
      </c>
      <c r="E149" s="75">
        <v>0</v>
      </c>
      <c r="F149" s="75">
        <f t="shared" si="3"/>
        <v>459.21592079999999</v>
      </c>
      <c r="G149" s="121"/>
      <c r="H149" s="121"/>
      <c r="I149" s="36"/>
      <c r="N149" s="36"/>
    </row>
    <row r="150" spans="1:14" s="61" customFormat="1" x14ac:dyDescent="0.35">
      <c r="A150" s="121">
        <f t="shared" si="4"/>
        <v>25</v>
      </c>
      <c r="B150" s="121"/>
      <c r="C150" s="75" t="s">
        <v>244</v>
      </c>
      <c r="D150" s="66">
        <f>(25.56)*10.764</f>
        <v>275.12783999999999</v>
      </c>
      <c r="E150" s="75">
        <v>0</v>
      </c>
      <c r="F150" s="75">
        <f t="shared" si="3"/>
        <v>426.44815199999999</v>
      </c>
      <c r="G150" s="121"/>
      <c r="H150" s="121"/>
      <c r="I150" s="36"/>
      <c r="N150" s="36"/>
    </row>
    <row r="151" spans="1:14" s="61" customFormat="1" x14ac:dyDescent="0.35">
      <c r="A151" s="121">
        <f t="shared" si="4"/>
        <v>26</v>
      </c>
      <c r="B151" s="121"/>
      <c r="C151" s="75" t="s">
        <v>244</v>
      </c>
      <c r="D151" s="66">
        <f>(29.743)*10.764</f>
        <v>320.15365199999997</v>
      </c>
      <c r="E151" s="75">
        <v>0</v>
      </c>
      <c r="F151" s="75">
        <f t="shared" si="3"/>
        <v>496.23816059999996</v>
      </c>
      <c r="G151" s="121"/>
      <c r="H151" s="121"/>
      <c r="I151" s="36"/>
      <c r="N151" s="36"/>
    </row>
    <row r="152" spans="1:14" s="61" customFormat="1" x14ac:dyDescent="0.35">
      <c r="A152" s="121">
        <f t="shared" si="4"/>
        <v>27</v>
      </c>
      <c r="B152" s="121"/>
      <c r="C152" s="75" t="s">
        <v>244</v>
      </c>
      <c r="D152" s="66">
        <f>(66.224)*10.764</f>
        <v>712.83513600000003</v>
      </c>
      <c r="E152" s="75">
        <v>0</v>
      </c>
      <c r="F152" s="75">
        <f t="shared" si="3"/>
        <v>1104.8944608000002</v>
      </c>
      <c r="G152" s="121"/>
      <c r="H152" s="121"/>
      <c r="I152" s="36"/>
      <c r="N152" s="36"/>
    </row>
    <row r="153" spans="1:14" s="61" customFormat="1" x14ac:dyDescent="0.35">
      <c r="A153" s="121">
        <f t="shared" si="4"/>
        <v>28</v>
      </c>
      <c r="B153" s="121"/>
      <c r="C153" s="75" t="s">
        <v>244</v>
      </c>
      <c r="D153" s="66">
        <f>(39.955)*10.764</f>
        <v>430.07561999999996</v>
      </c>
      <c r="E153" s="75">
        <v>0</v>
      </c>
      <c r="F153" s="75">
        <f t="shared" si="3"/>
        <v>666.617211</v>
      </c>
      <c r="G153" s="121"/>
      <c r="H153" s="121"/>
      <c r="I153" s="36"/>
      <c r="N153" s="36"/>
    </row>
    <row r="154" spans="1:14" s="61" customFormat="1" x14ac:dyDescent="0.35">
      <c r="A154" s="121">
        <f t="shared" si="4"/>
        <v>29</v>
      </c>
      <c r="B154" s="121"/>
      <c r="C154" s="75" t="s">
        <v>244</v>
      </c>
      <c r="D154" s="66">
        <f>(39.955)*10.764</f>
        <v>430.07561999999996</v>
      </c>
      <c r="E154" s="75">
        <v>0</v>
      </c>
      <c r="F154" s="75">
        <f t="shared" si="3"/>
        <v>666.617211</v>
      </c>
      <c r="G154" s="121"/>
      <c r="H154" s="121"/>
      <c r="I154" s="36"/>
      <c r="N154" s="36"/>
    </row>
    <row r="155" spans="1:14" s="61" customFormat="1" x14ac:dyDescent="0.35">
      <c r="A155" s="121">
        <f t="shared" si="4"/>
        <v>30</v>
      </c>
      <c r="B155" s="121"/>
      <c r="C155" s="75" t="s">
        <v>244</v>
      </c>
      <c r="D155" s="66">
        <f>(41.634)*10.764</f>
        <v>448.14837599999998</v>
      </c>
      <c r="E155" s="75">
        <v>0</v>
      </c>
      <c r="F155" s="75">
        <f t="shared" si="3"/>
        <v>694.62998279999999</v>
      </c>
      <c r="G155" s="121"/>
      <c r="H155" s="121"/>
      <c r="I155" s="36"/>
      <c r="N155" s="36"/>
    </row>
    <row r="156" spans="1:14" s="61" customFormat="1" x14ac:dyDescent="0.35">
      <c r="A156" s="121">
        <f t="shared" si="4"/>
        <v>31</v>
      </c>
      <c r="B156" s="121"/>
      <c r="C156" s="75" t="s">
        <v>244</v>
      </c>
      <c r="D156" s="66">
        <f>(40.02)*10.764</f>
        <v>430.77528000000001</v>
      </c>
      <c r="E156" s="75">
        <v>0</v>
      </c>
      <c r="F156" s="75">
        <f t="shared" si="3"/>
        <v>667.701684</v>
      </c>
      <c r="G156" s="121"/>
      <c r="H156" s="121"/>
      <c r="I156" s="36"/>
      <c r="N156" s="36"/>
    </row>
    <row r="157" spans="1:14" s="61" customFormat="1" x14ac:dyDescent="0.35">
      <c r="A157" s="105"/>
      <c r="B157" s="217"/>
      <c r="C157" s="217"/>
      <c r="D157" s="217"/>
      <c r="E157" s="217"/>
      <c r="F157" s="217"/>
      <c r="G157" s="217"/>
      <c r="H157" s="106"/>
      <c r="I157" s="36"/>
      <c r="N157" s="36"/>
    </row>
    <row r="158" spans="1:14" ht="47.25" customHeight="1" x14ac:dyDescent="0.35">
      <c r="A158" s="140" t="s">
        <v>117</v>
      </c>
      <c r="B158" s="97" t="s">
        <v>174</v>
      </c>
      <c r="C158" s="97" t="s">
        <v>57</v>
      </c>
      <c r="D158" s="97" t="s">
        <v>58</v>
      </c>
      <c r="E158" s="138" t="s">
        <v>59</v>
      </c>
      <c r="F158" s="57" t="s">
        <v>145</v>
      </c>
      <c r="G158" s="140" t="s">
        <v>60</v>
      </c>
      <c r="H158" s="141"/>
      <c r="I158" s="36"/>
    </row>
    <row r="159" spans="1:14" s="37" customFormat="1" x14ac:dyDescent="0.35">
      <c r="A159" s="142"/>
      <c r="B159" s="98"/>
      <c r="C159" s="98"/>
      <c r="D159" s="98"/>
      <c r="E159" s="139"/>
      <c r="F159" s="13">
        <v>0.5</v>
      </c>
      <c r="G159" s="142"/>
      <c r="H159" s="143"/>
      <c r="I159" s="36"/>
    </row>
    <row r="160" spans="1:14" s="61" customFormat="1" x14ac:dyDescent="0.35">
      <c r="A160" s="218" t="s">
        <v>241</v>
      </c>
      <c r="B160" s="218"/>
      <c r="C160" s="218"/>
      <c r="D160" s="218"/>
      <c r="E160" s="218"/>
      <c r="F160" s="218"/>
      <c r="G160" s="218"/>
      <c r="H160" s="218"/>
      <c r="I160" s="36"/>
    </row>
    <row r="161" spans="1:14" s="37" customFormat="1" x14ac:dyDescent="0.35">
      <c r="A161" s="219" t="s">
        <v>280</v>
      </c>
      <c r="B161" s="219"/>
      <c r="C161" s="219"/>
      <c r="D161" s="219"/>
      <c r="E161" s="219"/>
      <c r="F161" s="219"/>
      <c r="G161" s="219"/>
      <c r="H161" s="219"/>
      <c r="J161" s="36"/>
    </row>
    <row r="162" spans="1:14" s="37" customFormat="1" ht="15.75" customHeight="1" x14ac:dyDescent="0.35">
      <c r="A162" s="105">
        <v>1</v>
      </c>
      <c r="B162" s="106"/>
      <c r="C162" s="42" t="s">
        <v>245</v>
      </c>
      <c r="D162" s="66">
        <f>(36.947+4.178)*10.764</f>
        <v>442.66949999999997</v>
      </c>
      <c r="E162" s="42">
        <v>0</v>
      </c>
      <c r="F162" s="42">
        <f>D162*(($F$159)+1)+(IF(E162&lt;101,E162,IF(E162&lt;201,E162/2,IF(E162&lt;=301,E162/3,E162/4))))</f>
        <v>664.00424999999996</v>
      </c>
      <c r="G162" s="99" t="str">
        <f>A161</f>
        <v>1st Floor For Residential, Pool &amp; Recreation Ground)</v>
      </c>
      <c r="H162" s="100"/>
      <c r="I162" s="36"/>
      <c r="L162" s="108"/>
      <c r="M162" s="108"/>
      <c r="N162" s="36"/>
    </row>
    <row r="163" spans="1:14" s="37" customFormat="1" x14ac:dyDescent="0.35">
      <c r="A163" s="105">
        <f t="shared" ref="A163:A172" si="5">A162+1</f>
        <v>2</v>
      </c>
      <c r="B163" s="106"/>
      <c r="C163" s="60" t="s">
        <v>245</v>
      </c>
      <c r="D163" s="68">
        <f>(36.331+4.178)*10.764</f>
        <v>436.03887599999996</v>
      </c>
      <c r="E163" s="42">
        <v>0</v>
      </c>
      <c r="F163" s="42">
        <f>D163*(($F$159)+1)+(IF(E163&lt;101,E163,IF(E163&lt;201,E163/2,IF(E163&lt;=301,E163/3,E163/4))))</f>
        <v>654.05831399999988</v>
      </c>
      <c r="G163" s="101"/>
      <c r="H163" s="102"/>
      <c r="I163" s="36">
        <f>4.27*2.9+2.465*2.14+3.5*2.75+2*1.22+1.22*2.095+1*1</f>
        <v>33.278999999999996</v>
      </c>
      <c r="L163" s="108"/>
      <c r="M163" s="108"/>
      <c r="N163" s="36"/>
    </row>
    <row r="164" spans="1:14" s="37" customFormat="1" x14ac:dyDescent="0.35">
      <c r="A164" s="105">
        <f t="shared" si="5"/>
        <v>3</v>
      </c>
      <c r="B164" s="106"/>
      <c r="C164" s="60" t="s">
        <v>245</v>
      </c>
      <c r="D164" s="66">
        <f>(36.331+1.478)*10.764</f>
        <v>406.97607600000003</v>
      </c>
      <c r="E164" s="42">
        <v>0</v>
      </c>
      <c r="F164" s="42">
        <f>D164*(($F$159)+1)+(IF(E164&lt;101,E164,IF(E164&lt;201,E164/2,IF(E164&lt;=301,E164/3,E164/4))))</f>
        <v>610.46411400000011</v>
      </c>
      <c r="G164" s="101"/>
      <c r="H164" s="102"/>
      <c r="I164" s="36"/>
      <c r="L164" s="108"/>
      <c r="M164" s="108"/>
      <c r="N164" s="36"/>
    </row>
    <row r="165" spans="1:14" s="37" customFormat="1" x14ac:dyDescent="0.35">
      <c r="A165" s="105">
        <f t="shared" si="5"/>
        <v>4</v>
      </c>
      <c r="B165" s="106"/>
      <c r="C165" s="60" t="s">
        <v>245</v>
      </c>
      <c r="D165" s="66">
        <f>(36.331+1.478)*10.764</f>
        <v>406.97607600000003</v>
      </c>
      <c r="E165" s="42">
        <v>0</v>
      </c>
      <c r="F165" s="42">
        <f>D165*(($F$159)+1)+(IF(E165&lt;101,E165,IF(E165&lt;201,E165/2,IF(E165&lt;=301,E165/3,E165/4))))</f>
        <v>610.46411400000011</v>
      </c>
      <c r="G165" s="101"/>
      <c r="H165" s="102"/>
      <c r="I165" s="36"/>
      <c r="L165" s="108"/>
      <c r="M165" s="108"/>
      <c r="N165" s="36"/>
    </row>
    <row r="166" spans="1:14" s="37" customFormat="1" x14ac:dyDescent="0.35">
      <c r="A166" s="105">
        <f t="shared" si="5"/>
        <v>5</v>
      </c>
      <c r="B166" s="106"/>
      <c r="C166" s="60" t="s">
        <v>245</v>
      </c>
      <c r="D166" s="66">
        <f>(36.331)*10.764</f>
        <v>391.06688400000002</v>
      </c>
      <c r="E166" s="60">
        <v>0</v>
      </c>
      <c r="F166" s="60">
        <f>D166*(($F$159)+1)+(IF(E166&lt;101,E166,IF(E166&lt;201,E166/2,IF(E166&lt;=301,E166/3,E166/4))))</f>
        <v>586.600326</v>
      </c>
      <c r="G166" s="101"/>
      <c r="H166" s="102"/>
      <c r="I166" s="36"/>
      <c r="L166" s="108"/>
      <c r="M166" s="108"/>
    </row>
    <row r="167" spans="1:14" s="37" customFormat="1" x14ac:dyDescent="0.35">
      <c r="A167" s="105">
        <f t="shared" si="5"/>
        <v>6</v>
      </c>
      <c r="B167" s="106"/>
      <c r="C167" s="60" t="s">
        <v>246</v>
      </c>
      <c r="D167" s="66">
        <f>(60.068)*10.764</f>
        <v>646.5719519999999</v>
      </c>
      <c r="E167" s="42">
        <v>0</v>
      </c>
      <c r="F167" s="42">
        <f t="shared" ref="F167:F168" si="6">D167*(($F$159)+1)+(IF(E167&lt;101,E167,IF(E167&lt;201,E167/2,IF(E167&lt;=301,E167/3,E167/4))))</f>
        <v>969.8579279999999</v>
      </c>
      <c r="G167" s="101"/>
      <c r="H167" s="102"/>
      <c r="I167" s="36"/>
      <c r="N167" s="36"/>
    </row>
    <row r="168" spans="1:14" s="37" customFormat="1" x14ac:dyDescent="0.35">
      <c r="A168" s="105">
        <f t="shared" si="5"/>
        <v>7</v>
      </c>
      <c r="B168" s="106"/>
      <c r="C168" s="60" t="s">
        <v>246</v>
      </c>
      <c r="D168" s="66">
        <f>(61.408)*10.764</f>
        <v>660.99571200000003</v>
      </c>
      <c r="E168" s="42">
        <v>0</v>
      </c>
      <c r="F168" s="42">
        <f t="shared" si="6"/>
        <v>991.4935680000001</v>
      </c>
      <c r="G168" s="101"/>
      <c r="H168" s="102"/>
      <c r="I168" s="36">
        <f>2.965*4.99+1.25*3.175+2.14*2.815+3.05*3.65+3.05*3.65+2.015*1.22+2.065*1.22+3.5*1.22+1.2*0.9</f>
        <v>57.380799999999994</v>
      </c>
      <c r="N168" s="36"/>
    </row>
    <row r="169" spans="1:14" s="37" customFormat="1" x14ac:dyDescent="0.35">
      <c r="A169" s="105">
        <f t="shared" si="5"/>
        <v>8</v>
      </c>
      <c r="B169" s="106"/>
      <c r="C169" s="60" t="s">
        <v>246</v>
      </c>
      <c r="D169" s="66">
        <f>(61.408)*10.764</f>
        <v>660.99571200000003</v>
      </c>
      <c r="E169" s="42">
        <v>0</v>
      </c>
      <c r="F169" s="42">
        <f>D169*(($F$159)+1)+(IF(E169&lt;101,E169,IF(E169&lt;201,E169/2,IF(E169&lt;=301,E169/3,E169/4))))</f>
        <v>991.4935680000001</v>
      </c>
      <c r="G169" s="101"/>
      <c r="H169" s="102"/>
      <c r="I169" s="36"/>
      <c r="N169" s="36"/>
    </row>
    <row r="170" spans="1:14" s="37" customFormat="1" x14ac:dyDescent="0.35">
      <c r="A170" s="105">
        <f t="shared" si="5"/>
        <v>9</v>
      </c>
      <c r="B170" s="106"/>
      <c r="C170" s="60" t="s">
        <v>246</v>
      </c>
      <c r="D170" s="66">
        <f>(60.517)*10.764</f>
        <v>651.404988</v>
      </c>
      <c r="E170" s="42">
        <v>0</v>
      </c>
      <c r="F170" s="42">
        <f>D170*(($F$159)+1)+(IF(E170&lt;101,E170,IF(E170&lt;201,E170/2,IF(E170&lt;=301,E170/3,E170/4))))</f>
        <v>977.107482</v>
      </c>
      <c r="G170" s="101"/>
      <c r="H170" s="102"/>
      <c r="I170" s="36"/>
      <c r="N170" s="36"/>
    </row>
    <row r="171" spans="1:14" s="37" customFormat="1" x14ac:dyDescent="0.35">
      <c r="A171" s="105">
        <f t="shared" si="5"/>
        <v>10</v>
      </c>
      <c r="B171" s="106"/>
      <c r="C171" s="60" t="s">
        <v>246</v>
      </c>
      <c r="D171" s="66">
        <f>(52.879+4.178)*10.764</f>
        <v>614.16154799999993</v>
      </c>
      <c r="E171" s="42">
        <v>0</v>
      </c>
      <c r="F171" s="42">
        <f>D171*(($F$159)+1)+(IF(E171&lt;101,E171,IF(E171&lt;201,E171/2,IF(E171&lt;=301,E171/3,E171/4))))</f>
        <v>921.24232199999983</v>
      </c>
      <c r="G171" s="101"/>
      <c r="H171" s="102"/>
      <c r="I171" s="36"/>
      <c r="N171" s="36"/>
    </row>
    <row r="172" spans="1:14" s="61" customFormat="1" x14ac:dyDescent="0.35">
      <c r="A172" s="105">
        <f t="shared" si="5"/>
        <v>11</v>
      </c>
      <c r="B172" s="106"/>
      <c r="C172" s="60" t="s">
        <v>245</v>
      </c>
      <c r="D172" s="66">
        <f>(36.331+4.178)*10.764</f>
        <v>436.03887599999996</v>
      </c>
      <c r="E172" s="60">
        <v>0</v>
      </c>
      <c r="F172" s="60">
        <f>D172*(($F$159)+1)+(IF(E172&lt;101,E172,IF(E172&lt;201,E172/2,IF(E172&lt;=301,E172/3,E172/4))))</f>
        <v>654.05831399999988</v>
      </c>
      <c r="G172" s="103"/>
      <c r="H172" s="104"/>
      <c r="I172" s="36"/>
      <c r="N172" s="36"/>
    </row>
    <row r="173" spans="1:14" s="70" customFormat="1" ht="15.75" customHeight="1" x14ac:dyDescent="0.35">
      <c r="A173" s="110" t="s">
        <v>286</v>
      </c>
      <c r="B173" s="110"/>
      <c r="C173" s="110"/>
      <c r="D173" s="110"/>
      <c r="E173" s="110"/>
      <c r="F173" s="110"/>
      <c r="G173" s="110"/>
      <c r="H173" s="110"/>
      <c r="I173" s="36"/>
    </row>
    <row r="174" spans="1:14" s="70" customFormat="1" ht="15.75" customHeight="1" x14ac:dyDescent="0.35">
      <c r="A174" s="105">
        <v>1</v>
      </c>
      <c r="B174" s="106"/>
      <c r="C174" s="69" t="s">
        <v>245</v>
      </c>
      <c r="D174" s="66">
        <f>(36.947+4.178)*10.764</f>
        <v>442.66949999999997</v>
      </c>
      <c r="E174" s="69">
        <v>0</v>
      </c>
      <c r="F174" s="69">
        <f>D174*(($F$159)+1)+(IF(E174&lt;101,E174,IF(E174&lt;201,E174/2,IF(E174&lt;=301,E174/3,E174/4))))</f>
        <v>664.00424999999996</v>
      </c>
      <c r="G174" s="99" t="str">
        <f>A173</f>
        <v xml:space="preserve">2nd, 3rd, 4th, 5th, 7th Floor </v>
      </c>
      <c r="H174" s="100"/>
      <c r="I174" s="36"/>
    </row>
    <row r="175" spans="1:14" s="70" customFormat="1" x14ac:dyDescent="0.35">
      <c r="A175" s="105">
        <f t="shared" ref="A175:A184" si="7">A174+1</f>
        <v>2</v>
      </c>
      <c r="B175" s="106"/>
      <c r="C175" s="69" t="s">
        <v>245</v>
      </c>
      <c r="D175" s="66">
        <f>(36.331+4.178)*10.764</f>
        <v>436.03887599999996</v>
      </c>
      <c r="E175" s="69">
        <v>0</v>
      </c>
      <c r="F175" s="69">
        <f>D175*(($F$159)+1)+(IF(E175&lt;101,E175,IF(E175&lt;201,E175/2,IF(E175&lt;=301,E175/3,E175/4))))</f>
        <v>654.05831399999988</v>
      </c>
      <c r="G175" s="101"/>
      <c r="H175" s="102"/>
      <c r="I175" s="36"/>
    </row>
    <row r="176" spans="1:14" s="70" customFormat="1" ht="15.75" customHeight="1" x14ac:dyDescent="0.35">
      <c r="A176" s="105">
        <f t="shared" si="7"/>
        <v>3</v>
      </c>
      <c r="B176" s="106"/>
      <c r="C176" s="69" t="s">
        <v>245</v>
      </c>
      <c r="D176" s="66">
        <f>(36.331+4.178)*10.764</f>
        <v>436.03887599999996</v>
      </c>
      <c r="E176" s="69">
        <v>0</v>
      </c>
      <c r="F176" s="69">
        <f>D176*(($F$159)+1)+(IF(E176&lt;101,E176,IF(E176&lt;201,E176/2,IF(E176&lt;=301,E176/3,E176/4))))</f>
        <v>654.05831399999988</v>
      </c>
      <c r="G176" s="101"/>
      <c r="H176" s="102"/>
      <c r="I176" s="36"/>
    </row>
    <row r="177" spans="1:11" s="70" customFormat="1" ht="15.75" customHeight="1" x14ac:dyDescent="0.35">
      <c r="A177" s="105">
        <f t="shared" si="7"/>
        <v>4</v>
      </c>
      <c r="B177" s="106"/>
      <c r="C177" s="69" t="s">
        <v>245</v>
      </c>
      <c r="D177" s="66">
        <f>(36.331+4.178)*10.764</f>
        <v>436.03887599999996</v>
      </c>
      <c r="E177" s="69">
        <v>0</v>
      </c>
      <c r="F177" s="69">
        <f>D177*(($F$159)+1)+(IF(E177&lt;101,E177,IF(E177&lt;201,E177/2,IF(E177&lt;=301,E177/3,E177/4))))</f>
        <v>654.05831399999988</v>
      </c>
      <c r="G177" s="101"/>
      <c r="H177" s="102"/>
      <c r="I177" s="36">
        <f>6800*F177</f>
        <v>4447596.5351999989</v>
      </c>
    </row>
    <row r="178" spans="1:11" s="70" customFormat="1" ht="15.75" customHeight="1" x14ac:dyDescent="0.35">
      <c r="A178" s="105">
        <f t="shared" si="7"/>
        <v>5</v>
      </c>
      <c r="B178" s="106"/>
      <c r="C178" s="69" t="s">
        <v>246</v>
      </c>
      <c r="D178" s="66">
        <f>(36.331+4.178)*10.764</f>
        <v>436.03887599999996</v>
      </c>
      <c r="E178" s="69">
        <v>0</v>
      </c>
      <c r="F178" s="69">
        <f>D179*(($F$159)+1)+(IF(E178&lt;101,E178,IF(E178&lt;201,E178/2,IF(E178&lt;=301,E178/3,E178/4))))</f>
        <v>1041.6753359999998</v>
      </c>
      <c r="G178" s="101"/>
      <c r="H178" s="102"/>
      <c r="I178" s="36"/>
    </row>
    <row r="179" spans="1:11" s="70" customFormat="1" x14ac:dyDescent="0.35">
      <c r="A179" s="105">
        <f t="shared" si="7"/>
        <v>6</v>
      </c>
      <c r="B179" s="106"/>
      <c r="C179" s="69" t="s">
        <v>246</v>
      </c>
      <c r="D179" s="66">
        <f>(60.068+4.448)*10.764</f>
        <v>694.45022399999982</v>
      </c>
      <c r="E179" s="69">
        <v>0</v>
      </c>
      <c r="F179" s="69">
        <f>D180*(($F$159)+1)+(IF(E179&lt;101,E179,IF(E179&lt;201,E179/2,IF(E179&lt;=301,E179/3,E179/4))))</f>
        <v>1063.2948299999998</v>
      </c>
      <c r="G179" s="101"/>
      <c r="H179" s="102"/>
      <c r="I179" s="36"/>
    </row>
    <row r="180" spans="1:11" s="70" customFormat="1" x14ac:dyDescent="0.35">
      <c r="A180" s="105">
        <f t="shared" si="7"/>
        <v>7</v>
      </c>
      <c r="B180" s="106"/>
      <c r="C180" s="69" t="s">
        <v>246</v>
      </c>
      <c r="D180" s="66">
        <f>(61.408+4.447)*10.764</f>
        <v>708.86321999999996</v>
      </c>
      <c r="E180" s="69">
        <v>0</v>
      </c>
      <c r="F180" s="69">
        <f>D181*(($F$159)+1)+(IF(E180&lt;101,E180,IF(E180&lt;201,E180/2,IF(E180&lt;=301,E180/3,E180/4))))</f>
        <v>1063.2948299999998</v>
      </c>
      <c r="G180" s="101"/>
      <c r="H180" s="102"/>
      <c r="I180" s="36"/>
    </row>
    <row r="181" spans="1:11" s="70" customFormat="1" x14ac:dyDescent="0.35">
      <c r="A181" s="105">
        <f t="shared" si="7"/>
        <v>8</v>
      </c>
      <c r="B181" s="106"/>
      <c r="C181" s="69" t="s">
        <v>246</v>
      </c>
      <c r="D181" s="66">
        <f>(61.408+4.447)*10.764</f>
        <v>708.86321999999996</v>
      </c>
      <c r="E181" s="69">
        <v>0</v>
      </c>
      <c r="F181" s="69">
        <f>D182*(($F$159)+1)+(IF(E181&lt;101,E181,IF(E181&lt;201,E181/2,IF(E181&lt;=301,E181/3,E181/4))))</f>
        <v>1048.92489</v>
      </c>
      <c r="G181" s="101"/>
      <c r="H181" s="102"/>
      <c r="I181" s="36"/>
    </row>
    <row r="182" spans="1:11" s="70" customFormat="1" x14ac:dyDescent="0.35">
      <c r="A182" s="105">
        <f t="shared" si="7"/>
        <v>9</v>
      </c>
      <c r="B182" s="106"/>
      <c r="C182" s="69" t="s">
        <v>246</v>
      </c>
      <c r="D182" s="66">
        <f>(60.517+4.448)*10.764</f>
        <v>699.28326000000004</v>
      </c>
      <c r="E182" s="69">
        <v>0</v>
      </c>
      <c r="F182" s="69">
        <f>D182*(($F$159)+1)+(IF(E182&lt;101,E182,IF(E182&lt;201,E182/2,IF(E182&lt;=301,E182/3,E182/4))))</f>
        <v>1048.92489</v>
      </c>
      <c r="G182" s="101"/>
      <c r="H182" s="102"/>
      <c r="I182" s="36"/>
    </row>
    <row r="183" spans="1:11" s="70" customFormat="1" x14ac:dyDescent="0.35">
      <c r="A183" s="105">
        <f t="shared" si="7"/>
        <v>10</v>
      </c>
      <c r="B183" s="106"/>
      <c r="C183" s="69" t="s">
        <v>246</v>
      </c>
      <c r="D183" s="66">
        <f>(52.879+4.178)*10.764</f>
        <v>614.16154799999993</v>
      </c>
      <c r="E183" s="69">
        <v>0</v>
      </c>
      <c r="F183" s="69">
        <f>D183*(($F$159)+1)+(IF(E183&lt;101,E183,IF(E183&lt;201,E183/2,IF(E183&lt;=301,E183/3,E183/4))))</f>
        <v>921.24232199999983</v>
      </c>
      <c r="G183" s="101"/>
      <c r="H183" s="102"/>
      <c r="I183" s="36"/>
    </row>
    <row r="184" spans="1:11" s="70" customFormat="1" x14ac:dyDescent="0.35">
      <c r="A184" s="105">
        <f t="shared" si="7"/>
        <v>11</v>
      </c>
      <c r="B184" s="106"/>
      <c r="C184" s="69" t="s">
        <v>245</v>
      </c>
      <c r="D184" s="66">
        <f>(36.331+4.178)*10.764</f>
        <v>436.03887599999996</v>
      </c>
      <c r="E184" s="69">
        <v>0</v>
      </c>
      <c r="F184" s="69">
        <f>D184*(($F$159)+1)+(IF(E184&lt;101,E184,IF(E184&lt;201,E184/2,IF(E184&lt;=301,E184/3,E184/4))))</f>
        <v>654.05831399999988</v>
      </c>
      <c r="G184" s="103"/>
      <c r="H184" s="104"/>
      <c r="I184" s="36"/>
    </row>
    <row r="185" spans="1:11" s="37" customFormat="1" ht="15.75" customHeight="1" x14ac:dyDescent="0.35">
      <c r="A185" s="232" t="s">
        <v>282</v>
      </c>
      <c r="B185" s="232"/>
      <c r="C185" s="232"/>
      <c r="D185" s="232"/>
      <c r="E185" s="232"/>
      <c r="F185" s="232"/>
      <c r="G185" s="232"/>
      <c r="H185" s="232"/>
      <c r="I185" s="36"/>
    </row>
    <row r="186" spans="1:11" s="37" customFormat="1" ht="15.75" customHeight="1" x14ac:dyDescent="0.35">
      <c r="A186" s="121">
        <v>1</v>
      </c>
      <c r="B186" s="121"/>
      <c r="C186" s="75" t="s">
        <v>245</v>
      </c>
      <c r="D186" s="66">
        <f>(36.947+4.178)*10.764</f>
        <v>442.66949999999997</v>
      </c>
      <c r="E186" s="75">
        <v>0</v>
      </c>
      <c r="F186" s="75">
        <f>D186*(($F$159)+1)+(IF(E186&lt;101,E186,IF(E186&lt;201,E186/2,IF(E186&lt;=301,E186/3,E186/4))))</f>
        <v>664.00424999999996</v>
      </c>
      <c r="G186" s="121" t="str">
        <f>A185</f>
        <v xml:space="preserve"> 6th Floor </v>
      </c>
      <c r="H186" s="121"/>
      <c r="I186" s="36"/>
    </row>
    <row r="187" spans="1:11" s="37" customFormat="1" x14ac:dyDescent="0.35">
      <c r="A187" s="121">
        <f t="shared" ref="A187:A196" si="8">A186+1</f>
        <v>2</v>
      </c>
      <c r="B187" s="121"/>
      <c r="C187" s="75" t="s">
        <v>245</v>
      </c>
      <c r="D187" s="66">
        <f>(36.331+4.178)*10.764</f>
        <v>436.03887599999996</v>
      </c>
      <c r="E187" s="75">
        <v>0</v>
      </c>
      <c r="F187" s="75">
        <f>D187*(($F$159)+1)+(IF(E187&lt;101,E187,IF(E187&lt;201,E187/2,IF(E187&lt;=301,E187/3,E187/4))))</f>
        <v>654.05831399999988</v>
      </c>
      <c r="G187" s="121"/>
      <c r="H187" s="121"/>
      <c r="I187" s="36"/>
    </row>
    <row r="188" spans="1:11" s="37" customFormat="1" ht="15.75" customHeight="1" x14ac:dyDescent="0.35">
      <c r="A188" s="121">
        <f t="shared" si="8"/>
        <v>3</v>
      </c>
      <c r="B188" s="121"/>
      <c r="C188" s="75" t="s">
        <v>245</v>
      </c>
      <c r="D188" s="66">
        <f>(36.331+4.178)*10.764</f>
        <v>436.03887599999996</v>
      </c>
      <c r="E188" s="75">
        <v>0</v>
      </c>
      <c r="F188" s="75">
        <f>D188*(($F$159)+1)+(IF(E188&lt;101,E188,IF(E188&lt;201,E188/2,IF(E188&lt;=301,E188/3,E188/4))))</f>
        <v>654.05831399999988</v>
      </c>
      <c r="G188" s="121"/>
      <c r="H188" s="121"/>
      <c r="I188" s="36"/>
    </row>
    <row r="189" spans="1:11" s="37" customFormat="1" ht="15.75" customHeight="1" x14ac:dyDescent="0.35">
      <c r="A189" s="121">
        <f t="shared" si="8"/>
        <v>4</v>
      </c>
      <c r="B189" s="121"/>
      <c r="C189" s="75" t="s">
        <v>245</v>
      </c>
      <c r="D189" s="66">
        <f>(36.331+4.178)*10.764</f>
        <v>436.03887599999996</v>
      </c>
      <c r="E189" s="75">
        <v>0</v>
      </c>
      <c r="F189" s="75">
        <f>D189*(($F$159)+1)+(IF(E189&lt;101,E189,IF(E189&lt;201,E189/2,IF(E189&lt;=301,E189/3,E189/4))))</f>
        <v>654.05831399999988</v>
      </c>
      <c r="G189" s="121"/>
      <c r="H189" s="121"/>
      <c r="I189" s="36">
        <f>6800*F189</f>
        <v>4447596.5351999989</v>
      </c>
    </row>
    <row r="190" spans="1:11" s="37" customFormat="1" ht="15.75" customHeight="1" x14ac:dyDescent="0.35">
      <c r="A190" s="233">
        <f t="shared" si="8"/>
        <v>5</v>
      </c>
      <c r="B190" s="233"/>
      <c r="C190" s="72" t="s">
        <v>246</v>
      </c>
      <c r="D190" s="68">
        <f>(36.331+4.178)*10.764</f>
        <v>436.03887599999996</v>
      </c>
      <c r="E190" s="72">
        <v>0</v>
      </c>
      <c r="F190" s="72">
        <f>D191*(($F$159)+1)+(IF(E190&lt;101,E190,IF(E190&lt;201,E190/2,IF(E190&lt;=301,E190/3,E190/4))))</f>
        <v>1041.6753359999998</v>
      </c>
      <c r="G190" s="121"/>
      <c r="H190" s="121"/>
      <c r="I190" s="36"/>
    </row>
    <row r="191" spans="1:11" s="37" customFormat="1" x14ac:dyDescent="0.35">
      <c r="A191" s="233">
        <f t="shared" si="8"/>
        <v>6</v>
      </c>
      <c r="B191" s="233"/>
      <c r="C191" s="72" t="s">
        <v>246</v>
      </c>
      <c r="D191" s="68">
        <f>(60.068+4.448)*10.764</f>
        <v>694.45022399999982</v>
      </c>
      <c r="E191" s="72">
        <v>0</v>
      </c>
      <c r="F191" s="72">
        <f>D191*1.6</f>
        <v>1111.1203583999998</v>
      </c>
      <c r="G191" s="121"/>
      <c r="H191" s="121"/>
      <c r="I191" s="36"/>
      <c r="J191" s="71">
        <f>F191*6800</f>
        <v>7555618.437119998</v>
      </c>
    </row>
    <row r="192" spans="1:11" s="37" customFormat="1" x14ac:dyDescent="0.35">
      <c r="A192" s="233">
        <f t="shared" si="8"/>
        <v>7</v>
      </c>
      <c r="B192" s="233"/>
      <c r="C192" s="72" t="s">
        <v>246</v>
      </c>
      <c r="D192" s="68">
        <f>(61.408+4.447)*10.764</f>
        <v>708.86321999999996</v>
      </c>
      <c r="E192" s="72">
        <v>0</v>
      </c>
      <c r="F192" s="72">
        <f>D193*(($F$159)+1)+(IF(E192&lt;101,E192,IF(E192&lt;201,E192/2,IF(E192&lt;=301,E192/3,E192/4))))</f>
        <v>1063.2948299999998</v>
      </c>
      <c r="G192" s="121"/>
      <c r="H192" s="121"/>
      <c r="I192" s="36"/>
      <c r="J192" s="37">
        <f>J191+700000</f>
        <v>8255618.437119998</v>
      </c>
      <c r="K192" s="37" t="s">
        <v>285</v>
      </c>
    </row>
    <row r="193" spans="1:11" s="37" customFormat="1" x14ac:dyDescent="0.35">
      <c r="A193" s="233">
        <f t="shared" si="8"/>
        <v>8</v>
      </c>
      <c r="B193" s="233"/>
      <c r="C193" s="72" t="s">
        <v>246</v>
      </c>
      <c r="D193" s="68">
        <f>(61.408+4.447)*10.764</f>
        <v>708.86321999999996</v>
      </c>
      <c r="E193" s="72">
        <v>0</v>
      </c>
      <c r="F193" s="72">
        <f>D194*(($F$159)+1)+(IF(E193&lt;101,E193,IF(E193&lt;201,E193/2,IF(E193&lt;=301,E193/3,E193/4))))</f>
        <v>1048.92489</v>
      </c>
      <c r="G193" s="121"/>
      <c r="H193" s="121"/>
      <c r="I193" s="36"/>
    </row>
    <row r="194" spans="1:11" s="37" customFormat="1" x14ac:dyDescent="0.35">
      <c r="A194" s="121">
        <f t="shared" si="8"/>
        <v>9</v>
      </c>
      <c r="B194" s="121"/>
      <c r="C194" s="75" t="s">
        <v>246</v>
      </c>
      <c r="D194" s="66">
        <f>(60.517+4.448)*10.764</f>
        <v>699.28326000000004</v>
      </c>
      <c r="E194" s="75">
        <v>0</v>
      </c>
      <c r="F194" s="75">
        <f>D194*(($F$159)+1)+(IF(E194&lt;101,E194,IF(E194&lt;201,E194/2,IF(E194&lt;=301,E194/3,E194/4))))</f>
        <v>1048.92489</v>
      </c>
      <c r="G194" s="121"/>
      <c r="H194" s="121"/>
      <c r="I194" s="36"/>
    </row>
    <row r="195" spans="1:11" s="37" customFormat="1" x14ac:dyDescent="0.35">
      <c r="A195" s="121">
        <f t="shared" si="8"/>
        <v>10</v>
      </c>
      <c r="B195" s="121"/>
      <c r="C195" s="75" t="s">
        <v>246</v>
      </c>
      <c r="D195" s="66">
        <f>(52.879+4.178)*10.764</f>
        <v>614.16154799999993</v>
      </c>
      <c r="E195" s="75">
        <v>0</v>
      </c>
      <c r="F195" s="75">
        <f>D195*(($F$159)+1)+(IF(E195&lt;101,E195,IF(E195&lt;201,E195/2,IF(E195&lt;=301,E195/3,E195/4))))</f>
        <v>921.24232199999983</v>
      </c>
      <c r="G195" s="121"/>
      <c r="H195" s="121"/>
      <c r="I195" s="36"/>
    </row>
    <row r="196" spans="1:11" s="37" customFormat="1" x14ac:dyDescent="0.35">
      <c r="A196" s="121">
        <f t="shared" si="8"/>
        <v>11</v>
      </c>
      <c r="B196" s="121"/>
      <c r="C196" s="75" t="s">
        <v>245</v>
      </c>
      <c r="D196" s="66">
        <f>(36.331+4.178)*10.764</f>
        <v>436.03887599999996</v>
      </c>
      <c r="E196" s="75">
        <v>0</v>
      </c>
      <c r="F196" s="75">
        <f>D196*(($F$159)+1)+(IF(E196&lt;101,E196,IF(E196&lt;201,E196/2,IF(E196&lt;=301,E196/3,E196/4))))</f>
        <v>654.05831399999988</v>
      </c>
      <c r="G196" s="121"/>
      <c r="H196" s="121"/>
      <c r="I196" s="36"/>
    </row>
    <row r="197" spans="1:11" s="37" customFormat="1" x14ac:dyDescent="0.35">
      <c r="A197" s="110" t="s">
        <v>247</v>
      </c>
      <c r="B197" s="110"/>
      <c r="C197" s="110"/>
      <c r="D197" s="110"/>
      <c r="E197" s="110"/>
      <c r="F197" s="110"/>
      <c r="G197" s="110"/>
      <c r="H197" s="110"/>
      <c r="I197" s="36"/>
    </row>
    <row r="198" spans="1:11" s="61" customFormat="1" ht="15.75" customHeight="1" x14ac:dyDescent="0.35">
      <c r="A198" s="105">
        <v>1</v>
      </c>
      <c r="B198" s="106"/>
      <c r="C198" s="60" t="s">
        <v>245</v>
      </c>
      <c r="D198" s="66">
        <f>(36.947+4.178)*10.764</f>
        <v>442.66949999999997</v>
      </c>
      <c r="E198" s="60">
        <v>0</v>
      </c>
      <c r="F198" s="60">
        <f>D198*(($F$159)+1)+(IF(E198&lt;101,E198,IF(E198&lt;201,E198/2,IF(E198&lt;=301,E198/3,E198/4))))</f>
        <v>664.00424999999996</v>
      </c>
      <c r="G198" s="99" t="str">
        <f>A197</f>
        <v>8th Floor ( Part Refuge Area )</v>
      </c>
      <c r="H198" s="100"/>
      <c r="I198" s="36"/>
    </row>
    <row r="199" spans="1:11" s="61" customFormat="1" ht="15.75" customHeight="1" x14ac:dyDescent="0.35">
      <c r="A199" s="105">
        <f t="shared" ref="A199:A208" si="9">A198+1</f>
        <v>2</v>
      </c>
      <c r="B199" s="106"/>
      <c r="C199" s="60" t="s">
        <v>245</v>
      </c>
      <c r="D199" s="66">
        <f>(36.331+4.178)*10.764</f>
        <v>436.03887599999996</v>
      </c>
      <c r="E199" s="60">
        <v>0</v>
      </c>
      <c r="F199" s="60">
        <f>D199*(($F$159)+1)+(IF(E199&lt;101,E199,IF(E199&lt;201,E199/2,IF(E199&lt;=301,E199/3,E199/4))))</f>
        <v>654.05831399999988</v>
      </c>
      <c r="G199" s="101"/>
      <c r="H199" s="102"/>
      <c r="I199" s="36"/>
    </row>
    <row r="200" spans="1:11" s="61" customFormat="1" x14ac:dyDescent="0.35">
      <c r="A200" s="105">
        <f t="shared" si="9"/>
        <v>3</v>
      </c>
      <c r="B200" s="106"/>
      <c r="C200" s="60" t="s">
        <v>245</v>
      </c>
      <c r="D200" s="66">
        <f>(36.331+4.178)*10.764</f>
        <v>436.03887599999996</v>
      </c>
      <c r="E200" s="60">
        <v>0</v>
      </c>
      <c r="F200" s="60">
        <f>D200*(($F$159)+1)+(IF(E200&lt;101,E200,IF(E200&lt;201,E200/2,IF(E200&lt;=301,E200/3,E200/4))))</f>
        <v>654.05831399999988</v>
      </c>
      <c r="G200" s="101"/>
      <c r="H200" s="102"/>
      <c r="I200" s="36"/>
    </row>
    <row r="201" spans="1:11" s="61" customFormat="1" x14ac:dyDescent="0.35">
      <c r="A201" s="105">
        <f t="shared" si="9"/>
        <v>4</v>
      </c>
      <c r="B201" s="106"/>
      <c r="C201" s="60" t="s">
        <v>245</v>
      </c>
      <c r="D201" s="66">
        <f>(36.331+4.178)*10.764</f>
        <v>436.03887599999996</v>
      </c>
      <c r="E201" s="60">
        <v>0</v>
      </c>
      <c r="F201" s="60">
        <f>D201*(($F$159)+1)+(IF(E201&lt;101,E201,IF(E201&lt;201,E201/2,IF(E201&lt;=301,E201/3,E201/4))))</f>
        <v>654.05831399999988</v>
      </c>
      <c r="G201" s="101"/>
      <c r="H201" s="102"/>
      <c r="I201" s="36"/>
    </row>
    <row r="202" spans="1:11" s="61" customFormat="1" x14ac:dyDescent="0.35">
      <c r="A202" s="105">
        <f t="shared" si="9"/>
        <v>5</v>
      </c>
      <c r="B202" s="106"/>
      <c r="C202" s="111" t="s">
        <v>248</v>
      </c>
      <c r="D202" s="112"/>
      <c r="E202" s="112"/>
      <c r="F202" s="113"/>
      <c r="G202" s="101"/>
      <c r="H202" s="102"/>
      <c r="I202" s="36"/>
    </row>
    <row r="203" spans="1:11" s="61" customFormat="1" x14ac:dyDescent="0.35">
      <c r="A203" s="105">
        <f t="shared" si="9"/>
        <v>6</v>
      </c>
      <c r="B203" s="106"/>
      <c r="C203" s="60" t="s">
        <v>246</v>
      </c>
      <c r="D203" s="66">
        <f>(60.068+4.448)*10.764</f>
        <v>694.45022399999982</v>
      </c>
      <c r="E203" s="60">
        <v>0</v>
      </c>
      <c r="F203" s="60">
        <f t="shared" ref="F203:F204" si="10">D203*(($F$159)+1)+(IF(E203&lt;101,E203,IF(E203&lt;201,E203/2,IF(E203&lt;=301,E203/3,E203/4))))</f>
        <v>1041.6753359999998</v>
      </c>
      <c r="G203" s="101"/>
      <c r="H203" s="102"/>
      <c r="I203" s="63"/>
      <c r="J203" s="63"/>
      <c r="K203" s="36"/>
    </row>
    <row r="204" spans="1:11" s="61" customFormat="1" x14ac:dyDescent="0.35">
      <c r="A204" s="105">
        <f t="shared" si="9"/>
        <v>7</v>
      </c>
      <c r="B204" s="106"/>
      <c r="C204" s="60" t="s">
        <v>246</v>
      </c>
      <c r="D204" s="66">
        <f>(61.408+4.447)*10.764</f>
        <v>708.86321999999996</v>
      </c>
      <c r="E204" s="60">
        <v>0</v>
      </c>
      <c r="F204" s="60">
        <f t="shared" si="10"/>
        <v>1063.2948299999998</v>
      </c>
      <c r="G204" s="101"/>
      <c r="H204" s="102"/>
      <c r="I204" s="63"/>
      <c r="J204" s="63"/>
      <c r="K204" s="36"/>
    </row>
    <row r="205" spans="1:11" s="61" customFormat="1" x14ac:dyDescent="0.35">
      <c r="A205" s="105">
        <f t="shared" si="9"/>
        <v>8</v>
      </c>
      <c r="B205" s="106"/>
      <c r="C205" s="60" t="s">
        <v>246</v>
      </c>
      <c r="D205" s="66">
        <f>(61.408+4.447)*10.764</f>
        <v>708.86321999999996</v>
      </c>
      <c r="E205" s="60">
        <v>0</v>
      </c>
      <c r="F205" s="60">
        <f>D205*(($F$159)+1)+(IF(E205&lt;101,E205,IF(E205&lt;201,E205/2,IF(E205&lt;=301,E205/3,E205/4))))</f>
        <v>1063.2948299999998</v>
      </c>
      <c r="G205" s="101"/>
      <c r="H205" s="102"/>
      <c r="I205" s="63"/>
      <c r="J205" s="63"/>
      <c r="K205" s="36"/>
    </row>
    <row r="206" spans="1:11" s="61" customFormat="1" x14ac:dyDescent="0.35">
      <c r="A206" s="105">
        <f t="shared" si="9"/>
        <v>9</v>
      </c>
      <c r="B206" s="106"/>
      <c r="C206" s="60" t="s">
        <v>246</v>
      </c>
      <c r="D206" s="66">
        <f>(60.517+4.448)*10.764</f>
        <v>699.28326000000004</v>
      </c>
      <c r="E206" s="60">
        <v>0</v>
      </c>
      <c r="F206" s="60">
        <f>D206*(($F$159)+1)+(IF(E206&lt;101,E206,IF(E206&lt;201,E206/2,IF(E206&lt;=301,E206/3,E206/4))))</f>
        <v>1048.92489</v>
      </c>
      <c r="G206" s="101"/>
      <c r="H206" s="102"/>
      <c r="I206" s="63"/>
      <c r="J206" s="63"/>
      <c r="K206" s="36"/>
    </row>
    <row r="207" spans="1:11" s="61" customFormat="1" x14ac:dyDescent="0.35">
      <c r="A207" s="105">
        <f t="shared" si="9"/>
        <v>10</v>
      </c>
      <c r="B207" s="106"/>
      <c r="C207" s="60" t="s">
        <v>246</v>
      </c>
      <c r="D207" s="66">
        <f>(52.879+4.178)*10.764</f>
        <v>614.16154799999993</v>
      </c>
      <c r="E207" s="60">
        <v>0</v>
      </c>
      <c r="F207" s="60">
        <f>D207*(($F$159)+1)+(IF(E207&lt;101,E207,IF(E207&lt;201,E207/2,IF(E207&lt;=301,E207/3,E207/4))))</f>
        <v>921.24232199999983</v>
      </c>
      <c r="G207" s="101"/>
      <c r="H207" s="102"/>
      <c r="I207" s="63"/>
      <c r="J207" s="63"/>
      <c r="K207" s="36"/>
    </row>
    <row r="208" spans="1:11" s="37" customFormat="1" x14ac:dyDescent="0.35">
      <c r="A208" s="105">
        <f t="shared" si="9"/>
        <v>11</v>
      </c>
      <c r="B208" s="106"/>
      <c r="C208" s="60" t="s">
        <v>245</v>
      </c>
      <c r="D208" s="66">
        <f>(36.331+4.178)*10.764</f>
        <v>436.03887599999996</v>
      </c>
      <c r="E208" s="60">
        <v>0</v>
      </c>
      <c r="F208" s="60">
        <f>D208*(($F$159)+1)+(IF(E208&lt;101,E208,IF(E208&lt;201,E208/2,IF(E208&lt;=301,E208/3,E208/4))))</f>
        <v>654.05831399999988</v>
      </c>
      <c r="G208" s="103"/>
      <c r="H208" s="104"/>
      <c r="I208" s="64"/>
      <c r="J208" s="65"/>
    </row>
    <row r="209" spans="1:9" s="37" customFormat="1" x14ac:dyDescent="0.35">
      <c r="A209" s="111" t="s">
        <v>249</v>
      </c>
      <c r="B209" s="112"/>
      <c r="C209" s="112"/>
      <c r="D209" s="112"/>
      <c r="E209" s="112"/>
      <c r="F209" s="112"/>
      <c r="G209" s="112"/>
      <c r="H209" s="113"/>
      <c r="I209" s="36"/>
    </row>
    <row r="210" spans="1:9" s="61" customFormat="1" x14ac:dyDescent="0.35">
      <c r="A210" s="105">
        <v>1</v>
      </c>
      <c r="B210" s="106"/>
      <c r="C210" s="60" t="s">
        <v>245</v>
      </c>
      <c r="D210" s="66">
        <f>(36.947+4.178)*10.764</f>
        <v>442.66949999999997</v>
      </c>
      <c r="E210" s="60">
        <v>0</v>
      </c>
      <c r="F210" s="60">
        <f>D210*(($F$159)+1)+(IF(E210&lt;101,E210,IF(E210&lt;201,E210/2,IF(E210&lt;=301,E210/3,E210/4))))</f>
        <v>664.00424999999996</v>
      </c>
      <c r="G210" s="99" t="str">
        <f>A209</f>
        <v>9th Floor</v>
      </c>
      <c r="H210" s="100"/>
      <c r="I210" s="36"/>
    </row>
    <row r="211" spans="1:9" s="61" customFormat="1" x14ac:dyDescent="0.35">
      <c r="A211" s="105">
        <f t="shared" ref="A211:A220" si="11">A210+1</f>
        <v>2</v>
      </c>
      <c r="B211" s="106"/>
      <c r="C211" s="60" t="s">
        <v>245</v>
      </c>
      <c r="D211" s="66">
        <f>(36.331+4.178)*10.764</f>
        <v>436.03887599999996</v>
      </c>
      <c r="E211" s="60">
        <v>0</v>
      </c>
      <c r="F211" s="60">
        <f>D211*(($F$159)+1)+(IF(E211&lt;101,E211,IF(E211&lt;201,E211/2,IF(E211&lt;=301,E211/3,E211/4))))</f>
        <v>654.05831399999988</v>
      </c>
      <c r="G211" s="101"/>
      <c r="H211" s="102"/>
      <c r="I211" s="36"/>
    </row>
    <row r="212" spans="1:9" s="61" customFormat="1" ht="15.75" customHeight="1" x14ac:dyDescent="0.35">
      <c r="A212" s="105">
        <f t="shared" si="11"/>
        <v>3</v>
      </c>
      <c r="B212" s="106"/>
      <c r="C212" s="60" t="s">
        <v>245</v>
      </c>
      <c r="D212" s="66">
        <f>(36.331+4.178)*10.764</f>
        <v>436.03887599999996</v>
      </c>
      <c r="E212" s="60">
        <v>0</v>
      </c>
      <c r="F212" s="60">
        <f>D212*(($F$159)+1)+(IF(E212&lt;101,E212,IF(E212&lt;201,E212/2,IF(E212&lt;=301,E212/3,E212/4))))</f>
        <v>654.05831399999988</v>
      </c>
      <c r="G212" s="101"/>
      <c r="H212" s="102"/>
      <c r="I212" s="36"/>
    </row>
    <row r="213" spans="1:9" s="61" customFormat="1" ht="15.75" customHeight="1" x14ac:dyDescent="0.35">
      <c r="A213" s="105">
        <f t="shared" si="11"/>
        <v>4</v>
      </c>
      <c r="B213" s="106"/>
      <c r="C213" s="60" t="s">
        <v>245</v>
      </c>
      <c r="D213" s="66">
        <f>(36.331+4.178)*10.764</f>
        <v>436.03887599999996</v>
      </c>
      <c r="E213" s="60">
        <v>0</v>
      </c>
      <c r="F213" s="60">
        <f>D213*(($F$159)+1)+(IF(E213&lt;101,E213,IF(E213&lt;201,E213/2,IF(E213&lt;=301,E213/3,E213/4))))</f>
        <v>654.05831399999988</v>
      </c>
      <c r="G213" s="101"/>
      <c r="H213" s="102"/>
      <c r="I213" s="36"/>
    </row>
    <row r="214" spans="1:9" s="61" customFormat="1" ht="15.75" customHeight="1" x14ac:dyDescent="0.35">
      <c r="A214" s="105">
        <f t="shared" si="11"/>
        <v>5</v>
      </c>
      <c r="B214" s="106"/>
      <c r="C214" s="60" t="s">
        <v>246</v>
      </c>
      <c r="D214" s="66">
        <f>(36.331+4.178)*10.764</f>
        <v>436.03887599999996</v>
      </c>
      <c r="E214" s="60">
        <v>0</v>
      </c>
      <c r="F214" s="60">
        <f>D215*(($F$159)+1)+(IF(E214&lt;101,E214,IF(E214&lt;201,E214/2,IF(E214&lt;=301,E214/3,E214/4))))</f>
        <v>1041.6753359999998</v>
      </c>
      <c r="G214" s="101"/>
      <c r="H214" s="102"/>
      <c r="I214" s="36"/>
    </row>
    <row r="215" spans="1:9" s="61" customFormat="1" x14ac:dyDescent="0.35">
      <c r="A215" s="105">
        <f t="shared" si="11"/>
        <v>6</v>
      </c>
      <c r="B215" s="106"/>
      <c r="C215" s="60" t="s">
        <v>246</v>
      </c>
      <c r="D215" s="66">
        <f>(60.068+4.448)*10.764</f>
        <v>694.45022399999982</v>
      </c>
      <c r="E215" s="60">
        <v>0</v>
      </c>
      <c r="F215" s="60">
        <f>D216*(($F$159)+1)+(IF(E215&lt;101,E215,IF(E215&lt;201,E215/2,IF(E215&lt;=301,E215/3,E215/4))))</f>
        <v>1063.2948299999998</v>
      </c>
      <c r="G215" s="101"/>
      <c r="H215" s="102"/>
      <c r="I215" s="36"/>
    </row>
    <row r="216" spans="1:9" s="61" customFormat="1" x14ac:dyDescent="0.35">
      <c r="A216" s="105">
        <f t="shared" si="11"/>
        <v>7</v>
      </c>
      <c r="B216" s="106"/>
      <c r="C216" s="60" t="s">
        <v>246</v>
      </c>
      <c r="D216" s="66">
        <f>(61.408+4.447)*10.764</f>
        <v>708.86321999999996</v>
      </c>
      <c r="E216" s="60">
        <v>0</v>
      </c>
      <c r="F216" s="60">
        <f>D217*(($F$159)+1)+(IF(E216&lt;101,E216,IF(E216&lt;201,E216/2,IF(E216&lt;=301,E216/3,E216/4))))</f>
        <v>1063.2948299999998</v>
      </c>
      <c r="G216" s="101"/>
      <c r="H216" s="102"/>
      <c r="I216" s="36"/>
    </row>
    <row r="217" spans="1:9" s="61" customFormat="1" x14ac:dyDescent="0.35">
      <c r="A217" s="105">
        <f t="shared" si="11"/>
        <v>8</v>
      </c>
      <c r="B217" s="106"/>
      <c r="C217" s="60" t="s">
        <v>246</v>
      </c>
      <c r="D217" s="66">
        <f>(61.408+4.447)*10.764</f>
        <v>708.86321999999996</v>
      </c>
      <c r="E217" s="60">
        <v>0</v>
      </c>
      <c r="F217" s="60">
        <f>D218*(($F$159)+1)+(IF(E217&lt;101,E217,IF(E217&lt;201,E217/2,IF(E217&lt;=301,E217/3,E217/4))))</f>
        <v>1048.92489</v>
      </c>
      <c r="G217" s="101"/>
      <c r="H217" s="102"/>
      <c r="I217" s="36"/>
    </row>
    <row r="218" spans="1:9" s="61" customFormat="1" x14ac:dyDescent="0.35">
      <c r="A218" s="105">
        <f t="shared" si="11"/>
        <v>9</v>
      </c>
      <c r="B218" s="106"/>
      <c r="C218" s="60" t="s">
        <v>246</v>
      </c>
      <c r="D218" s="66">
        <f>(60.517+4.448)*10.764</f>
        <v>699.28326000000004</v>
      </c>
      <c r="E218" s="60">
        <v>0</v>
      </c>
      <c r="F218" s="60">
        <f>D218*(($F$159)+1)+(IF(E218&lt;101,E218,IF(E218&lt;201,E218/2,IF(E218&lt;=301,E218/3,E218/4))))</f>
        <v>1048.92489</v>
      </c>
      <c r="G218" s="101"/>
      <c r="H218" s="102"/>
      <c r="I218" s="36"/>
    </row>
    <row r="219" spans="1:9" s="61" customFormat="1" x14ac:dyDescent="0.35">
      <c r="A219" s="105">
        <f t="shared" si="11"/>
        <v>10</v>
      </c>
      <c r="B219" s="106"/>
      <c r="C219" s="60" t="s">
        <v>246</v>
      </c>
      <c r="D219" s="66">
        <f>(52.879+4.178)*10.764</f>
        <v>614.16154799999993</v>
      </c>
      <c r="E219" s="60">
        <v>0</v>
      </c>
      <c r="F219" s="60">
        <f>D219*(($F$159)+1)+(IF(E219&lt;101,E219,IF(E219&lt;201,E219/2,IF(E219&lt;=301,E219/3,E219/4))))</f>
        <v>921.24232199999983</v>
      </c>
      <c r="G219" s="101"/>
      <c r="H219" s="102"/>
      <c r="I219" s="36"/>
    </row>
    <row r="220" spans="1:9" s="61" customFormat="1" x14ac:dyDescent="0.35">
      <c r="A220" s="105">
        <f t="shared" si="11"/>
        <v>11</v>
      </c>
      <c r="B220" s="106"/>
      <c r="C220" s="60" t="s">
        <v>245</v>
      </c>
      <c r="D220" s="66">
        <f>(36.331+4.178)*10.764</f>
        <v>436.03887599999996</v>
      </c>
      <c r="E220" s="60">
        <v>0</v>
      </c>
      <c r="F220" s="60">
        <f>D220*(($F$159)+1)+(IF(E220&lt;101,E220,IF(E220&lt;201,E220/2,IF(E220&lt;=301,E220/3,E220/4))))</f>
        <v>654.05831399999988</v>
      </c>
      <c r="G220" s="103"/>
      <c r="H220" s="104"/>
      <c r="I220" s="36"/>
    </row>
    <row r="221" spans="1:9" s="37" customFormat="1" x14ac:dyDescent="0.35">
      <c r="A221" s="220" t="s">
        <v>250</v>
      </c>
      <c r="B221" s="221"/>
      <c r="C221" s="221"/>
      <c r="D221" s="221"/>
      <c r="E221" s="221"/>
      <c r="F221" s="221"/>
      <c r="G221" s="221"/>
      <c r="H221" s="222"/>
      <c r="I221" s="36"/>
    </row>
    <row r="222" spans="1:9" s="61" customFormat="1" x14ac:dyDescent="0.35">
      <c r="A222" s="111" t="s">
        <v>251</v>
      </c>
      <c r="B222" s="112"/>
      <c r="C222" s="112"/>
      <c r="D222" s="112"/>
      <c r="E222" s="112"/>
      <c r="F222" s="112"/>
      <c r="G222" s="112"/>
      <c r="H222" s="113"/>
      <c r="I222" s="36"/>
    </row>
    <row r="223" spans="1:9" s="61" customFormat="1" ht="15.75" customHeight="1" x14ac:dyDescent="0.35">
      <c r="A223" s="121">
        <v>1</v>
      </c>
      <c r="B223" s="121"/>
      <c r="C223" s="75" t="s">
        <v>245</v>
      </c>
      <c r="D223" s="66">
        <f>(36.947+4.178)*10.764</f>
        <v>442.66949999999997</v>
      </c>
      <c r="E223" s="75">
        <v>0</v>
      </c>
      <c r="F223" s="75">
        <f>D223*(($F$159)+1)+(IF(E223&lt;101,E223,IF(E223&lt;201,E223/2,IF(E223&lt;=301,E223/3,E223/4))))</f>
        <v>664.00424999999996</v>
      </c>
      <c r="G223" s="121" t="str">
        <f>A222</f>
        <v>1st Floor For Residential ( Part Society Office, Drivers Room &amp; Fitness Center )</v>
      </c>
      <c r="H223" s="121"/>
      <c r="I223" s="36"/>
    </row>
    <row r="224" spans="1:9" s="61" customFormat="1" x14ac:dyDescent="0.35">
      <c r="A224" s="121">
        <f t="shared" ref="A224:A231" si="12">A223+1</f>
        <v>2</v>
      </c>
      <c r="B224" s="121"/>
      <c r="C224" s="75" t="s">
        <v>246</v>
      </c>
      <c r="D224" s="66">
        <f>(52.879+4.178)*10.764</f>
        <v>614.16154799999993</v>
      </c>
      <c r="E224" s="75">
        <v>0</v>
      </c>
      <c r="F224" s="75">
        <f>D224*(($F$159)+1)+(IF(E224&lt;101,E224,IF(E224&lt;201,E224/2,IF(E224&lt;=301,E224/3,E224/4))))</f>
        <v>921.24232199999983</v>
      </c>
      <c r="G224" s="121"/>
      <c r="H224" s="121"/>
      <c r="I224" s="36"/>
    </row>
    <row r="225" spans="1:9" s="61" customFormat="1" x14ac:dyDescent="0.35">
      <c r="A225" s="121">
        <f t="shared" si="12"/>
        <v>3</v>
      </c>
      <c r="B225" s="121"/>
      <c r="C225" s="75" t="s">
        <v>246</v>
      </c>
      <c r="D225" s="66">
        <f>(60.517)*10.764</f>
        <v>651.404988</v>
      </c>
      <c r="E225" s="75">
        <v>0</v>
      </c>
      <c r="F225" s="75">
        <f>D225*(($F$159)+1)+(IF(E225&lt;101,E225,IF(E225&lt;201,E225/2,IF(E225&lt;=301,E225/3,E225/4))))</f>
        <v>977.107482</v>
      </c>
      <c r="G225" s="121"/>
      <c r="H225" s="121"/>
      <c r="I225" s="36"/>
    </row>
    <row r="226" spans="1:9" s="61" customFormat="1" x14ac:dyDescent="0.35">
      <c r="A226" s="121">
        <f t="shared" si="12"/>
        <v>4</v>
      </c>
      <c r="B226" s="121"/>
      <c r="C226" s="75" t="s">
        <v>246</v>
      </c>
      <c r="D226" s="66">
        <f>(61.408)*10.764</f>
        <v>660.99571200000003</v>
      </c>
      <c r="E226" s="75">
        <v>0</v>
      </c>
      <c r="F226" s="75">
        <f>D226*(($F$159)+1)+(IF(E226&lt;101,E226,IF(E226&lt;201,E226/2,IF(E226&lt;=301,E226/3,E226/4))))</f>
        <v>991.4935680000001</v>
      </c>
      <c r="G226" s="121"/>
      <c r="H226" s="121"/>
      <c r="I226" s="36"/>
    </row>
    <row r="227" spans="1:9" s="61" customFormat="1" x14ac:dyDescent="0.35">
      <c r="A227" s="121">
        <f t="shared" si="12"/>
        <v>5</v>
      </c>
      <c r="B227" s="121"/>
      <c r="C227" s="75" t="s">
        <v>246</v>
      </c>
      <c r="D227" s="66">
        <f>(61.408)*10.764</f>
        <v>660.99571200000003</v>
      </c>
      <c r="E227" s="75">
        <v>0</v>
      </c>
      <c r="F227" s="75">
        <f>D227*(($F$159)+1)+(IF(E227&lt;101,E227,IF(E227&lt;201,E227/2,IF(E227&lt;=301,E227/3,E227/4))))</f>
        <v>991.4935680000001</v>
      </c>
      <c r="G227" s="121"/>
      <c r="H227" s="121"/>
      <c r="I227" s="36"/>
    </row>
    <row r="228" spans="1:9" s="61" customFormat="1" x14ac:dyDescent="0.35">
      <c r="A228" s="121">
        <f t="shared" si="12"/>
        <v>6</v>
      </c>
      <c r="B228" s="121"/>
      <c r="C228" s="75" t="s">
        <v>246</v>
      </c>
      <c r="D228" s="66">
        <f>(60.269)*10.764</f>
        <v>648.73551599999996</v>
      </c>
      <c r="E228" s="75">
        <v>0</v>
      </c>
      <c r="F228" s="75">
        <f t="shared" ref="F228:F229" si="13">D228*(($F$159)+1)+(IF(E228&lt;101,E228,IF(E228&lt;201,E228/2,IF(E228&lt;=301,E228/3,E228/4))))</f>
        <v>973.10327399999994</v>
      </c>
      <c r="G228" s="121"/>
      <c r="H228" s="121"/>
      <c r="I228" s="36"/>
    </row>
    <row r="229" spans="1:9" s="61" customFormat="1" x14ac:dyDescent="0.35">
      <c r="A229" s="121">
        <f t="shared" si="12"/>
        <v>7</v>
      </c>
      <c r="B229" s="121"/>
      <c r="C229" s="75" t="s">
        <v>246</v>
      </c>
      <c r="D229" s="66">
        <f>(60.348)*10.764</f>
        <v>649.58587199999999</v>
      </c>
      <c r="E229" s="75">
        <v>0</v>
      </c>
      <c r="F229" s="75">
        <f t="shared" si="13"/>
        <v>974.37880799999994</v>
      </c>
      <c r="G229" s="121"/>
      <c r="H229" s="121"/>
      <c r="I229" s="36"/>
    </row>
    <row r="230" spans="1:9" s="61" customFormat="1" x14ac:dyDescent="0.35">
      <c r="A230" s="121">
        <f t="shared" si="12"/>
        <v>8</v>
      </c>
      <c r="B230" s="121"/>
      <c r="C230" s="75" t="s">
        <v>246</v>
      </c>
      <c r="D230" s="66">
        <f>(58.832)*10.764</f>
        <v>633.26764800000001</v>
      </c>
      <c r="E230" s="75">
        <v>0</v>
      </c>
      <c r="F230" s="75">
        <f>D230*(($F$159)+1)+(IF(E230&lt;101,E230,IF(E230&lt;201,E230/2,IF(E230&lt;=301,E230/3,E230/4))))</f>
        <v>949.90147200000001</v>
      </c>
      <c r="G230" s="121"/>
      <c r="H230" s="121"/>
      <c r="I230" s="36"/>
    </row>
    <row r="231" spans="1:9" s="61" customFormat="1" x14ac:dyDescent="0.35">
      <c r="A231" s="121">
        <f t="shared" si="12"/>
        <v>9</v>
      </c>
      <c r="B231" s="121"/>
      <c r="C231" s="234" t="s">
        <v>281</v>
      </c>
      <c r="D231" s="234"/>
      <c r="E231" s="234"/>
      <c r="F231" s="234"/>
      <c r="G231" s="121"/>
      <c r="H231" s="121"/>
      <c r="I231" s="36"/>
    </row>
    <row r="232" spans="1:9" s="61" customFormat="1" x14ac:dyDescent="0.35">
      <c r="A232" s="223" t="s">
        <v>252</v>
      </c>
      <c r="B232" s="223"/>
      <c r="C232" s="223"/>
      <c r="D232" s="223"/>
      <c r="E232" s="223"/>
      <c r="F232" s="223"/>
      <c r="G232" s="223"/>
      <c r="H232" s="223"/>
      <c r="I232" s="36"/>
    </row>
    <row r="233" spans="1:9" s="61" customFormat="1" ht="15.75" customHeight="1" x14ac:dyDescent="0.35">
      <c r="A233" s="121">
        <v>1</v>
      </c>
      <c r="B233" s="121"/>
      <c r="C233" s="75" t="s">
        <v>245</v>
      </c>
      <c r="D233" s="66">
        <f>(36.947+4.178)*10.764</f>
        <v>442.66949999999997</v>
      </c>
      <c r="E233" s="75">
        <v>0</v>
      </c>
      <c r="F233" s="75">
        <f>D233*(($F$159)+1)+(IF(E233&lt;101,E233,IF(E233&lt;201,E233/2,IF(E233&lt;=301,E233/3,E233/4))))</f>
        <v>664.00424999999996</v>
      </c>
      <c r="G233" s="121" t="str">
        <f>A232</f>
        <v>2nd Floor ( Part Terrace Area )</v>
      </c>
      <c r="H233" s="121"/>
      <c r="I233" s="36"/>
    </row>
    <row r="234" spans="1:9" s="61" customFormat="1" x14ac:dyDescent="0.35">
      <c r="A234" s="121">
        <f t="shared" ref="A234:A241" si="14">A233+1</f>
        <v>2</v>
      </c>
      <c r="B234" s="121"/>
      <c r="C234" s="75" t="s">
        <v>246</v>
      </c>
      <c r="D234" s="66">
        <f>(52.879+4.178)*10.764</f>
        <v>614.16154799999993</v>
      </c>
      <c r="E234" s="75">
        <v>0</v>
      </c>
      <c r="F234" s="75">
        <f>D234*(($F$159)+1)+(IF(E234&lt;101,E234,IF(E234&lt;201,E234/2,IF(E234&lt;=301,E234/3,E234/4))))</f>
        <v>921.24232199999983</v>
      </c>
      <c r="G234" s="121"/>
      <c r="H234" s="121"/>
      <c r="I234" s="36"/>
    </row>
    <row r="235" spans="1:9" s="61" customFormat="1" x14ac:dyDescent="0.35">
      <c r="A235" s="121">
        <f t="shared" si="14"/>
        <v>3</v>
      </c>
      <c r="B235" s="121"/>
      <c r="C235" s="75" t="s">
        <v>246</v>
      </c>
      <c r="D235" s="66">
        <f>(60.517+4.448)*10.764</f>
        <v>699.28326000000004</v>
      </c>
      <c r="E235" s="75">
        <v>0</v>
      </c>
      <c r="F235" s="75">
        <f>D235*(($F$159)+1)+(IF(E235&lt;101,E235,IF(E235&lt;201,E235/2,IF(E235&lt;=301,E235/3,E235/4))))</f>
        <v>1048.92489</v>
      </c>
      <c r="G235" s="121"/>
      <c r="H235" s="121"/>
      <c r="I235" s="36"/>
    </row>
    <row r="236" spans="1:9" s="61" customFormat="1" x14ac:dyDescent="0.35">
      <c r="A236" s="121">
        <f t="shared" si="14"/>
        <v>4</v>
      </c>
      <c r="B236" s="121"/>
      <c r="C236" s="75" t="s">
        <v>246</v>
      </c>
      <c r="D236" s="66">
        <f>(61.408+4.447)*10.764</f>
        <v>708.86321999999996</v>
      </c>
      <c r="E236" s="75">
        <v>0</v>
      </c>
      <c r="F236" s="75">
        <f>D236*(($F$159)+1)+(IF(E236&lt;101,E236,IF(E236&lt;201,E236/2,IF(E236&lt;=301,E236/3,E236/4))))</f>
        <v>1063.2948299999998</v>
      </c>
      <c r="G236" s="121"/>
      <c r="H236" s="121"/>
      <c r="I236" s="36"/>
    </row>
    <row r="237" spans="1:9" s="61" customFormat="1" x14ac:dyDescent="0.35">
      <c r="A237" s="121">
        <f t="shared" si="14"/>
        <v>5</v>
      </c>
      <c r="B237" s="121"/>
      <c r="C237" s="75" t="s">
        <v>246</v>
      </c>
      <c r="D237" s="66">
        <f>(61.408+4.447)*10.764</f>
        <v>708.86321999999996</v>
      </c>
      <c r="E237" s="75">
        <v>0</v>
      </c>
      <c r="F237" s="75">
        <f>D237*(($F$159)+1)+(IF(E237&lt;101,E237,IF(E237&lt;201,E237/2,IF(E237&lt;=301,E237/3,E237/4))))</f>
        <v>1063.2948299999998</v>
      </c>
      <c r="G237" s="121"/>
      <c r="H237" s="121"/>
      <c r="I237" s="36"/>
    </row>
    <row r="238" spans="1:9" s="61" customFormat="1" x14ac:dyDescent="0.35">
      <c r="A238" s="121">
        <f t="shared" si="14"/>
        <v>6</v>
      </c>
      <c r="B238" s="121"/>
      <c r="C238" s="75" t="s">
        <v>246</v>
      </c>
      <c r="D238" s="66">
        <f>(60.269+4.575)*10.764</f>
        <v>697.98081599999989</v>
      </c>
      <c r="E238" s="75">
        <v>0</v>
      </c>
      <c r="F238" s="75">
        <f t="shared" ref="F238:F239" si="15">D238*(($F$159)+1)+(IF(E238&lt;101,E238,IF(E238&lt;201,E238/2,IF(E238&lt;=301,E238/3,E238/4))))</f>
        <v>1046.9712239999999</v>
      </c>
      <c r="G238" s="121"/>
      <c r="H238" s="121"/>
      <c r="I238" s="36"/>
    </row>
    <row r="239" spans="1:9" s="61" customFormat="1" x14ac:dyDescent="0.35">
      <c r="A239" s="121">
        <f t="shared" si="14"/>
        <v>7</v>
      </c>
      <c r="B239" s="121"/>
      <c r="C239" s="75" t="s">
        <v>246</v>
      </c>
      <c r="D239" s="66">
        <f>(60.348+4.575)*10.764</f>
        <v>698.83117199999992</v>
      </c>
      <c r="E239" s="75">
        <v>0</v>
      </c>
      <c r="F239" s="75">
        <f t="shared" si="15"/>
        <v>1048.2467579999998</v>
      </c>
      <c r="G239" s="121"/>
      <c r="H239" s="121"/>
      <c r="I239" s="36"/>
    </row>
    <row r="240" spans="1:9" s="61" customFormat="1" x14ac:dyDescent="0.35">
      <c r="A240" s="121">
        <f t="shared" si="14"/>
        <v>8</v>
      </c>
      <c r="B240" s="121"/>
      <c r="C240" s="75" t="s">
        <v>246</v>
      </c>
      <c r="D240" s="66">
        <f>(58.832+4.575)*10.764</f>
        <v>682.51294800000005</v>
      </c>
      <c r="E240" s="75">
        <v>0</v>
      </c>
      <c r="F240" s="75">
        <f>D240*(($F$159)+1)+(IF(E240&lt;101,E240,IF(E240&lt;201,E240/2,IF(E240&lt;=301,E240/3,E240/4))))</f>
        <v>1023.7694220000001</v>
      </c>
      <c r="G240" s="121"/>
      <c r="H240" s="121"/>
      <c r="I240" s="36"/>
    </row>
    <row r="241" spans="1:9" s="61" customFormat="1" ht="15.75" customHeight="1" x14ac:dyDescent="0.35">
      <c r="A241" s="121">
        <f t="shared" si="14"/>
        <v>9</v>
      </c>
      <c r="B241" s="121"/>
      <c r="C241" s="75" t="s">
        <v>245</v>
      </c>
      <c r="D241" s="66">
        <f>(36.331+4.178)*10.764</f>
        <v>436.03887599999996</v>
      </c>
      <c r="E241" s="75">
        <v>0</v>
      </c>
      <c r="F241" s="75">
        <f>D241*(($F$159)+1)+(IF(E241&lt;101,E241,IF(E241&lt;201,E241/2,IF(E241&lt;=301,E241/3,E241/4))))</f>
        <v>654.05831399999988</v>
      </c>
      <c r="G241" s="121"/>
      <c r="H241" s="121"/>
      <c r="I241" s="36"/>
    </row>
    <row r="242" spans="1:9" s="61" customFormat="1" x14ac:dyDescent="0.35">
      <c r="A242" s="223" t="s">
        <v>279</v>
      </c>
      <c r="B242" s="223"/>
      <c r="C242" s="223"/>
      <c r="D242" s="223"/>
      <c r="E242" s="223"/>
      <c r="F242" s="223"/>
      <c r="G242" s="223"/>
      <c r="H242" s="223"/>
      <c r="I242" s="36"/>
    </row>
    <row r="243" spans="1:9" s="61" customFormat="1" ht="15.75" customHeight="1" x14ac:dyDescent="0.35">
      <c r="A243" s="105">
        <v>1</v>
      </c>
      <c r="B243" s="106"/>
      <c r="C243" s="60" t="s">
        <v>245</v>
      </c>
      <c r="D243" s="66">
        <f>(36.947+4.178)*10.764</f>
        <v>442.66949999999997</v>
      </c>
      <c r="E243" s="60">
        <v>0</v>
      </c>
      <c r="F243" s="60">
        <f>D243*(($F$159)+1)+(IF(E243&lt;101,E243,IF(E243&lt;201,E243/2,IF(E243&lt;=301,E243/3,E243/4))))</f>
        <v>664.00424999999996</v>
      </c>
      <c r="G243" s="99" t="str">
        <f>A242</f>
        <v>3rd, 4th, 5th, 6th &amp; 7th Floor</v>
      </c>
      <c r="H243" s="100"/>
      <c r="I243" s="36"/>
    </row>
    <row r="244" spans="1:9" s="61" customFormat="1" x14ac:dyDescent="0.35">
      <c r="A244" s="105">
        <f t="shared" ref="A244:A251" si="16">A243+1</f>
        <v>2</v>
      </c>
      <c r="B244" s="106"/>
      <c r="C244" s="60" t="s">
        <v>246</v>
      </c>
      <c r="D244" s="66">
        <f>(52.879+4.178)*10.764</f>
        <v>614.16154799999993</v>
      </c>
      <c r="E244" s="60">
        <v>0</v>
      </c>
      <c r="F244" s="60">
        <f>D244*(($F$159)+1)+(IF(E244&lt;101,E244,IF(E244&lt;201,E244/2,IF(E244&lt;=301,E244/3,E244/4))))</f>
        <v>921.24232199999983</v>
      </c>
      <c r="G244" s="101"/>
      <c r="H244" s="102"/>
      <c r="I244" s="36"/>
    </row>
    <row r="245" spans="1:9" s="61" customFormat="1" x14ac:dyDescent="0.35">
      <c r="A245" s="105">
        <f t="shared" si="16"/>
        <v>3</v>
      </c>
      <c r="B245" s="106"/>
      <c r="C245" s="60" t="s">
        <v>246</v>
      </c>
      <c r="D245" s="66">
        <f>(60.517+4.448)*10.764</f>
        <v>699.28326000000004</v>
      </c>
      <c r="E245" s="60">
        <v>0</v>
      </c>
      <c r="F245" s="60">
        <f>D245*(($F$159)+1)+(IF(E245&lt;101,E245,IF(E245&lt;201,E245/2,IF(E245&lt;=301,E245/3,E245/4))))</f>
        <v>1048.92489</v>
      </c>
      <c r="G245" s="101"/>
      <c r="H245" s="102"/>
      <c r="I245" s="36"/>
    </row>
    <row r="246" spans="1:9" s="61" customFormat="1" x14ac:dyDescent="0.35">
      <c r="A246" s="105">
        <f t="shared" si="16"/>
        <v>4</v>
      </c>
      <c r="B246" s="106"/>
      <c r="C246" s="60" t="s">
        <v>246</v>
      </c>
      <c r="D246" s="66">
        <f>(61.408+4.447)*10.764</f>
        <v>708.86321999999996</v>
      </c>
      <c r="E246" s="60">
        <v>0</v>
      </c>
      <c r="F246" s="60">
        <f>D246*(($F$159)+1)+(IF(E246&lt;101,E246,IF(E246&lt;201,E246/2,IF(E246&lt;=301,E246/3,E246/4))))</f>
        <v>1063.2948299999998</v>
      </c>
      <c r="G246" s="101"/>
      <c r="H246" s="102"/>
      <c r="I246" s="36"/>
    </row>
    <row r="247" spans="1:9" s="61" customFormat="1" x14ac:dyDescent="0.35">
      <c r="A247" s="105">
        <f t="shared" si="16"/>
        <v>5</v>
      </c>
      <c r="B247" s="106"/>
      <c r="C247" s="60" t="s">
        <v>246</v>
      </c>
      <c r="D247" s="66">
        <f>(61.408+4.447)*10.764</f>
        <v>708.86321999999996</v>
      </c>
      <c r="E247" s="60">
        <v>0</v>
      </c>
      <c r="F247" s="60">
        <f>D247*(($F$159)+1)+(IF(E247&lt;101,E247,IF(E247&lt;201,E247/2,IF(E247&lt;=301,E247/3,E247/4))))</f>
        <v>1063.2948299999998</v>
      </c>
      <c r="G247" s="101"/>
      <c r="H247" s="102"/>
      <c r="I247" s="36"/>
    </row>
    <row r="248" spans="1:9" s="61" customFormat="1" x14ac:dyDescent="0.35">
      <c r="A248" s="105">
        <f t="shared" si="16"/>
        <v>6</v>
      </c>
      <c r="B248" s="106"/>
      <c r="C248" s="60" t="s">
        <v>246</v>
      </c>
      <c r="D248" s="66">
        <f>(60.269+4.575)*10.764</f>
        <v>697.98081599999989</v>
      </c>
      <c r="E248" s="60">
        <v>0</v>
      </c>
      <c r="F248" s="60">
        <f t="shared" ref="F248:F249" si="17">D248*(($F$159)+1)+(IF(E248&lt;101,E248,IF(E248&lt;201,E248/2,IF(E248&lt;=301,E248/3,E248/4))))</f>
        <v>1046.9712239999999</v>
      </c>
      <c r="G248" s="101"/>
      <c r="H248" s="102"/>
      <c r="I248" s="36"/>
    </row>
    <row r="249" spans="1:9" s="61" customFormat="1" x14ac:dyDescent="0.35">
      <c r="A249" s="105">
        <f t="shared" si="16"/>
        <v>7</v>
      </c>
      <c r="B249" s="106"/>
      <c r="C249" s="60" t="s">
        <v>246</v>
      </c>
      <c r="D249" s="66">
        <f>(60.348+4.575)*10.764</f>
        <v>698.83117199999992</v>
      </c>
      <c r="E249" s="60">
        <v>0</v>
      </c>
      <c r="F249" s="60">
        <f t="shared" si="17"/>
        <v>1048.2467579999998</v>
      </c>
      <c r="G249" s="101"/>
      <c r="H249" s="102"/>
      <c r="I249" s="36"/>
    </row>
    <row r="250" spans="1:9" s="61" customFormat="1" x14ac:dyDescent="0.35">
      <c r="A250" s="105">
        <f t="shared" si="16"/>
        <v>8</v>
      </c>
      <c r="B250" s="106"/>
      <c r="C250" s="60" t="s">
        <v>246</v>
      </c>
      <c r="D250" s="66">
        <f>(58.832+4.575)*10.764</f>
        <v>682.51294800000005</v>
      </c>
      <c r="E250" s="60">
        <v>0</v>
      </c>
      <c r="F250" s="60">
        <f>D250*(($F$159)+1)+(IF(E250&lt;101,E250,IF(E250&lt;201,E250/2,IF(E250&lt;=301,E250/3,E250/4))))</f>
        <v>1023.7694220000001</v>
      </c>
      <c r="G250" s="101"/>
      <c r="H250" s="102"/>
      <c r="I250" s="36"/>
    </row>
    <row r="251" spans="1:9" s="61" customFormat="1" x14ac:dyDescent="0.35">
      <c r="A251" s="99">
        <f t="shared" si="16"/>
        <v>9</v>
      </c>
      <c r="B251" s="100"/>
      <c r="C251" s="62" t="s">
        <v>245</v>
      </c>
      <c r="D251" s="66">
        <f>(36.331+4.178)*10.764</f>
        <v>436.03887599999996</v>
      </c>
      <c r="E251" s="62">
        <v>0</v>
      </c>
      <c r="F251" s="62">
        <f>D251*(($F$159)+1)+(IF(E251&lt;101,E251,IF(E251&lt;201,E251/2,IF(E251&lt;=301,E251/3,E251/4))))</f>
        <v>654.05831399999988</v>
      </c>
      <c r="G251" s="103"/>
      <c r="H251" s="104"/>
      <c r="I251" s="36"/>
    </row>
    <row r="252" spans="1:9" s="61" customFormat="1" x14ac:dyDescent="0.35">
      <c r="A252" s="223" t="s">
        <v>247</v>
      </c>
      <c r="B252" s="223"/>
      <c r="C252" s="223"/>
      <c r="D252" s="223"/>
      <c r="E252" s="223"/>
      <c r="F252" s="223"/>
      <c r="G252" s="223"/>
      <c r="H252" s="223"/>
      <c r="I252" s="36"/>
    </row>
    <row r="253" spans="1:9" s="61" customFormat="1" ht="15.75" customHeight="1" x14ac:dyDescent="0.35">
      <c r="A253" s="105">
        <v>1</v>
      </c>
      <c r="B253" s="106"/>
      <c r="C253" s="60" t="s">
        <v>245</v>
      </c>
      <c r="D253" s="66">
        <f>(36.947+4.178)*10.764</f>
        <v>442.66949999999997</v>
      </c>
      <c r="E253" s="60">
        <v>0</v>
      </c>
      <c r="F253" s="60">
        <f>D253*(($F$159)+1)+(IF(E253&lt;101,E253,IF(E253&lt;201,E253/2,IF(E253&lt;=301,E253/3,E253/4))))</f>
        <v>664.00424999999996</v>
      </c>
      <c r="G253" s="99" t="str">
        <f>A252</f>
        <v>8th Floor ( Part Refuge Area )</v>
      </c>
      <c r="H253" s="100"/>
      <c r="I253" s="36"/>
    </row>
    <row r="254" spans="1:9" s="61" customFormat="1" x14ac:dyDescent="0.35">
      <c r="A254" s="105">
        <f t="shared" ref="A254:A261" si="18">A253+1</f>
        <v>2</v>
      </c>
      <c r="B254" s="106"/>
      <c r="C254" s="60" t="s">
        <v>246</v>
      </c>
      <c r="D254" s="66">
        <f>(52.879+4.178)*10.764</f>
        <v>614.16154799999993</v>
      </c>
      <c r="E254" s="60">
        <v>0</v>
      </c>
      <c r="F254" s="60">
        <f>D254*(($F$159)+1)+(IF(E254&lt;101,E254,IF(E254&lt;201,E254/2,IF(E254&lt;=301,E254/3,E254/4))))</f>
        <v>921.24232199999983</v>
      </c>
      <c r="G254" s="101"/>
      <c r="H254" s="102"/>
      <c r="I254" s="36"/>
    </row>
    <row r="255" spans="1:9" s="61" customFormat="1" x14ac:dyDescent="0.35">
      <c r="A255" s="105">
        <f t="shared" si="18"/>
        <v>3</v>
      </c>
      <c r="B255" s="106"/>
      <c r="C255" s="60" t="s">
        <v>246</v>
      </c>
      <c r="D255" s="66">
        <f>(60.517+4.448)*10.764</f>
        <v>699.28326000000004</v>
      </c>
      <c r="E255" s="60">
        <v>0</v>
      </c>
      <c r="F255" s="60">
        <f>D255*(($F$159)+1)+(IF(E255&lt;101,E255,IF(E255&lt;201,E255/2,IF(E255&lt;=301,E255/3,E255/4))))</f>
        <v>1048.92489</v>
      </c>
      <c r="G255" s="101"/>
      <c r="H255" s="102"/>
      <c r="I255" s="36"/>
    </row>
    <row r="256" spans="1:9" s="61" customFormat="1" x14ac:dyDescent="0.35">
      <c r="A256" s="105">
        <f t="shared" si="18"/>
        <v>4</v>
      </c>
      <c r="B256" s="106"/>
      <c r="C256" s="60" t="s">
        <v>246</v>
      </c>
      <c r="D256" s="66">
        <f>(61.408+4.447)*10.764</f>
        <v>708.86321999999996</v>
      </c>
      <c r="E256" s="60">
        <v>0</v>
      </c>
      <c r="F256" s="60">
        <f>D256*(($F$159)+1)+(IF(E256&lt;101,E256,IF(E256&lt;201,E256/2,IF(E256&lt;=301,E256/3,E256/4))))</f>
        <v>1063.2948299999998</v>
      </c>
      <c r="G256" s="101"/>
      <c r="H256" s="102"/>
      <c r="I256" s="36"/>
    </row>
    <row r="257" spans="1:9" s="61" customFormat="1" x14ac:dyDescent="0.35">
      <c r="A257" s="105">
        <f t="shared" si="18"/>
        <v>5</v>
      </c>
      <c r="B257" s="106"/>
      <c r="C257" s="60" t="s">
        <v>246</v>
      </c>
      <c r="D257" s="66">
        <f>(61.408+4.447)*10.764</f>
        <v>708.86321999999996</v>
      </c>
      <c r="E257" s="60">
        <v>0</v>
      </c>
      <c r="F257" s="60">
        <f>D257*(($F$159)+1)+(IF(E257&lt;101,E257,IF(E257&lt;201,E257/2,IF(E257&lt;=301,E257/3,E257/4))))</f>
        <v>1063.2948299999998</v>
      </c>
      <c r="G257" s="101"/>
      <c r="H257" s="102"/>
      <c r="I257" s="36"/>
    </row>
    <row r="258" spans="1:9" s="61" customFormat="1" x14ac:dyDescent="0.35">
      <c r="A258" s="105">
        <f t="shared" si="18"/>
        <v>6</v>
      </c>
      <c r="B258" s="106"/>
      <c r="C258" s="60" t="s">
        <v>246</v>
      </c>
      <c r="D258" s="66">
        <f>(60.269+4.575)*10.764</f>
        <v>697.98081599999989</v>
      </c>
      <c r="E258" s="60">
        <v>0</v>
      </c>
      <c r="F258" s="60">
        <f t="shared" ref="F258" si="19">D258*(($F$159)+1)+(IF(E258&lt;101,E258,IF(E258&lt;201,E258/2,IF(E258&lt;=301,E258/3,E258/4))))</f>
        <v>1046.9712239999999</v>
      </c>
      <c r="G258" s="101"/>
      <c r="H258" s="102"/>
      <c r="I258" s="36"/>
    </row>
    <row r="259" spans="1:9" s="61" customFormat="1" ht="15.75" customHeight="1" x14ac:dyDescent="0.35">
      <c r="A259" s="105">
        <f t="shared" si="18"/>
        <v>7</v>
      </c>
      <c r="B259" s="106"/>
      <c r="C259" s="111" t="s">
        <v>248</v>
      </c>
      <c r="D259" s="112"/>
      <c r="E259" s="112"/>
      <c r="F259" s="113"/>
      <c r="G259" s="101"/>
      <c r="H259" s="102"/>
      <c r="I259" s="36"/>
    </row>
    <row r="260" spans="1:9" s="61" customFormat="1" x14ac:dyDescent="0.35">
      <c r="A260" s="105">
        <f t="shared" si="18"/>
        <v>8</v>
      </c>
      <c r="B260" s="106"/>
      <c r="C260" s="60" t="s">
        <v>246</v>
      </c>
      <c r="D260" s="66">
        <f>(58.832+4.575)*10.764</f>
        <v>682.51294800000005</v>
      </c>
      <c r="E260" s="60">
        <v>0</v>
      </c>
      <c r="F260" s="60">
        <f>D260*(($F$159)+1)+(IF(E260&lt;101,E260,IF(E260&lt;201,E260/2,IF(E260&lt;=301,E260/3,E260/4))))</f>
        <v>1023.7694220000001</v>
      </c>
      <c r="G260" s="101"/>
      <c r="H260" s="102"/>
      <c r="I260" s="36"/>
    </row>
    <row r="261" spans="1:9" s="37" customFormat="1" x14ac:dyDescent="0.35">
      <c r="A261" s="99">
        <f t="shared" si="18"/>
        <v>9</v>
      </c>
      <c r="B261" s="100"/>
      <c r="C261" s="62" t="s">
        <v>245</v>
      </c>
      <c r="D261" s="66">
        <f>(36.331+4.178)*10.764</f>
        <v>436.03887599999996</v>
      </c>
      <c r="E261" s="62">
        <v>0</v>
      </c>
      <c r="F261" s="62">
        <f>D261*(($F$159)+1)+(IF(E261&lt;101,E261,IF(E261&lt;201,E261/2,IF(E261&lt;=301,E261/3,E261/4))))</f>
        <v>654.05831399999988</v>
      </c>
      <c r="G261" s="103"/>
      <c r="H261" s="104"/>
      <c r="I261" s="36"/>
    </row>
    <row r="262" spans="1:9" s="61" customFormat="1" x14ac:dyDescent="0.35">
      <c r="A262" s="111" t="s">
        <v>249</v>
      </c>
      <c r="B262" s="112"/>
      <c r="C262" s="112"/>
      <c r="D262" s="112"/>
      <c r="E262" s="112"/>
      <c r="F262" s="112"/>
      <c r="G262" s="112"/>
      <c r="H262" s="113"/>
      <c r="I262" s="36"/>
    </row>
    <row r="263" spans="1:9" s="61" customFormat="1" ht="15.75" customHeight="1" x14ac:dyDescent="0.35">
      <c r="A263" s="105">
        <v>1</v>
      </c>
      <c r="B263" s="106"/>
      <c r="C263" s="60" t="s">
        <v>245</v>
      </c>
      <c r="D263" s="66">
        <f>(36.947+4.178)*10.764</f>
        <v>442.66949999999997</v>
      </c>
      <c r="E263" s="60">
        <v>0</v>
      </c>
      <c r="F263" s="60">
        <f>D263*(($F$159)+1)+(IF(E263&lt;101,E263,IF(E263&lt;201,E263/2,IF(E263&lt;=301,E263/3,E263/4))))</f>
        <v>664.00424999999996</v>
      </c>
      <c r="G263" s="99" t="str">
        <f>A262</f>
        <v>9th Floor</v>
      </c>
      <c r="H263" s="100"/>
      <c r="I263" s="36"/>
    </row>
    <row r="264" spans="1:9" s="61" customFormat="1" x14ac:dyDescent="0.35">
      <c r="A264" s="105">
        <f t="shared" ref="A264:A271" si="20">A263+1</f>
        <v>2</v>
      </c>
      <c r="B264" s="106"/>
      <c r="C264" s="60" t="s">
        <v>246</v>
      </c>
      <c r="D264" s="66">
        <f>(52.879+4.178)*10.764</f>
        <v>614.16154799999993</v>
      </c>
      <c r="E264" s="60">
        <v>0</v>
      </c>
      <c r="F264" s="60">
        <f>D264*(($F$159)+1)+(IF(E264&lt;101,E264,IF(E264&lt;201,E264/2,IF(E264&lt;=301,E264/3,E264/4))))</f>
        <v>921.24232199999983</v>
      </c>
      <c r="G264" s="101"/>
      <c r="H264" s="102"/>
      <c r="I264" s="36"/>
    </row>
    <row r="265" spans="1:9" s="61" customFormat="1" x14ac:dyDescent="0.35">
      <c r="A265" s="105">
        <f t="shared" si="20"/>
        <v>3</v>
      </c>
      <c r="B265" s="106"/>
      <c r="C265" s="60" t="s">
        <v>246</v>
      </c>
      <c r="D265" s="66">
        <f>(60.517+4.448)*10.764</f>
        <v>699.28326000000004</v>
      </c>
      <c r="E265" s="60">
        <v>0</v>
      </c>
      <c r="F265" s="60">
        <f>D265*(($F$159)+1)+(IF(E265&lt;101,E265,IF(E265&lt;201,E265/2,IF(E265&lt;=301,E265/3,E265/4))))</f>
        <v>1048.92489</v>
      </c>
      <c r="G265" s="101"/>
      <c r="H265" s="102"/>
      <c r="I265" s="36"/>
    </row>
    <row r="266" spans="1:9" s="61" customFormat="1" x14ac:dyDescent="0.35">
      <c r="A266" s="105">
        <f t="shared" si="20"/>
        <v>4</v>
      </c>
      <c r="B266" s="106"/>
      <c r="C266" s="60" t="s">
        <v>246</v>
      </c>
      <c r="D266" s="66">
        <f>(61.408+4.447)*10.764</f>
        <v>708.86321999999996</v>
      </c>
      <c r="E266" s="60">
        <v>0</v>
      </c>
      <c r="F266" s="60">
        <f>D266*(($F$159)+1)+(IF(E266&lt;101,E266,IF(E266&lt;201,E266/2,IF(E266&lt;=301,E266/3,E266/4))))</f>
        <v>1063.2948299999998</v>
      </c>
      <c r="G266" s="101"/>
      <c r="H266" s="102"/>
      <c r="I266" s="36"/>
    </row>
    <row r="267" spans="1:9" s="61" customFormat="1" x14ac:dyDescent="0.35">
      <c r="A267" s="105">
        <f t="shared" si="20"/>
        <v>5</v>
      </c>
      <c r="B267" s="106"/>
      <c r="C267" s="60" t="s">
        <v>246</v>
      </c>
      <c r="D267" s="66">
        <f>(61.408+4.447)*10.764</f>
        <v>708.86321999999996</v>
      </c>
      <c r="E267" s="60">
        <v>0</v>
      </c>
      <c r="F267" s="60">
        <f>D267*(($F$159)+1)+(IF(E267&lt;101,E267,IF(E267&lt;201,E267/2,IF(E267&lt;=301,E267/3,E267/4))))</f>
        <v>1063.2948299999998</v>
      </c>
      <c r="G267" s="101"/>
      <c r="H267" s="102"/>
      <c r="I267" s="36"/>
    </row>
    <row r="268" spans="1:9" s="61" customFormat="1" x14ac:dyDescent="0.35">
      <c r="A268" s="105">
        <f t="shared" si="20"/>
        <v>6</v>
      </c>
      <c r="B268" s="106"/>
      <c r="C268" s="60" t="s">
        <v>246</v>
      </c>
      <c r="D268" s="66">
        <f>(60.269+4.575)*10.764</f>
        <v>697.98081599999989</v>
      </c>
      <c r="E268" s="60">
        <v>0</v>
      </c>
      <c r="F268" s="60">
        <f t="shared" ref="F268:F269" si="21">D268*(($F$159)+1)+(IF(E268&lt;101,E268,IF(E268&lt;201,E268/2,IF(E268&lt;=301,E268/3,E268/4))))</f>
        <v>1046.9712239999999</v>
      </c>
      <c r="G268" s="101"/>
      <c r="H268" s="102"/>
      <c r="I268" s="36"/>
    </row>
    <row r="269" spans="1:9" s="61" customFormat="1" x14ac:dyDescent="0.35">
      <c r="A269" s="105">
        <f t="shared" si="20"/>
        <v>7</v>
      </c>
      <c r="B269" s="106"/>
      <c r="C269" s="60" t="s">
        <v>246</v>
      </c>
      <c r="D269" s="66">
        <f>(60.348+4.575)*10.764</f>
        <v>698.83117199999992</v>
      </c>
      <c r="E269" s="60">
        <v>0</v>
      </c>
      <c r="F269" s="60">
        <f t="shared" si="21"/>
        <v>1048.2467579999998</v>
      </c>
      <c r="G269" s="101"/>
      <c r="H269" s="102"/>
      <c r="I269" s="36"/>
    </row>
    <row r="270" spans="1:9" s="37" customFormat="1" x14ac:dyDescent="0.35">
      <c r="A270" s="105">
        <f t="shared" si="20"/>
        <v>8</v>
      </c>
      <c r="B270" s="106"/>
      <c r="C270" s="60" t="s">
        <v>246</v>
      </c>
      <c r="D270" s="66">
        <f>(58.832+4.575)*10.764</f>
        <v>682.51294800000005</v>
      </c>
      <c r="E270" s="60">
        <v>0</v>
      </c>
      <c r="F270" s="60">
        <f>D270*(($F$159)+1)+(IF(E270&lt;101,E270,IF(E270&lt;201,E270/2,IF(E270&lt;=301,E270/3,E270/4))))</f>
        <v>1023.7694220000001</v>
      </c>
      <c r="G270" s="101"/>
      <c r="H270" s="102"/>
      <c r="I270" s="36"/>
    </row>
    <row r="271" spans="1:9" s="61" customFormat="1" x14ac:dyDescent="0.35">
      <c r="A271" s="99">
        <f t="shared" si="20"/>
        <v>9</v>
      </c>
      <c r="B271" s="100"/>
      <c r="C271" s="62" t="s">
        <v>245</v>
      </c>
      <c r="D271" s="66">
        <f>(36.331+4.178)*10.764</f>
        <v>436.03887599999996</v>
      </c>
      <c r="E271" s="62">
        <v>0</v>
      </c>
      <c r="F271" s="62">
        <f>D271*(($F$159)+1)+(IF(E271&lt;101,E271,IF(E271&lt;201,E271/2,IF(E271&lt;=301,E271/3,E271/4))))</f>
        <v>654.05831399999988</v>
      </c>
      <c r="G271" s="103"/>
      <c r="H271" s="104"/>
      <c r="I271" s="36"/>
    </row>
    <row r="272" spans="1:9" s="35" customFormat="1" x14ac:dyDescent="0.35">
      <c r="A272" s="109" t="s">
        <v>68</v>
      </c>
      <c r="B272" s="109"/>
      <c r="C272" s="109"/>
      <c r="D272" s="109"/>
      <c r="E272" s="109"/>
      <c r="F272" s="109"/>
      <c r="G272" s="109"/>
      <c r="H272" s="109"/>
    </row>
    <row r="273" spans="1:8" s="35" customFormat="1" x14ac:dyDescent="0.35">
      <c r="A273" s="76" t="s">
        <v>149</v>
      </c>
      <c r="B273" s="235" t="s">
        <v>292</v>
      </c>
      <c r="C273" s="235"/>
      <c r="D273" s="235"/>
      <c r="E273" s="235"/>
      <c r="F273" s="235"/>
      <c r="G273" s="235"/>
      <c r="H273" s="235"/>
    </row>
    <row r="274" spans="1:8" s="35" customFormat="1" x14ac:dyDescent="0.35">
      <c r="A274" s="76" t="s">
        <v>149</v>
      </c>
      <c r="B274" s="236" t="str">
        <f>(IF(F158="Saleable area Loading :","We have considered Saleable area of Flats as per our Calculation.","We considered Saleable area of Flat as per Builder area Sheet."))</f>
        <v>We have considered Saleable area of Flats as per our Calculation.</v>
      </c>
      <c r="C274" s="236"/>
      <c r="D274" s="236"/>
      <c r="E274" s="236"/>
      <c r="F274" s="236"/>
      <c r="G274" s="236"/>
      <c r="H274" s="236"/>
    </row>
    <row r="275" spans="1:8" s="35" customFormat="1" x14ac:dyDescent="0.35">
      <c r="A275" s="76" t="s">
        <v>149</v>
      </c>
      <c r="B275" s="236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5" s="236"/>
      <c r="D275" s="236"/>
      <c r="E275" s="236"/>
      <c r="F275" s="236"/>
      <c r="G275" s="236"/>
      <c r="H275" s="236"/>
    </row>
    <row r="276" spans="1:8" s="35" customFormat="1" x14ac:dyDescent="0.35">
      <c r="A276" s="76" t="s">
        <v>149</v>
      </c>
      <c r="B276" s="237" t="s">
        <v>119</v>
      </c>
      <c r="C276" s="237"/>
      <c r="D276" s="237"/>
      <c r="E276" s="237"/>
      <c r="F276" s="237"/>
      <c r="G276" s="237"/>
      <c r="H276" s="237"/>
    </row>
    <row r="277" spans="1:8" s="35" customFormat="1" x14ac:dyDescent="0.35">
      <c r="A277" s="76" t="s">
        <v>149</v>
      </c>
      <c r="B277" s="237" t="s">
        <v>253</v>
      </c>
      <c r="C277" s="237"/>
      <c r="D277" s="237"/>
      <c r="E277" s="237"/>
      <c r="F277" s="237"/>
      <c r="G277" s="237"/>
      <c r="H277" s="237"/>
    </row>
    <row r="278" spans="1:8" s="35" customFormat="1" x14ac:dyDescent="0.35">
      <c r="A278" s="76" t="s">
        <v>149</v>
      </c>
      <c r="B278" s="237" t="s">
        <v>148</v>
      </c>
      <c r="C278" s="237"/>
      <c r="D278" s="237"/>
      <c r="E278" s="237"/>
      <c r="F278" s="237"/>
      <c r="G278" s="237"/>
      <c r="H278" s="237"/>
    </row>
    <row r="279" spans="1:8" s="35" customFormat="1" x14ac:dyDescent="0.35">
      <c r="A279" s="76" t="s">
        <v>149</v>
      </c>
      <c r="B279" s="237" t="s">
        <v>120</v>
      </c>
      <c r="C279" s="237"/>
      <c r="D279" s="237"/>
      <c r="E279" s="237"/>
      <c r="F279" s="237"/>
      <c r="G279" s="237"/>
      <c r="H279" s="237"/>
    </row>
    <row r="280" spans="1:8" s="35" customFormat="1" ht="34.5" customHeight="1" x14ac:dyDescent="0.35">
      <c r="A280" s="76" t="s">
        <v>149</v>
      </c>
      <c r="B280" s="237" t="s">
        <v>150</v>
      </c>
      <c r="C280" s="237"/>
      <c r="D280" s="237"/>
      <c r="E280" s="237"/>
      <c r="F280" s="237"/>
      <c r="G280" s="237"/>
      <c r="H280" s="237"/>
    </row>
    <row r="281" spans="1:8" s="35" customFormat="1" x14ac:dyDescent="0.35">
      <c r="A281" s="47" t="s">
        <v>149</v>
      </c>
      <c r="B281" s="77" t="s">
        <v>121</v>
      </c>
      <c r="C281" s="78"/>
      <c r="D281" s="78"/>
      <c r="E281" s="78"/>
      <c r="F281" s="78"/>
      <c r="G281" s="78"/>
      <c r="H281" s="79"/>
    </row>
    <row r="282" spans="1:8" s="35" customFormat="1" x14ac:dyDescent="0.35">
      <c r="A282" s="73" t="s">
        <v>149</v>
      </c>
      <c r="B282" s="77" t="s">
        <v>290</v>
      </c>
      <c r="C282" s="78"/>
      <c r="D282" s="78"/>
      <c r="E282" s="78"/>
      <c r="F282" s="78"/>
      <c r="G282" s="78"/>
      <c r="H282" s="79"/>
    </row>
    <row r="283" spans="1:8" s="35" customFormat="1" ht="32.25" customHeight="1" x14ac:dyDescent="0.35">
      <c r="A283" s="73" t="s">
        <v>149</v>
      </c>
      <c r="B283" s="77" t="s">
        <v>291</v>
      </c>
      <c r="C283" s="78"/>
      <c r="D283" s="78"/>
      <c r="E283" s="78"/>
      <c r="F283" s="78"/>
      <c r="G283" s="78"/>
      <c r="H283" s="79"/>
    </row>
    <row r="284" spans="1:8" x14ac:dyDescent="0.35">
      <c r="A284" s="191" t="s">
        <v>61</v>
      </c>
      <c r="B284" s="191"/>
      <c r="C284" s="191"/>
      <c r="D284" s="191"/>
      <c r="E284" s="191"/>
      <c r="F284" s="191"/>
      <c r="G284" s="191"/>
      <c r="H284" s="191"/>
    </row>
    <row r="285" spans="1:8" x14ac:dyDescent="0.35">
      <c r="A285" s="96" t="s">
        <v>62</v>
      </c>
      <c r="B285" s="96"/>
      <c r="C285" s="96"/>
      <c r="D285" s="96"/>
      <c r="E285" s="96"/>
      <c r="F285" s="96"/>
      <c r="G285" s="96"/>
      <c r="H285" s="96"/>
    </row>
    <row r="286" spans="1:8" ht="15.75" customHeight="1" x14ac:dyDescent="0.35">
      <c r="A286" s="202" t="s">
        <v>63</v>
      </c>
      <c r="B286" s="202"/>
      <c r="C286" s="202"/>
      <c r="D286" s="202"/>
      <c r="E286" s="202"/>
      <c r="F286" s="202"/>
      <c r="G286" s="202"/>
      <c r="H286" s="202"/>
    </row>
    <row r="287" spans="1:8" x14ac:dyDescent="0.35">
      <c r="A287" s="96" t="s">
        <v>64</v>
      </c>
      <c r="B287" s="96"/>
      <c r="C287" s="96"/>
      <c r="D287" s="96"/>
      <c r="E287" s="96"/>
      <c r="F287" s="96"/>
      <c r="G287" s="96"/>
      <c r="H287" s="96"/>
    </row>
    <row r="288" spans="1:8" x14ac:dyDescent="0.35">
      <c r="A288" s="96" t="s">
        <v>65</v>
      </c>
      <c r="B288" s="96"/>
      <c r="C288" s="96"/>
      <c r="D288" s="96"/>
      <c r="E288" s="96"/>
      <c r="F288" s="96"/>
      <c r="G288" s="96"/>
      <c r="H288" s="96"/>
    </row>
    <row r="289" spans="1:8" x14ac:dyDescent="0.35">
      <c r="A289" s="96" t="s">
        <v>122</v>
      </c>
      <c r="B289" s="96"/>
      <c r="C289" s="96"/>
      <c r="D289" s="96"/>
      <c r="E289" s="96"/>
      <c r="F289" s="96"/>
      <c r="G289" s="96"/>
      <c r="H289" s="96"/>
    </row>
    <row r="290" spans="1:8" ht="34" customHeight="1" x14ac:dyDescent="0.35">
      <c r="A290" s="133" t="s">
        <v>123</v>
      </c>
      <c r="B290" s="133"/>
      <c r="C290" s="133"/>
      <c r="D290" s="133"/>
      <c r="E290" s="133"/>
      <c r="F290" s="133"/>
      <c r="G290" s="133"/>
      <c r="H290" s="133"/>
    </row>
    <row r="291" spans="1:8" x14ac:dyDescent="0.35">
      <c r="A291" s="189" t="s">
        <v>75</v>
      </c>
      <c r="B291" s="189"/>
      <c r="C291" s="189" t="s">
        <v>294</v>
      </c>
      <c r="D291" s="189"/>
      <c r="E291" s="189" t="s">
        <v>103</v>
      </c>
      <c r="F291" s="189"/>
      <c r="G291" s="189" t="s">
        <v>293</v>
      </c>
      <c r="H291" s="189"/>
    </row>
    <row r="292" spans="1:8" x14ac:dyDescent="0.35">
      <c r="A292" s="188" t="s">
        <v>77</v>
      </c>
      <c r="B292" s="188"/>
      <c r="C292" s="188"/>
      <c r="D292" s="188"/>
      <c r="E292" s="188"/>
      <c r="F292" s="188"/>
      <c r="G292" s="188"/>
      <c r="H292" s="188"/>
    </row>
    <row r="293" spans="1:8" x14ac:dyDescent="0.35">
      <c r="A293" s="188"/>
      <c r="B293" s="188"/>
      <c r="C293" s="188"/>
      <c r="D293" s="188"/>
      <c r="E293" s="188"/>
      <c r="F293" s="188"/>
      <c r="G293" s="188"/>
      <c r="H293" s="188"/>
    </row>
    <row r="294" spans="1:8" x14ac:dyDescent="0.35">
      <c r="A294" s="188"/>
      <c r="B294" s="188"/>
      <c r="C294" s="188"/>
      <c r="D294" s="188"/>
      <c r="E294" s="188"/>
      <c r="F294" s="188"/>
      <c r="G294" s="188"/>
      <c r="H294" s="188"/>
    </row>
    <row r="295" spans="1:8" x14ac:dyDescent="0.35">
      <c r="A295" s="188"/>
      <c r="B295" s="188"/>
      <c r="C295" s="188"/>
      <c r="D295" s="188"/>
      <c r="E295" s="188"/>
      <c r="F295" s="188"/>
      <c r="G295" s="188"/>
      <c r="H295" s="188"/>
    </row>
    <row r="296" spans="1:8" x14ac:dyDescent="0.35">
      <c r="A296" s="38" t="s">
        <v>66</v>
      </c>
      <c r="B296" s="39"/>
      <c r="C296" s="39"/>
      <c r="D296" s="38" t="str">
        <f>E8</f>
        <v>Delta Flora</v>
      </c>
      <c r="F296" s="39"/>
      <c r="G296" s="39"/>
      <c r="H296" s="39"/>
    </row>
    <row r="297" spans="1:8" x14ac:dyDescent="0.35">
      <c r="A297" s="39"/>
      <c r="B297" s="39"/>
      <c r="C297" s="39"/>
      <c r="D297" s="39"/>
      <c r="E297" s="39"/>
      <c r="F297" s="39"/>
      <c r="G297" s="39"/>
      <c r="H297" s="39"/>
    </row>
    <row r="298" spans="1:8" x14ac:dyDescent="0.35">
      <c r="A298" s="39"/>
      <c r="B298" s="39"/>
      <c r="C298" s="39"/>
      <c r="D298" s="39"/>
      <c r="E298" s="39"/>
      <c r="F298" s="39"/>
      <c r="G298" s="39"/>
      <c r="H298" s="39"/>
    </row>
    <row r="299" spans="1:8" ht="15" customHeight="1" x14ac:dyDescent="0.35"/>
    <row r="342" spans="1:1" x14ac:dyDescent="0.35">
      <c r="A342" s="41" t="s">
        <v>161</v>
      </c>
    </row>
    <row r="368" ht="154.5" hidden="1" customHeight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6" spans="1:1" x14ac:dyDescent="0.35">
      <c r="A386" s="41" t="s">
        <v>67</v>
      </c>
    </row>
  </sheetData>
  <dataConsolidate/>
  <mergeCells count="449">
    <mergeCell ref="A262:H262"/>
    <mergeCell ref="A263:B263"/>
    <mergeCell ref="A264:B264"/>
    <mergeCell ref="A265:B265"/>
    <mergeCell ref="A266:B266"/>
    <mergeCell ref="A267:B267"/>
    <mergeCell ref="A268:B268"/>
    <mergeCell ref="A269:B269"/>
    <mergeCell ref="A271:B271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C259:F259"/>
    <mergeCell ref="A242:H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28:B228"/>
    <mergeCell ref="A229:B229"/>
    <mergeCell ref="A216:B216"/>
    <mergeCell ref="A217:B217"/>
    <mergeCell ref="A218:B218"/>
    <mergeCell ref="A219:B219"/>
    <mergeCell ref="A220:B220"/>
    <mergeCell ref="A251:B251"/>
    <mergeCell ref="A252:H252"/>
    <mergeCell ref="A230:B230"/>
    <mergeCell ref="A231:B231"/>
    <mergeCell ref="A222:H222"/>
    <mergeCell ref="C231:F231"/>
    <mergeCell ref="A232:H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G233:H241"/>
    <mergeCell ref="A214:B214"/>
    <mergeCell ref="A215:B215"/>
    <mergeCell ref="A207:B207"/>
    <mergeCell ref="A221:H221"/>
    <mergeCell ref="A223:B223"/>
    <mergeCell ref="A224:B224"/>
    <mergeCell ref="A225:B225"/>
    <mergeCell ref="A226:B226"/>
    <mergeCell ref="A227:B227"/>
    <mergeCell ref="A213:B213"/>
    <mergeCell ref="A212:B212"/>
    <mergeCell ref="E84:F84"/>
    <mergeCell ref="G84:H84"/>
    <mergeCell ref="A204:B204"/>
    <mergeCell ref="A205:B205"/>
    <mergeCell ref="A206:B206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98:B198"/>
    <mergeCell ref="C202:F202"/>
    <mergeCell ref="A157:H157"/>
    <mergeCell ref="A160:H160"/>
    <mergeCell ref="A161:H161"/>
    <mergeCell ref="A172:B172"/>
    <mergeCell ref="A191:B191"/>
    <mergeCell ref="A199:B199"/>
    <mergeCell ref="A173:H173"/>
    <mergeCell ref="A174:B174"/>
    <mergeCell ref="G174:H184"/>
    <mergeCell ref="F95:H95"/>
    <mergeCell ref="E85:F94"/>
    <mergeCell ref="I14:P14"/>
    <mergeCell ref="F106:H106"/>
    <mergeCell ref="F104:H104"/>
    <mergeCell ref="A187:B187"/>
    <mergeCell ref="A120:H120"/>
    <mergeCell ref="G110:H110"/>
    <mergeCell ref="A105:E105"/>
    <mergeCell ref="A127:B127"/>
    <mergeCell ref="A53:B53"/>
    <mergeCell ref="C53:E53"/>
    <mergeCell ref="D55:H55"/>
    <mergeCell ref="F105:H105"/>
    <mergeCell ref="E110:F110"/>
    <mergeCell ref="A110:B110"/>
    <mergeCell ref="C114:D114"/>
    <mergeCell ref="D64:H64"/>
    <mergeCell ref="A65:C65"/>
    <mergeCell ref="C52:H52"/>
    <mergeCell ref="A123:H123"/>
    <mergeCell ref="A125:H125"/>
    <mergeCell ref="A166:B166"/>
    <mergeCell ref="A130:B130"/>
    <mergeCell ref="E42:H42"/>
    <mergeCell ref="A42:D42"/>
    <mergeCell ref="A81:B81"/>
    <mergeCell ref="C81:H81"/>
    <mergeCell ref="A76:B7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5:H65"/>
    <mergeCell ref="A71:B71"/>
    <mergeCell ref="G70:H70"/>
    <mergeCell ref="A63:C63"/>
    <mergeCell ref="D63:H63"/>
    <mergeCell ref="A66:C66"/>
    <mergeCell ref="D66:H66"/>
    <mergeCell ref="A64:C64"/>
    <mergeCell ref="A289:H289"/>
    <mergeCell ref="A286:H286"/>
    <mergeCell ref="A167:B167"/>
    <mergeCell ref="A114:B114"/>
    <mergeCell ref="D158:D159"/>
    <mergeCell ref="E158:E159"/>
    <mergeCell ref="G158:H159"/>
    <mergeCell ref="A89:B89"/>
    <mergeCell ref="A90:B90"/>
    <mergeCell ref="A91:B91"/>
    <mergeCell ref="F96:H96"/>
    <mergeCell ref="G111:H111"/>
    <mergeCell ref="F103:H103"/>
    <mergeCell ref="C110:D110"/>
    <mergeCell ref="C117:D117"/>
    <mergeCell ref="A124:H124"/>
    <mergeCell ref="A189:B189"/>
    <mergeCell ref="A186:B186"/>
    <mergeCell ref="A126:B126"/>
    <mergeCell ref="A285:H285"/>
    <mergeCell ref="E114:F114"/>
    <mergeCell ref="B281:H281"/>
    <mergeCell ref="B279:H279"/>
    <mergeCell ref="A133:B133"/>
    <mergeCell ref="A92:B92"/>
    <mergeCell ref="A93:B93"/>
    <mergeCell ref="A98:E98"/>
    <mergeCell ref="A95:E95"/>
    <mergeCell ref="F99:H99"/>
    <mergeCell ref="A100:E100"/>
    <mergeCell ref="A94:B94"/>
    <mergeCell ref="B275:H275"/>
    <mergeCell ref="A197:H197"/>
    <mergeCell ref="A208:B208"/>
    <mergeCell ref="A270:B270"/>
    <mergeCell ref="A261:B261"/>
    <mergeCell ref="A119:H119"/>
    <mergeCell ref="B273:H273"/>
    <mergeCell ref="B274:H274"/>
    <mergeCell ref="A192:B192"/>
    <mergeCell ref="A158:A159"/>
    <mergeCell ref="A162:B162"/>
    <mergeCell ref="A129:B129"/>
    <mergeCell ref="A128:B128"/>
    <mergeCell ref="A169:B169"/>
    <mergeCell ref="B121:B122"/>
    <mergeCell ref="A121:A122"/>
    <mergeCell ref="C121:C122"/>
    <mergeCell ref="A101:E101"/>
    <mergeCell ref="F101:H101"/>
    <mergeCell ref="A102:E102"/>
    <mergeCell ref="A104:E104"/>
    <mergeCell ref="F98:H98"/>
    <mergeCell ref="A103:E103"/>
    <mergeCell ref="C158:C159"/>
    <mergeCell ref="A147:B147"/>
    <mergeCell ref="A148:B148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E117:F117"/>
    <mergeCell ref="A118:B118"/>
    <mergeCell ref="C118:D118"/>
    <mergeCell ref="F100:H100"/>
    <mergeCell ref="A292:H295"/>
    <mergeCell ref="A291:B291"/>
    <mergeCell ref="E291:F291"/>
    <mergeCell ref="C291:D291"/>
    <mergeCell ref="G291:H291"/>
    <mergeCell ref="A109:H109"/>
    <mergeCell ref="A107:E107"/>
    <mergeCell ref="F107:H107"/>
    <mergeCell ref="A108:E108"/>
    <mergeCell ref="F108:H108"/>
    <mergeCell ref="A115:B115"/>
    <mergeCell ref="A188:B188"/>
    <mergeCell ref="A111:B111"/>
    <mergeCell ref="A287:H287"/>
    <mergeCell ref="A113:H113"/>
    <mergeCell ref="A290:H290"/>
    <mergeCell ref="A288:H288"/>
    <mergeCell ref="A284:H284"/>
    <mergeCell ref="G114:H114"/>
    <mergeCell ref="E112:F112"/>
    <mergeCell ref="G112:H112"/>
    <mergeCell ref="A116:B116"/>
    <mergeCell ref="C116:D116"/>
    <mergeCell ref="E116:F1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A39:B39"/>
    <mergeCell ref="C39:H39"/>
    <mergeCell ref="F36:H36"/>
    <mergeCell ref="A46:D46"/>
    <mergeCell ref="A47:H47"/>
    <mergeCell ref="D57:H57"/>
    <mergeCell ref="A57:C57"/>
    <mergeCell ref="G50:H50"/>
    <mergeCell ref="A51:B52"/>
    <mergeCell ref="C51:E51"/>
    <mergeCell ref="A58:C59"/>
    <mergeCell ref="D58:H58"/>
    <mergeCell ref="D59:H59"/>
    <mergeCell ref="C50:E50"/>
    <mergeCell ref="A38:B38"/>
    <mergeCell ref="C38:H38"/>
    <mergeCell ref="A45:D45"/>
    <mergeCell ref="L129:M129"/>
    <mergeCell ref="L128:M128"/>
    <mergeCell ref="L127:M127"/>
    <mergeCell ref="L126:M126"/>
    <mergeCell ref="A78:B78"/>
    <mergeCell ref="C115:D115"/>
    <mergeCell ref="E115:F115"/>
    <mergeCell ref="G115:H115"/>
    <mergeCell ref="F102:H102"/>
    <mergeCell ref="A96:E96"/>
    <mergeCell ref="E121:E122"/>
    <mergeCell ref="G121:H122"/>
    <mergeCell ref="A85:B85"/>
    <mergeCell ref="E71:F80"/>
    <mergeCell ref="G71:H80"/>
    <mergeCell ref="A79:B79"/>
    <mergeCell ref="A80:B80"/>
    <mergeCell ref="D61:H61"/>
    <mergeCell ref="A43:D43"/>
    <mergeCell ref="E43:H43"/>
    <mergeCell ref="E44:H44"/>
    <mergeCell ref="A117:B117"/>
    <mergeCell ref="A84:B84"/>
    <mergeCell ref="E46:H46"/>
    <mergeCell ref="A83:B83"/>
    <mergeCell ref="C83:H83"/>
    <mergeCell ref="A44:D44"/>
    <mergeCell ref="L165:M165"/>
    <mergeCell ref="L162:M162"/>
    <mergeCell ref="A163:B163"/>
    <mergeCell ref="E45:H45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112:B112"/>
    <mergeCell ref="C112:D112"/>
    <mergeCell ref="A171:B171"/>
    <mergeCell ref="G116:H116"/>
    <mergeCell ref="C111:D111"/>
    <mergeCell ref="E111:F111"/>
    <mergeCell ref="L163:M163"/>
    <mergeCell ref="B158:B159"/>
    <mergeCell ref="E118:F118"/>
    <mergeCell ref="G118:H118"/>
    <mergeCell ref="A131:B131"/>
    <mergeCell ref="A132:B132"/>
    <mergeCell ref="A145:B145"/>
    <mergeCell ref="A146:B146"/>
    <mergeCell ref="A168:B168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06:E106"/>
    <mergeCell ref="G117:H117"/>
    <mergeCell ref="A164:B164"/>
    <mergeCell ref="L164:M164"/>
    <mergeCell ref="B276:H276"/>
    <mergeCell ref="B277:H277"/>
    <mergeCell ref="A272:H272"/>
    <mergeCell ref="A195:B195"/>
    <mergeCell ref="A196:B196"/>
    <mergeCell ref="A185:H185"/>
    <mergeCell ref="A165:B165"/>
    <mergeCell ref="A193:B193"/>
    <mergeCell ref="A194:B194"/>
    <mergeCell ref="A170:B170"/>
    <mergeCell ref="L166:M166"/>
    <mergeCell ref="A190:B190"/>
    <mergeCell ref="A200:B200"/>
    <mergeCell ref="A201:B201"/>
    <mergeCell ref="A202:B202"/>
    <mergeCell ref="A203:B203"/>
    <mergeCell ref="A209:H209"/>
    <mergeCell ref="A210:B210"/>
    <mergeCell ref="A211:B211"/>
    <mergeCell ref="B282:H282"/>
    <mergeCell ref="B283:H283"/>
    <mergeCell ref="I63:K63"/>
    <mergeCell ref="B280:H280"/>
    <mergeCell ref="A48:B48"/>
    <mergeCell ref="C48:H48"/>
    <mergeCell ref="B278:H278"/>
    <mergeCell ref="G85:H94"/>
    <mergeCell ref="A86:B86"/>
    <mergeCell ref="A87:B87"/>
    <mergeCell ref="A88:B88"/>
    <mergeCell ref="F97:H97"/>
    <mergeCell ref="A97:E97"/>
    <mergeCell ref="D121:D122"/>
    <mergeCell ref="A99:E99"/>
    <mergeCell ref="G210:H220"/>
    <mergeCell ref="G223:H231"/>
    <mergeCell ref="G243:H251"/>
    <mergeCell ref="G253:H261"/>
    <mergeCell ref="G263:H271"/>
    <mergeCell ref="G162:H172"/>
    <mergeCell ref="G186:H196"/>
    <mergeCell ref="G198:H208"/>
    <mergeCell ref="G126:H156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1:E122">
      <formula1>"Attached Loft area,Attached Terrace area,Attached Mezzanine area"</formula1>
    </dataValidation>
    <dataValidation type="list" allowBlank="1" showInputMessage="1" showErrorMessage="1" sqref="F122 F159">
      <formula1>"45%,50%,55%,60%"</formula1>
    </dataValidation>
    <dataValidation type="list" allowBlank="1" showInputMessage="1" showErrorMessage="1" sqref="G291:H291">
      <formula1>"Kunal Kadam,Shruti Tathare,Pranita Mhatre,Shruti Fule,Pooja Kawale,Mansee Mohite,Anjali Kamble,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21 F158">
      <formula1>"Saleable area Loading :,Builder Saleable area"</formula1>
    </dataValidation>
    <dataValidation type="list" allowBlank="1" showInputMessage="1" showErrorMessage="1" sqref="B121:B122">
      <formula1>"Shop No. (Sale Plan),Sale / Rehab,Sale / Mhada"</formula1>
    </dataValidation>
    <dataValidation type="list" allowBlank="1" showInputMessage="1" showErrorMessage="1" sqref="B158:B15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3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3" manualBreakCount="3">
    <brk id="295" max="16383" man="1"/>
    <brk id="341" max="16383" man="1"/>
    <brk id="385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4" t="s">
        <v>104</v>
      </c>
      <c r="C3" s="224"/>
      <c r="D3" s="224"/>
      <c r="E3" s="224"/>
      <c r="F3" s="224"/>
      <c r="G3" s="224"/>
      <c r="H3" s="224"/>
    </row>
    <row r="4" spans="1:9" x14ac:dyDescent="0.35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8"/>
      <c r="C4" s="58" t="s">
        <v>12</v>
      </c>
      <c r="D4" s="59" t="s">
        <v>175</v>
      </c>
      <c r="E4" s="59" t="s">
        <v>185</v>
      </c>
      <c r="F4" s="59" t="s">
        <v>169</v>
      </c>
      <c r="G4" s="59" t="s">
        <v>190</v>
      </c>
      <c r="H4" s="59" t="s">
        <v>208</v>
      </c>
      <c r="J4" t="s">
        <v>190</v>
      </c>
      <c r="K4" t="s">
        <v>206</v>
      </c>
    </row>
    <row r="5" spans="2:11" x14ac:dyDescent="0.35">
      <c r="B5" s="58"/>
      <c r="C5" s="58"/>
      <c r="D5" s="59" t="s">
        <v>176</v>
      </c>
      <c r="E5" s="59" t="s">
        <v>183</v>
      </c>
      <c r="F5" s="59" t="s">
        <v>205</v>
      </c>
      <c r="G5" s="59" t="s">
        <v>191</v>
      </c>
      <c r="H5" s="59" t="s">
        <v>209</v>
      </c>
    </row>
    <row r="6" spans="2:11" x14ac:dyDescent="0.35">
      <c r="B6" s="58"/>
      <c r="C6" s="58"/>
      <c r="D6" s="59" t="s">
        <v>177</v>
      </c>
      <c r="E6" s="59" t="s">
        <v>184</v>
      </c>
      <c r="F6" s="59" t="s">
        <v>206</v>
      </c>
      <c r="G6" s="59" t="s">
        <v>192</v>
      </c>
      <c r="H6" s="59" t="s">
        <v>222</v>
      </c>
    </row>
    <row r="7" spans="2:11" x14ac:dyDescent="0.35">
      <c r="B7" s="58"/>
      <c r="C7" s="58"/>
      <c r="D7" s="59" t="s">
        <v>178</v>
      </c>
      <c r="E7" s="59" t="s">
        <v>186</v>
      </c>
      <c r="F7" s="59" t="s">
        <v>207</v>
      </c>
      <c r="G7" s="59" t="s">
        <v>193</v>
      </c>
      <c r="H7" s="59" t="s">
        <v>210</v>
      </c>
    </row>
    <row r="8" spans="2:11" x14ac:dyDescent="0.35">
      <c r="B8" s="58"/>
      <c r="C8" s="58"/>
      <c r="D8" s="59" t="s">
        <v>179</v>
      </c>
      <c r="E8" s="59" t="s">
        <v>187</v>
      </c>
      <c r="F8" s="59"/>
      <c r="G8" s="59" t="s">
        <v>194</v>
      </c>
      <c r="H8" s="59" t="s">
        <v>211</v>
      </c>
    </row>
    <row r="9" spans="2:11" x14ac:dyDescent="0.35">
      <c r="B9" s="58"/>
      <c r="C9" s="58"/>
      <c r="D9" s="59" t="s">
        <v>180</v>
      </c>
      <c r="E9" s="59" t="s">
        <v>185</v>
      </c>
      <c r="F9" s="59"/>
      <c r="G9" s="59" t="s">
        <v>195</v>
      </c>
      <c r="H9" s="59" t="s">
        <v>212</v>
      </c>
    </row>
    <row r="10" spans="2:11" x14ac:dyDescent="0.35">
      <c r="B10" s="58"/>
      <c r="C10" s="58"/>
      <c r="D10" s="59" t="s">
        <v>181</v>
      </c>
      <c r="E10" s="59" t="s">
        <v>188</v>
      </c>
      <c r="F10" s="59"/>
      <c r="G10" s="59" t="s">
        <v>196</v>
      </c>
      <c r="H10" s="59" t="s">
        <v>213</v>
      </c>
    </row>
    <row r="11" spans="2:11" x14ac:dyDescent="0.35">
      <c r="B11" s="58"/>
      <c r="C11" s="58"/>
      <c r="D11" s="59" t="s">
        <v>182</v>
      </c>
      <c r="E11" s="59" t="s">
        <v>189</v>
      </c>
      <c r="F11" s="59"/>
      <c r="G11" s="59" t="s">
        <v>197</v>
      </c>
      <c r="H11" s="59" t="s">
        <v>214</v>
      </c>
    </row>
    <row r="12" spans="2:11" x14ac:dyDescent="0.35">
      <c r="B12" s="58"/>
      <c r="C12" s="58"/>
      <c r="D12" s="59"/>
      <c r="E12" s="59"/>
      <c r="F12" s="59"/>
      <c r="G12" s="59" t="s">
        <v>198</v>
      </c>
      <c r="H12" s="59" t="s">
        <v>215</v>
      </c>
    </row>
    <row r="13" spans="2:11" x14ac:dyDescent="0.35">
      <c r="B13" s="58"/>
      <c r="C13" s="58"/>
      <c r="D13" s="59"/>
      <c r="E13" s="59"/>
      <c r="F13" s="59"/>
      <c r="G13" s="59" t="s">
        <v>199</v>
      </c>
      <c r="H13" s="59" t="s">
        <v>216</v>
      </c>
    </row>
    <row r="14" spans="2:11" x14ac:dyDescent="0.35">
      <c r="B14" s="58"/>
      <c r="C14" s="58"/>
      <c r="D14" s="59"/>
      <c r="E14" s="59"/>
      <c r="F14" s="59"/>
      <c r="G14" s="59" t="s">
        <v>200</v>
      </c>
      <c r="H14" s="59" t="s">
        <v>217</v>
      </c>
    </row>
    <row r="15" spans="2:11" x14ac:dyDescent="0.35">
      <c r="B15" s="58"/>
      <c r="C15" s="58"/>
      <c r="D15" s="59"/>
      <c r="E15" s="59"/>
      <c r="F15" s="59"/>
      <c r="G15" s="59" t="s">
        <v>201</v>
      </c>
      <c r="H15" s="59" t="s">
        <v>218</v>
      </c>
    </row>
    <row r="16" spans="2:11" x14ac:dyDescent="0.35">
      <c r="B16" s="58"/>
      <c r="C16" s="58"/>
      <c r="D16" s="59"/>
      <c r="E16" s="59"/>
      <c r="F16" s="59"/>
      <c r="G16" s="59" t="s">
        <v>202</v>
      </c>
      <c r="H16" s="59" t="s">
        <v>219</v>
      </c>
    </row>
    <row r="17" spans="2:8" x14ac:dyDescent="0.35">
      <c r="B17" s="58"/>
      <c r="C17" s="58"/>
      <c r="D17" s="59"/>
      <c r="E17" s="59"/>
      <c r="F17" s="59"/>
      <c r="G17" s="59" t="s">
        <v>203</v>
      </c>
      <c r="H17" s="59" t="s">
        <v>220</v>
      </c>
    </row>
    <row r="18" spans="2:8" x14ac:dyDescent="0.35">
      <c r="B18" s="58"/>
      <c r="C18" s="58"/>
      <c r="D18" s="59"/>
      <c r="E18" s="59"/>
      <c r="F18" s="59"/>
      <c r="G18" s="59" t="s">
        <v>204</v>
      </c>
      <c r="H18" s="59" t="s">
        <v>221</v>
      </c>
    </row>
    <row r="24" spans="2:8" x14ac:dyDescent="0.35">
      <c r="C24" t="s">
        <v>167</v>
      </c>
    </row>
    <row r="25" spans="2:8" x14ac:dyDescent="0.35">
      <c r="C25" t="s">
        <v>223</v>
      </c>
    </row>
    <row r="26" spans="2:8" x14ac:dyDescent="0.35">
      <c r="C26" t="s">
        <v>224</v>
      </c>
    </row>
    <row r="27" spans="2:8" x14ac:dyDescent="0.35">
      <c r="C27" t="s">
        <v>225</v>
      </c>
    </row>
    <row r="28" spans="2:8" x14ac:dyDescent="0.35">
      <c r="C28" t="s">
        <v>226</v>
      </c>
    </row>
    <row r="29" spans="2:8" x14ac:dyDescent="0.35">
      <c r="C29" t="s">
        <v>227</v>
      </c>
    </row>
    <row r="30" spans="2:8" x14ac:dyDescent="0.35">
      <c r="C30" t="s">
        <v>167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2025-05-15T07:44:43Z</cp:lastPrinted>
  <dcterms:created xsi:type="dcterms:W3CDTF">2019-07-16T09:29:46Z</dcterms:created>
  <dcterms:modified xsi:type="dcterms:W3CDTF">2025-08-14T05:29:17Z</dcterms:modified>
</cp:coreProperties>
</file>