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2-08-2025\"/>
    </mc:Choice>
  </mc:AlternateContent>
  <bookViews>
    <workbookView xWindow="0" yWindow="0" windowWidth="19200" windowHeight="6640"/>
  </bookViews>
  <sheets>
    <sheet name="Sheet1" sheetId="1" r:id="rId1"/>
    <sheet name="C %" sheetId="2" r:id="rId2"/>
    <sheet name="VALUATION" sheetId="3" r:id="rId3"/>
  </sheets>
  <definedNames>
    <definedName name="_xlnm.Print_Area" localSheetId="0">Sheet1!$A$1:$J$211</definedName>
  </definedNames>
  <calcPr calcId="162913"/>
</workbook>
</file>

<file path=xl/calcChain.xml><?xml version="1.0" encoding="utf-8"?>
<calcChain xmlns="http://schemas.openxmlformats.org/spreadsheetml/2006/main">
  <c r="F3" i="1" l="1"/>
  <c r="L67" i="1" l="1"/>
  <c r="L66" i="1"/>
  <c r="L65" i="1"/>
  <c r="L64" i="1"/>
  <c r="I57" i="1"/>
  <c r="C62" i="1" l="1"/>
  <c r="D62" i="1" s="1"/>
  <c r="L60" i="1"/>
  <c r="D69" i="1"/>
  <c r="D67" i="1"/>
  <c r="D65" i="1"/>
  <c r="D63" i="1"/>
  <c r="L61" i="1"/>
  <c r="C60" i="1" s="1"/>
  <c r="D60" i="1" s="1"/>
  <c r="L59" i="1"/>
  <c r="L62" i="1"/>
  <c r="L63" i="1" s="1"/>
  <c r="L68" i="1" s="1"/>
  <c r="L69" i="1" s="1"/>
  <c r="C61" i="1" s="1"/>
  <c r="D68" i="1"/>
  <c r="D66" i="1"/>
  <c r="D64" i="1"/>
  <c r="C10" i="2"/>
  <c r="L7" i="2" s="1"/>
  <c r="H16" i="2" s="1"/>
  <c r="F6" i="3"/>
  <c r="G6" i="3" s="1"/>
  <c r="F7" i="3"/>
  <c r="G7" i="3" s="1"/>
  <c r="F5" i="3"/>
  <c r="G5" i="3" s="1"/>
  <c r="O7" i="2"/>
  <c r="H19" i="2" s="1"/>
  <c r="N6" i="2"/>
  <c r="G18" i="2" s="1"/>
  <c r="E9" i="2"/>
  <c r="E8" i="2"/>
  <c r="K7" i="2"/>
  <c r="H15" i="2" s="1"/>
  <c r="K6" i="2"/>
  <c r="G15" i="2" s="1"/>
  <c r="I6" i="2"/>
  <c r="G13" i="2" s="1"/>
  <c r="E6" i="2"/>
  <c r="J7" i="2"/>
  <c r="H14" i="2" s="1"/>
  <c r="E4" i="2"/>
  <c r="E10" i="2"/>
  <c r="M6" i="2"/>
  <c r="G17" i="2" s="1"/>
  <c r="M7" i="2"/>
  <c r="H17" i="2" s="1"/>
  <c r="N7" i="2"/>
  <c r="H18" i="2" s="1"/>
  <c r="F92" i="1"/>
  <c r="J92" i="1" s="1"/>
  <c r="L92" i="1" s="1"/>
  <c r="F108" i="1"/>
  <c r="J108" i="1" s="1"/>
  <c r="F107" i="1"/>
  <c r="J107" i="1" s="1"/>
  <c r="F106" i="1"/>
  <c r="J106" i="1" s="1"/>
  <c r="F104" i="1"/>
  <c r="J104" i="1" s="1"/>
  <c r="L104" i="1" s="1"/>
  <c r="F99" i="1"/>
  <c r="J99" i="1" s="1"/>
  <c r="F101" i="1"/>
  <c r="J101" i="1" s="1"/>
  <c r="F100" i="1"/>
  <c r="J100" i="1" s="1"/>
  <c r="F98" i="1"/>
  <c r="J98" i="1" s="1"/>
  <c r="F95" i="1"/>
  <c r="J95" i="1" s="1"/>
  <c r="F94" i="1"/>
  <c r="J94" i="1" s="1"/>
  <c r="F93" i="1"/>
  <c r="J93" i="1" s="1"/>
  <c r="J6" i="2"/>
  <c r="G14" i="2" s="1"/>
  <c r="E5" i="2"/>
  <c r="O6" i="2"/>
  <c r="G19" i="2" s="1"/>
  <c r="L6" i="2" l="1"/>
  <c r="G16" i="2" s="1"/>
  <c r="F60" i="1"/>
  <c r="K56" i="1" s="1"/>
  <c r="C58" i="1" s="1"/>
  <c r="D61" i="1"/>
  <c r="H60" i="1"/>
  <c r="G8" i="3"/>
  <c r="G20" i="2"/>
  <c r="I7" i="2"/>
  <c r="H13" i="2" s="1"/>
  <c r="H20" i="2" s="1"/>
  <c r="E7" i="2"/>
</calcChain>
</file>

<file path=xl/sharedStrings.xml><?xml version="1.0" encoding="utf-8"?>
<sst xmlns="http://schemas.openxmlformats.org/spreadsheetml/2006/main" count="286" uniqueCount="210">
  <si>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</si>
  <si>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</si>
  <si>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</si>
  <si>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</si>
  <si>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</si>
  <si>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</si>
  <si>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</si>
  <si>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Accessibility of the project from the city:(Proximities to civic amenities like school, hospital &amp; market, etc.)</t>
  </si>
  <si>
    <t>Does the property have electricity/water/Drainage Connection</t>
  </si>
  <si>
    <t>Class of locality</t>
  </si>
  <si>
    <t>Boundaries</t>
  </si>
  <si>
    <t>East</t>
  </si>
  <si>
    <t>West</t>
  </si>
  <si>
    <t>South</t>
  </si>
  <si>
    <t>North</t>
  </si>
  <si>
    <t>As per deed</t>
  </si>
  <si>
    <t>At site</t>
  </si>
  <si>
    <t>Does the boundaries at site match, as mentioned in the Docoumentation:</t>
  </si>
  <si>
    <t>Total FSI availaible for the project</t>
  </si>
  <si>
    <t>Total number of Buildings</t>
  </si>
  <si>
    <t>Approval Detail :</t>
  </si>
  <si>
    <t>Building wise Construction details</t>
  </si>
  <si>
    <t>Recommended Rates of the Property :</t>
  </si>
  <si>
    <t>Recommended rate of the flat</t>
  </si>
  <si>
    <t xml:space="preserve">Club Charges </t>
  </si>
  <si>
    <t>Valuation as per Government reckoners rates</t>
  </si>
  <si>
    <t>Distress valuation of the property</t>
  </si>
  <si>
    <t>Building details floor wise</t>
  </si>
  <si>
    <t>Undertaking :</t>
  </si>
  <si>
    <t>2) I/We have no direct or Indirect Interest in the property being valued</t>
  </si>
  <si>
    <t>Type of Flats</t>
  </si>
  <si>
    <t>Nos.of Flat</t>
  </si>
  <si>
    <t>Flat no.</t>
  </si>
  <si>
    <t>Sr.</t>
  </si>
  <si>
    <t>Terrace</t>
  </si>
  <si>
    <t>Saleable Area.</t>
  </si>
  <si>
    <t>Yes</t>
  </si>
  <si>
    <t>Middle Class</t>
  </si>
  <si>
    <t>Nature of land with topographical condtion : Plane</t>
  </si>
  <si>
    <t>Quality of infrastructure in vicinity : Good</t>
  </si>
  <si>
    <t>Not Provided</t>
  </si>
  <si>
    <t>Type of Structure: RCC framed Structure</t>
  </si>
  <si>
    <t>Approval details:  The Project is Approved as per the details given below</t>
  </si>
  <si>
    <t>O. Certificate No.Under Construction</t>
  </si>
  <si>
    <t>Date of approval:Awaiting</t>
  </si>
  <si>
    <t>Expiry date:Not Provided</t>
  </si>
  <si>
    <t>Expiry date:NA</t>
  </si>
  <si>
    <t>Type of Work</t>
  </si>
  <si>
    <t>Plinth</t>
  </si>
  <si>
    <t>RCC</t>
  </si>
  <si>
    <t>Plaster</t>
  </si>
  <si>
    <t>1 BHK</t>
  </si>
  <si>
    <t>NA</t>
  </si>
  <si>
    <t>Ground Floor Consist of Commercial Shop &amp; Part is Stilt for Parking</t>
  </si>
  <si>
    <t>Violations Observed if any : No.</t>
  </si>
  <si>
    <t xml:space="preserve">Gross Carpet Area </t>
  </si>
  <si>
    <t>Copy of CC &amp; Copy of Approved Plan</t>
  </si>
  <si>
    <t>Development charges and cidco transfer charges</t>
  </si>
  <si>
    <t>1) We have personally visited the property &amp; identified the same based on the documents provided</t>
  </si>
  <si>
    <t>Flooring</t>
  </si>
  <si>
    <t>Finishing</t>
  </si>
  <si>
    <t>Plot No.: NA</t>
  </si>
  <si>
    <t>Open Land</t>
  </si>
  <si>
    <t xml:space="preserve">Floor </t>
  </si>
  <si>
    <t xml:space="preserve">1st </t>
  </si>
  <si>
    <t xml:space="preserve">Any other Amenities / Other Charges </t>
  </si>
  <si>
    <t>Road</t>
  </si>
  <si>
    <t>Survey No. 46 (491)</t>
  </si>
  <si>
    <t>District: Thane.</t>
  </si>
  <si>
    <t>City : Vasai Virar. (Palghar)</t>
  </si>
  <si>
    <t>Nearby Landmark : Globle City Sec. 7</t>
  </si>
  <si>
    <t>Distance from city centre : 5 km from Virar Railway Station.</t>
  </si>
  <si>
    <t>Yes, all the mentioned amenities are within the radius of 2 to 3 KM range.</t>
  </si>
  <si>
    <t>Nature of the locality  : Developing Area</t>
  </si>
  <si>
    <t>Building</t>
  </si>
  <si>
    <t>Mahaveer Building</t>
  </si>
  <si>
    <t>Approved usage of the Property :  Commercial &amp; Residential                                                                                                                                                   (Restrictive convenants in regards to land use , if any): No.</t>
  </si>
  <si>
    <t xml:space="preserve">77631.56 Sq. Mtr. (G - Zone), 693527.39, Sq. Mtr (LDZ), 443676.67 Sq. Mtr. (R- Zone Area) </t>
  </si>
  <si>
    <t>0.30 (G Zone &amp; LDZ Area) &amp; 1 (R-Zone Area)</t>
  </si>
  <si>
    <t>Total Approved Builtup area of the Building</t>
  </si>
  <si>
    <t>11824.75 Sq.Mtr. (G + 15 Floors)</t>
  </si>
  <si>
    <t>One</t>
  </si>
  <si>
    <t>Approved Layout Plan : VVCMC/T.P/AMEND/BP/4486/VP/0880/037/2014-15                  Dated : 15/05/2014</t>
  </si>
  <si>
    <t xml:space="preserve">Layout Approval No : VVCMC/T.P/AMEND/BP/ 4486/VP/0880/037/2014-15                  </t>
  </si>
  <si>
    <t>Date of approval : 15/05/2014.</t>
  </si>
  <si>
    <t>Date of Commencement of Construction: 07/03/2012</t>
  </si>
  <si>
    <t>Approved no of units : 88 Nos of Flat.</t>
  </si>
  <si>
    <t>Quality of construction : Good (Under Construction)</t>
  </si>
  <si>
    <t>Approved area of the building : 11824.75 Sq.Mtr (As per Given plan)</t>
  </si>
  <si>
    <t>Permissible FSI (As per Layout Plan)</t>
  </si>
  <si>
    <t>Permissible TDR/Paid FSI (As per Layout Plan)</t>
  </si>
  <si>
    <t>Total Net land area of the project (As per Layout Plan Given to us)</t>
  </si>
  <si>
    <t>1st</t>
  </si>
  <si>
    <t>Flat No. 01, 02, 03</t>
  </si>
  <si>
    <t>Flat No. 04</t>
  </si>
  <si>
    <t>Flat No. 05</t>
  </si>
  <si>
    <t>Flat No. 06</t>
  </si>
  <si>
    <t>Typical 2nd To 7th, 9th to 12th, &amp; 14th to 15th Floors</t>
  </si>
  <si>
    <t>Nos. of Flat</t>
  </si>
  <si>
    <t>Refuge Floor Plan 8th Floor &amp; 13th Floor</t>
  </si>
  <si>
    <t>Flat No. 01, 02</t>
  </si>
  <si>
    <t>Flat No. 03</t>
  </si>
  <si>
    <t>Refuge Area</t>
  </si>
  <si>
    <t>Road : Chikhal Dongre Road</t>
  </si>
  <si>
    <t>Locality: Dongre, Virar</t>
  </si>
  <si>
    <t>1st Floor Plan</t>
  </si>
  <si>
    <t>25/- (Per Sq. Ft. )</t>
  </si>
  <si>
    <t xml:space="preserve">Proposed Amenities                                                                                                                                                                                                                                   1. Vitrified tiles flooring : Not yet commenced.                                                                                                                                                                  2. Garanite  Kitchen platform: Not yet commenced.                                                                                                                               3. Aluminum coated sliding French windows with tinted glass: Not yet commenced.                                                                                               4. Designer Bathroom with branded Sanitary were: Not yet commenced.                                                                                                             5. Acrylic Distemper on internal walls: Not yet commenced.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</si>
  <si>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6) Plot Area not mentioned in Building plan so land area &amp; FSI considered as per given layout plan of Project.  </t>
  </si>
  <si>
    <t xml:space="preserve">M/S. Morya Realtors. </t>
  </si>
  <si>
    <t>Valuation Report For BHAVYA HEIGHTS</t>
  </si>
  <si>
    <t>Latitude &amp; Logitude</t>
  </si>
  <si>
    <t>Latitude : 19.47,  Longitude : 72.97</t>
  </si>
  <si>
    <t>4,500/- (per Sq.Ft. On saleable area)</t>
  </si>
  <si>
    <t>3600/- (per Sq.Ft. On saleable area)</t>
  </si>
  <si>
    <t>Wheather the construction is as per approved Building plan : Under construction</t>
  </si>
  <si>
    <r>
      <rPr>
        <b/>
        <sz val="11"/>
        <color indexed="8"/>
        <rFont val="Times New Roman"/>
        <family val="1"/>
      </rPr>
      <t xml:space="preserve">Authorized Signatory </t>
    </r>
    <r>
      <rPr>
        <b/>
        <sz val="11"/>
        <color indexed="8"/>
        <rFont val="Calibri"/>
        <family val="2"/>
      </rPr>
      <t xml:space="preserve">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Times New Roman"/>
        <family val="1"/>
      </rPr>
      <t>Name &amp; Seal of the agency</t>
    </r>
  </si>
  <si>
    <t>Axis Kalina</t>
  </si>
  <si>
    <t>Bhavya Heights</t>
  </si>
  <si>
    <t>Particulars</t>
  </si>
  <si>
    <t xml:space="preserve">totaL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</si>
  <si>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</si>
  <si>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</si>
  <si>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</si>
  <si>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</si>
  <si>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</si>
  <si>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</si>
  <si>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</si>
  <si>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</si>
  <si>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</si>
  <si>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</si>
  <si>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</si>
  <si>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</si>
  <si>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</si>
  <si>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</si>
  <si>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</si>
  <si>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</si>
  <si>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</si>
  <si>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</si>
  <si>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</si>
  <si>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 xml:space="preserve">PHOTOGRAPHS OF PROPERTY : </t>
  </si>
  <si>
    <t>GOOGLE MAP :</t>
  </si>
  <si>
    <t>Project location details : Bhavya Heights, Building No - 23, Sector VII, Type Q9, S. No. 46 (491). H.No.-1,                       Village-Dongre, Virar-Vasai.</t>
  </si>
  <si>
    <t>Pin Code: 401 303</t>
  </si>
  <si>
    <t>100000/-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</si>
  <si>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</si>
  <si>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</si>
  <si>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</si>
  <si>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</si>
  <si>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</si>
  <si>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</si>
  <si>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</si>
  <si>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</si>
  <si>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Average</t>
  </si>
  <si>
    <t xml:space="preserve">Valuation Adopted </t>
  </si>
  <si>
    <t>commonfloor</t>
  </si>
  <si>
    <t>1BHK</t>
  </si>
  <si>
    <t>2BHK</t>
  </si>
  <si>
    <t xml:space="preserve">Recommended rate of Parking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</si>
  <si>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</si>
  <si>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</si>
  <si>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</si>
  <si>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</si>
  <si>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</si>
  <si>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</si>
  <si>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</si>
  <si>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</si>
  <si>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</si>
  <si>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</si>
  <si>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</si>
  <si>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</si>
  <si>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</si>
  <si>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</si>
  <si>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</si>
  <si>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</si>
  <si>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</si>
  <si>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</si>
  <si>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</si>
  <si>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</si>
  <si>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</si>
  <si>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</si>
  <si>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</si>
  <si>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</si>
  <si>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</si>
  <si>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</si>
  <si>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</si>
  <si>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</si>
  <si>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</si>
  <si>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</si>
  <si>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</si>
  <si>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</si>
  <si>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Approved no of Floors : Gr + 1st to 15 Floor</t>
  </si>
  <si>
    <t>Gr + 1st to 15 Floor</t>
  </si>
  <si>
    <t xml:space="preserve">Construction details:                                                                                                                                                                  Stage of construction : Plinth work completed, RCC work up to 15th Slab completed, Brick work up to 13th floor completed, internal plaster up to 3rd floor completed. </t>
  </si>
  <si>
    <t>Material laying at Site : Brick, sand, cement, steel etc.</t>
  </si>
  <si>
    <t>C.certificate No: VVCMC/TP/CC/VP-0880/2504/2011-12            Date : 07/03/2012.                                             C.C. Granted up to: G + 1st to 10th Floor</t>
  </si>
  <si>
    <t xml:space="preserve">RERA No. </t>
  </si>
  <si>
    <t>P99000011803</t>
  </si>
  <si>
    <t>RCC(Including podiums)</t>
  </si>
  <si>
    <t>Projected life : 60 Years after completion</t>
  </si>
  <si>
    <t>Building No. 23, Type Q9 Wing E</t>
  </si>
  <si>
    <t>Building No. 23, Type Q9, Wing E</t>
  </si>
  <si>
    <t xml:space="preserve">Building plan approval No : VVCMC/T.P/AMEND/BP/4486/VP/0880/025/2012-13                    Dated : 03/05/2012       No of floors approved : G + 1st to 15 Floor                   </t>
  </si>
  <si>
    <t>Floor rise rate ( from 8th floor onwards)</t>
  </si>
  <si>
    <t>Location Link</t>
  </si>
  <si>
    <t>https://goo.gl/maps/y1fYPDJnjTXqcgdN6?coh=178572&amp;entry=tt</t>
  </si>
  <si>
    <t>Expected Completion : 30/04/2024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</si>
  <si>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</si>
  <si>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3) The information furnished above is true and correct to my/our knowledge.
4) Saleable Area considered as loading of 45 % on Gross Carpet Area.
5) Builder's Saleable Area Statement did not tally with given approved plan.</t>
  </si>
  <si>
    <r>
      <t xml:space="preserve">Remarks:
1. Construction work is stopped. Work is same as last visit (dtd.10/05/2023).
2. We considered Rate as  per Market Enquiries.
3. We have considered Other charges from cost sheet.
4.Car parking is subjected to authentic documentation.
5. Please provide latest CC.
6. </t>
    </r>
    <r>
      <rPr>
        <b/>
        <sz val="11"/>
        <color rgb="FFFF0000"/>
        <rFont val="Times New Roman"/>
        <family val="1"/>
      </rPr>
      <t>As per RERA, completion period of project Bhavya Heights is expired on 30/04/2024 but still project is under construction.
7. Since Project Bhavya Heights have received CC on 07/03/2012., but still project is under construction.
8. As checked on RERA portal on date 13/08/2025, we have observed that above project "Bhavya Heights" is kept under abeyance. Please check from your end.</t>
    </r>
    <r>
      <rPr>
        <b/>
        <sz val="11"/>
        <rFont val="Times New Roman"/>
        <family val="1"/>
      </rPr>
      <t xml:space="preserve">
5. On site we meet Mr.Sandeep - 7397894099.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</si>
</sst>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0" fillId="0" borderId="0"/>
    <xf numFmtId="0" fontId="21" fillId="0" borderId="0" applyNumberFormat="0" applyFill="0" applyBorder="0" applyAlignment="0" applyProtection="0"/>
  </cellStyleXfs>
  <cellXfs count="152">
    <xf numFmtId="0" fontId="0" fillId="0" borderId="0" xfId="0"/>
    <xf numFmtId="0" fontId="11" fillId="2" borderId="1" xfId="0" applyFont="1" applyFill="1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" fontId="0" fillId="0" borderId="0" xfId="0" applyNumberFormat="1"/>
    <xf numFmtId="1" fontId="0" fillId="0" borderId="2" xfId="0" applyNumberFormat="1" applyBorder="1"/>
    <xf numFmtId="1" fontId="0" fillId="0" borderId="1" xfId="0" applyNumberFormat="1" applyBorder="1"/>
    <xf numFmtId="0" fontId="10" fillId="0" borderId="0" xfId="9"/>
    <xf numFmtId="0" fontId="1" fillId="0" borderId="0" xfId="3"/>
    <xf numFmtId="0" fontId="9" fillId="0" borderId="0" xfId="8"/>
    <xf numFmtId="0" fontId="11" fillId="0" borderId="1" xfId="8" applyFont="1" applyBorder="1" applyAlignment="1">
      <alignment horizontal="center" vertical="top" wrapText="1"/>
    </xf>
    <xf numFmtId="0" fontId="15" fillId="0" borderId="0" xfId="3" applyFont="1"/>
    <xf numFmtId="0" fontId="9" fillId="0" borderId="1" xfId="8" applyBorder="1" applyAlignment="1">
      <alignment horizontal="center" vertical="center"/>
    </xf>
    <xf numFmtId="1" fontId="9" fillId="0" borderId="1" xfId="8" applyNumberFormat="1" applyBorder="1" applyAlignment="1">
      <alignment horizontal="center" vertical="center"/>
    </xf>
    <xf numFmtId="165" fontId="9" fillId="0" borderId="1" xfId="1" applyNumberFormat="1" applyFont="1" applyBorder="1" applyAlignment="1">
      <alignment horizontal="right" vertical="center"/>
    </xf>
    <xf numFmtId="0" fontId="11" fillId="0" borderId="1" xfId="8" applyFont="1" applyBorder="1" applyAlignment="1">
      <alignment horizontal="center" vertical="center"/>
    </xf>
    <xf numFmtId="1" fontId="12" fillId="0" borderId="1" xfId="8" applyNumberFormat="1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9" fillId="0" borderId="1" xfId="8" applyBorder="1" applyAlignment="1">
      <alignment horizontal="left" vertical="center"/>
    </xf>
    <xf numFmtId="0" fontId="18" fillId="0" borderId="20" xfId="6" applyFont="1" applyBorder="1" applyProtection="1">
      <protection hidden="1"/>
    </xf>
    <xf numFmtId="0" fontId="18" fillId="0" borderId="0" xfId="6" applyFont="1" applyProtection="1">
      <protection hidden="1"/>
    </xf>
    <xf numFmtId="0" fontId="20" fillId="0" borderId="0" xfId="0" applyFont="1" applyProtection="1">
      <protection hidden="1"/>
    </xf>
    <xf numFmtId="0" fontId="20" fillId="0" borderId="33" xfId="0" applyFont="1" applyBorder="1" applyProtection="1">
      <protection hidden="1"/>
    </xf>
    <xf numFmtId="0" fontId="19" fillId="0" borderId="22" xfId="6" applyFont="1" applyBorder="1" applyAlignment="1" applyProtection="1">
      <alignment horizontal="center" vertical="top"/>
      <protection locked="0"/>
    </xf>
    <xf numFmtId="0" fontId="19" fillId="0" borderId="1" xfId="6" applyFont="1" applyBorder="1" applyAlignment="1" applyProtection="1">
      <alignment horizontal="center" vertical="top"/>
      <protection locked="0"/>
    </xf>
    <xf numFmtId="0" fontId="19" fillId="0" borderId="1" xfId="6" applyFont="1" applyBorder="1" applyAlignment="1" applyProtection="1">
      <alignment horizontal="center" vertical="top" wrapText="1"/>
      <protection locked="0"/>
    </xf>
    <xf numFmtId="0" fontId="18" fillId="0" borderId="21" xfId="6" applyFont="1" applyBorder="1" applyProtection="1">
      <protection hidden="1"/>
    </xf>
    <xf numFmtId="0" fontId="18" fillId="0" borderId="24" xfId="6" applyFont="1" applyBorder="1" applyProtection="1">
      <protection hidden="1"/>
    </xf>
    <xf numFmtId="0" fontId="18" fillId="0" borderId="24" xfId="6" applyFont="1" applyBorder="1"/>
    <xf numFmtId="0" fontId="19" fillId="0" borderId="1" xfId="6" applyFont="1" applyBorder="1" applyAlignment="1" applyProtection="1">
      <alignment horizontal="center" wrapText="1"/>
      <protection locked="0"/>
    </xf>
    <xf numFmtId="0" fontId="20" fillId="0" borderId="24" xfId="0" applyFont="1" applyBorder="1" applyProtection="1">
      <protection hidden="1"/>
    </xf>
    <xf numFmtId="1" fontId="19" fillId="0" borderId="1" xfId="6" applyNumberFormat="1" applyFont="1" applyBorder="1" applyAlignment="1" applyProtection="1">
      <alignment horizontal="center" wrapText="1"/>
      <protection locked="0"/>
    </xf>
    <xf numFmtId="1" fontId="0" fillId="0" borderId="24" xfId="0" applyNumberFormat="1" applyBorder="1"/>
    <xf numFmtId="1" fontId="0" fillId="0" borderId="24" xfId="0" applyNumberFormat="1" applyBorder="1" applyAlignment="1">
      <alignment horizontal="right"/>
    </xf>
    <xf numFmtId="0" fontId="19" fillId="0" borderId="29" xfId="6" applyFont="1" applyBorder="1" applyAlignment="1" applyProtection="1">
      <alignment horizontal="center" wrapText="1"/>
      <protection locked="0"/>
    </xf>
    <xf numFmtId="1" fontId="0" fillId="0" borderId="34" xfId="0" applyNumberFormat="1" applyBorder="1"/>
    <xf numFmtId="0" fontId="14" fillId="0" borderId="0" xfId="0" applyFont="1"/>
    <xf numFmtId="0" fontId="2" fillId="0" borderId="0" xfId="2"/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/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3" fillId="0" borderId="3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15" xfId="6" applyFont="1" applyBorder="1" applyAlignment="1" applyProtection="1">
      <alignment horizontal="center" vertical="top" wrapText="1"/>
      <protection locked="0"/>
    </xf>
    <xf numFmtId="0" fontId="5" fillId="0" borderId="16" xfId="6" applyFont="1" applyBorder="1" applyAlignment="1" applyProtection="1">
      <alignment horizontal="center" vertical="top" wrapText="1"/>
      <protection locked="0"/>
    </xf>
    <xf numFmtId="0" fontId="5" fillId="0" borderId="17" xfId="6" applyFont="1" applyBorder="1" applyAlignment="1" applyProtection="1">
      <alignment horizontal="left" vertical="top" wrapText="1"/>
      <protection locked="0"/>
    </xf>
    <xf numFmtId="0" fontId="5" fillId="0" borderId="18" xfId="6" applyFont="1" applyBorder="1" applyAlignment="1" applyProtection="1">
      <alignment horizontal="left" vertical="top" wrapText="1"/>
      <protection locked="0"/>
    </xf>
    <xf numFmtId="0" fontId="5" fillId="0" borderId="19" xfId="6" applyFont="1" applyBorder="1" applyAlignment="1" applyProtection="1">
      <alignment horizontal="left" vertical="top" wrapText="1"/>
      <protection locked="0"/>
    </xf>
    <xf numFmtId="0" fontId="19" fillId="0" borderId="3" xfId="6" applyFont="1" applyBorder="1" applyAlignment="1" applyProtection="1">
      <alignment horizontal="center" vertical="top"/>
      <protection locked="0"/>
    </xf>
    <xf numFmtId="0" fontId="19" fillId="0" borderId="5" xfId="6" applyFont="1" applyBorder="1" applyAlignment="1" applyProtection="1">
      <alignment horizontal="center" vertical="top"/>
      <protection locked="0"/>
    </xf>
    <xf numFmtId="0" fontId="19" fillId="0" borderId="23" xfId="6" applyFont="1" applyBorder="1" applyAlignment="1" applyProtection="1">
      <alignment horizontal="center" vertical="top"/>
      <protection locked="0"/>
    </xf>
    <xf numFmtId="0" fontId="5" fillId="0" borderId="22" xfId="6" applyFont="1" applyBorder="1" applyAlignment="1" applyProtection="1">
      <alignment horizontal="left" vertical="top"/>
      <protection locked="0"/>
    </xf>
    <xf numFmtId="0" fontId="5" fillId="0" borderId="1" xfId="6" applyFont="1" applyBorder="1" applyAlignment="1" applyProtection="1">
      <alignment horizontal="left" vertical="top"/>
      <protection locked="0"/>
    </xf>
    <xf numFmtId="0" fontId="5" fillId="0" borderId="3" xfId="6" applyFont="1" applyBorder="1" applyAlignment="1" applyProtection="1">
      <alignment horizontal="left" vertical="top" wrapText="1"/>
      <protection locked="0"/>
    </xf>
    <xf numFmtId="0" fontId="5" fillId="0" borderId="4" xfId="6" applyFont="1" applyBorder="1" applyAlignment="1" applyProtection="1">
      <alignment horizontal="left" vertical="top" wrapText="1"/>
      <protection locked="0"/>
    </xf>
    <xf numFmtId="0" fontId="5" fillId="0" borderId="23" xfId="6" applyFont="1" applyBorder="1" applyAlignment="1" applyProtection="1">
      <alignment horizontal="left" vertical="top" wrapText="1"/>
      <protection locked="0"/>
    </xf>
    <xf numFmtId="0" fontId="19" fillId="0" borderId="25" xfId="6" applyFont="1" applyBorder="1" applyAlignment="1" applyProtection="1">
      <alignment horizontal="center" vertical="top"/>
      <protection locked="0"/>
    </xf>
    <xf numFmtId="0" fontId="19" fillId="0" borderId="1" xfId="6" applyFont="1" applyBorder="1" applyAlignment="1" applyProtection="1">
      <alignment horizontal="center" vertical="top" wrapText="1"/>
      <protection locked="0"/>
    </xf>
    <xf numFmtId="0" fontId="19" fillId="0" borderId="26" xfId="6" applyFont="1" applyBorder="1" applyAlignment="1" applyProtection="1">
      <alignment horizontal="center" vertical="top" wrapText="1"/>
      <protection locked="0"/>
    </xf>
    <xf numFmtId="0" fontId="19" fillId="0" borderId="22" xfId="6" applyFont="1" applyBorder="1" applyAlignment="1" applyProtection="1">
      <alignment horizontal="center" vertical="top"/>
      <protection locked="0"/>
    </xf>
    <xf numFmtId="0" fontId="19" fillId="0" borderId="1" xfId="6" applyFont="1" applyBorder="1" applyAlignment="1" applyProtection="1">
      <alignment horizontal="center" vertical="top"/>
      <protection locked="0"/>
    </xf>
    <xf numFmtId="9" fontId="19" fillId="0" borderId="3" xfId="6" applyNumberFormat="1" applyFont="1" applyBorder="1" applyAlignment="1" applyProtection="1">
      <alignment horizontal="center" vertical="center" wrapText="1"/>
      <protection hidden="1"/>
    </xf>
    <xf numFmtId="9" fontId="19" fillId="0" borderId="5" xfId="6" applyNumberFormat="1" applyFont="1" applyBorder="1" applyAlignment="1" applyProtection="1">
      <alignment horizontal="center" vertical="center" wrapText="1"/>
      <protection hidden="1"/>
    </xf>
    <xf numFmtId="0" fontId="21" fillId="0" borderId="3" xfId="10" applyBorder="1" applyAlignment="1">
      <alignment horizontal="left" vertical="top"/>
    </xf>
    <xf numFmtId="0" fontId="21" fillId="0" borderId="4" xfId="10" applyBorder="1" applyAlignment="1">
      <alignment horizontal="left" vertical="top"/>
    </xf>
    <xf numFmtId="0" fontId="21" fillId="0" borderId="5" xfId="10" applyBorder="1" applyAlignment="1">
      <alignment horizontal="left" vertical="top"/>
    </xf>
    <xf numFmtId="0" fontId="19" fillId="0" borderId="22" xfId="6" applyFont="1" applyBorder="1" applyAlignment="1" applyProtection="1">
      <alignment horizontal="center" vertical="top" wrapText="1"/>
      <protection locked="0"/>
    </xf>
    <xf numFmtId="0" fontId="19" fillId="0" borderId="28" xfId="6" applyFont="1" applyBorder="1" applyAlignment="1" applyProtection="1">
      <alignment horizontal="center" vertical="top"/>
      <protection locked="0"/>
    </xf>
    <xf numFmtId="0" fontId="19" fillId="0" borderId="29" xfId="6" applyFont="1" applyBorder="1" applyAlignment="1" applyProtection="1">
      <alignment horizontal="center" vertical="top"/>
      <protection locked="0"/>
    </xf>
    <xf numFmtId="9" fontId="19" fillId="0" borderId="30" xfId="6" applyNumberFormat="1" applyFont="1" applyBorder="1" applyAlignment="1" applyProtection="1">
      <alignment horizontal="center" vertical="center" wrapText="1"/>
      <protection hidden="1"/>
    </xf>
    <xf numFmtId="9" fontId="19" fillId="0" borderId="31" xfId="6" applyNumberFormat="1" applyFont="1" applyBorder="1" applyAlignment="1" applyProtection="1">
      <alignment horizontal="center" vertical="center" wrapText="1"/>
      <protection hidden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9" fontId="19" fillId="0" borderId="1" xfId="6" applyNumberFormat="1" applyFont="1" applyBorder="1" applyAlignment="1" applyProtection="1">
      <alignment horizontal="center" vertical="center" wrapText="1"/>
      <protection hidden="1"/>
    </xf>
    <xf numFmtId="9" fontId="19" fillId="0" borderId="29" xfId="6" applyNumberFormat="1" applyFont="1" applyBorder="1" applyAlignment="1" applyProtection="1">
      <alignment horizontal="center" vertical="center" wrapText="1"/>
      <protection hidden="1"/>
    </xf>
    <xf numFmtId="9" fontId="19" fillId="0" borderId="8" xfId="6" applyNumberFormat="1" applyFont="1" applyBorder="1" applyAlignment="1" applyProtection="1">
      <alignment horizontal="center" vertical="center" wrapText="1"/>
      <protection hidden="1"/>
    </xf>
    <xf numFmtId="9" fontId="19" fillId="0" borderId="9" xfId="6" applyNumberFormat="1" applyFont="1" applyBorder="1" applyAlignment="1" applyProtection="1">
      <alignment horizontal="center" vertical="center" wrapText="1"/>
      <protection hidden="1"/>
    </xf>
    <xf numFmtId="9" fontId="19" fillId="0" borderId="27" xfId="6" applyNumberFormat="1" applyFont="1" applyBorder="1" applyAlignment="1" applyProtection="1">
      <alignment horizontal="center" vertical="center" wrapText="1"/>
      <protection hidden="1"/>
    </xf>
    <xf numFmtId="9" fontId="19" fillId="0" borderId="14" xfId="6" applyNumberFormat="1" applyFont="1" applyBorder="1" applyAlignment="1" applyProtection="1">
      <alignment horizontal="center" vertical="center" wrapText="1"/>
      <protection hidden="1"/>
    </xf>
    <xf numFmtId="9" fontId="19" fillId="0" borderId="0" xfId="6" applyNumberFormat="1" applyFont="1" applyAlignment="1" applyProtection="1">
      <alignment horizontal="center" vertical="center" wrapText="1"/>
      <protection hidden="1"/>
    </xf>
    <xf numFmtId="9" fontId="19" fillId="0" borderId="24" xfId="6" applyNumberFormat="1" applyFont="1" applyBorder="1" applyAlignment="1" applyProtection="1">
      <alignment horizontal="center" vertical="center" wrapText="1"/>
      <protection hidden="1"/>
    </xf>
    <xf numFmtId="9" fontId="19" fillId="0" borderId="32" xfId="6" applyNumberFormat="1" applyFont="1" applyBorder="1" applyAlignment="1" applyProtection="1">
      <alignment horizontal="center" vertical="center" wrapText="1"/>
      <protection hidden="1"/>
    </xf>
    <xf numFmtId="9" fontId="19" fillId="0" borderId="33" xfId="6" applyNumberFormat="1" applyFont="1" applyBorder="1" applyAlignment="1" applyProtection="1">
      <alignment horizontal="center" vertical="center" wrapText="1"/>
      <protection hidden="1"/>
    </xf>
    <xf numFmtId="9" fontId="19" fillId="0" borderId="34" xfId="6" applyNumberFormat="1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/>
    </xf>
    <xf numFmtId="14" fontId="1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1" xfId="8" applyFont="1" applyBorder="1" applyAlignment="1">
      <alignment horizontal="left"/>
    </xf>
  </cellXfs>
  <cellStyles count="11">
    <cellStyle name="Comma 2" xfId="1"/>
    <cellStyle name="Excel Built-in Normal" xfId="2"/>
    <cellStyle name="Excel Built-in Normal 2" xfId="3"/>
    <cellStyle name="Excel Built-in Normal 3" xfId="4"/>
    <cellStyle name="Hyperlink" xfId="10" builtinId="8"/>
    <cellStyle name="Normal" xfId="0" builtinId="0"/>
    <cellStyle name="Normal 2" xfId="5"/>
    <cellStyle name="Normal 3" xfId="6"/>
    <cellStyle name="Normal 3 3" xfId="7"/>
    <cellStyle name="Normal 4" xfId="8"/>
    <cellStyle name="Norma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625851</xdr:colOff>
      <xdr:row>166</xdr:row>
      <xdr:rowOff>142875</xdr:rowOff>
    </xdr:from>
    <xdr:to>
      <xdr:col>9</xdr:col>
      <xdr:colOff>118225</xdr:colOff>
      <xdr:row>187</xdr:row>
      <xdr:rowOff>28575</xdr:rowOff>
    </xdr:to>
    <xdr:pic>
      <xdr:nvPicPr>
        <xdr:cNvPr id="1271" name="Picture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851" y="33385125"/>
          <a:ext cx="5045449" cy="3886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644901</xdr:colOff>
      <xdr:row>188</xdr:row>
      <xdr:rowOff>54908</xdr:rowOff>
    </xdr:from>
    <xdr:to>
      <xdr:col>9</xdr:col>
      <xdr:colOff>137275</xdr:colOff>
      <xdr:row>208</xdr:row>
      <xdr:rowOff>131108</xdr:rowOff>
    </xdr:to>
    <xdr:pic>
      <xdr:nvPicPr>
        <xdr:cNvPr id="1272" name="Picture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4901" y="37488158"/>
          <a:ext cx="5045449" cy="3886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120</xdr:row>
      <xdr:rowOff>180975</xdr:rowOff>
    </xdr:from>
    <xdr:to>
      <xdr:col>20</xdr:col>
      <xdr:colOff>95822</xdr:colOff>
      <xdr:row>163</xdr:row>
      <xdr:rowOff>177075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39050" y="26520775"/>
          <a:ext cx="5563172" cy="6993800"/>
          <a:chOff x="533400" y="26889075"/>
          <a:chExt cx="5563172" cy="8187600"/>
        </a:xfrm>
      </xdr:grpSpPr>
      <xdr:pic>
        <xdr:nvPicPr>
          <xdr:cNvPr id="9" name="Picture 8" descr="insp-197143-1525.jpg (959×1280)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99385" y="32916675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 descr="insp-197143-843.jpg (959×1280)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99385" y="26889075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insp-197143-845.jpg (959×1280)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12275" y="32916675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insp-197143-847.jpg (959×1280)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06666" y="30622875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insp-197143-849.jpg (959×1280)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7631" y="30622875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insp-197143-851.jpg (959×1280)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88596" y="30622875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insp-197143-861.jpg (959×1280)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33400" y="26889075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12</xdr:col>
      <xdr:colOff>287656</xdr:colOff>
      <xdr:row>120</xdr:row>
      <xdr:rowOff>144780</xdr:rowOff>
    </xdr:from>
    <xdr:to>
      <xdr:col>22</xdr:col>
      <xdr:colOff>80011</xdr:colOff>
      <xdr:row>163</xdr:row>
      <xdr:rowOff>60960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8517256" y="26484580"/>
          <a:ext cx="5888355" cy="6913880"/>
          <a:chOff x="95376" y="175846"/>
          <a:chExt cx="6069597" cy="7180430"/>
        </a:xfrm>
      </xdr:grpSpPr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pSpPr/>
        </xdr:nvGrpSpPr>
        <xdr:grpSpPr>
          <a:xfrm>
            <a:off x="95376" y="175846"/>
            <a:ext cx="6069597" cy="2520000"/>
            <a:chOff x="95376" y="175846"/>
            <a:chExt cx="6069597" cy="2520000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76942" y="17584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66788" y="17584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5376" y="17584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/>
        </xdr:nvGrpSpPr>
        <xdr:grpSpPr>
          <a:xfrm>
            <a:off x="1689889" y="5556276"/>
            <a:ext cx="2880570" cy="1800000"/>
            <a:chOff x="634812" y="5556276"/>
            <a:chExt cx="2880570" cy="1800000"/>
          </a:xfrm>
        </xdr:grpSpPr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66788" y="555627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34812" y="555627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1150452" y="2866061"/>
            <a:ext cx="3959444" cy="2520000"/>
            <a:chOff x="95375" y="2866061"/>
            <a:chExt cx="3959444" cy="2520000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5375" y="286606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66788" y="286606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 editAs="oneCell">
    <xdr:from>
      <xdr:col>10</xdr:col>
      <xdr:colOff>508000</xdr:colOff>
      <xdr:row>0</xdr:row>
      <xdr:rowOff>279400</xdr:rowOff>
    </xdr:from>
    <xdr:to>
      <xdr:col>19</xdr:col>
      <xdr:colOff>421600</xdr:colOff>
      <xdr:row>14</xdr:row>
      <xdr:rowOff>173650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18400" y="27940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425450</xdr:colOff>
      <xdr:row>120</xdr:row>
      <xdr:rowOff>152400</xdr:rowOff>
    </xdr:from>
    <xdr:to>
      <xdr:col>9</xdr:col>
      <xdr:colOff>672857</xdr:colOff>
      <xdr:row>156</xdr:row>
      <xdr:rowOff>102321</xdr:rowOff>
    </xdr:to>
    <xdr:grpSp>
      <xdr:nvGrpSpPr>
        <xdr:cNvPr id="3" name="Group 2"/>
        <xdr:cNvGrpSpPr/>
      </xdr:nvGrpSpPr>
      <xdr:grpSpPr>
        <a:xfrm>
          <a:off x="425450" y="26492200"/>
          <a:ext cx="6070357" cy="6579321"/>
          <a:chOff x="425450" y="26174700"/>
          <a:chExt cx="6070357" cy="6579321"/>
        </a:xfrm>
      </xdr:grpSpPr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2619" y="30234021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8900" y="26174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5065" y="30234021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13842" y="30234021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5450" y="26174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7</xdr:col>
      <xdr:colOff>104775</xdr:colOff>
      <xdr:row>28</xdr:row>
      <xdr:rowOff>171450</xdr:rowOff>
    </xdr:to>
    <xdr:pic>
      <xdr:nvPicPr>
        <xdr:cNvPr id="4118" name="Picture 1">
          <a:extLst>
            <a:ext uri="{FF2B5EF4-FFF2-40B4-BE49-F238E27FC236}">
              <a16:creationId xmlns:a16="http://schemas.microsoft.com/office/drawing/2014/main" id="{00000000-0008-0000-0200-000016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209550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1fYPDJnjTXqcgdN6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6"/>
  <sheetViews>
    <sheetView tabSelected="1" view="pageBreakPreview" zoomScaleNormal="100" zoomScaleSheetLayoutView="100" workbookViewId="0">
      <selection activeCell="F9" sqref="F9:J9"/>
    </sheetView>
  </sheetViews>
  <sheetFormatPr defaultRowHeight="14.5" x14ac:dyDescent="0.35"/>
  <cols>
    <col min="1" max="1" width="10.54296875" customWidth="1"/>
    <col min="2" max="2" width="12.26953125" customWidth="1"/>
    <col min="3" max="3" width="13.453125" customWidth="1"/>
    <col min="4" max="4" width="8.1796875" customWidth="1"/>
    <col min="5" max="5" width="8.81640625" customWidth="1"/>
    <col min="6" max="6" width="7.7265625" customWidth="1"/>
    <col min="7" max="7" width="8.1796875" customWidth="1"/>
    <col min="8" max="8" width="7.7265625" customWidth="1"/>
    <col min="9" max="9" width="6.453125" customWidth="1"/>
    <col min="10" max="10" width="17" customWidth="1"/>
  </cols>
  <sheetData>
    <row r="1" spans="1:10" ht="43.9" customHeight="1" x14ac:dyDescent="0.35">
      <c r="A1" s="74" t="s">
        <v>207</v>
      </c>
      <c r="B1" s="75"/>
      <c r="C1" s="75"/>
      <c r="D1" s="75"/>
      <c r="E1" s="75"/>
      <c r="F1" s="75"/>
      <c r="G1" s="75"/>
      <c r="H1" s="75"/>
      <c r="I1" s="75"/>
      <c r="J1" s="76"/>
    </row>
    <row r="2" spans="1:10" x14ac:dyDescent="0.35">
      <c r="A2" s="132" t="s">
        <v>110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x14ac:dyDescent="0.35">
      <c r="A3" s="124" t="s">
        <v>0</v>
      </c>
      <c r="B3" s="124"/>
      <c r="C3" s="124"/>
      <c r="D3" s="124"/>
      <c r="E3" s="124"/>
      <c r="F3" s="133" t="str">
        <f ca="1">TEXT(TODAY(),"DD/MM/YYYY")</f>
        <v>13/08/2025</v>
      </c>
      <c r="G3" s="124"/>
      <c r="H3" s="124"/>
      <c r="I3" s="124"/>
      <c r="J3" s="124"/>
    </row>
    <row r="4" spans="1:10" x14ac:dyDescent="0.35">
      <c r="A4" s="124" t="s">
        <v>1</v>
      </c>
      <c r="B4" s="124"/>
      <c r="C4" s="124"/>
      <c r="D4" s="124"/>
      <c r="E4" s="124"/>
      <c r="F4" s="124" t="s">
        <v>117</v>
      </c>
      <c r="G4" s="124"/>
      <c r="H4" s="124"/>
      <c r="I4" s="124"/>
      <c r="J4" s="124"/>
    </row>
    <row r="5" spans="1:10" x14ac:dyDescent="0.35">
      <c r="A5" s="59" t="s">
        <v>2</v>
      </c>
      <c r="B5" s="60"/>
      <c r="C5" s="60"/>
      <c r="D5" s="60"/>
      <c r="E5" s="61"/>
      <c r="F5" s="134">
        <v>45879</v>
      </c>
      <c r="G5" s="134"/>
      <c r="H5" s="134"/>
      <c r="I5" s="134"/>
      <c r="J5" s="134"/>
    </row>
    <row r="6" spans="1:10" x14ac:dyDescent="0.35">
      <c r="A6" s="124" t="s">
        <v>3</v>
      </c>
      <c r="B6" s="124"/>
      <c r="C6" s="124"/>
      <c r="D6" s="124"/>
      <c r="E6" s="124"/>
      <c r="F6" s="124" t="s">
        <v>109</v>
      </c>
      <c r="G6" s="124"/>
      <c r="H6" s="124"/>
      <c r="I6" s="124"/>
      <c r="J6" s="124"/>
    </row>
    <row r="7" spans="1:10" x14ac:dyDescent="0.35">
      <c r="A7" s="124" t="s">
        <v>4</v>
      </c>
      <c r="B7" s="124"/>
      <c r="C7" s="124"/>
      <c r="D7" s="124"/>
      <c r="E7" s="124"/>
      <c r="F7" s="124" t="s">
        <v>109</v>
      </c>
      <c r="G7" s="124"/>
      <c r="H7" s="124"/>
      <c r="I7" s="124"/>
      <c r="J7" s="124"/>
    </row>
    <row r="8" spans="1:10" x14ac:dyDescent="0.35">
      <c r="A8" s="124" t="s">
        <v>5</v>
      </c>
      <c r="B8" s="124"/>
      <c r="C8" s="124"/>
      <c r="D8" s="124"/>
      <c r="E8" s="124"/>
      <c r="F8" s="130" t="s">
        <v>118</v>
      </c>
      <c r="G8" s="130"/>
      <c r="H8" s="130"/>
      <c r="I8" s="130"/>
      <c r="J8" s="130"/>
    </row>
    <row r="9" spans="1:10" x14ac:dyDescent="0.35">
      <c r="A9" s="124" t="s">
        <v>6</v>
      </c>
      <c r="B9" s="124"/>
      <c r="C9" s="124"/>
      <c r="D9" s="124"/>
      <c r="E9" s="124"/>
      <c r="F9" s="124" t="s">
        <v>56</v>
      </c>
      <c r="G9" s="124"/>
      <c r="H9" s="124"/>
      <c r="I9" s="124"/>
      <c r="J9" s="124"/>
    </row>
    <row r="10" spans="1:10" x14ac:dyDescent="0.35">
      <c r="A10" s="124" t="s">
        <v>5</v>
      </c>
      <c r="B10" s="124"/>
      <c r="C10" s="124"/>
      <c r="D10" s="124"/>
      <c r="E10" s="124"/>
      <c r="F10" s="124" t="s">
        <v>200</v>
      </c>
      <c r="G10" s="124"/>
      <c r="H10" s="124"/>
      <c r="I10" s="124"/>
      <c r="J10" s="124"/>
    </row>
    <row r="11" spans="1:10" x14ac:dyDescent="0.35">
      <c r="A11" s="124" t="s">
        <v>196</v>
      </c>
      <c r="B11" s="124"/>
      <c r="C11" s="124"/>
      <c r="D11" s="124"/>
      <c r="E11" s="124"/>
      <c r="F11" s="124" t="s">
        <v>197</v>
      </c>
      <c r="G11" s="124"/>
      <c r="H11" s="124"/>
      <c r="I11" s="124"/>
      <c r="J11" s="124"/>
    </row>
    <row r="12" spans="1:10" x14ac:dyDescent="0.35">
      <c r="A12" s="124" t="s">
        <v>82</v>
      </c>
      <c r="B12" s="124"/>
      <c r="C12" s="124"/>
      <c r="D12" s="124"/>
      <c r="E12" s="124"/>
      <c r="F12" s="124"/>
      <c r="G12" s="124"/>
      <c r="H12" s="124"/>
      <c r="I12" s="124"/>
      <c r="J12" s="124"/>
    </row>
    <row r="13" spans="1:10" ht="30" customHeight="1" x14ac:dyDescent="0.35">
      <c r="A13" s="56" t="s">
        <v>142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0" x14ac:dyDescent="0.35">
      <c r="A14" s="59" t="s">
        <v>61</v>
      </c>
      <c r="B14" s="60"/>
      <c r="C14" s="61"/>
      <c r="D14" s="126" t="s">
        <v>67</v>
      </c>
      <c r="E14" s="127"/>
      <c r="F14" s="131" t="s">
        <v>104</v>
      </c>
      <c r="G14" s="131"/>
      <c r="H14" s="131"/>
      <c r="I14" s="131"/>
      <c r="J14" s="131"/>
    </row>
    <row r="15" spans="1:10" x14ac:dyDescent="0.35">
      <c r="A15" s="124" t="s">
        <v>103</v>
      </c>
      <c r="B15" s="124"/>
      <c r="C15" s="124"/>
      <c r="D15" s="124"/>
      <c r="E15" s="124"/>
      <c r="F15" s="124" t="s">
        <v>68</v>
      </c>
      <c r="G15" s="124"/>
      <c r="H15" s="124"/>
      <c r="I15" s="124"/>
      <c r="J15" s="124"/>
    </row>
    <row r="16" spans="1:10" x14ac:dyDescent="0.35">
      <c r="A16" s="124" t="s">
        <v>69</v>
      </c>
      <c r="B16" s="124"/>
      <c r="C16" s="124"/>
      <c r="D16" s="124"/>
      <c r="E16" s="124"/>
      <c r="F16" s="124" t="s">
        <v>143</v>
      </c>
      <c r="G16" s="124"/>
      <c r="H16" s="124"/>
      <c r="I16" s="124"/>
      <c r="J16" s="124"/>
    </row>
    <row r="17" spans="1:10" ht="29.25" customHeight="1" x14ac:dyDescent="0.35">
      <c r="A17" s="124" t="s">
        <v>70</v>
      </c>
      <c r="B17" s="124"/>
      <c r="C17" s="124"/>
      <c r="D17" s="124"/>
      <c r="E17" s="124"/>
      <c r="F17" s="56" t="s">
        <v>71</v>
      </c>
      <c r="G17" s="57"/>
      <c r="H17" s="57"/>
      <c r="I17" s="57"/>
      <c r="J17" s="58"/>
    </row>
    <row r="18" spans="1:10" x14ac:dyDescent="0.35">
      <c r="A18" s="129" t="s">
        <v>7</v>
      </c>
      <c r="B18" s="129"/>
      <c r="C18" s="129"/>
      <c r="D18" s="129"/>
      <c r="E18" s="129"/>
      <c r="F18" s="135" t="s">
        <v>72</v>
      </c>
      <c r="G18" s="136"/>
      <c r="H18" s="136"/>
      <c r="I18" s="136"/>
      <c r="J18" s="137"/>
    </row>
    <row r="19" spans="1:10" x14ac:dyDescent="0.35">
      <c r="A19" s="129"/>
      <c r="B19" s="129"/>
      <c r="C19" s="129"/>
      <c r="D19" s="129"/>
      <c r="E19" s="129"/>
      <c r="F19" s="138"/>
      <c r="G19" s="139"/>
      <c r="H19" s="139"/>
      <c r="I19" s="139"/>
      <c r="J19" s="140"/>
    </row>
    <row r="20" spans="1:10" x14ac:dyDescent="0.35">
      <c r="A20" s="129" t="s">
        <v>8</v>
      </c>
      <c r="B20" s="129"/>
      <c r="C20" s="129"/>
      <c r="D20" s="129"/>
      <c r="E20" s="129"/>
      <c r="F20" s="129" t="s">
        <v>36</v>
      </c>
      <c r="G20" s="129"/>
      <c r="H20" s="129"/>
      <c r="I20" s="129"/>
      <c r="J20" s="129"/>
    </row>
    <row r="21" spans="1:10" ht="4.5" customHeight="1" x14ac:dyDescent="0.35">
      <c r="A21" s="129"/>
      <c r="B21" s="129"/>
      <c r="C21" s="129"/>
      <c r="D21" s="129"/>
      <c r="E21" s="129"/>
      <c r="F21" s="129"/>
      <c r="G21" s="129"/>
      <c r="H21" s="129"/>
      <c r="I21" s="129"/>
      <c r="J21" s="129"/>
    </row>
    <row r="22" spans="1:10" x14ac:dyDescent="0.35">
      <c r="A22" s="124" t="s">
        <v>9</v>
      </c>
      <c r="B22" s="124"/>
      <c r="C22" s="124"/>
      <c r="D22" s="124"/>
      <c r="E22" s="124"/>
      <c r="F22" s="124" t="s">
        <v>37</v>
      </c>
      <c r="G22" s="124"/>
      <c r="H22" s="124"/>
      <c r="I22" s="124"/>
      <c r="J22" s="124"/>
    </row>
    <row r="23" spans="1:10" x14ac:dyDescent="0.35">
      <c r="A23" s="124" t="s">
        <v>111</v>
      </c>
      <c r="B23" s="124"/>
      <c r="C23" s="124"/>
      <c r="D23" s="124"/>
      <c r="E23" s="124"/>
      <c r="F23" s="124" t="s">
        <v>112</v>
      </c>
      <c r="G23" s="124"/>
      <c r="H23" s="124"/>
      <c r="I23" s="124"/>
      <c r="J23" s="124"/>
    </row>
    <row r="24" spans="1:10" x14ac:dyDescent="0.35">
      <c r="A24" s="59" t="s">
        <v>204</v>
      </c>
      <c r="B24" s="60"/>
      <c r="C24" s="61"/>
      <c r="D24" s="100" t="s">
        <v>205</v>
      </c>
      <c r="E24" s="101"/>
      <c r="F24" s="101"/>
      <c r="G24" s="101"/>
      <c r="H24" s="101"/>
      <c r="I24" s="101"/>
      <c r="J24" s="102"/>
    </row>
    <row r="25" spans="1:10" x14ac:dyDescent="0.35">
      <c r="A25" s="124" t="s">
        <v>38</v>
      </c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0" x14ac:dyDescent="0.35">
      <c r="A26" s="124" t="s">
        <v>73</v>
      </c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0" x14ac:dyDescent="0.35">
      <c r="A27" s="124" t="s">
        <v>39</v>
      </c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0" x14ac:dyDescent="0.35">
      <c r="A28" s="125" t="s">
        <v>10</v>
      </c>
      <c r="B28" s="125"/>
      <c r="C28" s="125" t="s">
        <v>11</v>
      </c>
      <c r="D28" s="125"/>
      <c r="E28" s="125" t="s">
        <v>12</v>
      </c>
      <c r="F28" s="125"/>
      <c r="G28" s="125" t="s">
        <v>13</v>
      </c>
      <c r="H28" s="125"/>
      <c r="I28" s="125" t="s">
        <v>14</v>
      </c>
      <c r="J28" s="125"/>
    </row>
    <row r="29" spans="1:10" x14ac:dyDescent="0.35">
      <c r="A29" s="125" t="s">
        <v>15</v>
      </c>
      <c r="B29" s="125"/>
      <c r="C29" s="126" t="s">
        <v>40</v>
      </c>
      <c r="D29" s="127"/>
      <c r="E29" s="127"/>
      <c r="F29" s="127"/>
      <c r="G29" s="127"/>
      <c r="H29" s="127"/>
      <c r="I29" s="127"/>
      <c r="J29" s="128"/>
    </row>
    <row r="30" spans="1:10" x14ac:dyDescent="0.35">
      <c r="A30" s="125" t="s">
        <v>16</v>
      </c>
      <c r="B30" s="125"/>
      <c r="C30" s="125" t="s">
        <v>62</v>
      </c>
      <c r="D30" s="125"/>
      <c r="E30" s="125" t="s">
        <v>66</v>
      </c>
      <c r="F30" s="125"/>
      <c r="G30" s="125" t="s">
        <v>74</v>
      </c>
      <c r="H30" s="125"/>
      <c r="I30" s="125" t="s">
        <v>75</v>
      </c>
      <c r="J30" s="125"/>
    </row>
    <row r="31" spans="1:10" x14ac:dyDescent="0.35">
      <c r="A31" s="130" t="s">
        <v>17</v>
      </c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0" x14ac:dyDescent="0.35">
      <c r="A32" s="124" t="s">
        <v>41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0" x14ac:dyDescent="0.35">
      <c r="A33" s="124" t="s">
        <v>42</v>
      </c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0" x14ac:dyDescent="0.35">
      <c r="A34" s="129" t="s">
        <v>76</v>
      </c>
      <c r="B34" s="129"/>
      <c r="C34" s="129"/>
      <c r="D34" s="129"/>
      <c r="E34" s="129"/>
      <c r="F34" s="129"/>
      <c r="G34" s="129"/>
      <c r="H34" s="129"/>
      <c r="I34" s="129"/>
      <c r="J34" s="129"/>
    </row>
    <row r="35" spans="1:10" x14ac:dyDescent="0.35">
      <c r="A35" s="129"/>
      <c r="B35" s="129"/>
      <c r="C35" s="129"/>
      <c r="D35" s="129"/>
      <c r="E35" s="129"/>
      <c r="F35" s="129"/>
      <c r="G35" s="129"/>
      <c r="H35" s="129"/>
      <c r="I35" s="129"/>
      <c r="J35" s="129"/>
    </row>
    <row r="36" spans="1:10" ht="30.75" customHeight="1" x14ac:dyDescent="0.35">
      <c r="A36" s="129" t="s">
        <v>91</v>
      </c>
      <c r="B36" s="129"/>
      <c r="C36" s="129"/>
      <c r="D36" s="129"/>
      <c r="E36" s="129"/>
      <c r="F36" s="129" t="s">
        <v>77</v>
      </c>
      <c r="G36" s="129"/>
      <c r="H36" s="129"/>
      <c r="I36" s="129"/>
      <c r="J36" s="129"/>
    </row>
    <row r="37" spans="1:10" x14ac:dyDescent="0.35">
      <c r="A37" s="73" t="s">
        <v>89</v>
      </c>
      <c r="B37" s="73"/>
      <c r="C37" s="73"/>
      <c r="D37" s="73"/>
      <c r="E37" s="73"/>
      <c r="F37" s="73" t="s">
        <v>78</v>
      </c>
      <c r="G37" s="73"/>
      <c r="H37" s="73"/>
      <c r="I37" s="73"/>
      <c r="J37" s="73"/>
    </row>
    <row r="38" spans="1:10" x14ac:dyDescent="0.35">
      <c r="A38" s="73" t="s">
        <v>90</v>
      </c>
      <c r="B38" s="73"/>
      <c r="C38" s="73"/>
      <c r="D38" s="73"/>
      <c r="E38" s="73"/>
      <c r="F38" s="73" t="s">
        <v>52</v>
      </c>
      <c r="G38" s="73"/>
      <c r="H38" s="73"/>
      <c r="I38" s="73"/>
      <c r="J38" s="73"/>
    </row>
    <row r="39" spans="1:10" x14ac:dyDescent="0.35">
      <c r="A39" s="73" t="s">
        <v>18</v>
      </c>
      <c r="B39" s="73"/>
      <c r="C39" s="73"/>
      <c r="D39" s="73"/>
      <c r="E39" s="73"/>
      <c r="F39" s="73">
        <v>1</v>
      </c>
      <c r="G39" s="73"/>
      <c r="H39" s="73"/>
      <c r="I39" s="73"/>
      <c r="J39" s="73"/>
    </row>
    <row r="40" spans="1:10" x14ac:dyDescent="0.35">
      <c r="A40" s="73" t="s">
        <v>79</v>
      </c>
      <c r="B40" s="73"/>
      <c r="C40" s="73"/>
      <c r="D40" s="73"/>
      <c r="E40" s="73"/>
      <c r="F40" s="73" t="s">
        <v>80</v>
      </c>
      <c r="G40" s="73"/>
      <c r="H40" s="73"/>
      <c r="I40" s="73"/>
      <c r="J40" s="73"/>
    </row>
    <row r="41" spans="1:10" x14ac:dyDescent="0.35">
      <c r="A41" s="73" t="s">
        <v>19</v>
      </c>
      <c r="B41" s="73"/>
      <c r="C41" s="73"/>
      <c r="D41" s="73"/>
      <c r="E41" s="73"/>
      <c r="F41" s="73" t="s">
        <v>81</v>
      </c>
      <c r="G41" s="73"/>
      <c r="H41" s="73"/>
      <c r="I41" s="73"/>
      <c r="J41" s="73"/>
    </row>
    <row r="42" spans="1:10" x14ac:dyDescent="0.35">
      <c r="A42" s="73" t="s">
        <v>20</v>
      </c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31.5" customHeight="1" x14ac:dyDescent="0.35">
      <c r="A43" s="141" t="s">
        <v>83</v>
      </c>
      <c r="B43" s="141"/>
      <c r="C43" s="141"/>
      <c r="D43" s="141"/>
      <c r="E43" s="141"/>
      <c r="F43" s="65" t="s">
        <v>84</v>
      </c>
      <c r="G43" s="65"/>
      <c r="H43" s="65"/>
      <c r="I43" s="65" t="s">
        <v>46</v>
      </c>
      <c r="J43" s="65"/>
    </row>
    <row r="44" spans="1:10" x14ac:dyDescent="0.35">
      <c r="A44" s="141" t="s">
        <v>202</v>
      </c>
      <c r="B44" s="141"/>
      <c r="C44" s="141"/>
      <c r="D44" s="141"/>
      <c r="E44" s="141"/>
      <c r="F44" s="141"/>
      <c r="G44" s="141"/>
      <c r="H44" s="141"/>
      <c r="I44" s="142" t="s">
        <v>45</v>
      </c>
      <c r="J44" s="143"/>
    </row>
    <row r="45" spans="1:10" x14ac:dyDescent="0.35">
      <c r="A45" s="141"/>
      <c r="B45" s="141"/>
      <c r="C45" s="141"/>
      <c r="D45" s="141"/>
      <c r="E45" s="141"/>
      <c r="F45" s="141"/>
      <c r="G45" s="141"/>
      <c r="H45" s="141"/>
      <c r="I45" s="144"/>
      <c r="J45" s="145"/>
    </row>
    <row r="46" spans="1:10" x14ac:dyDescent="0.35">
      <c r="A46" s="141" t="s">
        <v>195</v>
      </c>
      <c r="B46" s="141"/>
      <c r="C46" s="141"/>
      <c r="D46" s="141"/>
      <c r="E46" s="141"/>
      <c r="F46" s="141"/>
      <c r="G46" s="141"/>
      <c r="H46" s="141"/>
      <c r="I46" s="142" t="s">
        <v>52</v>
      </c>
      <c r="J46" s="143"/>
    </row>
    <row r="47" spans="1:10" x14ac:dyDescent="0.35">
      <c r="A47" s="141"/>
      <c r="B47" s="141"/>
      <c r="C47" s="141"/>
      <c r="D47" s="141"/>
      <c r="E47" s="141"/>
      <c r="F47" s="141"/>
      <c r="G47" s="141"/>
      <c r="H47" s="141"/>
      <c r="I47" s="144"/>
      <c r="J47" s="145"/>
    </row>
    <row r="48" spans="1:10" x14ac:dyDescent="0.35">
      <c r="A48" s="73" t="s">
        <v>43</v>
      </c>
      <c r="B48" s="73"/>
      <c r="C48" s="73"/>
      <c r="D48" s="73"/>
      <c r="E48" s="73"/>
      <c r="F48" s="73" t="s">
        <v>44</v>
      </c>
      <c r="G48" s="73"/>
      <c r="H48" s="73"/>
      <c r="I48" s="73" t="s">
        <v>46</v>
      </c>
      <c r="J48" s="73"/>
    </row>
    <row r="49" spans="1:12" x14ac:dyDescent="0.35">
      <c r="A49" s="73" t="s">
        <v>85</v>
      </c>
      <c r="B49" s="73"/>
      <c r="C49" s="73"/>
      <c r="D49" s="73"/>
      <c r="E49" s="73"/>
      <c r="F49" s="73" t="s">
        <v>206</v>
      </c>
      <c r="G49" s="73"/>
      <c r="H49" s="73"/>
      <c r="I49" s="73"/>
      <c r="J49" s="73"/>
    </row>
    <row r="50" spans="1:12" x14ac:dyDescent="0.35">
      <c r="A50" s="65" t="s">
        <v>21</v>
      </c>
      <c r="B50" s="65"/>
      <c r="C50" s="65"/>
      <c r="D50" s="65"/>
      <c r="E50" s="65"/>
      <c r="F50" s="65"/>
      <c r="G50" s="65"/>
      <c r="H50" s="65"/>
      <c r="I50" s="65"/>
      <c r="J50" s="65"/>
    </row>
    <row r="51" spans="1:12" ht="30" customHeight="1" x14ac:dyDescent="0.35">
      <c r="A51" s="77" t="s">
        <v>88</v>
      </c>
      <c r="B51" s="78"/>
      <c r="C51" s="78"/>
      <c r="D51" s="78"/>
      <c r="E51" s="79"/>
      <c r="F51" s="73" t="s">
        <v>86</v>
      </c>
      <c r="G51" s="73"/>
      <c r="H51" s="73"/>
      <c r="I51" s="73"/>
      <c r="J51" s="73"/>
    </row>
    <row r="52" spans="1:12" x14ac:dyDescent="0.35">
      <c r="A52" s="70" t="s">
        <v>191</v>
      </c>
      <c r="B52" s="71"/>
      <c r="C52" s="71"/>
      <c r="D52" s="71"/>
      <c r="E52" s="71"/>
      <c r="F52" s="71"/>
      <c r="G52" s="71"/>
      <c r="H52" s="71"/>
      <c r="I52" s="71"/>
      <c r="J52" s="72"/>
    </row>
    <row r="53" spans="1:12" x14ac:dyDescent="0.35">
      <c r="A53" s="73" t="s">
        <v>87</v>
      </c>
      <c r="B53" s="73"/>
      <c r="C53" s="73"/>
      <c r="D53" s="73"/>
      <c r="E53" s="73"/>
      <c r="F53" s="77" t="s">
        <v>199</v>
      </c>
      <c r="G53" s="78"/>
      <c r="H53" s="78"/>
      <c r="I53" s="78"/>
      <c r="J53" s="79"/>
    </row>
    <row r="54" spans="1:12" x14ac:dyDescent="0.35">
      <c r="A54" s="73" t="s">
        <v>194</v>
      </c>
      <c r="B54" s="73"/>
      <c r="C54" s="73"/>
      <c r="D54" s="73"/>
      <c r="E54" s="73"/>
      <c r="F54" s="73"/>
      <c r="G54" s="73"/>
      <c r="H54" s="73"/>
      <c r="I54" s="73"/>
      <c r="J54" s="73"/>
    </row>
    <row r="55" spans="1:12" ht="15" customHeight="1" thickBot="1" x14ac:dyDescent="0.4">
      <c r="A55" s="111" t="s">
        <v>193</v>
      </c>
      <c r="B55" s="111"/>
      <c r="C55" s="111"/>
      <c r="D55" s="111"/>
      <c r="E55" s="111"/>
      <c r="F55" s="111"/>
      <c r="G55" s="111"/>
      <c r="H55" s="111"/>
      <c r="I55" s="111"/>
      <c r="J55" s="111"/>
    </row>
    <row r="56" spans="1:12" ht="15.75" customHeight="1" x14ac:dyDescent="0.35">
      <c r="A56" s="80" t="s">
        <v>159</v>
      </c>
      <c r="B56" s="81"/>
      <c r="C56" s="82" t="s">
        <v>192</v>
      </c>
      <c r="D56" s="83"/>
      <c r="E56" s="83"/>
      <c r="F56" s="83"/>
      <c r="G56" s="83"/>
      <c r="H56" s="83"/>
      <c r="I56" s="83"/>
      <c r="J56" s="84"/>
      <c r="K56" s="21" t="str">
        <f ca="1">(IF(F60&gt;99%,"All work completed. Please provide OC.",IF(F60&gt;89.8%,"Plinth, RCC, Brick, Plaster, Flooring, Painting work Completed. Finishing work is in process.",IF(F60&lt;94%,(IF(C60=0,"Work not yet Started.",IF(D60=25%,"Piling work in process",IF(D60=50%,"Excavation work in process",IF(D60=100%,"Excavation work Completed. ","0")))&amp;(IF(C61=0%,"",IF(C61=L62,"Footing work is process",IF(C61=L63,"Footing work Completed",IF(C61=L64,"1st Basement Completed",IF(C61=L65,"1st &amp; 2nd Basement Completed",IF(C61=L66,"1st to 3rd Basement Completed",IF(C61=L67,"1st to 4th Basement Completed",IF(C61=L68,"Plinth work is process",IF(C61=L69,"Plinth work completed","0")))))))))))&amp;(IF(C62=(D57+G57+I57),", RCC Slab",IF(C62&gt;0,", RCC upto "&amp;C62&amp;" Slab",""))&amp;(IF(C63=I57,", Brickwork",IF(C63&gt;0,", Brickwork upto "&amp;C63&amp;" Floor",""))&amp;(IF(C64=I57,", Internal Plaster",IF(C64&gt;0,", Internal Plaster upto "&amp;C64&amp;" Floor",""))&amp;(IF(C65=I57,", External Plaster",IF(C65&gt;0,", External Plaster upto "&amp;C65&amp;" Floor",""))&amp;(IF(C66=I57,", Flooring",IF(C66&gt;0,", Flooring upto "&amp;C66&amp;" Floor",""))&amp;(IF(C67=I57,", Painting",IF(C67&gt;0,", Painting upto "&amp;C67&amp;" Floor",""))&amp;(IF(C68&gt;0,", Finishing upto "&amp;C68&amp;" Floor","")&amp;(IF(C62&gt;0.5," Completed",""))))))))))))))</f>
        <v>Excavation work Completed. Plinth work completed, RCC Slab, Brickwork, Internal Plaster upto 11 Floor, External Plaster upto 13 Floor, Flooring upto 7 Floor, Painting upto 3 Floor Completed</v>
      </c>
      <c r="L56" s="28"/>
    </row>
    <row r="57" spans="1:12" ht="15.5" x14ac:dyDescent="0.35">
      <c r="A57" s="25" t="s">
        <v>160</v>
      </c>
      <c r="B57" s="26">
        <v>0</v>
      </c>
      <c r="C57" s="26" t="s">
        <v>161</v>
      </c>
      <c r="D57" s="26">
        <v>1</v>
      </c>
      <c r="E57" s="85" t="s">
        <v>162</v>
      </c>
      <c r="F57" s="86"/>
      <c r="G57" s="26">
        <v>0</v>
      </c>
      <c r="H57" s="26" t="s">
        <v>163</v>
      </c>
      <c r="I57" s="85">
        <f ca="1">--TRIM(RIGHT(SUBSTITUTE(LEFT(C56,_xlfn.AGGREGATE(16,6,FIND({0,1,2,3,4,5,6,7,8,9},C56,ROW(INDIRECT("1:"&amp;LEN(C56)))),1))," ",REPT(" ",LEN(C56))),LEN(C56)))</f>
        <v>15</v>
      </c>
      <c r="J57" s="87"/>
      <c r="K57" s="22"/>
      <c r="L57" s="29"/>
    </row>
    <row r="58" spans="1:12" ht="48.75" customHeight="1" x14ac:dyDescent="0.35">
      <c r="A58" s="88" t="s">
        <v>164</v>
      </c>
      <c r="B58" s="89"/>
      <c r="C58" s="90" t="str">
        <f ca="1">K56</f>
        <v>Excavation work Completed. Plinth work completed, RCC Slab, Brickwork, Internal Plaster upto 11 Floor, External Plaster upto 13 Floor, Flooring upto 7 Floor, Painting upto 3 Floor Completed</v>
      </c>
      <c r="D58" s="91"/>
      <c r="E58" s="91"/>
      <c r="F58" s="91"/>
      <c r="G58" s="91"/>
      <c r="H58" s="91"/>
      <c r="I58" s="91"/>
      <c r="J58" s="92"/>
      <c r="K58" s="22" t="s">
        <v>165</v>
      </c>
      <c r="L58" s="29"/>
    </row>
    <row r="59" spans="1:12" ht="15.75" customHeight="1" x14ac:dyDescent="0.35">
      <c r="A59" s="93" t="s">
        <v>47</v>
      </c>
      <c r="B59" s="86"/>
      <c r="C59" s="27" t="s">
        <v>166</v>
      </c>
      <c r="D59" s="94" t="s">
        <v>167</v>
      </c>
      <c r="E59" s="94"/>
      <c r="F59" s="94" t="s">
        <v>168</v>
      </c>
      <c r="G59" s="94"/>
      <c r="H59" s="94" t="s">
        <v>169</v>
      </c>
      <c r="I59" s="94"/>
      <c r="J59" s="95"/>
      <c r="K59" s="23" t="s">
        <v>170</v>
      </c>
      <c r="L59" s="30">
        <f ca="1">I57*25%</f>
        <v>3.75</v>
      </c>
    </row>
    <row r="60" spans="1:12" ht="15.75" customHeight="1" x14ac:dyDescent="0.35">
      <c r="A60" s="96" t="s">
        <v>171</v>
      </c>
      <c r="B60" s="97"/>
      <c r="C60" s="31">
        <f ca="1">L61</f>
        <v>15</v>
      </c>
      <c r="D60" s="98">
        <f ca="1">((100/I57)*C60)/100</f>
        <v>1</v>
      </c>
      <c r="E60" s="99"/>
      <c r="F60" s="113">
        <f ca="1">(((C61/I57*10)+(40/(D57+G57+I57)*C62)+(7.5/(I57)*C63)+(7.5/(I57)*C64)+(10/I57*C65)+(10/I57*C66)+(5/I57*C67)+(5/I57*C68)+(5/I57*C69))/100)</f>
        <v>0.77333333333333343</v>
      </c>
      <c r="G60" s="113"/>
      <c r="H60" s="115">
        <f ca="1">((((C60/I57)*20)+((C61/I57)*25)+(30/(I57+G57+D57)*C62)+(5/I57*C63)+(5/I57*C64)+(5/I57*C65)+(5/I57*C66)+(0/I57*C67)+(0/I57*C68)+(5/I57*C69))/100)</f>
        <v>0.90333333333333332</v>
      </c>
      <c r="I60" s="116"/>
      <c r="J60" s="117"/>
      <c r="K60" s="23" t="s">
        <v>172</v>
      </c>
      <c r="L60" s="32">
        <f ca="1">I57*50%</f>
        <v>7.5</v>
      </c>
    </row>
    <row r="61" spans="1:12" ht="15.5" x14ac:dyDescent="0.35">
      <c r="A61" s="96" t="s">
        <v>48</v>
      </c>
      <c r="B61" s="97"/>
      <c r="C61" s="33">
        <f ca="1">L69</f>
        <v>15</v>
      </c>
      <c r="D61" s="98">
        <f ca="1">((100/I57)*C61)/100</f>
        <v>1</v>
      </c>
      <c r="E61" s="99"/>
      <c r="F61" s="113"/>
      <c r="G61" s="113"/>
      <c r="H61" s="118"/>
      <c r="I61" s="119"/>
      <c r="J61" s="120"/>
      <c r="K61" s="23" t="s">
        <v>173</v>
      </c>
      <c r="L61" s="32">
        <f ca="1">I57</f>
        <v>15</v>
      </c>
    </row>
    <row r="62" spans="1:12" ht="15.75" customHeight="1" x14ac:dyDescent="0.35">
      <c r="A62" s="96" t="s">
        <v>198</v>
      </c>
      <c r="B62" s="97"/>
      <c r="C62" s="33">
        <f ca="1">D57+I57</f>
        <v>16</v>
      </c>
      <c r="D62" s="98">
        <f ca="1">((100/(D57+G57+I57))*C62)/100</f>
        <v>1</v>
      </c>
      <c r="E62" s="99"/>
      <c r="F62" s="113"/>
      <c r="G62" s="113"/>
      <c r="H62" s="118"/>
      <c r="I62" s="119"/>
      <c r="J62" s="120"/>
      <c r="K62" s="23" t="s">
        <v>174</v>
      </c>
      <c r="L62" s="34">
        <f ca="1">(IF(B57&gt;1,(I57/(B57+2)),I57/4))</f>
        <v>3.75</v>
      </c>
    </row>
    <row r="63" spans="1:12" ht="15.75" customHeight="1" x14ac:dyDescent="0.35">
      <c r="A63" s="96" t="s">
        <v>175</v>
      </c>
      <c r="B63" s="97" t="s">
        <v>176</v>
      </c>
      <c r="C63" s="31">
        <v>15</v>
      </c>
      <c r="D63" s="98">
        <f ca="1">((100/I57)*C63)/100</f>
        <v>1</v>
      </c>
      <c r="E63" s="99"/>
      <c r="F63" s="113"/>
      <c r="G63" s="113"/>
      <c r="H63" s="118"/>
      <c r="I63" s="119"/>
      <c r="J63" s="120"/>
      <c r="K63" s="23" t="s">
        <v>177</v>
      </c>
      <c r="L63" s="34">
        <f ca="1">(IF(B57&gt;1,(I57/(B57+2)+L62),I57/4+L62))</f>
        <v>7.5</v>
      </c>
    </row>
    <row r="64" spans="1:12" ht="15.75" customHeight="1" x14ac:dyDescent="0.35">
      <c r="A64" s="96" t="s">
        <v>178</v>
      </c>
      <c r="B64" s="97" t="s">
        <v>176</v>
      </c>
      <c r="C64" s="31">
        <v>11</v>
      </c>
      <c r="D64" s="98">
        <f ca="1">((100/I57)*C64)/100</f>
        <v>0.73333333333333339</v>
      </c>
      <c r="E64" s="99"/>
      <c r="F64" s="113"/>
      <c r="G64" s="113"/>
      <c r="H64" s="118"/>
      <c r="I64" s="119"/>
      <c r="J64" s="120"/>
      <c r="K64" s="23" t="s">
        <v>179</v>
      </c>
      <c r="L64" s="34">
        <f>(IF(B57&gt;1,(I57/(B57+2)+L63),0))</f>
        <v>0</v>
      </c>
    </row>
    <row r="65" spans="1:12" ht="15.75" customHeight="1" x14ac:dyDescent="0.35">
      <c r="A65" s="96" t="s">
        <v>180</v>
      </c>
      <c r="B65" s="97" t="s">
        <v>181</v>
      </c>
      <c r="C65" s="31">
        <v>13</v>
      </c>
      <c r="D65" s="98">
        <f ca="1">((100/(I57))*C65)/100</f>
        <v>0.8666666666666667</v>
      </c>
      <c r="E65" s="99"/>
      <c r="F65" s="113"/>
      <c r="G65" s="113"/>
      <c r="H65" s="118"/>
      <c r="I65" s="119"/>
      <c r="J65" s="120"/>
      <c r="K65" s="23" t="s">
        <v>182</v>
      </c>
      <c r="L65" s="34">
        <f>(IF(B57&gt;2,(I57/(B57+2)+L64),0))</f>
        <v>0</v>
      </c>
    </row>
    <row r="66" spans="1:12" ht="15.75" customHeight="1" x14ac:dyDescent="0.35">
      <c r="A66" s="96" t="s">
        <v>183</v>
      </c>
      <c r="B66" s="97" t="s">
        <v>183</v>
      </c>
      <c r="C66" s="31">
        <v>7</v>
      </c>
      <c r="D66" s="98">
        <f ca="1">((100/I57)*C66)/100</f>
        <v>0.46666666666666673</v>
      </c>
      <c r="E66" s="99"/>
      <c r="F66" s="113"/>
      <c r="G66" s="113"/>
      <c r="H66" s="118"/>
      <c r="I66" s="119"/>
      <c r="J66" s="120"/>
      <c r="K66" s="23" t="s">
        <v>184</v>
      </c>
      <c r="L66" s="35">
        <f>(IF(B57&gt;3,(I57/(B57+2)+L65),0))</f>
        <v>0</v>
      </c>
    </row>
    <row r="67" spans="1:12" ht="15.75" customHeight="1" x14ac:dyDescent="0.35">
      <c r="A67" s="96" t="s">
        <v>185</v>
      </c>
      <c r="B67" s="97"/>
      <c r="C67" s="31">
        <v>3</v>
      </c>
      <c r="D67" s="98">
        <f ca="1">((100/I57)*C67)/100</f>
        <v>0.2</v>
      </c>
      <c r="E67" s="99"/>
      <c r="F67" s="113"/>
      <c r="G67" s="113"/>
      <c r="H67" s="118"/>
      <c r="I67" s="119"/>
      <c r="J67" s="120"/>
      <c r="K67" s="23" t="s">
        <v>186</v>
      </c>
      <c r="L67" s="34">
        <f>(IF(B57&gt;4,(I57/(B57+2)+L66),0))</f>
        <v>0</v>
      </c>
    </row>
    <row r="68" spans="1:12" ht="15.75" customHeight="1" x14ac:dyDescent="0.35">
      <c r="A68" s="103" t="s">
        <v>187</v>
      </c>
      <c r="B68" s="94" t="s">
        <v>187</v>
      </c>
      <c r="C68" s="31">
        <v>0</v>
      </c>
      <c r="D68" s="98">
        <f ca="1">((100/(I57))*C68)/100</f>
        <v>0</v>
      </c>
      <c r="E68" s="99"/>
      <c r="F68" s="113"/>
      <c r="G68" s="113"/>
      <c r="H68" s="118"/>
      <c r="I68" s="119"/>
      <c r="J68" s="120"/>
      <c r="K68" s="23" t="s">
        <v>188</v>
      </c>
      <c r="L68" s="34">
        <f ca="1">(IF(B57=1,(I57/(B57+3)+L63),IF(B57=0,(I57/4+L63),IF(B57&gt;1,0))))</f>
        <v>11.25</v>
      </c>
    </row>
    <row r="69" spans="1:12" ht="16.5" customHeight="1" thickBot="1" x14ac:dyDescent="0.4">
      <c r="A69" s="104" t="s">
        <v>189</v>
      </c>
      <c r="B69" s="105"/>
      <c r="C69" s="36">
        <v>0</v>
      </c>
      <c r="D69" s="106">
        <f ca="1">((100/(I57))*C69)/100</f>
        <v>0</v>
      </c>
      <c r="E69" s="107"/>
      <c r="F69" s="114"/>
      <c r="G69" s="114"/>
      <c r="H69" s="121"/>
      <c r="I69" s="122"/>
      <c r="J69" s="123"/>
      <c r="K69" s="24" t="s">
        <v>190</v>
      </c>
      <c r="L69" s="37">
        <f ca="1">(IF(B57&gt;1.5,(I57/(B57+2)+L63+MAX(0,L64-L63)+MAX(0,L65-L64)+MAX(0,L66-L65)+MAX(0,L67-L66)+MAX(0,L68-L67)),IF(B57=1,(I57/(B57+3)+L68),IF(B57=0,I57/4+L68))))</f>
        <v>15</v>
      </c>
    </row>
    <row r="70" spans="1:12" s="38" customFormat="1" x14ac:dyDescent="0.35">
      <c r="A70" s="73" t="s">
        <v>115</v>
      </c>
      <c r="B70" s="73"/>
      <c r="C70" s="73"/>
      <c r="D70" s="73"/>
      <c r="E70" s="73"/>
      <c r="F70" s="73"/>
      <c r="G70" s="73"/>
      <c r="H70" s="73"/>
      <c r="I70" s="73"/>
      <c r="J70" s="73"/>
    </row>
    <row r="71" spans="1:12" s="38" customFormat="1" x14ac:dyDescent="0.35">
      <c r="A71" s="73" t="s">
        <v>54</v>
      </c>
      <c r="B71" s="73"/>
      <c r="C71" s="73"/>
      <c r="D71" s="73"/>
      <c r="E71" s="73"/>
      <c r="F71" s="73"/>
      <c r="G71" s="73"/>
      <c r="H71" s="73"/>
      <c r="I71" s="73"/>
      <c r="J71" s="73"/>
    </row>
    <row r="72" spans="1:12" x14ac:dyDescent="0.35">
      <c r="A72" s="112" t="s">
        <v>107</v>
      </c>
      <c r="B72" s="112"/>
      <c r="C72" s="112"/>
      <c r="D72" s="112"/>
      <c r="E72" s="112"/>
      <c r="F72" s="112"/>
      <c r="G72" s="112"/>
      <c r="H72" s="112"/>
      <c r="I72" s="112"/>
      <c r="J72" s="112"/>
    </row>
    <row r="73" spans="1:12" x14ac:dyDescent="0.35">
      <c r="A73" s="112"/>
      <c r="B73" s="112"/>
      <c r="C73" s="112"/>
      <c r="D73" s="112"/>
      <c r="E73" s="112"/>
      <c r="F73" s="112"/>
      <c r="G73" s="112"/>
      <c r="H73" s="112"/>
      <c r="I73" s="112"/>
      <c r="J73" s="112"/>
    </row>
    <row r="74" spans="1:12" x14ac:dyDescent="0.35">
      <c r="A74" s="112"/>
      <c r="B74" s="112"/>
      <c r="C74" s="112"/>
      <c r="D74" s="112"/>
      <c r="E74" s="112"/>
      <c r="F74" s="112"/>
      <c r="G74" s="112"/>
      <c r="H74" s="112"/>
      <c r="I74" s="112"/>
      <c r="J74" s="112"/>
    </row>
    <row r="75" spans="1:12" x14ac:dyDescent="0.35">
      <c r="A75" s="112"/>
      <c r="B75" s="112"/>
      <c r="C75" s="112"/>
      <c r="D75" s="112"/>
      <c r="E75" s="112"/>
      <c r="F75" s="112"/>
      <c r="G75" s="112"/>
      <c r="H75" s="112"/>
      <c r="I75" s="112"/>
      <c r="J75" s="112"/>
    </row>
    <row r="76" spans="1:12" x14ac:dyDescent="0.35">
      <c r="A76" s="112"/>
      <c r="B76" s="112"/>
      <c r="C76" s="112"/>
      <c r="D76" s="112"/>
      <c r="E76" s="112"/>
      <c r="F76" s="112"/>
      <c r="G76" s="112"/>
      <c r="H76" s="112"/>
      <c r="I76" s="112"/>
      <c r="J76" s="112"/>
    </row>
    <row r="77" spans="1:12" x14ac:dyDescent="0.35">
      <c r="A77" s="112"/>
      <c r="B77" s="112"/>
      <c r="C77" s="112"/>
      <c r="D77" s="112"/>
      <c r="E77" s="112"/>
      <c r="F77" s="112"/>
      <c r="G77" s="112"/>
      <c r="H77" s="112"/>
      <c r="I77" s="112"/>
      <c r="J77" s="112"/>
    </row>
    <row r="78" spans="1:12" x14ac:dyDescent="0.35">
      <c r="A78" s="52" t="s">
        <v>22</v>
      </c>
      <c r="B78" s="52"/>
      <c r="C78" s="52"/>
      <c r="D78" s="52"/>
      <c r="E78" s="52"/>
      <c r="F78" s="52"/>
      <c r="G78" s="52"/>
      <c r="H78" s="52"/>
      <c r="I78" s="52"/>
      <c r="J78" s="52"/>
    </row>
    <row r="79" spans="1:12" x14ac:dyDescent="0.35">
      <c r="A79" s="73" t="s">
        <v>23</v>
      </c>
      <c r="B79" s="73"/>
      <c r="C79" s="73"/>
      <c r="D79" s="73"/>
      <c r="E79" s="73"/>
      <c r="F79" s="73"/>
      <c r="G79" s="65" t="s">
        <v>113</v>
      </c>
      <c r="H79" s="65"/>
      <c r="I79" s="65"/>
      <c r="J79" s="65"/>
    </row>
    <row r="80" spans="1:12" x14ac:dyDescent="0.35">
      <c r="A80" s="73" t="s">
        <v>203</v>
      </c>
      <c r="B80" s="73"/>
      <c r="C80" s="73"/>
      <c r="D80" s="73"/>
      <c r="E80" s="73"/>
      <c r="F80" s="73"/>
      <c r="G80" s="73" t="s">
        <v>106</v>
      </c>
      <c r="H80" s="73"/>
      <c r="I80" s="73"/>
      <c r="J80" s="73"/>
    </row>
    <row r="81" spans="1:12" hidden="1" x14ac:dyDescent="0.35">
      <c r="A81" s="73" t="s">
        <v>57</v>
      </c>
      <c r="B81" s="73"/>
      <c r="C81" s="73"/>
      <c r="D81" s="73"/>
      <c r="E81" s="73"/>
      <c r="F81" s="73"/>
      <c r="G81" s="70" t="s">
        <v>52</v>
      </c>
      <c r="H81" s="71"/>
      <c r="I81" s="71"/>
      <c r="J81" s="72"/>
    </row>
    <row r="82" spans="1:12" x14ac:dyDescent="0.35">
      <c r="A82" s="73" t="s">
        <v>158</v>
      </c>
      <c r="B82" s="73"/>
      <c r="C82" s="73"/>
      <c r="D82" s="73"/>
      <c r="E82" s="73"/>
      <c r="F82" s="73"/>
      <c r="G82" s="73" t="s">
        <v>144</v>
      </c>
      <c r="H82" s="73"/>
      <c r="I82" s="73"/>
      <c r="J82" s="73"/>
    </row>
    <row r="83" spans="1:12" hidden="1" x14ac:dyDescent="0.35">
      <c r="A83" s="73" t="s">
        <v>24</v>
      </c>
      <c r="B83" s="73"/>
      <c r="C83" s="73"/>
      <c r="D83" s="73"/>
      <c r="E83" s="73"/>
      <c r="F83" s="73"/>
      <c r="G83" s="70" t="s">
        <v>52</v>
      </c>
      <c r="H83" s="71"/>
      <c r="I83" s="71"/>
      <c r="J83" s="72"/>
    </row>
    <row r="84" spans="1:12" hidden="1" x14ac:dyDescent="0.35">
      <c r="A84" s="73" t="s">
        <v>65</v>
      </c>
      <c r="B84" s="73"/>
      <c r="C84" s="73"/>
      <c r="D84" s="73"/>
      <c r="E84" s="73"/>
      <c r="F84" s="73"/>
      <c r="G84" s="70" t="s">
        <v>52</v>
      </c>
      <c r="H84" s="71"/>
      <c r="I84" s="71"/>
      <c r="J84" s="72"/>
    </row>
    <row r="85" spans="1:12" hidden="1" x14ac:dyDescent="0.35">
      <c r="A85" s="52" t="s">
        <v>25</v>
      </c>
      <c r="B85" s="52"/>
      <c r="C85" s="52"/>
      <c r="D85" s="52"/>
      <c r="E85" s="52"/>
      <c r="F85" s="52"/>
      <c r="G85" s="65" t="s">
        <v>52</v>
      </c>
      <c r="H85" s="65"/>
      <c r="I85" s="65"/>
      <c r="J85" s="65"/>
    </row>
    <row r="86" spans="1:12" x14ac:dyDescent="0.35">
      <c r="A86" s="52" t="s">
        <v>26</v>
      </c>
      <c r="B86" s="52"/>
      <c r="C86" s="52"/>
      <c r="D86" s="52"/>
      <c r="E86" s="52"/>
      <c r="F86" s="52"/>
      <c r="G86" s="65" t="s">
        <v>114</v>
      </c>
      <c r="H86" s="65"/>
      <c r="I86" s="65"/>
      <c r="J86" s="65"/>
    </row>
    <row r="87" spans="1:12" s="39" customFormat="1" ht="14.25" customHeight="1" x14ac:dyDescent="0.35">
      <c r="A87" s="66" t="s">
        <v>27</v>
      </c>
      <c r="B87" s="66"/>
      <c r="C87" s="66"/>
      <c r="D87" s="66"/>
      <c r="E87" s="66"/>
      <c r="F87" s="66"/>
      <c r="G87" s="66"/>
      <c r="H87" s="66"/>
      <c r="I87" s="66"/>
      <c r="J87" s="66"/>
    </row>
    <row r="88" spans="1:12" s="39" customFormat="1" ht="17.25" customHeight="1" x14ac:dyDescent="0.35">
      <c r="A88" s="66" t="s">
        <v>53</v>
      </c>
      <c r="B88" s="66"/>
      <c r="C88" s="66"/>
      <c r="D88" s="66"/>
      <c r="E88" s="66"/>
      <c r="F88" s="66"/>
      <c r="G88" s="66"/>
      <c r="H88" s="66"/>
      <c r="I88" s="66"/>
      <c r="J88" s="66"/>
    </row>
    <row r="89" spans="1:12" s="39" customFormat="1" ht="18.75" customHeight="1" x14ac:dyDescent="0.35">
      <c r="A89" s="53" t="s">
        <v>201</v>
      </c>
      <c r="B89" s="54"/>
      <c r="C89" s="54"/>
      <c r="D89" s="54"/>
      <c r="E89" s="54"/>
      <c r="F89" s="54"/>
      <c r="G89" s="54"/>
      <c r="H89" s="54"/>
      <c r="I89" s="54"/>
      <c r="J89" s="55"/>
    </row>
    <row r="90" spans="1:12" s="39" customFormat="1" ht="18" customHeight="1" x14ac:dyDescent="0.35">
      <c r="A90" s="53" t="s">
        <v>105</v>
      </c>
      <c r="B90" s="54"/>
      <c r="C90" s="54"/>
      <c r="D90" s="54"/>
      <c r="E90" s="54"/>
      <c r="F90" s="54"/>
      <c r="G90" s="54"/>
      <c r="H90" s="54"/>
      <c r="I90" s="54"/>
      <c r="J90" s="55"/>
    </row>
    <row r="91" spans="1:12" ht="47.25" customHeight="1" x14ac:dyDescent="0.35">
      <c r="A91" s="40" t="s">
        <v>33</v>
      </c>
      <c r="B91" s="40" t="s">
        <v>63</v>
      </c>
      <c r="C91" s="40" t="s">
        <v>32</v>
      </c>
      <c r="D91" s="40" t="s">
        <v>30</v>
      </c>
      <c r="E91" s="40" t="s">
        <v>31</v>
      </c>
      <c r="F91" s="110" t="s">
        <v>55</v>
      </c>
      <c r="G91" s="110"/>
      <c r="H91" s="108" t="s">
        <v>34</v>
      </c>
      <c r="I91" s="109"/>
      <c r="J91" s="40" t="s">
        <v>35</v>
      </c>
    </row>
    <row r="92" spans="1:12" ht="33" customHeight="1" x14ac:dyDescent="0.35">
      <c r="A92" s="62">
        <v>1</v>
      </c>
      <c r="B92" s="41" t="s">
        <v>64</v>
      </c>
      <c r="C92" s="42" t="s">
        <v>93</v>
      </c>
      <c r="D92" s="43" t="s">
        <v>51</v>
      </c>
      <c r="E92" s="43">
        <v>3</v>
      </c>
      <c r="F92" s="67">
        <f>31.61*10.7642</f>
        <v>340.25636200000002</v>
      </c>
      <c r="G92" s="67"/>
      <c r="H92" s="68">
        <v>0</v>
      </c>
      <c r="I92" s="69"/>
      <c r="J92" s="44">
        <f>F92*1.45</f>
        <v>493.3717249</v>
      </c>
      <c r="L92">
        <f>J92/F92</f>
        <v>1.45</v>
      </c>
    </row>
    <row r="93" spans="1:12" x14ac:dyDescent="0.35">
      <c r="A93" s="63"/>
      <c r="B93" s="41" t="s">
        <v>64</v>
      </c>
      <c r="C93" s="45" t="s">
        <v>94</v>
      </c>
      <c r="D93" s="43" t="s">
        <v>51</v>
      </c>
      <c r="E93" s="43">
        <v>1</v>
      </c>
      <c r="F93" s="67">
        <f>43.35*10.7642</f>
        <v>466.62807000000004</v>
      </c>
      <c r="G93" s="67"/>
      <c r="H93" s="68">
        <v>0</v>
      </c>
      <c r="I93" s="69"/>
      <c r="J93" s="44">
        <f>F93*1.45</f>
        <v>676.6107015</v>
      </c>
    </row>
    <row r="94" spans="1:12" x14ac:dyDescent="0.35">
      <c r="A94" s="63"/>
      <c r="B94" s="41" t="s">
        <v>64</v>
      </c>
      <c r="C94" s="45" t="s">
        <v>95</v>
      </c>
      <c r="D94" s="43" t="s">
        <v>51</v>
      </c>
      <c r="E94" s="43">
        <v>1</v>
      </c>
      <c r="F94" s="67">
        <f>31.95*10.7642</f>
        <v>343.91619000000003</v>
      </c>
      <c r="G94" s="67"/>
      <c r="H94" s="68">
        <v>0</v>
      </c>
      <c r="I94" s="69"/>
      <c r="J94" s="44">
        <f>F94*1.45</f>
        <v>498.67847550000005</v>
      </c>
    </row>
    <row r="95" spans="1:12" x14ac:dyDescent="0.35">
      <c r="A95" s="64"/>
      <c r="B95" s="41" t="s">
        <v>92</v>
      </c>
      <c r="C95" s="45" t="s">
        <v>96</v>
      </c>
      <c r="D95" s="43" t="s">
        <v>51</v>
      </c>
      <c r="E95" s="43">
        <v>1</v>
      </c>
      <c r="F95" s="67">
        <f>32.72*10.7642</f>
        <v>352.20462400000002</v>
      </c>
      <c r="G95" s="67"/>
      <c r="H95" s="68">
        <v>0</v>
      </c>
      <c r="I95" s="69"/>
      <c r="J95" s="44">
        <f>F95*1.45</f>
        <v>510.69670480000002</v>
      </c>
    </row>
    <row r="96" spans="1:12" x14ac:dyDescent="0.35">
      <c r="A96" s="53" t="s">
        <v>97</v>
      </c>
      <c r="B96" s="54"/>
      <c r="C96" s="54"/>
      <c r="D96" s="54"/>
      <c r="E96" s="54"/>
      <c r="F96" s="54"/>
      <c r="G96" s="54"/>
      <c r="H96" s="54"/>
      <c r="I96" s="54"/>
      <c r="J96" s="55"/>
    </row>
    <row r="97" spans="1:12" ht="30" x14ac:dyDescent="0.35">
      <c r="A97" s="40" t="s">
        <v>33</v>
      </c>
      <c r="B97" s="40" t="s">
        <v>63</v>
      </c>
      <c r="C97" s="40" t="s">
        <v>32</v>
      </c>
      <c r="D97" s="40" t="s">
        <v>30</v>
      </c>
      <c r="E97" s="40" t="s">
        <v>98</v>
      </c>
      <c r="F97" s="110" t="s">
        <v>55</v>
      </c>
      <c r="G97" s="110"/>
      <c r="H97" s="108" t="s">
        <v>34</v>
      </c>
      <c r="I97" s="109"/>
      <c r="J97" s="40" t="s">
        <v>35</v>
      </c>
    </row>
    <row r="98" spans="1:12" ht="30.75" customHeight="1" x14ac:dyDescent="0.35">
      <c r="A98" s="62">
        <v>2</v>
      </c>
      <c r="B98" s="148" t="s">
        <v>97</v>
      </c>
      <c r="C98" s="42" t="s">
        <v>93</v>
      </c>
      <c r="D98" s="43" t="s">
        <v>51</v>
      </c>
      <c r="E98" s="43">
        <v>3</v>
      </c>
      <c r="F98" s="67">
        <f>31.61*10.7642</f>
        <v>340.25636200000002</v>
      </c>
      <c r="G98" s="67"/>
      <c r="H98" s="68">
        <v>0</v>
      </c>
      <c r="I98" s="69"/>
      <c r="J98" s="44">
        <f>F98*1.45</f>
        <v>493.3717249</v>
      </c>
    </row>
    <row r="99" spans="1:12" x14ac:dyDescent="0.35">
      <c r="A99" s="63"/>
      <c r="B99" s="149"/>
      <c r="C99" s="45" t="s">
        <v>94</v>
      </c>
      <c r="D99" s="43" t="s">
        <v>51</v>
      </c>
      <c r="E99" s="43">
        <v>1</v>
      </c>
      <c r="F99" s="67">
        <f>43.35*10.7642</f>
        <v>466.62807000000004</v>
      </c>
      <c r="G99" s="67"/>
      <c r="H99" s="68">
        <v>0</v>
      </c>
      <c r="I99" s="69"/>
      <c r="J99" s="44">
        <f>F99*1.45</f>
        <v>676.6107015</v>
      </c>
    </row>
    <row r="100" spans="1:12" x14ac:dyDescent="0.35">
      <c r="A100" s="63"/>
      <c r="B100" s="149"/>
      <c r="C100" s="45" t="s">
        <v>95</v>
      </c>
      <c r="D100" s="43" t="s">
        <v>51</v>
      </c>
      <c r="E100" s="43">
        <v>1</v>
      </c>
      <c r="F100" s="67">
        <f>31.95*10.7642</f>
        <v>343.91619000000003</v>
      </c>
      <c r="G100" s="67"/>
      <c r="H100" s="68">
        <v>0</v>
      </c>
      <c r="I100" s="69"/>
      <c r="J100" s="44">
        <f>F100*1.45</f>
        <v>498.67847550000005</v>
      </c>
    </row>
    <row r="101" spans="1:12" x14ac:dyDescent="0.35">
      <c r="A101" s="64"/>
      <c r="B101" s="150"/>
      <c r="C101" s="45" t="s">
        <v>96</v>
      </c>
      <c r="D101" s="43" t="s">
        <v>51</v>
      </c>
      <c r="E101" s="43">
        <v>1</v>
      </c>
      <c r="F101" s="67">
        <f>32.72*10.7642</f>
        <v>352.20462400000002</v>
      </c>
      <c r="G101" s="67"/>
      <c r="H101" s="68">
        <v>0</v>
      </c>
      <c r="I101" s="69"/>
      <c r="J101" s="44">
        <f>F101*1.45</f>
        <v>510.69670480000002</v>
      </c>
    </row>
    <row r="102" spans="1:12" x14ac:dyDescent="0.35">
      <c r="A102" s="53" t="s">
        <v>99</v>
      </c>
      <c r="B102" s="54"/>
      <c r="C102" s="54"/>
      <c r="D102" s="54"/>
      <c r="E102" s="54"/>
      <c r="F102" s="54"/>
      <c r="G102" s="54"/>
      <c r="H102" s="54"/>
      <c r="I102" s="54"/>
      <c r="J102" s="55"/>
    </row>
    <row r="103" spans="1:12" ht="31.5" customHeight="1" x14ac:dyDescent="0.35">
      <c r="A103" s="40" t="s">
        <v>33</v>
      </c>
      <c r="B103" s="40" t="s">
        <v>63</v>
      </c>
      <c r="C103" s="40" t="s">
        <v>32</v>
      </c>
      <c r="D103" s="40" t="s">
        <v>30</v>
      </c>
      <c r="E103" s="40" t="s">
        <v>98</v>
      </c>
      <c r="F103" s="110" t="s">
        <v>55</v>
      </c>
      <c r="G103" s="110"/>
      <c r="H103" s="108" t="s">
        <v>34</v>
      </c>
      <c r="I103" s="109"/>
      <c r="J103" s="40" t="s">
        <v>35</v>
      </c>
    </row>
    <row r="104" spans="1:12" ht="16.5" customHeight="1" x14ac:dyDescent="0.35">
      <c r="A104" s="62">
        <v>3</v>
      </c>
      <c r="B104" s="148" t="s">
        <v>99</v>
      </c>
      <c r="C104" s="42" t="s">
        <v>100</v>
      </c>
      <c r="D104" s="43" t="s">
        <v>51</v>
      </c>
      <c r="E104" s="43">
        <v>2</v>
      </c>
      <c r="F104" s="67">
        <f>31.61*10.7642</f>
        <v>340.25636200000002</v>
      </c>
      <c r="G104" s="67"/>
      <c r="H104" s="68">
        <v>0</v>
      </c>
      <c r="I104" s="69"/>
      <c r="J104" s="44">
        <f>F104*1.45</f>
        <v>493.3717249</v>
      </c>
      <c r="L104">
        <f>3770000/J104</f>
        <v>7641.2972404612965</v>
      </c>
    </row>
    <row r="105" spans="1:12" x14ac:dyDescent="0.35">
      <c r="A105" s="63"/>
      <c r="B105" s="149"/>
      <c r="C105" s="45" t="s">
        <v>101</v>
      </c>
      <c r="D105" s="43" t="s">
        <v>51</v>
      </c>
      <c r="E105" s="43">
        <v>1</v>
      </c>
      <c r="F105" s="67" t="s">
        <v>102</v>
      </c>
      <c r="G105" s="67"/>
      <c r="H105" s="68" t="s">
        <v>52</v>
      </c>
      <c r="I105" s="69"/>
      <c r="J105" s="44" t="s">
        <v>52</v>
      </c>
    </row>
    <row r="106" spans="1:12" x14ac:dyDescent="0.35">
      <c r="A106" s="63"/>
      <c r="B106" s="149"/>
      <c r="C106" s="45" t="s">
        <v>94</v>
      </c>
      <c r="D106" s="43" t="s">
        <v>51</v>
      </c>
      <c r="E106" s="43">
        <v>1</v>
      </c>
      <c r="F106" s="67">
        <f>43.35*10.7642</f>
        <v>466.62807000000004</v>
      </c>
      <c r="G106" s="67"/>
      <c r="H106" s="68">
        <v>0</v>
      </c>
      <c r="I106" s="69"/>
      <c r="J106" s="44">
        <f>F106*1.45</f>
        <v>676.6107015</v>
      </c>
    </row>
    <row r="107" spans="1:12" x14ac:dyDescent="0.35">
      <c r="A107" s="63"/>
      <c r="B107" s="149"/>
      <c r="C107" s="45" t="s">
        <v>95</v>
      </c>
      <c r="D107" s="43" t="s">
        <v>51</v>
      </c>
      <c r="E107" s="43">
        <v>1</v>
      </c>
      <c r="F107" s="67">
        <f>31.95*10.7642</f>
        <v>343.91619000000003</v>
      </c>
      <c r="G107" s="67"/>
      <c r="H107" s="68">
        <v>0</v>
      </c>
      <c r="I107" s="69"/>
      <c r="J107" s="44">
        <f>F107*1.45</f>
        <v>498.67847550000005</v>
      </c>
    </row>
    <row r="108" spans="1:12" x14ac:dyDescent="0.35">
      <c r="A108" s="64"/>
      <c r="B108" s="150"/>
      <c r="C108" s="45" t="s">
        <v>96</v>
      </c>
      <c r="D108" s="43" t="s">
        <v>51</v>
      </c>
      <c r="E108" s="43">
        <v>1</v>
      </c>
      <c r="F108" s="67">
        <f>32.72*10.7642</f>
        <v>352.20462400000002</v>
      </c>
      <c r="G108" s="67"/>
      <c r="H108" s="68">
        <v>0</v>
      </c>
      <c r="I108" s="69"/>
      <c r="J108" s="44">
        <f>F108*1.45</f>
        <v>510.69670480000002</v>
      </c>
    </row>
    <row r="109" spans="1:12" ht="157" customHeight="1" x14ac:dyDescent="0.35">
      <c r="A109" s="49" t="s">
        <v>209</v>
      </c>
      <c r="B109" s="50"/>
      <c r="C109" s="50"/>
      <c r="D109" s="50"/>
      <c r="E109" s="50"/>
      <c r="F109" s="50"/>
      <c r="G109" s="50"/>
      <c r="H109" s="50"/>
      <c r="I109" s="50"/>
      <c r="J109" s="51"/>
    </row>
    <row r="110" spans="1:12" x14ac:dyDescent="0.35">
      <c r="A110" s="59" t="s">
        <v>28</v>
      </c>
      <c r="B110" s="60"/>
      <c r="C110" s="60"/>
      <c r="D110" s="60"/>
      <c r="E110" s="60"/>
      <c r="F110" s="60"/>
      <c r="G110" s="60"/>
      <c r="H110" s="60"/>
      <c r="I110" s="60"/>
      <c r="J110" s="61"/>
    </row>
    <row r="111" spans="1:12" x14ac:dyDescent="0.35">
      <c r="A111" s="59" t="s">
        <v>58</v>
      </c>
      <c r="B111" s="60"/>
      <c r="C111" s="60"/>
      <c r="D111" s="60"/>
      <c r="E111" s="60"/>
      <c r="F111" s="60"/>
      <c r="G111" s="60"/>
      <c r="H111" s="60"/>
      <c r="I111" s="60"/>
      <c r="J111" s="61"/>
    </row>
    <row r="112" spans="1:12" x14ac:dyDescent="0.35">
      <c r="A112" s="59" t="s">
        <v>29</v>
      </c>
      <c r="B112" s="60"/>
      <c r="C112" s="60"/>
      <c r="D112" s="60"/>
      <c r="E112" s="60"/>
      <c r="F112" s="60"/>
      <c r="G112" s="60"/>
      <c r="H112" s="60"/>
      <c r="I112" s="60"/>
      <c r="J112" s="61"/>
    </row>
    <row r="113" spans="1:10" ht="49.5" customHeight="1" x14ac:dyDescent="0.35">
      <c r="A113" s="56" t="s">
        <v>208</v>
      </c>
      <c r="B113" s="57"/>
      <c r="C113" s="57"/>
      <c r="D113" s="57"/>
      <c r="E113" s="57"/>
      <c r="F113" s="57"/>
      <c r="G113" s="57"/>
      <c r="H113" s="57"/>
      <c r="I113" s="57"/>
      <c r="J113" s="58"/>
    </row>
    <row r="114" spans="1:10" ht="16.5" hidden="1" customHeight="1" x14ac:dyDescent="0.35">
      <c r="A114" s="56" t="s">
        <v>108</v>
      </c>
      <c r="B114" s="57"/>
      <c r="C114" s="57"/>
      <c r="D114" s="57"/>
      <c r="E114" s="57"/>
      <c r="F114" s="57"/>
      <c r="G114" s="57"/>
      <c r="H114" s="57"/>
      <c r="I114" s="57"/>
      <c r="J114" s="58"/>
    </row>
    <row r="115" spans="1:10" ht="15" customHeight="1" x14ac:dyDescent="0.35">
      <c r="A115" s="146" t="s">
        <v>116</v>
      </c>
      <c r="B115" s="147"/>
      <c r="C115" s="147"/>
      <c r="D115" s="147"/>
      <c r="E115" s="147"/>
      <c r="F115" s="147"/>
      <c r="G115" s="147"/>
      <c r="H115" s="147"/>
      <c r="I115" s="147"/>
      <c r="J115" s="147"/>
    </row>
    <row r="116" spans="1:10" x14ac:dyDescent="0.35">
      <c r="A116" s="147"/>
      <c r="B116" s="147"/>
      <c r="C116" s="147"/>
      <c r="D116" s="147"/>
      <c r="E116" s="147"/>
      <c r="F116" s="147"/>
      <c r="G116" s="147"/>
      <c r="H116" s="147"/>
      <c r="I116" s="147"/>
      <c r="J116" s="147"/>
    </row>
    <row r="117" spans="1:10" ht="15" customHeight="1" x14ac:dyDescent="0.35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</row>
    <row r="118" spans="1:10" hidden="1" x14ac:dyDescent="0.35">
      <c r="A118" s="147"/>
      <c r="B118" s="147"/>
      <c r="C118" s="147"/>
      <c r="D118" s="147"/>
      <c r="E118" s="147"/>
      <c r="F118" s="147"/>
      <c r="G118" s="147"/>
      <c r="H118" s="147"/>
      <c r="I118" s="147"/>
      <c r="J118" s="147"/>
    </row>
    <row r="119" spans="1:10" ht="9.75" hidden="1" customHeight="1" x14ac:dyDescent="0.35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</row>
    <row r="120" spans="1:10" x14ac:dyDescent="0.35">
      <c r="A120" s="48" t="s">
        <v>140</v>
      </c>
      <c r="B120" s="48"/>
      <c r="C120" s="48"/>
    </row>
    <row r="146" spans="3:9" x14ac:dyDescent="0.35">
      <c r="D146" s="46"/>
      <c r="E146" s="46"/>
      <c r="F146" s="46"/>
      <c r="G146" s="46"/>
      <c r="H146" s="46"/>
      <c r="I146" s="46"/>
    </row>
    <row r="147" spans="3:9" x14ac:dyDescent="0.35">
      <c r="C147" s="47"/>
    </row>
    <row r="159" spans="3:9" hidden="1" x14ac:dyDescent="0.35"/>
    <row r="160" spans="3:9" hidden="1" x14ac:dyDescent="0.35"/>
    <row r="161" spans="1:2" hidden="1" x14ac:dyDescent="0.35"/>
    <row r="162" spans="1:2" hidden="1" x14ac:dyDescent="0.35"/>
    <row r="163" spans="1:2" hidden="1" x14ac:dyDescent="0.35"/>
    <row r="166" spans="1:2" x14ac:dyDescent="0.35">
      <c r="A166" s="48" t="s">
        <v>141</v>
      </c>
      <c r="B166" s="48"/>
    </row>
  </sheetData>
  <mergeCells count="197">
    <mergeCell ref="A10:E10"/>
    <mergeCell ref="F10:J10"/>
    <mergeCell ref="A110:J110"/>
    <mergeCell ref="H98:I98"/>
    <mergeCell ref="A114:J114"/>
    <mergeCell ref="A115:J119"/>
    <mergeCell ref="F106:G106"/>
    <mergeCell ref="H106:I106"/>
    <mergeCell ref="F108:G108"/>
    <mergeCell ref="H108:I108"/>
    <mergeCell ref="F107:G107"/>
    <mergeCell ref="H107:I107"/>
    <mergeCell ref="A104:A108"/>
    <mergeCell ref="F103:G103"/>
    <mergeCell ref="H103:I103"/>
    <mergeCell ref="B104:B108"/>
    <mergeCell ref="F104:G104"/>
    <mergeCell ref="H104:I104"/>
    <mergeCell ref="F105:G105"/>
    <mergeCell ref="H105:I105"/>
    <mergeCell ref="F101:G101"/>
    <mergeCell ref="H101:I101"/>
    <mergeCell ref="B98:B101"/>
    <mergeCell ref="F97:G97"/>
    <mergeCell ref="H97:I97"/>
    <mergeCell ref="I28:J28"/>
    <mergeCell ref="A27:J27"/>
    <mergeCell ref="G30:H30"/>
    <mergeCell ref="A29:B29"/>
    <mergeCell ref="A28:B28"/>
    <mergeCell ref="C28:D28"/>
    <mergeCell ref="A33:J33"/>
    <mergeCell ref="A46:H47"/>
    <mergeCell ref="A41:E41"/>
    <mergeCell ref="F41:J41"/>
    <mergeCell ref="A44:H45"/>
    <mergeCell ref="I44:J45"/>
    <mergeCell ref="I46:J47"/>
    <mergeCell ref="A48:E48"/>
    <mergeCell ref="F43:H43"/>
    <mergeCell ref="A40:E40"/>
    <mergeCell ref="F40:J40"/>
    <mergeCell ref="A42:J42"/>
    <mergeCell ref="A43:E43"/>
    <mergeCell ref="I43:J43"/>
    <mergeCell ref="A49:E49"/>
    <mergeCell ref="F49:J49"/>
    <mergeCell ref="A52:J52"/>
    <mergeCell ref="A2:J2"/>
    <mergeCell ref="A3:E3"/>
    <mergeCell ref="F3:J3"/>
    <mergeCell ref="A4:E4"/>
    <mergeCell ref="F4:J4"/>
    <mergeCell ref="A25:J25"/>
    <mergeCell ref="A22:E22"/>
    <mergeCell ref="A18:E19"/>
    <mergeCell ref="F22:J22"/>
    <mergeCell ref="F20:J21"/>
    <mergeCell ref="F17:J17"/>
    <mergeCell ref="A5:E5"/>
    <mergeCell ref="F5:J5"/>
    <mergeCell ref="F18:J19"/>
    <mergeCell ref="F15:J15"/>
    <mergeCell ref="A20:E21"/>
    <mergeCell ref="A6:E6"/>
    <mergeCell ref="F6:J6"/>
    <mergeCell ref="A9:E9"/>
    <mergeCell ref="F9:J9"/>
    <mergeCell ref="A8:E8"/>
    <mergeCell ref="A7:E7"/>
    <mergeCell ref="F7:J7"/>
    <mergeCell ref="F8:J8"/>
    <mergeCell ref="A17:E17"/>
    <mergeCell ref="A11:E11"/>
    <mergeCell ref="F11:J11"/>
    <mergeCell ref="A12:J12"/>
    <mergeCell ref="A13:J13"/>
    <mergeCell ref="A15:E15"/>
    <mergeCell ref="A16:E16"/>
    <mergeCell ref="F16:J16"/>
    <mergeCell ref="A14:C14"/>
    <mergeCell ref="D14:E14"/>
    <mergeCell ref="F14:J14"/>
    <mergeCell ref="A23:E23"/>
    <mergeCell ref="F23:J23"/>
    <mergeCell ref="C30:D30"/>
    <mergeCell ref="E30:F30"/>
    <mergeCell ref="G28:H28"/>
    <mergeCell ref="F39:J39"/>
    <mergeCell ref="C29:J29"/>
    <mergeCell ref="E28:F28"/>
    <mergeCell ref="A34:J35"/>
    <mergeCell ref="F36:J36"/>
    <mergeCell ref="F37:J37"/>
    <mergeCell ref="A36:E36"/>
    <mergeCell ref="A32:J32"/>
    <mergeCell ref="I30:J30"/>
    <mergeCell ref="A31:J31"/>
    <mergeCell ref="A37:E37"/>
    <mergeCell ref="A30:B30"/>
    <mergeCell ref="A38:E38"/>
    <mergeCell ref="A39:E39"/>
    <mergeCell ref="F38:J38"/>
    <mergeCell ref="A26:J26"/>
    <mergeCell ref="A24:C24"/>
    <mergeCell ref="A51:E51"/>
    <mergeCell ref="F51:J51"/>
    <mergeCell ref="A55:J55"/>
    <mergeCell ref="A50:J50"/>
    <mergeCell ref="F48:H48"/>
    <mergeCell ref="I48:J48"/>
    <mergeCell ref="A70:J70"/>
    <mergeCell ref="A71:J71"/>
    <mergeCell ref="A72:J77"/>
    <mergeCell ref="F60:G69"/>
    <mergeCell ref="H60:J69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69:B69"/>
    <mergeCell ref="D69:E69"/>
    <mergeCell ref="F95:G95"/>
    <mergeCell ref="A88:J88"/>
    <mergeCell ref="A84:F84"/>
    <mergeCell ref="G84:J84"/>
    <mergeCell ref="A85:F85"/>
    <mergeCell ref="A83:F83"/>
    <mergeCell ref="A92:A95"/>
    <mergeCell ref="H91:I91"/>
    <mergeCell ref="H92:I92"/>
    <mergeCell ref="H93:I93"/>
    <mergeCell ref="H94:I94"/>
    <mergeCell ref="H95:I95"/>
    <mergeCell ref="F91:G91"/>
    <mergeCell ref="F94:G94"/>
    <mergeCell ref="F93:G93"/>
    <mergeCell ref="A1:J1"/>
    <mergeCell ref="A53:E53"/>
    <mergeCell ref="F53:J53"/>
    <mergeCell ref="A54:J54"/>
    <mergeCell ref="A82:F82"/>
    <mergeCell ref="G79:J79"/>
    <mergeCell ref="A79:F79"/>
    <mergeCell ref="G81:J81"/>
    <mergeCell ref="A56:B56"/>
    <mergeCell ref="C56:J56"/>
    <mergeCell ref="E57:F57"/>
    <mergeCell ref="I57:J57"/>
    <mergeCell ref="A58:B58"/>
    <mergeCell ref="C58:J58"/>
    <mergeCell ref="A59:B59"/>
    <mergeCell ref="D59:E59"/>
    <mergeCell ref="F59:G59"/>
    <mergeCell ref="H59:J59"/>
    <mergeCell ref="A60:B60"/>
    <mergeCell ref="D60:E60"/>
    <mergeCell ref="A80:F80"/>
    <mergeCell ref="G80:J80"/>
    <mergeCell ref="A81:F81"/>
    <mergeCell ref="D24:J24"/>
    <mergeCell ref="A166:B166"/>
    <mergeCell ref="A120:C120"/>
    <mergeCell ref="A109:J109"/>
    <mergeCell ref="A78:J78"/>
    <mergeCell ref="A90:J90"/>
    <mergeCell ref="A113:J113"/>
    <mergeCell ref="A112:J112"/>
    <mergeCell ref="A111:J111"/>
    <mergeCell ref="A98:A101"/>
    <mergeCell ref="A89:J89"/>
    <mergeCell ref="A96:J96"/>
    <mergeCell ref="A102:J102"/>
    <mergeCell ref="A86:F86"/>
    <mergeCell ref="G86:J86"/>
    <mergeCell ref="A87:J87"/>
    <mergeCell ref="F99:G99"/>
    <mergeCell ref="H99:I99"/>
    <mergeCell ref="F98:G98"/>
    <mergeCell ref="F100:G100"/>
    <mergeCell ref="H100:I100"/>
    <mergeCell ref="G85:J85"/>
    <mergeCell ref="G83:J83"/>
    <mergeCell ref="F92:G92"/>
    <mergeCell ref="G82:J82"/>
  </mergeCells>
  <hyperlinks>
    <hyperlink ref="D24" r:id="rId1"/>
  </hyperlinks>
  <pageMargins left="0.31496062992125984" right="0.39370078740157483" top="0.86614173228346458" bottom="0.74803149606299213" header="0.31496062992125984" footer="0.31496062992125984"/>
  <pageSetup scale="98" fitToHeight="0" orientation="portrait" horizontalDpi="150" r:id="rId2"/>
  <headerFooter>
    <oddHeader>&amp;C&amp;G</oddHeader>
    <oddFooter>&amp;L&amp;"Times New Roman,Bold"Ref : &amp;F&amp;C&amp;G&amp;R&amp;P</oddFooter>
  </headerFooter>
  <rowBreaks count="2" manualBreakCount="2">
    <brk id="119" max="16383" man="1"/>
    <brk id="16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B29" sqref="B29"/>
    </sheetView>
  </sheetViews>
  <sheetFormatPr defaultRowHeight="14.5" x14ac:dyDescent="0.35"/>
  <cols>
    <col min="1" max="1" width="11.26953125" customWidth="1"/>
    <col min="2" max="2" width="12" customWidth="1"/>
    <col min="3" max="3" width="14.54296875" customWidth="1"/>
    <col min="4" max="4" width="4" customWidth="1"/>
    <col min="5" max="5" width="15.1796875" customWidth="1"/>
    <col min="6" max="7" width="9.1796875" customWidth="1"/>
    <col min="9" max="9" width="12.7265625" customWidth="1"/>
    <col min="10" max="10" width="15.1796875" customWidth="1"/>
    <col min="13" max="13" width="16.54296875" customWidth="1"/>
  </cols>
  <sheetData>
    <row r="2" spans="1:15" x14ac:dyDescent="0.35">
      <c r="A2" t="s">
        <v>119</v>
      </c>
      <c r="B2" s="1" t="s">
        <v>120</v>
      </c>
      <c r="C2" s="1">
        <v>15</v>
      </c>
    </row>
    <row r="3" spans="1:15" x14ac:dyDescent="0.35">
      <c r="B3" t="s">
        <v>121</v>
      </c>
      <c r="C3" t="s">
        <v>122</v>
      </c>
    </row>
    <row r="4" spans="1:15" x14ac:dyDescent="0.35">
      <c r="A4" t="s">
        <v>123</v>
      </c>
      <c r="B4" s="2">
        <v>10</v>
      </c>
      <c r="C4" s="2">
        <v>10</v>
      </c>
      <c r="E4">
        <f>(100/B4)*C4</f>
        <v>100</v>
      </c>
    </row>
    <row r="5" spans="1:15" x14ac:dyDescent="0.35">
      <c r="A5" t="s">
        <v>124</v>
      </c>
      <c r="B5" t="s">
        <v>125</v>
      </c>
      <c r="C5" t="s">
        <v>126</v>
      </c>
      <c r="E5" s="6">
        <f>(100/B6)*C6</f>
        <v>100</v>
      </c>
      <c r="I5" s="2" t="s">
        <v>127</v>
      </c>
      <c r="J5" s="2" t="s">
        <v>128</v>
      </c>
      <c r="K5" s="2" t="s">
        <v>129</v>
      </c>
      <c r="L5" s="2" t="s">
        <v>50</v>
      </c>
      <c r="M5" s="2" t="s">
        <v>59</v>
      </c>
      <c r="N5" s="2" t="s">
        <v>130</v>
      </c>
      <c r="O5" s="2" t="s">
        <v>60</v>
      </c>
    </row>
    <row r="6" spans="1:15" x14ac:dyDescent="0.35">
      <c r="B6" s="2">
        <v>16</v>
      </c>
      <c r="C6" s="2">
        <v>16</v>
      </c>
      <c r="E6" s="6">
        <f>(100/B8)*C8</f>
        <v>100</v>
      </c>
      <c r="F6" s="3" t="s">
        <v>131</v>
      </c>
      <c r="I6" s="3">
        <f>C4</f>
        <v>10</v>
      </c>
      <c r="J6" s="7">
        <f>40/B6*C6</f>
        <v>40</v>
      </c>
      <c r="K6" s="7">
        <f>15/B8*C8</f>
        <v>15</v>
      </c>
      <c r="L6" s="7">
        <f>10/B10*C10</f>
        <v>2.6666666666666665</v>
      </c>
      <c r="M6" s="3">
        <f>10/B12*C12</f>
        <v>1.3333333333333333</v>
      </c>
      <c r="N6" s="3">
        <f>5/B14*C14</f>
        <v>0</v>
      </c>
      <c r="O6" s="3">
        <f>5/B16*C16</f>
        <v>0</v>
      </c>
    </row>
    <row r="7" spans="1:15" x14ac:dyDescent="0.35">
      <c r="A7" t="s">
        <v>132</v>
      </c>
      <c r="B7" t="s">
        <v>133</v>
      </c>
      <c r="C7" t="s">
        <v>134</v>
      </c>
      <c r="E7" s="6">
        <f>(100/B10)*C10</f>
        <v>26.666666666666668</v>
      </c>
      <c r="F7" s="2" t="s">
        <v>135</v>
      </c>
      <c r="G7" s="2"/>
      <c r="H7" s="2"/>
      <c r="I7" s="2">
        <f>I6+20</f>
        <v>30</v>
      </c>
      <c r="J7" s="8">
        <f>30/B6*C6</f>
        <v>30</v>
      </c>
      <c r="K7" s="8">
        <f>15/B8*C8</f>
        <v>15</v>
      </c>
      <c r="L7" s="8">
        <f>10/B10*C10</f>
        <v>2.6666666666666665</v>
      </c>
      <c r="M7" s="2">
        <f>5/B12*C12</f>
        <v>0.66666666666666663</v>
      </c>
      <c r="N7" s="2">
        <f>5/B14*C14</f>
        <v>0</v>
      </c>
      <c r="O7" s="2">
        <f>5/B16*C16</f>
        <v>0</v>
      </c>
    </row>
    <row r="8" spans="1:15" x14ac:dyDescent="0.35">
      <c r="B8" s="2">
        <v>15</v>
      </c>
      <c r="C8" s="2">
        <v>15</v>
      </c>
      <c r="E8" s="6">
        <f>(100/B12)*C12</f>
        <v>13.333333333333334</v>
      </c>
    </row>
    <row r="9" spans="1:15" x14ac:dyDescent="0.35">
      <c r="A9" t="s">
        <v>136</v>
      </c>
      <c r="B9" t="s">
        <v>133</v>
      </c>
      <c r="C9" t="s">
        <v>134</v>
      </c>
      <c r="E9">
        <f>(100/B14)*C14</f>
        <v>0</v>
      </c>
    </row>
    <row r="10" spans="1:15" x14ac:dyDescent="0.35">
      <c r="B10" s="2">
        <v>15</v>
      </c>
      <c r="C10" s="2">
        <f>6/2+2/2</f>
        <v>4</v>
      </c>
      <c r="E10">
        <f>(100/B16)*C16</f>
        <v>0</v>
      </c>
    </row>
    <row r="11" spans="1:15" x14ac:dyDescent="0.35">
      <c r="A11" t="s">
        <v>59</v>
      </c>
      <c r="B11" t="s">
        <v>133</v>
      </c>
      <c r="C11" t="s">
        <v>134</v>
      </c>
    </row>
    <row r="12" spans="1:15" x14ac:dyDescent="0.35">
      <c r="B12" s="2">
        <v>15</v>
      </c>
      <c r="C12" s="2">
        <v>2</v>
      </c>
      <c r="F12" s="2"/>
      <c r="G12" s="2" t="s">
        <v>131</v>
      </c>
      <c r="H12" s="2" t="s">
        <v>137</v>
      </c>
      <c r="L12" t="s">
        <v>138</v>
      </c>
    </row>
    <row r="13" spans="1:15" ht="31.5" customHeight="1" x14ac:dyDescent="0.35">
      <c r="A13" s="4" t="s">
        <v>130</v>
      </c>
      <c r="B13" t="s">
        <v>133</v>
      </c>
      <c r="C13" t="s">
        <v>134</v>
      </c>
      <c r="F13" s="2" t="s">
        <v>48</v>
      </c>
      <c r="G13" s="2">
        <f>I6</f>
        <v>10</v>
      </c>
      <c r="H13" s="2">
        <f>I7</f>
        <v>30</v>
      </c>
      <c r="L13" t="s">
        <v>138</v>
      </c>
    </row>
    <row r="14" spans="1:15" x14ac:dyDescent="0.35">
      <c r="B14" s="2">
        <v>15</v>
      </c>
      <c r="C14" s="2">
        <v>0</v>
      </c>
      <c r="F14" s="2" t="s">
        <v>49</v>
      </c>
      <c r="G14" s="8">
        <f>J6</f>
        <v>40</v>
      </c>
      <c r="H14" s="8">
        <f>J7</f>
        <v>30</v>
      </c>
    </row>
    <row r="15" spans="1:15" x14ac:dyDescent="0.35">
      <c r="A15" t="s">
        <v>60</v>
      </c>
      <c r="B15" t="s">
        <v>133</v>
      </c>
      <c r="C15" t="s">
        <v>134</v>
      </c>
      <c r="F15" s="2" t="s">
        <v>129</v>
      </c>
      <c r="G15" s="8">
        <f>K6</f>
        <v>15</v>
      </c>
      <c r="H15" s="8">
        <f>K7</f>
        <v>15</v>
      </c>
    </row>
    <row r="16" spans="1:15" x14ac:dyDescent="0.35">
      <c r="B16" s="2">
        <v>15</v>
      </c>
      <c r="C16" s="2">
        <v>0</v>
      </c>
      <c r="F16" s="2" t="s">
        <v>50</v>
      </c>
      <c r="G16" s="8">
        <f>L6</f>
        <v>2.6666666666666665</v>
      </c>
      <c r="H16" s="8">
        <f>L7</f>
        <v>2.6666666666666665</v>
      </c>
    </row>
    <row r="17" spans="6:8" x14ac:dyDescent="0.35">
      <c r="F17" s="2" t="s">
        <v>59</v>
      </c>
      <c r="G17" s="8">
        <f>M6</f>
        <v>1.3333333333333333</v>
      </c>
      <c r="H17" s="8">
        <f>M7</f>
        <v>0.66666666666666663</v>
      </c>
    </row>
    <row r="18" spans="6:8" ht="29.25" customHeight="1" x14ac:dyDescent="0.35">
      <c r="F18" s="5" t="s">
        <v>130</v>
      </c>
      <c r="G18" s="2">
        <f>N6</f>
        <v>0</v>
      </c>
      <c r="H18" s="2">
        <f>N7</f>
        <v>0</v>
      </c>
    </row>
    <row r="19" spans="6:8" x14ac:dyDescent="0.35">
      <c r="F19" s="2" t="s">
        <v>60</v>
      </c>
      <c r="G19" s="2">
        <f>O6</f>
        <v>0</v>
      </c>
      <c r="H19" s="2">
        <f>O7</f>
        <v>0</v>
      </c>
    </row>
    <row r="20" spans="6:8" x14ac:dyDescent="0.35">
      <c r="F20" s="2" t="s">
        <v>139</v>
      </c>
      <c r="G20" s="8">
        <f>G13+G14+G15+G16+G17+G18+G19</f>
        <v>69</v>
      </c>
      <c r="H20" s="8">
        <f>H13+H14+H15+H16+H17+H18+H19</f>
        <v>78.333333333333343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13" sqref="H13"/>
    </sheetView>
  </sheetViews>
  <sheetFormatPr defaultRowHeight="14.5" x14ac:dyDescent="0.35"/>
  <cols>
    <col min="2" max="2" width="16.81640625" customWidth="1"/>
    <col min="3" max="3" width="46.26953125" customWidth="1"/>
    <col min="8" max="8" width="22.26953125" customWidth="1"/>
  </cols>
  <sheetData>
    <row r="1" spans="1:9" x14ac:dyDescent="0.35">
      <c r="A1" s="10"/>
      <c r="B1" s="10"/>
      <c r="C1" s="10"/>
      <c r="D1" s="10"/>
      <c r="E1" s="10"/>
      <c r="F1" s="10"/>
      <c r="G1" s="10"/>
      <c r="H1" s="10"/>
      <c r="I1" s="9"/>
    </row>
    <row r="2" spans="1:9" x14ac:dyDescent="0.35">
      <c r="A2" s="11"/>
      <c r="B2" s="11"/>
      <c r="C2" s="11"/>
      <c r="D2" s="11"/>
      <c r="E2" s="11"/>
      <c r="F2" s="11"/>
      <c r="G2" s="11"/>
      <c r="H2" s="11"/>
      <c r="I2" s="9"/>
    </row>
    <row r="3" spans="1:9" x14ac:dyDescent="0.35">
      <c r="A3" s="11"/>
      <c r="B3" s="151" t="s">
        <v>145</v>
      </c>
      <c r="C3" s="151"/>
      <c r="D3" s="151"/>
      <c r="E3" s="151"/>
      <c r="F3" s="151"/>
      <c r="G3" s="151"/>
      <c r="H3" s="151"/>
      <c r="I3" s="9"/>
    </row>
    <row r="4" spans="1:9" ht="29" x14ac:dyDescent="0.35">
      <c r="A4" s="11"/>
      <c r="B4" s="12" t="s">
        <v>146</v>
      </c>
      <c r="C4" s="12" t="s">
        <v>147</v>
      </c>
      <c r="D4" s="12" t="s">
        <v>148</v>
      </c>
      <c r="E4" s="12" t="s">
        <v>149</v>
      </c>
      <c r="F4" s="12" t="s">
        <v>150</v>
      </c>
      <c r="G4" s="12" t="s">
        <v>151</v>
      </c>
      <c r="H4" s="12" t="s">
        <v>152</v>
      </c>
      <c r="I4" s="9"/>
    </row>
    <row r="5" spans="1:9" x14ac:dyDescent="0.35">
      <c r="A5" s="11"/>
      <c r="B5" s="14" t="s">
        <v>155</v>
      </c>
      <c r="C5" s="20" t="s">
        <v>118</v>
      </c>
      <c r="D5" s="14" t="s">
        <v>156</v>
      </c>
      <c r="E5" s="14">
        <v>377</v>
      </c>
      <c r="F5" s="15">
        <f>E5*1.5</f>
        <v>565.5</v>
      </c>
      <c r="G5" s="15">
        <f>H5/F5</f>
        <v>6666.666666666667</v>
      </c>
      <c r="H5" s="16">
        <v>3770000</v>
      </c>
      <c r="I5" s="9"/>
    </row>
    <row r="6" spans="1:9" x14ac:dyDescent="0.35">
      <c r="A6" s="11"/>
      <c r="B6" s="14" t="s">
        <v>155</v>
      </c>
      <c r="C6" s="20" t="s">
        <v>118</v>
      </c>
      <c r="D6" s="14" t="s">
        <v>156</v>
      </c>
      <c r="E6" s="14">
        <v>389</v>
      </c>
      <c r="F6" s="15">
        <f>E6*1.5</f>
        <v>583.5</v>
      </c>
      <c r="G6" s="15">
        <f>H6/F6</f>
        <v>6666.666666666667</v>
      </c>
      <c r="H6" s="16">
        <v>3890000</v>
      </c>
      <c r="I6" s="9"/>
    </row>
    <row r="7" spans="1:9" x14ac:dyDescent="0.35">
      <c r="A7" s="11"/>
      <c r="B7" s="14" t="s">
        <v>155</v>
      </c>
      <c r="C7" s="20" t="s">
        <v>118</v>
      </c>
      <c r="D7" s="14" t="s">
        <v>157</v>
      </c>
      <c r="E7" s="14">
        <v>509</v>
      </c>
      <c r="F7" s="15">
        <f>E7*1.5</f>
        <v>763.5</v>
      </c>
      <c r="G7" s="15">
        <f>H7/F7</f>
        <v>6666.666666666667</v>
      </c>
      <c r="H7" s="16">
        <v>5090000</v>
      </c>
      <c r="I7" s="9"/>
    </row>
    <row r="8" spans="1:9" x14ac:dyDescent="0.35">
      <c r="A8" s="11"/>
      <c r="B8" s="17" t="s">
        <v>153</v>
      </c>
      <c r="C8" s="14"/>
      <c r="D8" s="14"/>
      <c r="E8" s="14"/>
      <c r="F8" s="14"/>
      <c r="G8" s="18">
        <f>AVERAGE(G5:G7)</f>
        <v>6666.666666666667</v>
      </c>
      <c r="H8" s="14"/>
      <c r="I8" s="9"/>
    </row>
    <row r="9" spans="1:9" x14ac:dyDescent="0.35">
      <c r="A9" s="10"/>
      <c r="B9" s="17" t="s">
        <v>154</v>
      </c>
      <c r="C9" s="14"/>
      <c r="D9" s="14"/>
      <c r="E9" s="14"/>
      <c r="F9" s="19"/>
      <c r="G9" s="17">
        <v>6700</v>
      </c>
      <c r="H9" s="17"/>
      <c r="I9" s="13"/>
    </row>
    <row r="10" spans="1:9" x14ac:dyDescent="0.35">
      <c r="A10" s="9"/>
      <c r="B10" s="10"/>
      <c r="C10" s="10"/>
      <c r="D10" s="10"/>
      <c r="E10" s="10"/>
      <c r="F10" s="9"/>
      <c r="G10" s="9"/>
      <c r="H10" s="9"/>
      <c r="I10" s="9"/>
    </row>
    <row r="11" spans="1:9" x14ac:dyDescent="0.35">
      <c r="A11" s="9"/>
      <c r="B11" s="10"/>
      <c r="C11" s="10"/>
      <c r="D11" s="10"/>
      <c r="E11" s="10"/>
      <c r="F11" s="9"/>
      <c r="G11" s="9"/>
      <c r="H11" s="9"/>
      <c r="I11" s="9"/>
    </row>
    <row r="12" spans="1:9" x14ac:dyDescent="0.35">
      <c r="A12" s="9"/>
      <c r="B12" s="10"/>
      <c r="C12" s="10"/>
      <c r="D12" s="10"/>
      <c r="E12" s="10"/>
      <c r="F12" s="9"/>
      <c r="G12" s="9"/>
      <c r="H12" s="9"/>
      <c r="I12" s="9"/>
    </row>
  </sheetData>
  <mergeCells count="1">
    <mergeCell ref="B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 %</vt:lpstr>
      <vt:lpstr>VALUATION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 Elitebook 840 G6</cp:lastModifiedBy>
  <cp:lastPrinted>2025-05-14T11:26:02Z</cp:lastPrinted>
  <dcterms:created xsi:type="dcterms:W3CDTF">2013-11-23T05:32:33Z</dcterms:created>
  <dcterms:modified xsi:type="dcterms:W3CDTF">2025-08-13T15:48:24Z</dcterms:modified>
</cp:coreProperties>
</file>