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2-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0" i="1" l="1"/>
  <c r="O161" i="1"/>
  <c r="O162" i="1"/>
  <c r="O163" i="1"/>
  <c r="O164" i="1"/>
  <c r="O165" i="1"/>
  <c r="O166" i="1"/>
  <c r="O167" i="1"/>
  <c r="O168" i="1"/>
  <c r="O169" i="1"/>
  <c r="O160" i="1"/>
  <c r="N161" i="1"/>
  <c r="N162" i="1"/>
  <c r="N163" i="1"/>
  <c r="N164" i="1"/>
  <c r="N165" i="1"/>
  <c r="N166" i="1"/>
  <c r="N167" i="1"/>
  <c r="N168" i="1"/>
  <c r="N169" i="1"/>
  <c r="N160" i="1"/>
  <c r="G135" i="1"/>
  <c r="J160" i="1"/>
  <c r="I160" i="1"/>
  <c r="K160" i="1" s="1"/>
  <c r="E46" i="1" l="1"/>
  <c r="D62" i="1" l="1"/>
  <c r="E219" i="1"/>
  <c r="D219" i="1"/>
  <c r="F219" i="1" s="1"/>
  <c r="L219" i="1" s="1"/>
  <c r="E218" i="1"/>
  <c r="D218" i="1"/>
  <c r="F218" i="1" s="1"/>
  <c r="L218" i="1" s="1"/>
  <c r="E217" i="1"/>
  <c r="D217" i="1"/>
  <c r="E216" i="1"/>
  <c r="D216" i="1"/>
  <c r="E215" i="1"/>
  <c r="D215" i="1"/>
  <c r="A215" i="1"/>
  <c r="A216" i="1" s="1"/>
  <c r="A217" i="1" s="1"/>
  <c r="A218" i="1" s="1"/>
  <c r="E214" i="1"/>
  <c r="D214" i="1"/>
  <c r="E210" i="1"/>
  <c r="D210" i="1"/>
  <c r="E209" i="1"/>
  <c r="D209" i="1"/>
  <c r="E208" i="1"/>
  <c r="D208" i="1"/>
  <c r="E207" i="1"/>
  <c r="D207" i="1"/>
  <c r="F207" i="1" s="1"/>
  <c r="J207" i="1" s="1"/>
  <c r="E206" i="1"/>
  <c r="D206" i="1"/>
  <c r="E205" i="1"/>
  <c r="D205" i="1"/>
  <c r="A206" i="1"/>
  <c r="A207" i="1" s="1"/>
  <c r="A208" i="1" s="1"/>
  <c r="A209" i="1" s="1"/>
  <c r="I182" i="1"/>
  <c r="F209" i="1" l="1"/>
  <c r="J209" i="1" s="1"/>
  <c r="C137" i="1"/>
  <c r="F215" i="1"/>
  <c r="F216" i="1"/>
  <c r="F214" i="1"/>
  <c r="J218" i="1"/>
  <c r="I218" i="1"/>
  <c r="J219" i="1"/>
  <c r="I219" i="1"/>
  <c r="J214" i="1"/>
  <c r="F217" i="1"/>
  <c r="C138" i="1"/>
  <c r="F208" i="1"/>
  <c r="J208" i="1" s="1"/>
  <c r="F210" i="1"/>
  <c r="J210" i="1" s="1"/>
  <c r="F206" i="1"/>
  <c r="J206" i="1" s="1"/>
  <c r="F205" i="1"/>
  <c r="G51" i="1"/>
  <c r="C51" i="1"/>
  <c r="M46" i="1"/>
  <c r="J217" i="1" l="1"/>
  <c r="L217" i="1"/>
  <c r="J215" i="1"/>
  <c r="L215" i="1"/>
  <c r="E138" i="1"/>
  <c r="L214" i="1"/>
  <c r="J205" i="1"/>
  <c r="E137" i="1"/>
  <c r="J216" i="1"/>
  <c r="L216" i="1"/>
  <c r="G138" i="1"/>
  <c r="G137" i="1"/>
  <c r="E201" i="1"/>
  <c r="D201" i="1"/>
  <c r="E200" i="1"/>
  <c r="D200" i="1"/>
  <c r="E199" i="1"/>
  <c r="D199" i="1"/>
  <c r="E198" i="1"/>
  <c r="D198" i="1"/>
  <c r="E197" i="1"/>
  <c r="D197" i="1"/>
  <c r="E196" i="1"/>
  <c r="D196" i="1"/>
  <c r="E195" i="1"/>
  <c r="D195" i="1"/>
  <c r="E194" i="1"/>
  <c r="D194" i="1"/>
  <c r="F194" i="1" s="1"/>
  <c r="E193" i="1"/>
  <c r="D193" i="1"/>
  <c r="E192" i="1"/>
  <c r="D192" i="1"/>
  <c r="E191" i="1"/>
  <c r="D191" i="1"/>
  <c r="E190" i="1"/>
  <c r="D190" i="1"/>
  <c r="E188" i="1"/>
  <c r="D188" i="1"/>
  <c r="E187" i="1"/>
  <c r="D187" i="1"/>
  <c r="E186" i="1"/>
  <c r="D186" i="1"/>
  <c r="E185" i="1"/>
  <c r="D185" i="1"/>
  <c r="E184" i="1"/>
  <c r="D184" i="1"/>
  <c r="E183" i="1"/>
  <c r="D183" i="1"/>
  <c r="E182" i="1"/>
  <c r="D182" i="1"/>
  <c r="E181" i="1"/>
  <c r="D181" i="1"/>
  <c r="E180" i="1"/>
  <c r="D180" i="1"/>
  <c r="E179" i="1"/>
  <c r="D179" i="1"/>
  <c r="F179" i="1" s="1"/>
  <c r="E178" i="1"/>
  <c r="D178" i="1"/>
  <c r="E177" i="1"/>
  <c r="D177" i="1"/>
  <c r="D174" i="1"/>
  <c r="D173" i="1"/>
  <c r="D172" i="1"/>
  <c r="F172" i="1" s="1"/>
  <c r="E169" i="1"/>
  <c r="D169" i="1"/>
  <c r="E168" i="1"/>
  <c r="D168" i="1"/>
  <c r="E167" i="1"/>
  <c r="D167" i="1"/>
  <c r="E166" i="1"/>
  <c r="D166" i="1"/>
  <c r="E165" i="1"/>
  <c r="D165" i="1"/>
  <c r="E164" i="1"/>
  <c r="D164" i="1"/>
  <c r="E163" i="1"/>
  <c r="D163" i="1"/>
  <c r="E162" i="1"/>
  <c r="D162" i="1"/>
  <c r="E161" i="1"/>
  <c r="D161" i="1"/>
  <c r="E160" i="1"/>
  <c r="D160" i="1"/>
  <c r="A196" i="1"/>
  <c r="A197" i="1" s="1"/>
  <c r="A198" i="1" s="1"/>
  <c r="A199" i="1" s="1"/>
  <c r="A200" i="1" s="1"/>
  <c r="A201" i="1" s="1"/>
  <c r="A191" i="1"/>
  <c r="A192" i="1" s="1"/>
  <c r="A193" i="1" s="1"/>
  <c r="A194" i="1" s="1"/>
  <c r="I173" i="1"/>
  <c r="A183" i="1"/>
  <c r="A184" i="1" s="1"/>
  <c r="A185" i="1" s="1"/>
  <c r="A186" i="1" s="1"/>
  <c r="A187" i="1" s="1"/>
  <c r="A188" i="1" s="1"/>
  <c r="A178" i="1"/>
  <c r="A179" i="1" s="1"/>
  <c r="A180" i="1" s="1"/>
  <c r="A181" i="1" s="1"/>
  <c r="A173" i="1"/>
  <c r="A174" i="1" s="1"/>
  <c r="I156" i="1"/>
  <c r="K156" i="1"/>
  <c r="J156" i="1"/>
  <c r="F183" i="1" l="1"/>
  <c r="F187" i="1"/>
  <c r="F192" i="1"/>
  <c r="F190" i="1"/>
  <c r="C136" i="1"/>
  <c r="C142" i="1"/>
  <c r="C143" i="1" s="1"/>
  <c r="F200" i="1"/>
  <c r="F195" i="1"/>
  <c r="F182" i="1"/>
  <c r="F184" i="1"/>
  <c r="F188" i="1"/>
  <c r="F197" i="1"/>
  <c r="F199" i="1"/>
  <c r="F201" i="1"/>
  <c r="F198" i="1"/>
  <c r="F193" i="1"/>
  <c r="F191" i="1"/>
  <c r="F196" i="1"/>
  <c r="F177" i="1"/>
  <c r="F178" i="1"/>
  <c r="F180" i="1"/>
  <c r="F185" i="1"/>
  <c r="F164" i="1"/>
  <c r="M164" i="1" s="1"/>
  <c r="F181" i="1"/>
  <c r="F186" i="1"/>
  <c r="F173" i="1"/>
  <c r="F174"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142" i="1" l="1"/>
  <c r="E143" i="1" s="1"/>
  <c r="E42" i="7"/>
  <c r="E44" i="7" s="1"/>
  <c r="I42" i="7"/>
  <c r="H42" i="7" s="1"/>
  <c r="L42" i="7"/>
  <c r="K42" i="7" s="1"/>
  <c r="E136" i="1"/>
  <c r="G142" i="1"/>
  <c r="G143" i="1" s="1"/>
  <c r="G136" i="1"/>
  <c r="G139" i="1" s="1"/>
  <c r="D42" i="7" l="1"/>
  <c r="D44" i="7" s="1"/>
  <c r="E31" i="1"/>
  <c r="B223" i="1" l="1"/>
  <c r="F151" i="1" l="1"/>
  <c r="H151" i="1" s="1"/>
  <c r="F152" i="1"/>
  <c r="H152" i="1" s="1"/>
  <c r="F153" i="1"/>
  <c r="H153" i="1" s="1"/>
  <c r="F150" i="1"/>
  <c r="H150" i="1" s="1"/>
  <c r="G58" i="1" l="1"/>
  <c r="C58" i="1"/>
  <c r="G56" i="1"/>
  <c r="C56" i="1"/>
  <c r="C54" i="1"/>
  <c r="S33" i="1" l="1"/>
  <c r="F11" i="5" l="1"/>
  <c r="G11" i="5" s="1"/>
  <c r="F10" i="5"/>
  <c r="G10" i="5" s="1"/>
  <c r="F9" i="5"/>
  <c r="G9" i="5" s="1"/>
  <c r="F8" i="5"/>
  <c r="G8" i="5" s="1"/>
  <c r="F7" i="5"/>
  <c r="G7" i="5" s="1"/>
  <c r="G6" i="5"/>
  <c r="F6" i="5"/>
  <c r="F5" i="5"/>
  <c r="G5" i="5" s="1"/>
  <c r="G12" i="5" s="1"/>
  <c r="D247" i="1"/>
  <c r="B224" i="1"/>
  <c r="F169" i="1"/>
  <c r="M169" i="1" s="1"/>
  <c r="F168" i="1"/>
  <c r="M168" i="1" s="1"/>
  <c r="F167" i="1"/>
  <c r="M167" i="1" s="1"/>
  <c r="F166" i="1"/>
  <c r="M166" i="1" s="1"/>
  <c r="F165" i="1"/>
  <c r="M165" i="1" s="1"/>
  <c r="A166" i="1"/>
  <c r="A167" i="1" s="1"/>
  <c r="A168" i="1" s="1"/>
  <c r="A169" i="1" s="1"/>
  <c r="F163" i="1"/>
  <c r="M163" i="1" s="1"/>
  <c r="F162" i="1"/>
  <c r="F161" i="1"/>
  <c r="M161" i="1" s="1"/>
  <c r="A161" i="1"/>
  <c r="A162" i="1" s="1"/>
  <c r="A163" i="1" s="1"/>
  <c r="A164" i="1" s="1"/>
  <c r="F160" i="1"/>
  <c r="A151" i="1"/>
  <c r="A152" i="1" s="1"/>
  <c r="A153" i="1" s="1"/>
  <c r="F127" i="1"/>
  <c r="D67" i="1"/>
  <c r="E44" i="1"/>
  <c r="E45" i="1" s="1"/>
  <c r="E28" i="1"/>
  <c r="E26" i="1"/>
  <c r="C16" i="1"/>
  <c r="I15" i="1"/>
  <c r="Z13" i="1"/>
  <c r="E8" i="1"/>
  <c r="E3" i="1"/>
  <c r="H102" i="1"/>
  <c r="H74" i="1"/>
  <c r="H88" i="1"/>
  <c r="C135" i="1" l="1"/>
  <c r="C139" i="1" s="1"/>
  <c r="C144" i="1" s="1"/>
  <c r="E135" i="1"/>
  <c r="E139" i="1" s="1"/>
  <c r="E144" i="1" s="1"/>
  <c r="M160" i="1"/>
  <c r="M162" i="1"/>
  <c r="J162" i="1"/>
  <c r="G144" i="1"/>
  <c r="J73" i="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J101" i="1"/>
  <c r="J103" i="1" s="1"/>
  <c r="D110" i="1"/>
  <c r="D112" i="1"/>
  <c r="J106" i="1"/>
  <c r="D111" i="1"/>
  <c r="J105" i="1"/>
  <c r="D109" i="1"/>
  <c r="J104" i="1"/>
  <c r="D108" i="1"/>
  <c r="D114" i="1"/>
  <c r="D113" i="1"/>
  <c r="B102" i="1"/>
  <c r="B88" i="1"/>
  <c r="B74" i="1"/>
  <c r="J79" i="1" s="1"/>
  <c r="D105" i="1" l="1"/>
  <c r="C91" i="1"/>
  <c r="D91" i="1" s="1"/>
  <c r="I88" i="1" s="1"/>
  <c r="I89" i="1" s="1"/>
  <c r="D77" i="1"/>
  <c r="D107" i="1"/>
  <c r="J112" i="1"/>
  <c r="J109" i="1"/>
  <c r="J111" i="1"/>
  <c r="J110" i="1"/>
  <c r="J107" i="1"/>
  <c r="J108" i="1" s="1"/>
  <c r="J98" i="1"/>
  <c r="J95" i="1"/>
  <c r="J97" i="1"/>
  <c r="J96" i="1"/>
  <c r="J93" i="1"/>
  <c r="J94" i="1" s="1"/>
  <c r="J83" i="1"/>
  <c r="J81" i="1"/>
  <c r="J82" i="1"/>
  <c r="J80" i="1"/>
  <c r="J85" i="1" s="1"/>
  <c r="J86" i="1" s="1"/>
  <c r="C78" i="1" s="1"/>
  <c r="J84" i="1"/>
  <c r="J113" i="1" l="1"/>
  <c r="G91" i="1"/>
  <c r="J74" i="1"/>
  <c r="J99" i="1"/>
  <c r="J100" i="1" s="1"/>
  <c r="J88" i="1" s="1"/>
  <c r="I87" i="1" s="1"/>
  <c r="C89" i="1" s="1"/>
  <c r="E77" i="1"/>
  <c r="D78" i="1"/>
  <c r="I74" i="1" s="1"/>
  <c r="G77" i="1"/>
  <c r="D71" i="1" s="1"/>
  <c r="J114" i="1" l="1"/>
  <c r="C106" i="1" s="1"/>
  <c r="E105" i="1" s="1"/>
  <c r="F72" i="1"/>
  <c r="D72" i="1"/>
  <c r="I75" i="1"/>
  <c r="I73" i="1" s="1"/>
  <c r="C75" i="1" s="1"/>
  <c r="G105" i="1" l="1"/>
  <c r="J102" i="1"/>
  <c r="D106" i="1"/>
  <c r="I102" i="1" s="1"/>
  <c r="I103" i="1" s="1"/>
  <c r="I101" i="1" l="1"/>
  <c r="C103"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<sst xmlns="http://schemas.openxmlformats.org/spreadsheetml/2006/main" count="774" uniqueCount="389">
  <si>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</si>
  <si>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</si>
  <si>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</si>
  <si>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</si>
  <si>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</si>
  <si>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</si>
  <si>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</si>
  <si>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</si>
  <si>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</si>
  <si>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</si>
  <si>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</si>
  <si>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</si>
  <si>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</si>
  <si>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</si>
  <si>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</si>
  <si>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</si>
  <si>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</si>
  <si>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</si>
  <si>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</si>
  <si>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</si>
  <si>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</si>
  <si>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</si>
  <si>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</si>
  <si>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</si>
  <si>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</si>
  <si>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</si>
  <si>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</si>
  <si>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</si>
  <si>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</si>
  <si>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</si>
  <si>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</si>
  <si>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</si>
  <si>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</si>
  <si>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</si>
  <si>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</si>
  <si>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</si>
  <si>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</si>
  <si>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</si>
  <si>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</si>
  <si>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</si>
  <si>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</si>
  <si>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</si>
  <si>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</si>
  <si>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</si>
  <si>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</si>
  <si>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</si>
  <si>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</si>
  <si>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</si>
  <si>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</si>
  <si>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</si>
  <si>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</si>
  <si>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</si>
  <si>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</si>
  <si>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</si>
  <si>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</si>
  <si>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</si>
  <si>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</si>
  <si>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</si>
  <si>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</si>
  <si>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</si>
  <si>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</si>
  <si>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</si>
  <si>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</si>
  <si>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</si>
  <si>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</si>
  <si>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</si>
  <si>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</si>
  <si>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</si>
  <si>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</si>
  <si>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</si>
  <si>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</si>
  <si>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</si>
  <si>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</si>
  <si>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</si>
  <si>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</si>
  <si>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</si>
  <si>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</si>
  <si>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</si>
  <si>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</si>
  <si>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</si>
  <si>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</si>
  <si>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</si>
  <si>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</si>
  <si>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</si>
  <si>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</si>
  <si>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</si>
  <si>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</si>
  <si>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</si>
  <si>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</si>
  <si>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</si>
  <si>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</si>
  <si>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</si>
  <si>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</si>
  <si>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</si>
  <si>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</si>
  <si>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</si>
  <si>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</si>
  <si>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</si>
  <si>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</si>
  <si>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</si>
  <si>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</si>
  <si>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</si>
  <si>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</si>
  <si>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</si>
  <si>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</si>
  <si>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</si>
  <si>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</si>
  <si>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</si>
  <si>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</si>
  <si>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</si>
  <si>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</si>
  <si>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</si>
  <si>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</si>
  <si>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</si>
  <si>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</si>
  <si>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</si>
  <si>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</si>
  <si>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</si>
  <si>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</si>
  <si>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</si>
  <si>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</si>
  <si>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</si>
  <si>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</si>
  <si>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</si>
  <si>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</si>
  <si>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</si>
  <si>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</si>
  <si>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</si>
  <si>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</si>
  <si>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</si>
  <si>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</si>
  <si>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</si>
  <si>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</si>
  <si>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</si>
  <si>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</si>
  <si>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</si>
  <si>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</si>
  <si>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</si>
  <si>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</si>
  <si>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</si>
  <si>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</si>
  <si>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</si>
  <si>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</si>
  <si>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</si>
  <si>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</si>
  <si>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</si>
  <si>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</si>
  <si>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</si>
  <si>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</si>
  <si>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</si>
  <si>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</si>
  <si>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</si>
  <si>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</si>
  <si>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</si>
  <si>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</si>
  <si>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</si>
  <si>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</si>
  <si>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</si>
  <si>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</si>
  <si>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</si>
  <si>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</si>
  <si>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</si>
  <si>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</si>
  <si>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</si>
  <si>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</si>
  <si>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</si>
  <si>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</si>
  <si>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</si>
  <si>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</si>
  <si>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</si>
  <si>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</si>
  <si>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</si>
  <si>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</si>
  <si>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</si>
  <si>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</si>
  <si>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</si>
  <si>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</si>
  <si>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</si>
  <si>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</si>
  <si>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</si>
  <si>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</si>
  <si>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</si>
  <si>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</si>
  <si>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</si>
  <si>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</si>
  <si>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</si>
  <si>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</si>
  <si>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</si>
  <si>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</si>
  <si>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</si>
  <si>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</si>
  <si>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</si>
  <si>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</si>
  <si>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</si>
  <si>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</si>
  <si>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</si>
  <si>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</si>
  <si>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</si>
  <si>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</si>
  <si>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</si>
  <si>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</si>
  <si>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</si>
  <si>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</si>
  <si>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</si>
  <si>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</si>
  <si>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</si>
  <si>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</si>
  <si>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</si>
  <si>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</si>
  <si>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</si>
  <si>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</si>
  <si>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</si>
  <si>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</si>
  <si>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</si>
  <si>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</si>
  <si>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</si>
  <si>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</si>
  <si>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</si>
  <si>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</si>
  <si>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</si>
  <si>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</si>
  <si>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</si>
  <si>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</si>
  <si>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</si>
  <si>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</si>
  <si>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</si>
  <si>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</si>
  <si>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</si>
  <si>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</si>
  <si>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</si>
  <si>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</si>
  <si>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</si>
  <si>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</si>
  <si>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</si>
  <si>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</si>
  <si>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</si>
  <si>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</si>
  <si>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</si>
  <si>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</si>
  <si>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</si>
  <si>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</si>
  <si>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</si>
  <si>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</si>
  <si>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</si>
  <si>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</si>
  <si>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</si>
  <si>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</si>
  <si>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</si>
  <si>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</si>
  <si>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</si>
  <si>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</si>
  <si>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</si>
  <si>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</si>
  <si>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</si>
  <si>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</si>
  <si>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</si>
  <si>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</si>
  <si>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</si>
  <si>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</si>
  <si>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</si>
  <si>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</si>
  <si>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</si>
  <si>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</si>
  <si>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</si>
  <si>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</si>
  <si>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</si>
  <si>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</si>
  <si>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</si>
  <si>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</si>
  <si>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</si>
  <si>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</si>
  <si>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</si>
  <si>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</si>
  <si>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</si>
  <si>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</si>
  <si>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</si>
  <si>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</si>
  <si>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</si>
  <si>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</si>
  <si>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</si>
  <si>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</si>
  <si>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</si>
  <si>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</si>
  <si>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</si>
  <si>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</si>
  <si>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</si>
  <si>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</si>
  <si>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</si>
  <si>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</si>
  <si>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</si>
  <si>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</si>
  <si>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</si>
  <si>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</si>
  <si>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</si>
  <si>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</si>
  <si>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</si>
  <si>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</si>
  <si>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</si>
  <si>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</si>
  <si>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</si>
  <si>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</si>
  <si>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</si>
  <si>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</si>
  <si>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</si>
  <si>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</si>
  <si>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</si>
  <si>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</si>
  <si>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</si>
  <si>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</si>
  <si>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</si>
  <si>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</si>
  <si>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</si>
  <si>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</si>
  <si>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</si>
  <si>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</si>
  <si>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</si>
  <si>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</si>
  <si>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</si>
  <si>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</si>
  <si>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</si>
  <si>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</si>
  <si>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</si>
  <si>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</si>
  <si>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</si>
  <si>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</si>
  <si>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</si>
  <si>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</si>
  <si>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Arihant Aashiyana Private Limited</t>
  </si>
  <si>
    <t>Arihant Amisha Phase III</t>
  </si>
  <si>
    <t>Wing D1 to D4</t>
  </si>
  <si>
    <t>P52000030293</t>
  </si>
  <si>
    <t>Gut No</t>
  </si>
  <si>
    <t>85/0 &amp; 87/2</t>
  </si>
  <si>
    <t>19.076000,73.155250</t>
  </si>
  <si>
    <t>https://maps.app.goo.gl/5henGD1jKvjRNJvm7</t>
  </si>
  <si>
    <t>6.6 KM from Navade Road Railway Station</t>
  </si>
  <si>
    <t>Internal Road</t>
  </si>
  <si>
    <t>Mahodar</t>
  </si>
  <si>
    <t>Arihant Amisha Phase II</t>
  </si>
  <si>
    <t>Open Plot</t>
  </si>
  <si>
    <t>Wing C1</t>
  </si>
  <si>
    <t>Wing E1 to E3</t>
  </si>
  <si>
    <t>Other Plot</t>
  </si>
  <si>
    <t>04 Wings</t>
  </si>
  <si>
    <t>Total Permissible Builtup area of the project (Sq.Mt)</t>
  </si>
  <si>
    <t>CIDCO/NAINA/Panvel/Mahodar/ /ACC/2021/0090</t>
  </si>
  <si>
    <t>Wing D1 to D4 = Gr + 1st to 7th Floor</t>
  </si>
  <si>
    <t xml:space="preserve">As per RERA - 30/12/2027 </t>
  </si>
  <si>
    <t>Total BUA of Proposal 20987.677 Sq.M
Total No of Residential Units = 527 [452(Sale) + 75(EWS)]</t>
  </si>
  <si>
    <r>
      <t xml:space="preserve">Proposed Amenities :                                                                                                                                                                                                                         </t>
    </r>
    <r>
      <rPr>
        <b/>
        <sz val="12"/>
        <rFont val="Times New Roman"/>
        <family val="1"/>
      </rPr>
      <t xml:space="preserve">                                               </t>
    </r>
  </si>
  <si>
    <t>https://housing.com/in/buy/projects/page/263302-arihant-amisha-phase-iii-by-arihant-superstructures-limited-in-taloja</t>
  </si>
  <si>
    <t>Wing D1</t>
  </si>
  <si>
    <t>Ground Floor For Parking</t>
  </si>
  <si>
    <t>1st to 7th Floor For Residential</t>
  </si>
  <si>
    <t>1BHK</t>
  </si>
  <si>
    <t>Wing D2</t>
  </si>
  <si>
    <t>Sale/EWS</t>
  </si>
  <si>
    <t>Sale</t>
  </si>
  <si>
    <t>-</t>
  </si>
  <si>
    <t>Parking Area</t>
  </si>
  <si>
    <t>EWS</t>
  </si>
  <si>
    <t xml:space="preserve">7th Floor </t>
  </si>
  <si>
    <t>Sunil Peravi</t>
  </si>
  <si>
    <t>Approved Plans &amp; CC</t>
  </si>
  <si>
    <t>Wing D4 = Gr + 1st to 7th Floor</t>
  </si>
  <si>
    <t>Wing D2 &amp; D3 = Gr + 1st to 7th Floor</t>
  </si>
  <si>
    <t>1st to 6th Floor For Residential</t>
  </si>
  <si>
    <t>Ground Floor For Residential &amp; Part Parking Area</t>
  </si>
  <si>
    <t>Wing D3</t>
  </si>
  <si>
    <t>2BHK</t>
  </si>
  <si>
    <t>Enclosed Balcony + Balcony Area</t>
  </si>
  <si>
    <t>Wing D4</t>
  </si>
  <si>
    <t>Building Details Floor Wise</t>
  </si>
  <si>
    <t>Residential Area Details : (Sale Flat)</t>
  </si>
  <si>
    <t>Residential Area Details :(EWS Flat)</t>
  </si>
  <si>
    <t>Sale Flat - 166, EWS Flat - 75</t>
  </si>
  <si>
    <t>Approved Builtup Area of Wing D1 to D4 (Sq.Mt)</t>
  </si>
  <si>
    <t>Taloja</t>
  </si>
  <si>
    <t>12.0 M Wide Internal Road</t>
  </si>
  <si>
    <t>We have taken latest approved plans from NAINA site on 07/06/2024.</t>
  </si>
  <si>
    <t xml:space="preserve">Children's Play Area, Fire Protection And Fire Safety Requirements, 24x7 Security, Closed Car Parking, Club, House, Community Buildings, Lift(s), Paved Compound etc.
</t>
  </si>
  <si>
    <t>Builder Saleable Area</t>
  </si>
  <si>
    <t>other charges can be take upto 2lacs</t>
  </si>
  <si>
    <t>Navade Road East</t>
  </si>
  <si>
    <t>Wing D1 = Gr + 1st to 7th Floor</t>
  </si>
  <si>
    <t>We considered Gross carpet area = Net carpet + Enclosed Balcony + Balcony Area.</t>
  </si>
  <si>
    <t>Mr. Tushar 8108396529</t>
  </si>
  <si>
    <t>Wing D1 = Construction work was not active at the time of visit.
Wing D4 = Construction work was stopped. Work is the same as last visit (dtd.15/05/2025).
Wing D2 &amp; D3 = Construction work was stopped. Work is the same as last visit (dtd.07/02/2025).</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</si>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</sst>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0"/>
    <numFmt numFmtId="170" formatCode="0.00000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9"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8" xfId="1" applyFont="1" applyBorder="1"/>
    <xf numFmtId="0" fontId="18"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26" fillId="0" borderId="25"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6"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168" fontId="7" fillId="0" borderId="0" xfId="1" applyNumberFormat="1" applyFont="1"/>
    <xf numFmtId="0" fontId="27" fillId="0" borderId="0" xfId="10"/>
    <xf numFmtId="1" fontId="7" fillId="0" borderId="1" xfId="1" applyNumberFormat="1" applyFont="1" applyBorder="1" applyAlignment="1">
      <alignment horizontal="center" vertical="center"/>
    </xf>
    <xf numFmtId="0" fontId="6" fillId="0" borderId="0" xfId="1" applyFont="1" applyBorder="1" applyAlignment="1" applyProtection="1">
      <alignment vertical="top" wrapText="1"/>
      <protection locked="0"/>
    </xf>
    <xf numFmtId="9" fontId="12" fillId="0" borderId="1" xfId="8" applyFont="1" applyFill="1" applyBorder="1" applyAlignment="1" applyProtection="1">
      <alignment horizontal="center" vertical="top" wrapText="1"/>
      <protection locked="0"/>
    </xf>
    <xf numFmtId="9" fontId="12" fillId="0" borderId="5"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1" fontId="7" fillId="0" borderId="1" xfId="1" applyNumberFormat="1" applyFont="1" applyBorder="1" applyAlignment="1">
      <alignment horizontal="center"/>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2" fontId="7" fillId="0" borderId="0" xfId="1" applyNumberFormat="1" applyFont="1" applyAlignment="1">
      <alignment horizontal="center" vertical="center"/>
    </xf>
    <xf numFmtId="0" fontId="7" fillId="0" borderId="1" xfId="1" applyFont="1" applyBorder="1" applyAlignment="1">
      <alignment horizontal="center" vertical="center"/>
    </xf>
    <xf numFmtId="169" fontId="7" fillId="0" borderId="0" xfId="1" applyNumberFormat="1" applyFont="1"/>
    <xf numFmtId="170" fontId="7" fillId="0" borderId="0" xfId="1" applyNumberFormat="1" applyFont="1"/>
    <xf numFmtId="0" fontId="25" fillId="2" borderId="13" xfId="0" applyFont="1" applyFill="1" applyBorder="1"/>
    <xf numFmtId="0" fontId="26" fillId="0" borderId="7" xfId="0" applyFont="1" applyBorder="1"/>
    <xf numFmtId="1" fontId="7" fillId="0" borderId="7" xfId="1" applyNumberFormat="1" applyFont="1" applyBorder="1" applyAlignment="1">
      <alignment horizontal="center" vertical="center"/>
    </xf>
    <xf numFmtId="1" fontId="7" fillId="0" borderId="7" xfId="1" applyNumberFormat="1" applyFont="1" applyBorder="1" applyAlignment="1">
      <alignment horizont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14" fontId="6" fillId="0" borderId="6" xfId="1" applyNumberFormat="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13" fillId="0" borderId="0" xfId="1" applyFont="1" applyBorder="1" applyAlignment="1" applyProtection="1">
      <alignment horizontal="center" vertical="top"/>
      <protection locked="0"/>
    </xf>
    <xf numFmtId="0" fontId="12" fillId="0" borderId="0" xfId="1" applyFont="1" applyBorder="1" applyAlignment="1" applyProtection="1">
      <alignment horizontal="center" vertical="top"/>
      <protection locked="0"/>
    </xf>
    <xf numFmtId="14" fontId="6" fillId="0" borderId="0" xfId="1" applyNumberFormat="1" applyFont="1" applyBorder="1" applyAlignment="1" applyProtection="1">
      <alignment horizontal="left" vertical="top" wrapText="1"/>
      <protection locked="0"/>
    </xf>
    <xf numFmtId="0" fontId="7" fillId="0" borderId="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64" fontId="6" fillId="0" borderId="1" xfId="1" applyNumberFormat="1" applyFont="1" applyBorder="1" applyAlignment="1" applyProtection="1">
      <alignment horizontal="left" vertical="top"/>
      <protection locked="0"/>
    </xf>
    <xf numFmtId="0" fontId="8" fillId="0" borderId="11"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6"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0" fontId="8" fillId="0" borderId="14" xfId="1" applyFont="1" applyBorder="1" applyAlignment="1" applyProtection="1">
      <alignment horizontal="center" vertical="top"/>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17" fillId="0" borderId="6"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7" xfId="0" applyNumberFormat="1" applyFont="1" applyBorder="1" applyAlignment="1" applyProtection="1">
      <alignment vertical="top" wrapText="1"/>
      <protection locked="0"/>
    </xf>
    <xf numFmtId="1" fontId="8" fillId="0" borderId="26"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1" fontId="10" fillId="0" borderId="26" xfId="0" applyNumberFormat="1" applyFont="1" applyBorder="1" applyAlignment="1" applyProtection="1">
      <alignment horizontal="center" vertical="center"/>
      <protection locked="0"/>
    </xf>
    <xf numFmtId="1" fontId="8" fillId="0" borderId="6"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19" xfId="1" applyNumberFormat="1" applyFont="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6" fillId="0" borderId="6"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0" fontId="13" fillId="0" borderId="6"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1" xfId="1" applyFont="1" applyBorder="1" applyAlignment="1" applyProtection="1">
      <alignment horizontal="center" vertical="top"/>
      <protection locked="0"/>
    </xf>
    <xf numFmtId="9" fontId="12"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782498</xdr:colOff>
      <xdr:row>7</xdr:row>
      <xdr:rowOff>189868</xdr:rowOff>
    </xdr:from>
    <xdr:to>
      <xdr:col>16</xdr:col>
      <xdr:colOff>477463</xdr:colOff>
      <xdr:row>18</xdr:row>
      <xdr:rowOff>101760</xdr:rowOff>
    </xdr:to>
    <xdr:pic>
      <xdr:nvPicPr>
        <xdr:cNvPr id="2" name="Picture 1"/>
        <xdr:cNvPicPr>
          <a:picLocks noChangeAspect="1"/>
        </xdr:cNvPicPr>
      </xdr:nvPicPr>
      <xdr:blipFill>
        <a:blip xmlns:r="http://schemas.openxmlformats.org/officeDocument/2006/relationships" r:embed="rId1"/>
        <a:stretch>
          <a:fillRect/>
        </a:stretch>
      </xdr:blipFill>
      <xdr:spPr>
        <a:xfrm>
          <a:off x="7091410" y="1994015"/>
          <a:ext cx="6552965" cy="2346557"/>
        </a:xfrm>
        <a:prstGeom prst="rect">
          <a:avLst/>
        </a:prstGeom>
      </xdr:spPr>
    </xdr:pic>
    <xdr:clientData/>
  </xdr:twoCellAnchor>
  <xdr:twoCellAnchor editAs="oneCell">
    <xdr:from>
      <xdr:col>0</xdr:col>
      <xdr:colOff>543902</xdr:colOff>
      <xdr:row>333</xdr:row>
      <xdr:rowOff>100498</xdr:rowOff>
    </xdr:from>
    <xdr:to>
      <xdr:col>7</xdr:col>
      <xdr:colOff>44824</xdr:colOff>
      <xdr:row>349</xdr:row>
      <xdr:rowOff>177213</xdr:rowOff>
    </xdr:to>
    <xdr:pic>
      <xdr:nvPicPr>
        <xdr:cNvPr id="4" name="Picture 3"/>
        <xdr:cNvPicPr>
          <a:picLocks noChangeAspect="1"/>
        </xdr:cNvPicPr>
      </xdr:nvPicPr>
      <xdr:blipFill rotWithShape="1">
        <a:blip xmlns:r="http://schemas.openxmlformats.org/officeDocument/2006/relationships" r:embed="rId2"/>
        <a:srcRect l="5685" t="23446" r="8009" b="7257"/>
        <a:stretch/>
      </xdr:blipFill>
      <xdr:spPr>
        <a:xfrm>
          <a:off x="543902" y="32675998"/>
          <a:ext cx="5081451" cy="3304009"/>
        </a:xfrm>
        <a:prstGeom prst="rect">
          <a:avLst/>
        </a:prstGeom>
        <a:ln>
          <a:solidFill>
            <a:sysClr val="windowText" lastClr="000000"/>
          </a:solidFill>
        </a:ln>
      </xdr:spPr>
    </xdr:pic>
    <xdr:clientData/>
  </xdr:twoCellAnchor>
  <xdr:twoCellAnchor editAs="oneCell">
    <xdr:from>
      <xdr:col>8</xdr:col>
      <xdr:colOff>662291</xdr:colOff>
      <xdr:row>43</xdr:row>
      <xdr:rowOff>81557</xdr:rowOff>
    </xdr:from>
    <xdr:to>
      <xdr:col>14</xdr:col>
      <xdr:colOff>243022</xdr:colOff>
      <xdr:row>51</xdr:row>
      <xdr:rowOff>14091</xdr:rowOff>
    </xdr:to>
    <xdr:pic>
      <xdr:nvPicPr>
        <xdr:cNvPr id="23" name="Picture 22"/>
        <xdr:cNvPicPr>
          <a:picLocks noChangeAspect="1"/>
        </xdr:cNvPicPr>
      </xdr:nvPicPr>
      <xdr:blipFill>
        <a:blip xmlns:r="http://schemas.openxmlformats.org/officeDocument/2006/relationships" r:embed="rId3"/>
        <a:stretch>
          <a:fillRect/>
        </a:stretch>
      </xdr:blipFill>
      <xdr:spPr>
        <a:xfrm>
          <a:off x="6971203" y="9774645"/>
          <a:ext cx="4847495" cy="2196122"/>
        </a:xfrm>
        <a:prstGeom prst="rect">
          <a:avLst/>
        </a:prstGeom>
      </xdr:spPr>
    </xdr:pic>
    <xdr:clientData/>
  </xdr:twoCellAnchor>
  <xdr:twoCellAnchor editAs="oneCell">
    <xdr:from>
      <xdr:col>15</xdr:col>
      <xdr:colOff>171073</xdr:colOff>
      <xdr:row>145</xdr:row>
      <xdr:rowOff>11204</xdr:rowOff>
    </xdr:from>
    <xdr:to>
      <xdr:col>27</xdr:col>
      <xdr:colOff>139800</xdr:colOff>
      <xdr:row>169</xdr:row>
      <xdr:rowOff>12268</xdr:rowOff>
    </xdr:to>
    <xdr:pic>
      <xdr:nvPicPr>
        <xdr:cNvPr id="25" name="Picture 24"/>
        <xdr:cNvPicPr>
          <a:picLocks noChangeAspect="1"/>
        </xdr:cNvPicPr>
      </xdr:nvPicPr>
      <xdr:blipFill>
        <a:blip xmlns:r="http://schemas.openxmlformats.org/officeDocument/2006/relationships" r:embed="rId4"/>
        <a:stretch>
          <a:fillRect/>
        </a:stretch>
      </xdr:blipFill>
      <xdr:spPr>
        <a:xfrm>
          <a:off x="12475132" y="25392528"/>
          <a:ext cx="7644756" cy="3676593"/>
        </a:xfrm>
        <a:prstGeom prst="rect">
          <a:avLst/>
        </a:prstGeom>
      </xdr:spPr>
    </xdr:pic>
    <xdr:clientData/>
  </xdr:twoCellAnchor>
  <xdr:twoCellAnchor editAs="oneCell">
    <xdr:from>
      <xdr:col>12</xdr:col>
      <xdr:colOff>753970</xdr:colOff>
      <xdr:row>172</xdr:row>
      <xdr:rowOff>148454</xdr:rowOff>
    </xdr:from>
    <xdr:to>
      <xdr:col>20</xdr:col>
      <xdr:colOff>278066</xdr:colOff>
      <xdr:row>190</xdr:row>
      <xdr:rowOff>117017</xdr:rowOff>
    </xdr:to>
    <xdr:pic>
      <xdr:nvPicPr>
        <xdr:cNvPr id="26" name="Picture 25"/>
        <xdr:cNvPicPr>
          <a:picLocks noChangeAspect="1"/>
        </xdr:cNvPicPr>
      </xdr:nvPicPr>
      <xdr:blipFill>
        <a:blip xmlns:r="http://schemas.openxmlformats.org/officeDocument/2006/relationships" r:embed="rId5"/>
        <a:stretch>
          <a:fillRect/>
        </a:stretch>
      </xdr:blipFill>
      <xdr:spPr>
        <a:xfrm>
          <a:off x="10615146" y="29810425"/>
          <a:ext cx="5407184" cy="3599268"/>
        </a:xfrm>
        <a:prstGeom prst="rect">
          <a:avLst/>
        </a:prstGeom>
      </xdr:spPr>
    </xdr:pic>
    <xdr:clientData/>
  </xdr:twoCellAnchor>
  <xdr:twoCellAnchor editAs="oneCell">
    <xdr:from>
      <xdr:col>10</xdr:col>
      <xdr:colOff>465542</xdr:colOff>
      <xdr:row>187</xdr:row>
      <xdr:rowOff>164953</xdr:rowOff>
    </xdr:from>
    <xdr:to>
      <xdr:col>16</xdr:col>
      <xdr:colOff>384002</xdr:colOff>
      <xdr:row>200</xdr:row>
      <xdr:rowOff>109468</xdr:rowOff>
    </xdr:to>
    <xdr:pic>
      <xdr:nvPicPr>
        <xdr:cNvPr id="27" name="Picture 26"/>
        <xdr:cNvPicPr>
          <a:picLocks noChangeAspect="1"/>
        </xdr:cNvPicPr>
      </xdr:nvPicPr>
      <xdr:blipFill>
        <a:blip xmlns:r="http://schemas.openxmlformats.org/officeDocument/2006/relationships" r:embed="rId6"/>
        <a:stretch>
          <a:fillRect/>
        </a:stretch>
      </xdr:blipFill>
      <xdr:spPr>
        <a:xfrm>
          <a:off x="8701866" y="32852512"/>
          <a:ext cx="4849048" cy="2555485"/>
        </a:xfrm>
        <a:prstGeom prst="rect">
          <a:avLst/>
        </a:prstGeom>
      </xdr:spPr>
    </xdr:pic>
    <xdr:clientData/>
  </xdr:twoCellAnchor>
  <xdr:twoCellAnchor>
    <xdr:from>
      <xdr:col>0</xdr:col>
      <xdr:colOff>353088</xdr:colOff>
      <xdr:row>350</xdr:row>
      <xdr:rowOff>139767</xdr:rowOff>
    </xdr:from>
    <xdr:to>
      <xdr:col>7</xdr:col>
      <xdr:colOff>305796</xdr:colOff>
      <xdr:row>372</xdr:row>
      <xdr:rowOff>144097</xdr:rowOff>
    </xdr:to>
    <xdr:grpSp>
      <xdr:nvGrpSpPr>
        <xdr:cNvPr id="17" name="Group 16"/>
        <xdr:cNvGrpSpPr/>
      </xdr:nvGrpSpPr>
      <xdr:grpSpPr>
        <a:xfrm>
          <a:off x="353088" y="67094167"/>
          <a:ext cx="5807408" cy="4335030"/>
          <a:chOff x="441612" y="70113109"/>
          <a:chExt cx="5535186" cy="4377547"/>
        </a:xfrm>
      </xdr:grpSpPr>
      <xdr:pic>
        <xdr:nvPicPr>
          <xdr:cNvPr id="3" name="Picture 2"/>
          <xdr:cNvPicPr>
            <a:picLocks noChangeAspect="1"/>
          </xdr:cNvPicPr>
        </xdr:nvPicPr>
        <xdr:blipFill>
          <a:blip xmlns:r="http://schemas.openxmlformats.org/officeDocument/2006/relationships" r:embed="rId7"/>
          <a:stretch>
            <a:fillRect/>
          </a:stretch>
        </xdr:blipFill>
        <xdr:spPr>
          <a:xfrm>
            <a:off x="441612" y="70113109"/>
            <a:ext cx="5535186" cy="4377547"/>
          </a:xfrm>
          <a:prstGeom prst="rect">
            <a:avLst/>
          </a:prstGeom>
          <a:ln>
            <a:solidFill>
              <a:sysClr val="windowText" lastClr="000000"/>
            </a:solidFill>
          </a:ln>
        </xdr:spPr>
      </xdr:pic>
      <xdr:sp macro="" textlink="">
        <xdr:nvSpPr>
          <xdr:cNvPr id="24" name="Freeform 23"/>
          <xdr:cNvSpPr/>
        </xdr:nvSpPr>
        <xdr:spPr>
          <a:xfrm rot="21099452">
            <a:off x="3170673" y="72074900"/>
            <a:ext cx="1011906" cy="666025"/>
          </a:xfrm>
          <a:custGeom>
            <a:avLst/>
            <a:gdLst>
              <a:gd name="connsiteX0" fmla="*/ 1847022 w 2004392"/>
              <a:gd name="connsiteY0" fmla="*/ 430695 h 1399761"/>
              <a:gd name="connsiteX1" fmla="*/ 1813892 w 2004392"/>
              <a:gd name="connsiteY1" fmla="*/ 0 h 1399761"/>
              <a:gd name="connsiteX2" fmla="*/ 0 w 2004392"/>
              <a:gd name="connsiteY2" fmla="*/ 132521 h 1399761"/>
              <a:gd name="connsiteX3" fmla="*/ 132522 w 2004392"/>
              <a:gd name="connsiteY3" fmla="*/ 1399761 h 1399761"/>
              <a:gd name="connsiteX4" fmla="*/ 2004392 w 2004392"/>
              <a:gd name="connsiteY4" fmla="*/ 1292087 h 1399761"/>
              <a:gd name="connsiteX5" fmla="*/ 1962978 w 2004392"/>
              <a:gd name="connsiteY5" fmla="*/ 811695 h 1399761"/>
              <a:gd name="connsiteX6" fmla="*/ 530087 w 2004392"/>
              <a:gd name="connsiteY6" fmla="*/ 944217 h 1399761"/>
              <a:gd name="connsiteX7" fmla="*/ 472109 w 2004392"/>
              <a:gd name="connsiteY7" fmla="*/ 480391 h 1399761"/>
              <a:gd name="connsiteX8" fmla="*/ 1847022 w 2004392"/>
              <a:gd name="connsiteY8" fmla="*/ 430695 h 1399761"/>
              <a:gd name="connsiteX0" fmla="*/ 1847022 w 2004392"/>
              <a:gd name="connsiteY0" fmla="*/ 430695 h 1399761"/>
              <a:gd name="connsiteX1" fmla="*/ 1813892 w 2004392"/>
              <a:gd name="connsiteY1" fmla="*/ 0 h 1399761"/>
              <a:gd name="connsiteX2" fmla="*/ 0 w 2004392"/>
              <a:gd name="connsiteY2" fmla="*/ 132521 h 1399761"/>
              <a:gd name="connsiteX3" fmla="*/ 132522 w 2004392"/>
              <a:gd name="connsiteY3" fmla="*/ 1399761 h 1399761"/>
              <a:gd name="connsiteX4" fmla="*/ 2004392 w 2004392"/>
              <a:gd name="connsiteY4" fmla="*/ 1292087 h 1399761"/>
              <a:gd name="connsiteX5" fmla="*/ 1962978 w 2004392"/>
              <a:gd name="connsiteY5" fmla="*/ 811695 h 1399761"/>
              <a:gd name="connsiteX6" fmla="*/ 530087 w 2004392"/>
              <a:gd name="connsiteY6" fmla="*/ 944217 h 1399761"/>
              <a:gd name="connsiteX7" fmla="*/ 472109 w 2004392"/>
              <a:gd name="connsiteY7" fmla="*/ 521804 h 1399761"/>
              <a:gd name="connsiteX8" fmla="*/ 1847022 w 2004392"/>
              <a:gd name="connsiteY8" fmla="*/ 430695 h 1399761"/>
              <a:gd name="connsiteX0" fmla="*/ 1847022 w 2004392"/>
              <a:gd name="connsiteY0" fmla="*/ 430695 h 1399761"/>
              <a:gd name="connsiteX1" fmla="*/ 1813892 w 2004392"/>
              <a:gd name="connsiteY1" fmla="*/ 0 h 1399761"/>
              <a:gd name="connsiteX2" fmla="*/ 0 w 2004392"/>
              <a:gd name="connsiteY2" fmla="*/ 132521 h 1399761"/>
              <a:gd name="connsiteX3" fmla="*/ 132522 w 2004392"/>
              <a:gd name="connsiteY3" fmla="*/ 1399761 h 1399761"/>
              <a:gd name="connsiteX4" fmla="*/ 2004392 w 2004392"/>
              <a:gd name="connsiteY4" fmla="*/ 1292087 h 1399761"/>
              <a:gd name="connsiteX5" fmla="*/ 1905000 w 2004392"/>
              <a:gd name="connsiteY5" fmla="*/ 828260 h 1399761"/>
              <a:gd name="connsiteX6" fmla="*/ 530087 w 2004392"/>
              <a:gd name="connsiteY6" fmla="*/ 944217 h 1399761"/>
              <a:gd name="connsiteX7" fmla="*/ 472109 w 2004392"/>
              <a:gd name="connsiteY7" fmla="*/ 521804 h 1399761"/>
              <a:gd name="connsiteX8" fmla="*/ 1847022 w 2004392"/>
              <a:gd name="connsiteY8" fmla="*/ 430695 h 1399761"/>
              <a:gd name="connsiteX0" fmla="*/ 1847022 w 1929848"/>
              <a:gd name="connsiteY0" fmla="*/ 430695 h 1399761"/>
              <a:gd name="connsiteX1" fmla="*/ 1813892 w 1929848"/>
              <a:gd name="connsiteY1" fmla="*/ 0 h 1399761"/>
              <a:gd name="connsiteX2" fmla="*/ 0 w 1929848"/>
              <a:gd name="connsiteY2" fmla="*/ 132521 h 1399761"/>
              <a:gd name="connsiteX3" fmla="*/ 132522 w 1929848"/>
              <a:gd name="connsiteY3" fmla="*/ 1399761 h 1399761"/>
              <a:gd name="connsiteX4" fmla="*/ 1929848 w 1929848"/>
              <a:gd name="connsiteY4" fmla="*/ 1300370 h 1399761"/>
              <a:gd name="connsiteX5" fmla="*/ 1905000 w 1929848"/>
              <a:gd name="connsiteY5" fmla="*/ 828260 h 1399761"/>
              <a:gd name="connsiteX6" fmla="*/ 530087 w 1929848"/>
              <a:gd name="connsiteY6" fmla="*/ 944217 h 1399761"/>
              <a:gd name="connsiteX7" fmla="*/ 472109 w 1929848"/>
              <a:gd name="connsiteY7" fmla="*/ 521804 h 1399761"/>
              <a:gd name="connsiteX8" fmla="*/ 1847022 w 1929848"/>
              <a:gd name="connsiteY8" fmla="*/ 430695 h 1399761"/>
              <a:gd name="connsiteX0" fmla="*/ 1847022 w 1929848"/>
              <a:gd name="connsiteY0" fmla="*/ 430695 h 1399761"/>
              <a:gd name="connsiteX1" fmla="*/ 1813892 w 1929848"/>
              <a:gd name="connsiteY1" fmla="*/ 0 h 1399761"/>
              <a:gd name="connsiteX2" fmla="*/ 0 w 1929848"/>
              <a:gd name="connsiteY2" fmla="*/ 132521 h 1399761"/>
              <a:gd name="connsiteX3" fmla="*/ 132522 w 1929848"/>
              <a:gd name="connsiteY3" fmla="*/ 1399761 h 1399761"/>
              <a:gd name="connsiteX4" fmla="*/ 1929848 w 1929848"/>
              <a:gd name="connsiteY4" fmla="*/ 1300370 h 1399761"/>
              <a:gd name="connsiteX5" fmla="*/ 1905000 w 1929848"/>
              <a:gd name="connsiteY5" fmla="*/ 869673 h 1399761"/>
              <a:gd name="connsiteX6" fmla="*/ 530087 w 1929848"/>
              <a:gd name="connsiteY6" fmla="*/ 944217 h 1399761"/>
              <a:gd name="connsiteX7" fmla="*/ 472109 w 1929848"/>
              <a:gd name="connsiteY7" fmla="*/ 521804 h 1399761"/>
              <a:gd name="connsiteX8" fmla="*/ 1847022 w 1929848"/>
              <a:gd name="connsiteY8" fmla="*/ 430695 h 1399761"/>
              <a:gd name="connsiteX0" fmla="*/ 1847022 w 1929848"/>
              <a:gd name="connsiteY0" fmla="*/ 430695 h 1399761"/>
              <a:gd name="connsiteX1" fmla="*/ 1813892 w 1929848"/>
              <a:gd name="connsiteY1" fmla="*/ 0 h 1399761"/>
              <a:gd name="connsiteX2" fmla="*/ 0 w 1929848"/>
              <a:gd name="connsiteY2" fmla="*/ 132521 h 1399761"/>
              <a:gd name="connsiteX3" fmla="*/ 132522 w 1929848"/>
              <a:gd name="connsiteY3" fmla="*/ 1399761 h 1399761"/>
              <a:gd name="connsiteX4" fmla="*/ 1929848 w 1929848"/>
              <a:gd name="connsiteY4" fmla="*/ 1300370 h 1399761"/>
              <a:gd name="connsiteX5" fmla="*/ 1905000 w 1929848"/>
              <a:gd name="connsiteY5" fmla="*/ 869673 h 1399761"/>
              <a:gd name="connsiteX6" fmla="*/ 530087 w 1929848"/>
              <a:gd name="connsiteY6" fmla="*/ 944217 h 1399761"/>
              <a:gd name="connsiteX7" fmla="*/ 505239 w 1929848"/>
              <a:gd name="connsiteY7" fmla="*/ 521804 h 1399761"/>
              <a:gd name="connsiteX8" fmla="*/ 1847022 w 1929848"/>
              <a:gd name="connsiteY8" fmla="*/ 430695 h 1399761"/>
              <a:gd name="connsiteX0" fmla="*/ 1847022 w 1929848"/>
              <a:gd name="connsiteY0" fmla="*/ 433379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905000 w 1929848"/>
              <a:gd name="connsiteY5" fmla="*/ 872357 h 1402445"/>
              <a:gd name="connsiteX6" fmla="*/ 530087 w 1929848"/>
              <a:gd name="connsiteY6" fmla="*/ 946901 h 1402445"/>
              <a:gd name="connsiteX7" fmla="*/ 505239 w 1929848"/>
              <a:gd name="connsiteY7" fmla="*/ 524488 h 1402445"/>
              <a:gd name="connsiteX8" fmla="*/ 1847022 w 1929848"/>
              <a:gd name="connsiteY8" fmla="*/ 433379 h 1402445"/>
              <a:gd name="connsiteX0" fmla="*/ 1676525 w 1929848"/>
              <a:gd name="connsiteY0" fmla="*/ 465622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905000 w 1929848"/>
              <a:gd name="connsiteY5" fmla="*/ 872357 h 1402445"/>
              <a:gd name="connsiteX6" fmla="*/ 530087 w 1929848"/>
              <a:gd name="connsiteY6" fmla="*/ 946901 h 1402445"/>
              <a:gd name="connsiteX7" fmla="*/ 505239 w 1929848"/>
              <a:gd name="connsiteY7" fmla="*/ 524488 h 1402445"/>
              <a:gd name="connsiteX8" fmla="*/ 1676525 w 1929848"/>
              <a:gd name="connsiteY8" fmla="*/ 465622 h 1402445"/>
              <a:gd name="connsiteX0" fmla="*/ 1680151 w 1929848"/>
              <a:gd name="connsiteY0" fmla="*/ 441349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905000 w 1929848"/>
              <a:gd name="connsiteY5" fmla="*/ 872357 h 1402445"/>
              <a:gd name="connsiteX6" fmla="*/ 530087 w 1929848"/>
              <a:gd name="connsiteY6" fmla="*/ 946901 h 1402445"/>
              <a:gd name="connsiteX7" fmla="*/ 505239 w 1929848"/>
              <a:gd name="connsiteY7" fmla="*/ 524488 h 1402445"/>
              <a:gd name="connsiteX8" fmla="*/ 1680151 w 1929848"/>
              <a:gd name="connsiteY8" fmla="*/ 441349 h 1402445"/>
              <a:gd name="connsiteX0" fmla="*/ 1722863 w 1929848"/>
              <a:gd name="connsiteY0" fmla="*/ 457930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905000 w 1929848"/>
              <a:gd name="connsiteY5" fmla="*/ 872357 h 1402445"/>
              <a:gd name="connsiteX6" fmla="*/ 530087 w 1929848"/>
              <a:gd name="connsiteY6" fmla="*/ 946901 h 1402445"/>
              <a:gd name="connsiteX7" fmla="*/ 505239 w 1929848"/>
              <a:gd name="connsiteY7" fmla="*/ 524488 h 1402445"/>
              <a:gd name="connsiteX8" fmla="*/ 1722863 w 1929848"/>
              <a:gd name="connsiteY8" fmla="*/ 457930 h 1402445"/>
              <a:gd name="connsiteX0" fmla="*/ 1722863 w 1929848"/>
              <a:gd name="connsiteY0" fmla="*/ 457930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905000 w 1929848"/>
              <a:gd name="connsiteY5" fmla="*/ 872357 h 1402445"/>
              <a:gd name="connsiteX6" fmla="*/ 492968 w 1929848"/>
              <a:gd name="connsiteY6" fmla="*/ 876161 h 1402445"/>
              <a:gd name="connsiteX7" fmla="*/ 505239 w 1929848"/>
              <a:gd name="connsiteY7" fmla="*/ 524488 h 1402445"/>
              <a:gd name="connsiteX8" fmla="*/ 1722863 w 1929848"/>
              <a:gd name="connsiteY8" fmla="*/ 457930 h 1402445"/>
              <a:gd name="connsiteX0" fmla="*/ 1722863 w 1929848"/>
              <a:gd name="connsiteY0" fmla="*/ 457930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766991 w 1929848"/>
              <a:gd name="connsiteY5" fmla="*/ 737467 h 1402445"/>
              <a:gd name="connsiteX6" fmla="*/ 492968 w 1929848"/>
              <a:gd name="connsiteY6" fmla="*/ 876161 h 1402445"/>
              <a:gd name="connsiteX7" fmla="*/ 505239 w 1929848"/>
              <a:gd name="connsiteY7" fmla="*/ 524488 h 1402445"/>
              <a:gd name="connsiteX8" fmla="*/ 1722863 w 1929848"/>
              <a:gd name="connsiteY8" fmla="*/ 457930 h 1402445"/>
              <a:gd name="connsiteX0" fmla="*/ 1722863 w 1929848"/>
              <a:gd name="connsiteY0" fmla="*/ 457930 h 1402445"/>
              <a:gd name="connsiteX1" fmla="*/ 1663668 w 1929848"/>
              <a:gd name="connsiteY1" fmla="*/ 0 h 1402445"/>
              <a:gd name="connsiteX2" fmla="*/ 0 w 1929848"/>
              <a:gd name="connsiteY2" fmla="*/ 135205 h 1402445"/>
              <a:gd name="connsiteX3" fmla="*/ 132522 w 1929848"/>
              <a:gd name="connsiteY3" fmla="*/ 1402445 h 1402445"/>
              <a:gd name="connsiteX4" fmla="*/ 1929848 w 1929848"/>
              <a:gd name="connsiteY4" fmla="*/ 1303054 h 1402445"/>
              <a:gd name="connsiteX5" fmla="*/ 1773350 w 1929848"/>
              <a:gd name="connsiteY5" fmla="*/ 803533 h 1402445"/>
              <a:gd name="connsiteX6" fmla="*/ 492968 w 1929848"/>
              <a:gd name="connsiteY6" fmla="*/ 876161 h 1402445"/>
              <a:gd name="connsiteX7" fmla="*/ 505239 w 1929848"/>
              <a:gd name="connsiteY7" fmla="*/ 524488 h 1402445"/>
              <a:gd name="connsiteX8" fmla="*/ 1722863 w 1929848"/>
              <a:gd name="connsiteY8" fmla="*/ 457930 h 1402445"/>
              <a:gd name="connsiteX0" fmla="*/ 1722863 w 1929848"/>
              <a:gd name="connsiteY0" fmla="*/ 457930 h 1303055"/>
              <a:gd name="connsiteX1" fmla="*/ 1663668 w 1929848"/>
              <a:gd name="connsiteY1" fmla="*/ 0 h 1303055"/>
              <a:gd name="connsiteX2" fmla="*/ 0 w 1929848"/>
              <a:gd name="connsiteY2" fmla="*/ 135205 h 1303055"/>
              <a:gd name="connsiteX3" fmla="*/ 119806 w 1929848"/>
              <a:gd name="connsiteY3" fmla="*/ 1270315 h 1303055"/>
              <a:gd name="connsiteX4" fmla="*/ 1929848 w 1929848"/>
              <a:gd name="connsiteY4" fmla="*/ 1303054 h 1303055"/>
              <a:gd name="connsiteX5" fmla="*/ 1773350 w 1929848"/>
              <a:gd name="connsiteY5" fmla="*/ 803533 h 1303055"/>
              <a:gd name="connsiteX6" fmla="*/ 492968 w 1929848"/>
              <a:gd name="connsiteY6" fmla="*/ 876161 h 1303055"/>
              <a:gd name="connsiteX7" fmla="*/ 505239 w 1929848"/>
              <a:gd name="connsiteY7" fmla="*/ 524488 h 1303055"/>
              <a:gd name="connsiteX8" fmla="*/ 1722863 w 1929848"/>
              <a:gd name="connsiteY8" fmla="*/ 457930 h 1303055"/>
              <a:gd name="connsiteX0" fmla="*/ 1722863 w 1917131"/>
              <a:gd name="connsiteY0" fmla="*/ 457930 h 1270315"/>
              <a:gd name="connsiteX1" fmla="*/ 1663668 w 1917131"/>
              <a:gd name="connsiteY1" fmla="*/ 0 h 1270315"/>
              <a:gd name="connsiteX2" fmla="*/ 0 w 1917131"/>
              <a:gd name="connsiteY2" fmla="*/ 135205 h 1270315"/>
              <a:gd name="connsiteX3" fmla="*/ 119806 w 1917131"/>
              <a:gd name="connsiteY3" fmla="*/ 1270315 h 1270315"/>
              <a:gd name="connsiteX4" fmla="*/ 1917132 w 1917131"/>
              <a:gd name="connsiteY4" fmla="*/ 1170924 h 1270315"/>
              <a:gd name="connsiteX5" fmla="*/ 1773350 w 1917131"/>
              <a:gd name="connsiteY5" fmla="*/ 803533 h 1270315"/>
              <a:gd name="connsiteX6" fmla="*/ 492968 w 1917131"/>
              <a:gd name="connsiteY6" fmla="*/ 876161 h 1270315"/>
              <a:gd name="connsiteX7" fmla="*/ 505239 w 1917131"/>
              <a:gd name="connsiteY7" fmla="*/ 524488 h 1270315"/>
              <a:gd name="connsiteX8" fmla="*/ 1722863 w 1917131"/>
              <a:gd name="connsiteY8" fmla="*/ 457930 h 1270315"/>
              <a:gd name="connsiteX0" fmla="*/ 1722863 w 1802709"/>
              <a:gd name="connsiteY0" fmla="*/ 457930 h 1270315"/>
              <a:gd name="connsiteX1" fmla="*/ 1663668 w 1802709"/>
              <a:gd name="connsiteY1" fmla="*/ 0 h 1270315"/>
              <a:gd name="connsiteX2" fmla="*/ 0 w 1802709"/>
              <a:gd name="connsiteY2" fmla="*/ 135205 h 1270315"/>
              <a:gd name="connsiteX3" fmla="*/ 119806 w 1802709"/>
              <a:gd name="connsiteY3" fmla="*/ 1270315 h 1270315"/>
              <a:gd name="connsiteX4" fmla="*/ 1802709 w 1802709"/>
              <a:gd name="connsiteY4" fmla="*/ 1202368 h 1270315"/>
              <a:gd name="connsiteX5" fmla="*/ 1773350 w 1802709"/>
              <a:gd name="connsiteY5" fmla="*/ 803533 h 1270315"/>
              <a:gd name="connsiteX6" fmla="*/ 492968 w 1802709"/>
              <a:gd name="connsiteY6" fmla="*/ 876161 h 1270315"/>
              <a:gd name="connsiteX7" fmla="*/ 505239 w 1802709"/>
              <a:gd name="connsiteY7" fmla="*/ 524488 h 1270315"/>
              <a:gd name="connsiteX8" fmla="*/ 1722863 w 1802709"/>
              <a:gd name="connsiteY8" fmla="*/ 457930 h 1270315"/>
              <a:gd name="connsiteX0" fmla="*/ 1722863 w 1861974"/>
              <a:gd name="connsiteY0" fmla="*/ 457930 h 1270315"/>
              <a:gd name="connsiteX1" fmla="*/ 1663668 w 1861974"/>
              <a:gd name="connsiteY1" fmla="*/ 0 h 1270315"/>
              <a:gd name="connsiteX2" fmla="*/ 0 w 1861974"/>
              <a:gd name="connsiteY2" fmla="*/ 135205 h 1270315"/>
              <a:gd name="connsiteX3" fmla="*/ 119806 w 1861974"/>
              <a:gd name="connsiteY3" fmla="*/ 1270315 h 1270315"/>
              <a:gd name="connsiteX4" fmla="*/ 1861974 w 1861974"/>
              <a:gd name="connsiteY4" fmla="*/ 1227649 h 1270315"/>
              <a:gd name="connsiteX5" fmla="*/ 1773350 w 1861974"/>
              <a:gd name="connsiteY5" fmla="*/ 803533 h 1270315"/>
              <a:gd name="connsiteX6" fmla="*/ 492968 w 1861974"/>
              <a:gd name="connsiteY6" fmla="*/ 876161 h 1270315"/>
              <a:gd name="connsiteX7" fmla="*/ 505239 w 1861974"/>
              <a:gd name="connsiteY7" fmla="*/ 524488 h 1270315"/>
              <a:gd name="connsiteX8" fmla="*/ 1722863 w 1861974"/>
              <a:gd name="connsiteY8" fmla="*/ 457930 h 1270315"/>
              <a:gd name="connsiteX0" fmla="*/ 1722863 w 1818091"/>
              <a:gd name="connsiteY0" fmla="*/ 457930 h 1270315"/>
              <a:gd name="connsiteX1" fmla="*/ 1663668 w 1818091"/>
              <a:gd name="connsiteY1" fmla="*/ 0 h 1270315"/>
              <a:gd name="connsiteX2" fmla="*/ 0 w 1818091"/>
              <a:gd name="connsiteY2" fmla="*/ 135205 h 1270315"/>
              <a:gd name="connsiteX3" fmla="*/ 119806 w 1818091"/>
              <a:gd name="connsiteY3" fmla="*/ 1270315 h 1270315"/>
              <a:gd name="connsiteX4" fmla="*/ 1818090 w 1818091"/>
              <a:gd name="connsiteY4" fmla="*/ 1204707 h 1270315"/>
              <a:gd name="connsiteX5" fmla="*/ 1773350 w 1818091"/>
              <a:gd name="connsiteY5" fmla="*/ 803533 h 1270315"/>
              <a:gd name="connsiteX6" fmla="*/ 492968 w 1818091"/>
              <a:gd name="connsiteY6" fmla="*/ 876161 h 1270315"/>
              <a:gd name="connsiteX7" fmla="*/ 505239 w 1818091"/>
              <a:gd name="connsiteY7" fmla="*/ 524488 h 1270315"/>
              <a:gd name="connsiteX8" fmla="*/ 1722863 w 1818091"/>
              <a:gd name="connsiteY8" fmla="*/ 457930 h 1270315"/>
              <a:gd name="connsiteX0" fmla="*/ 1722863 w 1818089"/>
              <a:gd name="connsiteY0" fmla="*/ 457930 h 1270315"/>
              <a:gd name="connsiteX1" fmla="*/ 1663668 w 1818089"/>
              <a:gd name="connsiteY1" fmla="*/ 0 h 1270315"/>
              <a:gd name="connsiteX2" fmla="*/ 0 w 1818089"/>
              <a:gd name="connsiteY2" fmla="*/ 135205 h 1270315"/>
              <a:gd name="connsiteX3" fmla="*/ 119806 w 1818089"/>
              <a:gd name="connsiteY3" fmla="*/ 1270315 h 1270315"/>
              <a:gd name="connsiteX4" fmla="*/ 1818090 w 1818089"/>
              <a:gd name="connsiteY4" fmla="*/ 1204707 h 1270315"/>
              <a:gd name="connsiteX5" fmla="*/ 1773350 w 1818089"/>
              <a:gd name="connsiteY5" fmla="*/ 803533 h 1270315"/>
              <a:gd name="connsiteX6" fmla="*/ 536851 w 1818089"/>
              <a:gd name="connsiteY6" fmla="*/ 899104 h 1270315"/>
              <a:gd name="connsiteX7" fmla="*/ 505239 w 1818089"/>
              <a:gd name="connsiteY7" fmla="*/ 524488 h 1270315"/>
              <a:gd name="connsiteX8" fmla="*/ 1722863 w 1818089"/>
              <a:gd name="connsiteY8" fmla="*/ 457930 h 1270315"/>
              <a:gd name="connsiteX0" fmla="*/ 1722863 w 1818091"/>
              <a:gd name="connsiteY0" fmla="*/ 457930 h 1270315"/>
              <a:gd name="connsiteX1" fmla="*/ 1663668 w 1818091"/>
              <a:gd name="connsiteY1" fmla="*/ 0 h 1270315"/>
              <a:gd name="connsiteX2" fmla="*/ 0 w 1818091"/>
              <a:gd name="connsiteY2" fmla="*/ 135205 h 1270315"/>
              <a:gd name="connsiteX3" fmla="*/ 119806 w 1818091"/>
              <a:gd name="connsiteY3" fmla="*/ 1270315 h 1270315"/>
              <a:gd name="connsiteX4" fmla="*/ 1818090 w 1818091"/>
              <a:gd name="connsiteY4" fmla="*/ 1204707 h 1270315"/>
              <a:gd name="connsiteX5" fmla="*/ 1773350 w 1818091"/>
              <a:gd name="connsiteY5" fmla="*/ 803533 h 1270315"/>
              <a:gd name="connsiteX6" fmla="*/ 536851 w 1818091"/>
              <a:gd name="connsiteY6" fmla="*/ 899104 h 1270315"/>
              <a:gd name="connsiteX7" fmla="*/ 553632 w 1818091"/>
              <a:gd name="connsiteY7" fmla="*/ 515566 h 1270315"/>
              <a:gd name="connsiteX8" fmla="*/ 1722863 w 1818091"/>
              <a:gd name="connsiteY8" fmla="*/ 457930 h 1270315"/>
              <a:gd name="connsiteX0" fmla="*/ 1722863 w 1818089"/>
              <a:gd name="connsiteY0" fmla="*/ 457930 h 1270315"/>
              <a:gd name="connsiteX1" fmla="*/ 1663668 w 1818089"/>
              <a:gd name="connsiteY1" fmla="*/ 0 h 1270315"/>
              <a:gd name="connsiteX2" fmla="*/ 0 w 1818089"/>
              <a:gd name="connsiteY2" fmla="*/ 135205 h 1270315"/>
              <a:gd name="connsiteX3" fmla="*/ 119806 w 1818089"/>
              <a:gd name="connsiteY3" fmla="*/ 1270315 h 1270315"/>
              <a:gd name="connsiteX4" fmla="*/ 1818090 w 1818089"/>
              <a:gd name="connsiteY4" fmla="*/ 1204707 h 1270315"/>
              <a:gd name="connsiteX5" fmla="*/ 1773350 w 1818089"/>
              <a:gd name="connsiteY5" fmla="*/ 803533 h 1270315"/>
              <a:gd name="connsiteX6" fmla="*/ 536851 w 1818089"/>
              <a:gd name="connsiteY6" fmla="*/ 899104 h 1270315"/>
              <a:gd name="connsiteX7" fmla="*/ 507492 w 1818089"/>
              <a:gd name="connsiteY7" fmla="*/ 508557 h 1270315"/>
              <a:gd name="connsiteX8" fmla="*/ 1722863 w 1818089"/>
              <a:gd name="connsiteY8" fmla="*/ 457930 h 1270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8089" h="1270315">
                <a:moveTo>
                  <a:pt x="1722863" y="457930"/>
                </a:moveTo>
                <a:lnTo>
                  <a:pt x="1663668" y="0"/>
                </a:lnTo>
                <a:lnTo>
                  <a:pt x="0" y="135205"/>
                </a:lnTo>
                <a:lnTo>
                  <a:pt x="119806" y="1270315"/>
                </a:lnTo>
                <a:lnTo>
                  <a:pt x="1818090" y="1204707"/>
                </a:lnTo>
                <a:lnTo>
                  <a:pt x="1773350" y="803533"/>
                </a:lnTo>
                <a:lnTo>
                  <a:pt x="536851" y="899104"/>
                </a:lnTo>
                <a:lnTo>
                  <a:pt x="507492" y="508557"/>
                </a:lnTo>
                <a:lnTo>
                  <a:pt x="1722863" y="45793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6" name="TextBox 15"/>
          <xdr:cNvSpPr txBox="1"/>
        </xdr:nvSpPr>
        <xdr:spPr>
          <a:xfrm rot="20902874">
            <a:off x="3006586" y="72671609"/>
            <a:ext cx="1606826" cy="480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FF00"/>
                </a:solidFill>
                <a:latin typeface="Times New Roman" panose="02020603050405020304" pitchFamily="18" charset="0"/>
                <a:cs typeface="Times New Roman" panose="02020603050405020304" pitchFamily="18" charset="0"/>
              </a:rPr>
              <a:t>Arihant Amisha Phase III</a:t>
            </a:r>
          </a:p>
        </xdr:txBody>
      </xdr:sp>
    </xdr:grpSp>
    <xdr:clientData/>
  </xdr:twoCellAnchor>
  <xdr:twoCellAnchor>
    <xdr:from>
      <xdr:col>9</xdr:col>
      <xdr:colOff>147917</xdr:colOff>
      <xdr:row>255</xdr:row>
      <xdr:rowOff>192743</xdr:rowOff>
    </xdr:from>
    <xdr:to>
      <xdr:col>10</xdr:col>
      <xdr:colOff>162485</xdr:colOff>
      <xdr:row>257</xdr:row>
      <xdr:rowOff>60316</xdr:rowOff>
    </xdr:to>
    <xdr:sp macro="" textlink="">
      <xdr:nvSpPr>
        <xdr:cNvPr id="34" name="TextBox 35"/>
        <xdr:cNvSpPr txBox="1"/>
      </xdr:nvSpPr>
      <xdr:spPr>
        <a:xfrm>
          <a:off x="7622241" y="46226508"/>
          <a:ext cx="776568" cy="270984"/>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D1</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13</xdr:col>
      <xdr:colOff>161365</xdr:colOff>
      <xdr:row>256</xdr:row>
      <xdr:rowOff>97492</xdr:rowOff>
    </xdr:from>
    <xdr:to>
      <xdr:col>14</xdr:col>
      <xdr:colOff>98612</xdr:colOff>
      <xdr:row>257</xdr:row>
      <xdr:rowOff>166772</xdr:rowOff>
    </xdr:to>
    <xdr:sp macro="" textlink="">
      <xdr:nvSpPr>
        <xdr:cNvPr id="35" name="TextBox 35"/>
        <xdr:cNvSpPr txBox="1"/>
      </xdr:nvSpPr>
      <xdr:spPr>
        <a:xfrm>
          <a:off x="10896600" y="46332963"/>
          <a:ext cx="777688" cy="270985"/>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D4</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9</xdr:col>
      <xdr:colOff>262217</xdr:colOff>
      <xdr:row>267</xdr:row>
      <xdr:rowOff>78443</xdr:rowOff>
    </xdr:from>
    <xdr:to>
      <xdr:col>10</xdr:col>
      <xdr:colOff>276785</xdr:colOff>
      <xdr:row>268</xdr:row>
      <xdr:rowOff>147722</xdr:rowOff>
    </xdr:to>
    <xdr:sp macro="" textlink="">
      <xdr:nvSpPr>
        <xdr:cNvPr id="36" name="TextBox 35"/>
        <xdr:cNvSpPr txBox="1"/>
      </xdr:nvSpPr>
      <xdr:spPr>
        <a:xfrm>
          <a:off x="7736541" y="48532678"/>
          <a:ext cx="776568" cy="270985"/>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D2</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13</xdr:col>
      <xdr:colOff>170890</xdr:colOff>
      <xdr:row>267</xdr:row>
      <xdr:rowOff>116543</xdr:rowOff>
    </xdr:from>
    <xdr:to>
      <xdr:col>14</xdr:col>
      <xdr:colOff>108137</xdr:colOff>
      <xdr:row>268</xdr:row>
      <xdr:rowOff>185822</xdr:rowOff>
    </xdr:to>
    <xdr:sp macro="" textlink="">
      <xdr:nvSpPr>
        <xdr:cNvPr id="37" name="TextBox 36"/>
        <xdr:cNvSpPr txBox="1"/>
      </xdr:nvSpPr>
      <xdr:spPr>
        <a:xfrm>
          <a:off x="10906125" y="48570778"/>
          <a:ext cx="777688" cy="270985"/>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D3</a:t>
          </a:r>
          <a:endParaRPr lang="en-IN" sz="1200" b="1">
            <a:latin typeface="Times New Roman" panose="02020603050405020304" pitchFamily="18" charset="0"/>
            <a:cs typeface="Times New Roman" panose="02020603050405020304" pitchFamily="18" charset="0"/>
          </a:endParaRPr>
        </a:p>
      </xdr:txBody>
    </xdr:sp>
    <xdr:clientData/>
  </xdr:twoCellAnchor>
  <xdr:twoCellAnchor editAs="oneCell">
    <xdr:from>
      <xdr:col>11</xdr:col>
      <xdr:colOff>969945</xdr:colOff>
      <xdr:row>200</xdr:row>
      <xdr:rowOff>95859</xdr:rowOff>
    </xdr:from>
    <xdr:to>
      <xdr:col>21</xdr:col>
      <xdr:colOff>413420</xdr:colOff>
      <xdr:row>211</xdr:row>
      <xdr:rowOff>133029</xdr:rowOff>
    </xdr:to>
    <xdr:pic>
      <xdr:nvPicPr>
        <xdr:cNvPr id="5" name="Picture 4"/>
        <xdr:cNvPicPr>
          <a:picLocks noChangeAspect="1"/>
        </xdr:cNvPicPr>
      </xdr:nvPicPr>
      <xdr:blipFill>
        <a:blip xmlns:r="http://schemas.openxmlformats.org/officeDocument/2006/relationships" r:embed="rId8"/>
        <a:stretch>
          <a:fillRect/>
        </a:stretch>
      </xdr:blipFill>
      <xdr:spPr>
        <a:xfrm>
          <a:off x="9912239" y="35394388"/>
          <a:ext cx="6929005" cy="2255935"/>
        </a:xfrm>
        <a:prstGeom prst="rect">
          <a:avLst/>
        </a:prstGeom>
      </xdr:spPr>
    </xdr:pic>
    <xdr:clientData/>
  </xdr:twoCellAnchor>
  <xdr:twoCellAnchor editAs="oneCell">
    <xdr:from>
      <xdr:col>1</xdr:col>
      <xdr:colOff>638978</xdr:colOff>
      <xdr:row>289</xdr:row>
      <xdr:rowOff>201705</xdr:rowOff>
    </xdr:from>
    <xdr:to>
      <xdr:col>5</xdr:col>
      <xdr:colOff>591353</xdr:colOff>
      <xdr:row>307</xdr:row>
      <xdr:rowOff>195710</xdr:rowOff>
    </xdr:to>
    <xdr:pic>
      <xdr:nvPicPr>
        <xdr:cNvPr id="50" name="Picture 49"/>
        <xdr:cNvPicPr>
          <a:picLocks noChangeAspect="1"/>
        </xdr:cNvPicPr>
      </xdr:nvPicPr>
      <xdr:blipFill>
        <a:blip xmlns:r="http://schemas.openxmlformats.org/officeDocument/2006/relationships" r:embed="rId9"/>
        <a:stretch>
          <a:fillRect/>
        </a:stretch>
      </xdr:blipFill>
      <xdr:spPr>
        <a:xfrm>
          <a:off x="1400978" y="54964852"/>
          <a:ext cx="3302934" cy="3624710"/>
        </a:xfrm>
        <a:prstGeom prst="rect">
          <a:avLst/>
        </a:prstGeom>
        <a:ln>
          <a:solidFill>
            <a:sysClr val="windowText" lastClr="000000"/>
          </a:solidFill>
        </a:ln>
      </xdr:spPr>
    </xdr:pic>
    <xdr:clientData/>
  </xdr:twoCellAnchor>
  <xdr:twoCellAnchor>
    <xdr:from>
      <xdr:col>0</xdr:col>
      <xdr:colOff>313765</xdr:colOff>
      <xdr:row>308</xdr:row>
      <xdr:rowOff>176675</xdr:rowOff>
    </xdr:from>
    <xdr:to>
      <xdr:col>7</xdr:col>
      <xdr:colOff>403412</xdr:colOff>
      <xdr:row>330</xdr:row>
      <xdr:rowOff>152377</xdr:rowOff>
    </xdr:to>
    <xdr:grpSp>
      <xdr:nvGrpSpPr>
        <xdr:cNvPr id="51" name="Group 50"/>
        <xdr:cNvGrpSpPr/>
      </xdr:nvGrpSpPr>
      <xdr:grpSpPr>
        <a:xfrm>
          <a:off x="313765" y="58863375"/>
          <a:ext cx="5944347" cy="4306402"/>
          <a:chOff x="569016" y="61693424"/>
          <a:chExt cx="5124449" cy="4376251"/>
        </a:xfrm>
      </xdr:grpSpPr>
      <xdr:grpSp>
        <xdr:nvGrpSpPr>
          <xdr:cNvPr id="52" name="Group 51"/>
          <xdr:cNvGrpSpPr/>
        </xdr:nvGrpSpPr>
        <xdr:grpSpPr>
          <a:xfrm>
            <a:off x="569016" y="61693424"/>
            <a:ext cx="5124449" cy="4376251"/>
            <a:chOff x="552451" y="59435585"/>
            <a:chExt cx="5125277" cy="4348918"/>
          </a:xfrm>
        </xdr:grpSpPr>
        <xdr:pic>
          <xdr:nvPicPr>
            <xdr:cNvPr id="54" name="Picture 53"/>
            <xdr:cNvPicPr>
              <a:picLocks noChangeAspect="1"/>
            </xdr:cNvPicPr>
          </xdr:nvPicPr>
          <xdr:blipFill>
            <a:blip xmlns:r="http://schemas.openxmlformats.org/officeDocument/2006/relationships" r:embed="rId10"/>
            <a:stretch>
              <a:fillRect/>
            </a:stretch>
          </xdr:blipFill>
          <xdr:spPr>
            <a:xfrm>
              <a:off x="552451" y="59435585"/>
              <a:ext cx="5125277" cy="4348918"/>
            </a:xfrm>
            <a:prstGeom prst="rect">
              <a:avLst/>
            </a:prstGeom>
            <a:ln>
              <a:solidFill>
                <a:sysClr val="windowText" lastClr="000000"/>
              </a:solidFill>
            </a:ln>
          </xdr:spPr>
        </xdr:pic>
        <xdr:sp macro="" textlink="">
          <xdr:nvSpPr>
            <xdr:cNvPr id="55" name="Rectangle 54"/>
            <xdr:cNvSpPr/>
          </xdr:nvSpPr>
          <xdr:spPr>
            <a:xfrm rot="21395841">
              <a:off x="4016651" y="60900308"/>
              <a:ext cx="1076325" cy="4469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6" name="L-Shape 55"/>
            <xdr:cNvSpPr/>
          </xdr:nvSpPr>
          <xdr:spPr>
            <a:xfrm rot="5112210">
              <a:off x="3340040" y="60964524"/>
              <a:ext cx="631438" cy="646187"/>
            </a:xfrm>
            <a:prstGeom prst="corner">
              <a:avLst>
                <a:gd name="adj1" fmla="val 65909"/>
                <a:gd name="adj2" fmla="val 5372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7" name="L-Shape 56"/>
            <xdr:cNvSpPr/>
          </xdr:nvSpPr>
          <xdr:spPr>
            <a:xfrm rot="15999256" flipV="1">
              <a:off x="3415021" y="61613560"/>
              <a:ext cx="606282" cy="683515"/>
            </a:xfrm>
            <a:prstGeom prst="corner">
              <a:avLst>
                <a:gd name="adj1" fmla="val 73169"/>
                <a:gd name="adj2" fmla="val 74329"/>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8" name="TextBox 57"/>
            <xdr:cNvSpPr txBox="1"/>
          </xdr:nvSpPr>
          <xdr:spPr>
            <a:xfrm rot="21338226">
              <a:off x="4581341" y="61244815"/>
              <a:ext cx="818705" cy="265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D1</a:t>
              </a:r>
              <a:endParaRPr lang="en-IN" sz="1400" b="1">
                <a:solidFill>
                  <a:srgbClr val="FF0000"/>
                </a:solidFill>
              </a:endParaRPr>
            </a:p>
          </xdr:txBody>
        </xdr:sp>
        <xdr:sp macro="" textlink="">
          <xdr:nvSpPr>
            <xdr:cNvPr id="59" name="TextBox 58"/>
            <xdr:cNvSpPr txBox="1"/>
          </xdr:nvSpPr>
          <xdr:spPr>
            <a:xfrm rot="21338226">
              <a:off x="4656797" y="62134857"/>
              <a:ext cx="818705" cy="26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D2</a:t>
              </a:r>
              <a:endParaRPr lang="en-IN" sz="1400" b="1">
                <a:solidFill>
                  <a:srgbClr val="FF0000"/>
                </a:solidFill>
              </a:endParaRPr>
            </a:p>
          </xdr:txBody>
        </xdr:sp>
        <xdr:sp macro="" textlink="">
          <xdr:nvSpPr>
            <xdr:cNvPr id="60" name="TextBox 59"/>
            <xdr:cNvSpPr txBox="1"/>
          </xdr:nvSpPr>
          <xdr:spPr>
            <a:xfrm rot="21338226">
              <a:off x="3374905" y="62193631"/>
              <a:ext cx="807873" cy="269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D3</a:t>
              </a:r>
              <a:endParaRPr lang="en-IN" sz="1400" b="1">
                <a:solidFill>
                  <a:srgbClr val="FF0000"/>
                </a:solidFill>
              </a:endParaRPr>
            </a:p>
          </xdr:txBody>
        </xdr:sp>
        <xdr:sp macro="" textlink="">
          <xdr:nvSpPr>
            <xdr:cNvPr id="61" name="TextBox 60"/>
            <xdr:cNvSpPr txBox="1"/>
          </xdr:nvSpPr>
          <xdr:spPr>
            <a:xfrm rot="21338226">
              <a:off x="3164413" y="60745208"/>
              <a:ext cx="803473" cy="269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D4</a:t>
              </a:r>
              <a:endParaRPr lang="en-IN" sz="1400" b="1">
                <a:solidFill>
                  <a:srgbClr val="FF0000"/>
                </a:solidFill>
              </a:endParaRPr>
            </a:p>
          </xdr:txBody>
        </xdr:sp>
      </xdr:grpSp>
      <xdr:sp macro="" textlink="">
        <xdr:nvSpPr>
          <xdr:cNvPr id="53" name="Rectangle 52"/>
          <xdr:cNvSpPr/>
        </xdr:nvSpPr>
        <xdr:spPr>
          <a:xfrm rot="21395841">
            <a:off x="4110981" y="64005204"/>
            <a:ext cx="1134691" cy="4766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485775</xdr:colOff>
      <xdr:row>125</xdr:row>
      <xdr:rowOff>190500</xdr:rowOff>
    </xdr:from>
    <xdr:to>
      <xdr:col>13</xdr:col>
      <xdr:colOff>131677</xdr:colOff>
      <xdr:row>138</xdr:row>
      <xdr:rowOff>104987</xdr:rowOff>
    </xdr:to>
    <xdr:pic>
      <xdr:nvPicPr>
        <xdr:cNvPr id="7" name="Picture 6"/>
        <xdr:cNvPicPr>
          <a:picLocks noChangeAspect="1"/>
        </xdr:cNvPicPr>
      </xdr:nvPicPr>
      <xdr:blipFill>
        <a:blip xmlns:r="http://schemas.openxmlformats.org/officeDocument/2006/relationships" r:embed="rId11"/>
        <a:stretch>
          <a:fillRect/>
        </a:stretch>
      </xdr:blipFill>
      <xdr:spPr>
        <a:xfrm>
          <a:off x="6800850" y="24193500"/>
          <a:ext cx="4067743" cy="1514687"/>
        </a:xfrm>
        <a:prstGeom prst="rect">
          <a:avLst/>
        </a:prstGeom>
      </xdr:spPr>
    </xdr:pic>
    <xdr:clientData/>
  </xdr:twoCellAnchor>
  <xdr:twoCellAnchor editAs="oneCell">
    <xdr:from>
      <xdr:col>8</xdr:col>
      <xdr:colOff>333375</xdr:colOff>
      <xdr:row>141</xdr:row>
      <xdr:rowOff>32516</xdr:rowOff>
    </xdr:from>
    <xdr:to>
      <xdr:col>12</xdr:col>
      <xdr:colOff>426383</xdr:colOff>
      <xdr:row>145</xdr:row>
      <xdr:rowOff>143106</xdr:rowOff>
    </xdr:to>
    <xdr:pic>
      <xdr:nvPicPr>
        <xdr:cNvPr id="8" name="Picture 7"/>
        <xdr:cNvPicPr>
          <a:picLocks noChangeAspect="1"/>
        </xdr:cNvPicPr>
      </xdr:nvPicPr>
      <xdr:blipFill>
        <a:blip xmlns:r="http://schemas.openxmlformats.org/officeDocument/2006/relationships" r:embed="rId12"/>
        <a:stretch>
          <a:fillRect/>
        </a:stretch>
      </xdr:blipFill>
      <xdr:spPr>
        <a:xfrm>
          <a:off x="6648450" y="25588091"/>
          <a:ext cx="3724275" cy="929741"/>
        </a:xfrm>
        <a:prstGeom prst="rect">
          <a:avLst/>
        </a:prstGeom>
      </xdr:spPr>
    </xdr:pic>
    <xdr:clientData/>
  </xdr:twoCellAnchor>
  <xdr:twoCellAnchor editAs="oneCell">
    <xdr:from>
      <xdr:col>8</xdr:col>
      <xdr:colOff>295274</xdr:colOff>
      <xdr:row>51</xdr:row>
      <xdr:rowOff>175079</xdr:rowOff>
    </xdr:from>
    <xdr:to>
      <xdr:col>11</xdr:col>
      <xdr:colOff>219743</xdr:colOff>
      <xdr:row>69</xdr:row>
      <xdr:rowOff>123264</xdr:rowOff>
    </xdr:to>
    <xdr:pic>
      <xdr:nvPicPr>
        <xdr:cNvPr id="9" name="Picture 8"/>
        <xdr:cNvPicPr>
          <a:picLocks noChangeAspect="1"/>
        </xdr:cNvPicPr>
      </xdr:nvPicPr>
      <xdr:blipFill>
        <a:blip xmlns:r="http://schemas.openxmlformats.org/officeDocument/2006/relationships" r:embed="rId13"/>
        <a:stretch>
          <a:fillRect/>
        </a:stretch>
      </xdr:blipFill>
      <xdr:spPr>
        <a:xfrm>
          <a:off x="6604186" y="12131755"/>
          <a:ext cx="2557851" cy="3444421"/>
        </a:xfrm>
        <a:prstGeom prst="rect">
          <a:avLst/>
        </a:prstGeom>
      </xdr:spPr>
    </xdr:pic>
    <xdr:clientData/>
  </xdr:twoCellAnchor>
  <xdr:twoCellAnchor>
    <xdr:from>
      <xdr:col>0</xdr:col>
      <xdr:colOff>82550</xdr:colOff>
      <xdr:row>247</xdr:row>
      <xdr:rowOff>76200</xdr:rowOff>
    </xdr:from>
    <xdr:to>
      <xdr:col>7</xdr:col>
      <xdr:colOff>680355</xdr:colOff>
      <xdr:row>288</xdr:row>
      <xdr:rowOff>38100</xdr:rowOff>
    </xdr:to>
    <xdr:grpSp>
      <xdr:nvGrpSpPr>
        <xdr:cNvPr id="6" name="Group 5"/>
        <xdr:cNvGrpSpPr/>
      </xdr:nvGrpSpPr>
      <xdr:grpSpPr>
        <a:xfrm>
          <a:off x="82550" y="46755050"/>
          <a:ext cx="6452505" cy="8032750"/>
          <a:chOff x="82550" y="46755050"/>
          <a:chExt cx="6452505" cy="8032750"/>
        </a:xfrm>
      </xdr:grpSpPr>
      <xdr:pic>
        <xdr:nvPicPr>
          <xdr:cNvPr id="45" name="Picture 4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075791" y="53194394"/>
            <a:ext cx="1348594" cy="1593406"/>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82550" y="46755050"/>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60641" y="53194394"/>
            <a:ext cx="1348594" cy="1593406"/>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82550" y="49021498"/>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652290" y="46755050"/>
            <a:ext cx="287733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045491" y="51287946"/>
            <a:ext cx="1348594" cy="180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916742" y="49021498"/>
            <a:ext cx="161831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131775" y="49021498"/>
            <a:ext cx="1618313"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560641" y="51287946"/>
            <a:ext cx="1348594" cy="180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075791" y="51287946"/>
            <a:ext cx="1348594" cy="180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045491" y="53194394"/>
            <a:ext cx="1348594" cy="1593406"/>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867420" y="46755050"/>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263302-arihant-amisha-phase-iii-by-arihant-superstructures-limited-in-taloja" TargetMode="External"/><Relationship Id="rId1" Type="http://schemas.openxmlformats.org/officeDocument/2006/relationships/hyperlink" Target="https://maps.app.goo.gl/5henGD1jKvjRNJvm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75" t="s">
        <v>159</v>
      </c>
      <c r="B1" s="175"/>
      <c r="C1" s="175"/>
      <c r="D1" s="175"/>
      <c r="E1" s="175"/>
      <c r="F1" s="175"/>
      <c r="G1" s="175"/>
      <c r="H1" s="175"/>
    </row>
    <row r="2" spans="1:26" ht="16.5" customHeight="1" x14ac:dyDescent="0.35">
      <c r="A2" s="176" t="s">
        <v>0</v>
      </c>
      <c r="B2" s="176"/>
      <c r="C2" s="176"/>
      <c r="D2" s="176"/>
      <c r="E2" s="176"/>
      <c r="F2" s="176"/>
      <c r="G2" s="176"/>
      <c r="H2" s="176"/>
    </row>
    <row r="3" spans="1:26" x14ac:dyDescent="0.35">
      <c r="A3" s="99" t="s">
        <v>1</v>
      </c>
      <c r="B3" s="99"/>
      <c r="C3" s="99"/>
      <c r="D3" s="99"/>
      <c r="E3" s="99" t="str">
        <f ca="1">TEXT(TODAY(),"DD/MM/YYYY")</f>
        <v>13/08/2025</v>
      </c>
      <c r="F3" s="99"/>
      <c r="G3" s="99"/>
      <c r="H3" s="99"/>
      <c r="K3" s="43" t="s">
        <v>231</v>
      </c>
      <c r="L3" s="41" t="s">
        <v>229</v>
      </c>
      <c r="M3" s="41" t="s">
        <v>234</v>
      </c>
      <c r="N3" s="41" t="s">
        <v>232</v>
      </c>
      <c r="O3" s="41" t="s">
        <v>233</v>
      </c>
      <c r="P3" s="41" t="s">
        <v>235</v>
      </c>
    </row>
    <row r="4" spans="1:26" ht="15" customHeight="1" x14ac:dyDescent="0.35">
      <c r="A4" s="99" t="s">
        <v>228</v>
      </c>
      <c r="B4" s="99"/>
      <c r="C4" s="99"/>
      <c r="D4" s="99"/>
      <c r="E4" s="99" t="s">
        <v>229</v>
      </c>
      <c r="F4" s="99"/>
      <c r="G4" s="99"/>
      <c r="H4" s="99"/>
      <c r="K4" s="40" t="s">
        <v>230</v>
      </c>
      <c r="L4" s="41" t="s">
        <v>165</v>
      </c>
      <c r="M4" s="41" t="s">
        <v>239</v>
      </c>
      <c r="N4" s="41" t="s">
        <v>241</v>
      </c>
      <c r="O4" s="41" t="s">
        <v>243</v>
      </c>
      <c r="P4" s="41"/>
    </row>
    <row r="5" spans="1:26" ht="15" customHeight="1" x14ac:dyDescent="0.35">
      <c r="A5" s="99" t="s">
        <v>2</v>
      </c>
      <c r="B5" s="99"/>
      <c r="C5" s="99"/>
      <c r="D5" s="99"/>
      <c r="E5" s="99" t="s">
        <v>237</v>
      </c>
      <c r="F5" s="99"/>
      <c r="G5" s="99"/>
      <c r="H5" s="99"/>
      <c r="K5" s="40"/>
      <c r="L5" s="41" t="s">
        <v>236</v>
      </c>
      <c r="M5" s="41" t="s">
        <v>240</v>
      </c>
      <c r="N5" s="41" t="s">
        <v>242</v>
      </c>
      <c r="O5" s="41" t="s">
        <v>244</v>
      </c>
      <c r="P5" s="41"/>
    </row>
    <row r="6" spans="1:26" x14ac:dyDescent="0.35">
      <c r="A6" s="99" t="s">
        <v>3</v>
      </c>
      <c r="B6" s="99"/>
      <c r="C6" s="99"/>
      <c r="D6" s="99"/>
      <c r="E6" s="178">
        <v>45880</v>
      </c>
      <c r="F6" s="99"/>
      <c r="G6" s="99"/>
      <c r="H6" s="99"/>
      <c r="K6" s="40"/>
      <c r="L6" s="41" t="s">
        <v>237</v>
      </c>
      <c r="M6" s="41"/>
      <c r="N6" s="41"/>
      <c r="O6" s="41" t="s">
        <v>245</v>
      </c>
      <c r="P6" s="41"/>
    </row>
    <row r="7" spans="1:26" ht="16.5" customHeight="1" x14ac:dyDescent="0.35">
      <c r="A7" s="99" t="s">
        <v>4</v>
      </c>
      <c r="B7" s="99"/>
      <c r="C7" s="99"/>
      <c r="D7" s="99"/>
      <c r="E7" s="99" t="s">
        <v>327</v>
      </c>
      <c r="F7" s="99"/>
      <c r="G7" s="99"/>
      <c r="H7" s="99"/>
      <c r="K7" s="40"/>
      <c r="L7" s="41" t="s">
        <v>238</v>
      </c>
      <c r="M7" s="41"/>
      <c r="N7" s="41"/>
      <c r="O7" s="41" t="s">
        <v>245</v>
      </c>
      <c r="P7" s="41"/>
    </row>
    <row r="8" spans="1:26" ht="15" customHeight="1" x14ac:dyDescent="0.35">
      <c r="A8" s="99" t="s">
        <v>5</v>
      </c>
      <c r="B8" s="99"/>
      <c r="C8" s="99"/>
      <c r="D8" s="99"/>
      <c r="E8" s="99" t="str">
        <f>E7</f>
        <v>Arihant Aashiyana Private Limited</v>
      </c>
      <c r="F8" s="99"/>
      <c r="G8" s="99"/>
      <c r="H8" s="99"/>
      <c r="K8" s="40"/>
      <c r="L8" s="41"/>
      <c r="M8" s="41"/>
      <c r="N8" s="41"/>
      <c r="O8" s="41" t="s">
        <v>246</v>
      </c>
      <c r="P8" s="41"/>
    </row>
    <row r="9" spans="1:26" x14ac:dyDescent="0.35">
      <c r="A9" s="99" t="s">
        <v>6</v>
      </c>
      <c r="B9" s="99"/>
      <c r="C9" s="99"/>
      <c r="D9" s="99"/>
      <c r="E9" s="177" t="s">
        <v>328</v>
      </c>
      <c r="F9" s="177"/>
      <c r="G9" s="177"/>
      <c r="H9" s="177"/>
      <c r="K9" s="40"/>
      <c r="L9" s="41"/>
      <c r="M9" s="41"/>
      <c r="N9" s="41"/>
      <c r="O9" s="41" t="s">
        <v>247</v>
      </c>
      <c r="P9" s="41"/>
    </row>
    <row r="10" spans="1:26" x14ac:dyDescent="0.35">
      <c r="A10" s="99" t="s">
        <v>162</v>
      </c>
      <c r="B10" s="99"/>
      <c r="C10" s="99"/>
      <c r="D10" s="99"/>
      <c r="E10" s="99">
        <v>9619007738</v>
      </c>
      <c r="F10" s="99"/>
      <c r="G10" s="99"/>
      <c r="H10" s="99"/>
      <c r="K10" s="40"/>
      <c r="L10" s="41"/>
      <c r="M10" s="41"/>
      <c r="N10" s="41"/>
      <c r="O10" s="41"/>
      <c r="P10" s="41"/>
    </row>
    <row r="11" spans="1:26" x14ac:dyDescent="0.35">
      <c r="A11" s="99" t="s">
        <v>163</v>
      </c>
      <c r="B11" s="99"/>
      <c r="C11" s="99"/>
      <c r="D11" s="99"/>
      <c r="E11" s="99" t="s">
        <v>386</v>
      </c>
      <c r="F11" s="99"/>
      <c r="G11" s="99"/>
      <c r="H11" s="99"/>
    </row>
    <row r="12" spans="1:26" x14ac:dyDescent="0.35">
      <c r="A12" s="99" t="s">
        <v>7</v>
      </c>
      <c r="B12" s="99"/>
      <c r="C12" s="99"/>
      <c r="D12" s="99"/>
      <c r="E12" s="99" t="s">
        <v>329</v>
      </c>
      <c r="F12" s="99"/>
      <c r="G12" s="99"/>
      <c r="H12" s="99"/>
    </row>
    <row r="13" spans="1:26" x14ac:dyDescent="0.35">
      <c r="A13" s="99" t="s">
        <v>166</v>
      </c>
      <c r="B13" s="99"/>
      <c r="C13" s="99"/>
      <c r="D13" s="99"/>
      <c r="E13" s="99" t="s">
        <v>28</v>
      </c>
      <c r="F13" s="99"/>
      <c r="G13" s="99"/>
      <c r="H13" s="99"/>
      <c r="S13" s="41" t="s">
        <v>173</v>
      </c>
      <c r="T13" s="41" t="s">
        <v>183</v>
      </c>
      <c r="U13" s="41" t="s">
        <v>167</v>
      </c>
      <c r="V13" s="41" t="s">
        <v>188</v>
      </c>
      <c r="W13" s="41" t="s">
        <v>206</v>
      </c>
      <c r="X13"/>
      <c r="Y13" t="s">
        <v>188</v>
      </c>
      <c r="Z13" t="e">
        <f ca="1">OFFSET($S$13,1,MATCH($G20,$S$13:$W$13,0)-1,15,1)</f>
        <v>#VALUE!</v>
      </c>
    </row>
    <row r="14" spans="1:26" x14ac:dyDescent="0.35">
      <c r="A14" s="120" t="s">
        <v>274</v>
      </c>
      <c r="B14" s="120"/>
      <c r="C14" s="120"/>
      <c r="D14" s="120"/>
      <c r="E14" s="98" t="s">
        <v>363</v>
      </c>
      <c r="F14" s="98"/>
      <c r="G14" s="98"/>
      <c r="H14" s="98"/>
      <c r="S14" s="41" t="s">
        <v>174</v>
      </c>
      <c r="T14" s="41" t="s">
        <v>181</v>
      </c>
      <c r="U14" s="41" t="s">
        <v>203</v>
      </c>
      <c r="V14" s="41" t="s">
        <v>189</v>
      </c>
      <c r="W14" s="41" t="s">
        <v>207</v>
      </c>
      <c r="X14"/>
      <c r="Y14"/>
      <c r="Z14"/>
    </row>
    <row r="15" spans="1:26" x14ac:dyDescent="0.35">
      <c r="A15" s="120" t="s">
        <v>8</v>
      </c>
      <c r="B15" s="120"/>
      <c r="C15" s="120"/>
      <c r="D15" s="120"/>
      <c r="E15" s="98" t="s">
        <v>330</v>
      </c>
      <c r="F15" s="99"/>
      <c r="G15" s="99"/>
      <c r="H15" s="99"/>
      <c r="I15" s="115" t="e">
        <f ca="1">OFFSET($D$5,1,MATCH($J13,$D$5:$H$5,0)-1,15,1)</f>
        <v>#N/A</v>
      </c>
      <c r="J15" s="116"/>
      <c r="K15" s="116"/>
      <c r="L15" s="116"/>
      <c r="M15" s="116"/>
      <c r="N15" s="116"/>
      <c r="O15" s="116"/>
      <c r="P15" s="116"/>
      <c r="S15" s="41" t="s">
        <v>175</v>
      </c>
      <c r="T15" s="41" t="s">
        <v>182</v>
      </c>
      <c r="U15" s="41" t="s">
        <v>204</v>
      </c>
      <c r="V15" s="41" t="s">
        <v>190</v>
      </c>
      <c r="W15" s="41" t="s">
        <v>220</v>
      </c>
      <c r="X15"/>
      <c r="Y15"/>
      <c r="Z15"/>
    </row>
    <row r="16" spans="1:26" ht="34.5" customHeight="1" x14ac:dyDescent="0.35">
      <c r="A16" s="97" t="s">
        <v>9</v>
      </c>
      <c r="B16" s="97"/>
      <c r="C16" s="97" t="str">
        <f>CONCATENATE((IF(OR(E9="",E9="NA"),"",E9)),", ",(IF(OR(A17="",A17="NA"),"",A17)),".",(IF(OR(C17="",C17="NA"),"",C17)),", near ",(IF(OR(C22="",C22="NA"),"",C22)),", ",(IF(OR(C19="",C19="NA"),"",C19)),", ",(IF(OR(C18="",C18="NA"),"",C18)),", ",(IF(OR(G19="",G19="NA"),"",G19)),", ",(IF(OR(C20="",C20="NA"),"",C20)),", ",(IF(OR(C21="",C21="NA"),"",C21)),", ",(IF(OR(G20="",G20="NA"),"",G20))," - ",(IF(OR(G21="",G21="NA"),"",G21)),".")</f>
        <v>Arihant Amisha Phase III, Gut No.85/0 &amp; 87/2, near Arihant Amisha Phase II, Internal Road, Taloja, Mahodar, Navade Road East, Panvel, Raigad - 410208.</v>
      </c>
      <c r="D16" s="97"/>
      <c r="E16" s="97"/>
      <c r="F16" s="97"/>
      <c r="G16" s="97"/>
      <c r="H16" s="97"/>
      <c r="S16" s="41" t="s">
        <v>176</v>
      </c>
      <c r="T16" s="41" t="s">
        <v>184</v>
      </c>
      <c r="U16" s="41" t="s">
        <v>205</v>
      </c>
      <c r="V16" s="41" t="s">
        <v>191</v>
      </c>
      <c r="W16" s="41" t="s">
        <v>208</v>
      </c>
      <c r="X16"/>
      <c r="Y16"/>
      <c r="Z16"/>
    </row>
    <row r="17" spans="1:26" x14ac:dyDescent="0.35">
      <c r="A17" s="98" t="s">
        <v>331</v>
      </c>
      <c r="B17" s="98"/>
      <c r="C17" s="98" t="s">
        <v>332</v>
      </c>
      <c r="D17" s="98"/>
      <c r="E17" s="98"/>
      <c r="F17" s="98"/>
      <c r="G17" s="98"/>
      <c r="H17" s="98"/>
      <c r="S17" s="41" t="s">
        <v>177</v>
      </c>
      <c r="T17" s="41" t="s">
        <v>185</v>
      </c>
      <c r="U17" s="41" t="s">
        <v>167</v>
      </c>
      <c r="V17" s="41" t="s">
        <v>192</v>
      </c>
      <c r="W17" s="41" t="s">
        <v>209</v>
      </c>
      <c r="X17"/>
      <c r="Y17"/>
      <c r="Z17"/>
    </row>
    <row r="18" spans="1:26" ht="15.75" customHeight="1" x14ac:dyDescent="0.35">
      <c r="A18" s="98" t="s">
        <v>157</v>
      </c>
      <c r="B18" s="98"/>
      <c r="C18" s="98" t="s">
        <v>377</v>
      </c>
      <c r="D18" s="98"/>
      <c r="E18" s="98"/>
      <c r="F18" s="98"/>
      <c r="G18" s="98"/>
      <c r="H18" s="98"/>
      <c r="S18" s="41" t="s">
        <v>178</v>
      </c>
      <c r="T18" s="41" t="s">
        <v>183</v>
      </c>
      <c r="U18" s="41"/>
      <c r="V18" s="41" t="s">
        <v>193</v>
      </c>
      <c r="W18" s="41" t="s">
        <v>210</v>
      </c>
      <c r="X18"/>
      <c r="Y18"/>
      <c r="Z18"/>
    </row>
    <row r="19" spans="1:26" ht="15.75" customHeight="1" x14ac:dyDescent="0.35">
      <c r="A19" s="97" t="s">
        <v>10</v>
      </c>
      <c r="B19" s="97"/>
      <c r="C19" s="99" t="s">
        <v>336</v>
      </c>
      <c r="D19" s="99"/>
      <c r="E19" s="97" t="s">
        <v>68</v>
      </c>
      <c r="F19" s="97"/>
      <c r="G19" s="98" t="s">
        <v>337</v>
      </c>
      <c r="H19" s="98"/>
      <c r="S19" s="41" t="s">
        <v>179</v>
      </c>
      <c r="T19" s="41" t="s">
        <v>186</v>
      </c>
      <c r="U19" s="41"/>
      <c r="V19" s="41" t="s">
        <v>194</v>
      </c>
      <c r="W19" s="41" t="s">
        <v>211</v>
      </c>
      <c r="X19"/>
      <c r="Y19"/>
      <c r="Z19"/>
    </row>
    <row r="20" spans="1:26" x14ac:dyDescent="0.35">
      <c r="A20" s="120" t="s">
        <v>12</v>
      </c>
      <c r="B20" s="120"/>
      <c r="C20" s="98" t="s">
        <v>383</v>
      </c>
      <c r="D20" s="98"/>
      <c r="E20" s="97" t="s">
        <v>11</v>
      </c>
      <c r="F20" s="97"/>
      <c r="G20" s="179" t="s">
        <v>188</v>
      </c>
      <c r="H20" s="179"/>
      <c r="S20" s="41" t="s">
        <v>180</v>
      </c>
      <c r="T20" s="41" t="s">
        <v>187</v>
      </c>
      <c r="U20" s="41"/>
      <c r="V20" s="41" t="s">
        <v>195</v>
      </c>
      <c r="W20" s="41" t="s">
        <v>212</v>
      </c>
      <c r="X20"/>
      <c r="Y20"/>
      <c r="Z20"/>
    </row>
    <row r="21" spans="1:26" x14ac:dyDescent="0.35">
      <c r="A21" s="120" t="s">
        <v>69</v>
      </c>
      <c r="B21" s="120"/>
      <c r="C21" s="98" t="s">
        <v>190</v>
      </c>
      <c r="D21" s="98"/>
      <c r="E21" s="97" t="s">
        <v>13</v>
      </c>
      <c r="F21" s="97"/>
      <c r="G21" s="98">
        <v>410208</v>
      </c>
      <c r="H21" s="98"/>
      <c r="S21" s="41"/>
      <c r="T21" s="41"/>
      <c r="U21" s="41"/>
      <c r="V21" s="41" t="s">
        <v>196</v>
      </c>
      <c r="W21" s="41" t="s">
        <v>213</v>
      </c>
      <c r="X21"/>
      <c r="Y21"/>
      <c r="Z21"/>
    </row>
    <row r="22" spans="1:26" ht="35.25" customHeight="1" x14ac:dyDescent="0.35">
      <c r="A22" s="120" t="s">
        <v>116</v>
      </c>
      <c r="B22" s="120"/>
      <c r="C22" s="98" t="s">
        <v>338</v>
      </c>
      <c r="D22" s="98"/>
      <c r="E22" s="97" t="s">
        <v>14</v>
      </c>
      <c r="F22" s="97"/>
      <c r="G22" s="98" t="s">
        <v>335</v>
      </c>
      <c r="H22" s="98"/>
      <c r="S22" s="41"/>
      <c r="T22" s="41"/>
      <c r="U22" s="41"/>
      <c r="V22" s="41" t="s">
        <v>197</v>
      </c>
      <c r="W22" s="41" t="s">
        <v>214</v>
      </c>
      <c r="X22"/>
      <c r="Y22"/>
      <c r="Z22"/>
    </row>
    <row r="23" spans="1:26" ht="15" customHeight="1" x14ac:dyDescent="0.35">
      <c r="A23" s="97" t="s">
        <v>71</v>
      </c>
      <c r="B23" s="97"/>
      <c r="C23" s="97"/>
      <c r="D23" s="97"/>
      <c r="E23" s="99" t="s">
        <v>15</v>
      </c>
      <c r="F23" s="99"/>
      <c r="G23" s="99"/>
      <c r="H23" s="99"/>
      <c r="S23" s="41"/>
      <c r="T23" s="41"/>
      <c r="U23" s="41"/>
      <c r="V23" s="41" t="s">
        <v>198</v>
      </c>
      <c r="W23" s="41" t="s">
        <v>215</v>
      </c>
      <c r="X23"/>
      <c r="Y23"/>
      <c r="Z23"/>
    </row>
    <row r="24" spans="1:26" ht="18.75" customHeight="1" x14ac:dyDescent="0.35">
      <c r="A24" s="97"/>
      <c r="B24" s="97"/>
      <c r="C24" s="97"/>
      <c r="D24" s="97"/>
      <c r="E24" s="99"/>
      <c r="F24" s="99"/>
      <c r="G24" s="99"/>
      <c r="H24" s="99"/>
      <c r="S24" s="41"/>
      <c r="T24" s="41"/>
      <c r="U24" s="41"/>
      <c r="V24" s="41" t="s">
        <v>199</v>
      </c>
      <c r="W24" s="41" t="s">
        <v>216</v>
      </c>
      <c r="X24"/>
      <c r="Y24"/>
      <c r="Z24"/>
    </row>
    <row r="25" spans="1:26" ht="15" customHeight="1" x14ac:dyDescent="0.35">
      <c r="A25" s="97" t="s">
        <v>16</v>
      </c>
      <c r="B25" s="97"/>
      <c r="C25" s="97"/>
      <c r="D25" s="97"/>
      <c r="E25" s="98" t="s">
        <v>17</v>
      </c>
      <c r="F25" s="98"/>
      <c r="G25" s="98"/>
      <c r="H25" s="98"/>
      <c r="S25" s="41"/>
      <c r="T25" s="41"/>
      <c r="U25" s="41"/>
      <c r="V25" s="41" t="s">
        <v>200</v>
      </c>
      <c r="W25" s="41" t="s">
        <v>217</v>
      </c>
      <c r="X25"/>
      <c r="Y25"/>
      <c r="Z25"/>
    </row>
    <row r="26" spans="1:26" ht="15" customHeight="1" x14ac:dyDescent="0.35">
      <c r="A26" s="120" t="s">
        <v>18</v>
      </c>
      <c r="B26" s="120"/>
      <c r="C26" s="120"/>
      <c r="D26" s="120"/>
      <c r="E26" s="98" t="str">
        <f>IF(AND(G20="Mumbai"),"Upper Class","Middle Class")</f>
        <v>Middle Class</v>
      </c>
      <c r="F26" s="98"/>
      <c r="G26" s="98"/>
      <c r="H26" s="98"/>
      <c r="S26" s="41"/>
      <c r="T26" s="41"/>
      <c r="U26" s="41"/>
      <c r="V26" s="41" t="s">
        <v>201</v>
      </c>
      <c r="W26" s="41" t="s">
        <v>218</v>
      </c>
      <c r="X26"/>
      <c r="Y26"/>
      <c r="Z26"/>
    </row>
    <row r="27" spans="1:26" x14ac:dyDescent="0.35">
      <c r="A27" s="120" t="s">
        <v>19</v>
      </c>
      <c r="B27" s="120"/>
      <c r="C27" s="120"/>
      <c r="D27" s="120"/>
      <c r="E27" s="98" t="s">
        <v>20</v>
      </c>
      <c r="F27" s="98"/>
      <c r="G27" s="98"/>
      <c r="H27" s="98"/>
      <c r="S27" s="41"/>
      <c r="T27" s="41"/>
      <c r="U27" s="41"/>
      <c r="V27" s="41" t="s">
        <v>202</v>
      </c>
      <c r="W27" s="41" t="s">
        <v>219</v>
      </c>
      <c r="X27"/>
      <c r="Y27"/>
      <c r="Z27"/>
    </row>
    <row r="28" spans="1:26" ht="15.75" customHeight="1" x14ac:dyDescent="0.35">
      <c r="A28" s="120" t="s">
        <v>21</v>
      </c>
      <c r="B28" s="120"/>
      <c r="C28" s="120"/>
      <c r="D28" s="120"/>
      <c r="E28" s="98" t="str">
        <f>IF(AND(G20="Mumbai"),"Developed","Developing")</f>
        <v>Developing</v>
      </c>
      <c r="F28" s="98"/>
      <c r="G28" s="98"/>
      <c r="H28" s="98"/>
    </row>
    <row r="29" spans="1:26" x14ac:dyDescent="0.35">
      <c r="A29" s="120" t="s">
        <v>22</v>
      </c>
      <c r="B29" s="120"/>
      <c r="C29" s="120"/>
      <c r="D29" s="120"/>
      <c r="E29" s="98" t="s">
        <v>23</v>
      </c>
      <c r="F29" s="98"/>
      <c r="G29" s="98"/>
      <c r="H29" s="98"/>
    </row>
    <row r="30" spans="1:26" ht="15.75" customHeight="1" x14ac:dyDescent="0.35">
      <c r="A30" s="120" t="s">
        <v>76</v>
      </c>
      <c r="B30" s="120"/>
      <c r="C30" s="120"/>
      <c r="D30" s="120"/>
      <c r="E30" s="98" t="s">
        <v>77</v>
      </c>
      <c r="F30" s="98"/>
      <c r="G30" s="98"/>
      <c r="H30" s="98"/>
    </row>
    <row r="31" spans="1:26" ht="15" customHeight="1" x14ac:dyDescent="0.35">
      <c r="A31" s="120" t="s">
        <v>30</v>
      </c>
      <c r="B31" s="120"/>
      <c r="C31" s="120"/>
      <c r="D31" s="120"/>
      <c r="E31" s="9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8"/>
      <c r="G31" s="98"/>
      <c r="H31" s="98"/>
    </row>
    <row r="32" spans="1:26" ht="15.75" customHeight="1" x14ac:dyDescent="0.35">
      <c r="A32" s="120" t="s">
        <v>86</v>
      </c>
      <c r="B32" s="120"/>
      <c r="C32" s="120"/>
      <c r="D32" s="120"/>
      <c r="E32" s="98" t="s">
        <v>31</v>
      </c>
      <c r="F32" s="98"/>
      <c r="G32" s="98"/>
      <c r="H32" s="98"/>
    </row>
    <row r="33" spans="1:19" s="17" customFormat="1" x14ac:dyDescent="0.35">
      <c r="A33" s="181" t="s">
        <v>87</v>
      </c>
      <c r="B33" s="181"/>
      <c r="C33" s="118" t="s">
        <v>168</v>
      </c>
      <c r="D33" s="118"/>
      <c r="E33" s="118"/>
      <c r="F33" s="118" t="s">
        <v>29</v>
      </c>
      <c r="G33" s="118"/>
      <c r="H33" s="118"/>
      <c r="I33" s="112"/>
      <c r="J33" s="112"/>
      <c r="K33" s="112"/>
      <c r="S33" s="17" t="e">
        <f ca="1">OFFSET($S$13,1,MATCH($G20,$S$13:$W$13,0)-1,15,1)</f>
        <v>#VALUE!</v>
      </c>
    </row>
    <row r="34" spans="1:19" s="17" customFormat="1" x14ac:dyDescent="0.35">
      <c r="A34" s="180" t="s">
        <v>24</v>
      </c>
      <c r="B34" s="180" t="s">
        <v>28</v>
      </c>
      <c r="C34" s="213" t="s">
        <v>342</v>
      </c>
      <c r="D34" s="213"/>
      <c r="E34" s="213"/>
      <c r="F34" s="213" t="s">
        <v>339</v>
      </c>
      <c r="G34" s="213"/>
      <c r="H34" s="213"/>
      <c r="I34" s="113"/>
      <c r="J34" s="113"/>
      <c r="K34" s="113"/>
    </row>
    <row r="35" spans="1:19" x14ac:dyDescent="0.35">
      <c r="A35" s="180" t="s">
        <v>25</v>
      </c>
      <c r="B35" s="180" t="s">
        <v>28</v>
      </c>
      <c r="C35" s="213" t="s">
        <v>378</v>
      </c>
      <c r="D35" s="213"/>
      <c r="E35" s="213"/>
      <c r="F35" s="213" t="s">
        <v>336</v>
      </c>
      <c r="G35" s="213"/>
      <c r="H35" s="213"/>
      <c r="I35" s="113"/>
      <c r="J35" s="113"/>
      <c r="K35" s="113"/>
    </row>
    <row r="36" spans="1:19" s="17" customFormat="1" x14ac:dyDescent="0.35">
      <c r="A36" s="180" t="s">
        <v>27</v>
      </c>
      <c r="B36" s="180" t="s">
        <v>28</v>
      </c>
      <c r="C36" s="213" t="s">
        <v>340</v>
      </c>
      <c r="D36" s="213"/>
      <c r="E36" s="213"/>
      <c r="F36" s="213" t="s">
        <v>338</v>
      </c>
      <c r="G36" s="213"/>
      <c r="H36" s="213"/>
      <c r="I36" s="113"/>
      <c r="J36" s="113"/>
      <c r="K36" s="113"/>
    </row>
    <row r="37" spans="1:19" x14ac:dyDescent="0.35">
      <c r="A37" s="180" t="s">
        <v>26</v>
      </c>
      <c r="B37" s="180" t="s">
        <v>28</v>
      </c>
      <c r="C37" s="213" t="s">
        <v>341</v>
      </c>
      <c r="D37" s="213"/>
      <c r="E37" s="213"/>
      <c r="F37" s="213" t="s">
        <v>339</v>
      </c>
      <c r="G37" s="213"/>
      <c r="H37" s="213"/>
      <c r="I37" s="113"/>
      <c r="J37" s="113"/>
      <c r="K37" s="113"/>
    </row>
    <row r="38" spans="1:19" x14ac:dyDescent="0.35">
      <c r="A38" s="120" t="s">
        <v>275</v>
      </c>
      <c r="B38" s="120"/>
      <c r="C38" s="120"/>
      <c r="D38" s="120"/>
      <c r="E38" s="120"/>
      <c r="F38" s="120"/>
      <c r="G38" s="120"/>
      <c r="H38" s="120"/>
    </row>
    <row r="39" spans="1:19" ht="15.75" customHeight="1" x14ac:dyDescent="0.35">
      <c r="A39" s="120" t="s">
        <v>160</v>
      </c>
      <c r="B39" s="120"/>
      <c r="C39" s="174" t="s">
        <v>333</v>
      </c>
      <c r="D39" s="174"/>
      <c r="E39" s="174"/>
      <c r="F39" s="174"/>
      <c r="G39" s="174"/>
      <c r="H39" s="174"/>
    </row>
    <row r="40" spans="1:19" x14ac:dyDescent="0.35">
      <c r="A40" s="120" t="s">
        <v>156</v>
      </c>
      <c r="B40" s="120"/>
      <c r="C40" s="192" t="s">
        <v>334</v>
      </c>
      <c r="D40" s="98"/>
      <c r="E40" s="98"/>
      <c r="F40" s="98"/>
      <c r="G40" s="98"/>
      <c r="H40" s="98"/>
    </row>
    <row r="41" spans="1:19" x14ac:dyDescent="0.35">
      <c r="A41" s="174" t="s">
        <v>32</v>
      </c>
      <c r="B41" s="174"/>
      <c r="C41" s="174"/>
      <c r="D41" s="174"/>
      <c r="E41" s="174"/>
      <c r="F41" s="174"/>
      <c r="G41" s="174"/>
      <c r="H41" s="174"/>
    </row>
    <row r="42" spans="1:19" x14ac:dyDescent="0.35">
      <c r="A42" s="120" t="s">
        <v>33</v>
      </c>
      <c r="B42" s="120"/>
      <c r="C42" s="120"/>
      <c r="D42" s="120"/>
      <c r="E42" s="182">
        <v>29326.52</v>
      </c>
      <c r="F42" s="182"/>
      <c r="G42" s="182"/>
      <c r="H42" s="182"/>
    </row>
    <row r="43" spans="1:19" x14ac:dyDescent="0.35">
      <c r="A43" s="120" t="s">
        <v>34</v>
      </c>
      <c r="B43" s="120"/>
      <c r="C43" s="120"/>
      <c r="D43" s="120"/>
      <c r="E43" s="129">
        <v>1</v>
      </c>
      <c r="F43" s="129"/>
      <c r="G43" s="129"/>
      <c r="H43" s="129"/>
    </row>
    <row r="44" spans="1:19" x14ac:dyDescent="0.35">
      <c r="A44" s="120" t="s">
        <v>35</v>
      </c>
      <c r="B44" s="120"/>
      <c r="C44" s="120"/>
      <c r="D44" s="120"/>
      <c r="E44" s="129">
        <f>E46/E42-E43</f>
        <v>5.7318154353124706E-2</v>
      </c>
      <c r="F44" s="129"/>
      <c r="G44" s="129"/>
      <c r="H44" s="129"/>
    </row>
    <row r="45" spans="1:19" x14ac:dyDescent="0.35">
      <c r="A45" s="120" t="s">
        <v>36</v>
      </c>
      <c r="B45" s="120"/>
      <c r="C45" s="120"/>
      <c r="D45" s="120"/>
      <c r="E45" s="129">
        <f>E43+E44</f>
        <v>1.0573181543531247</v>
      </c>
      <c r="F45" s="129"/>
      <c r="G45" s="129"/>
      <c r="H45" s="129"/>
    </row>
    <row r="46" spans="1:19" x14ac:dyDescent="0.35">
      <c r="A46" s="120" t="s">
        <v>344</v>
      </c>
      <c r="B46" s="120"/>
      <c r="C46" s="120"/>
      <c r="D46" s="120"/>
      <c r="E46" s="185">
        <f>(27859.905+3147.557)</f>
        <v>31007.462</v>
      </c>
      <c r="F46" s="185"/>
      <c r="G46" s="185"/>
      <c r="H46" s="185"/>
      <c r="I46" s="63"/>
      <c r="M46" s="63">
        <f>17827.161+3160.516</f>
        <v>20987.677</v>
      </c>
    </row>
    <row r="47" spans="1:19" x14ac:dyDescent="0.35">
      <c r="A47" s="99" t="s">
        <v>37</v>
      </c>
      <c r="B47" s="99"/>
      <c r="C47" s="99"/>
      <c r="D47" s="99"/>
      <c r="E47" s="99" t="s">
        <v>343</v>
      </c>
      <c r="F47" s="99"/>
      <c r="G47" s="99"/>
      <c r="H47" s="99"/>
    </row>
    <row r="48" spans="1:19" x14ac:dyDescent="0.35">
      <c r="A48" s="174" t="s">
        <v>38</v>
      </c>
      <c r="B48" s="174"/>
      <c r="C48" s="174"/>
      <c r="D48" s="174"/>
      <c r="E48" s="174"/>
      <c r="F48" s="174"/>
      <c r="G48" s="174"/>
      <c r="H48" s="174"/>
    </row>
    <row r="49" spans="1:24" ht="33.75" customHeight="1" x14ac:dyDescent="0.35">
      <c r="A49" s="95" t="s">
        <v>145</v>
      </c>
      <c r="B49" s="94"/>
      <c r="C49" s="198" t="s">
        <v>266</v>
      </c>
      <c r="D49" s="199"/>
      <c r="E49" s="199"/>
      <c r="F49" s="199"/>
      <c r="G49" s="199"/>
      <c r="H49" s="200"/>
      <c r="R49" t="s">
        <v>248</v>
      </c>
      <c r="S49" t="s">
        <v>167</v>
      </c>
      <c r="T49" t="s">
        <v>173</v>
      </c>
      <c r="U49" t="s">
        <v>188</v>
      </c>
      <c r="V49" t="s">
        <v>183</v>
      </c>
    </row>
    <row r="50" spans="1:24" ht="32.25" customHeight="1" x14ac:dyDescent="0.35">
      <c r="A50" s="95" t="s">
        <v>39</v>
      </c>
      <c r="B50" s="94"/>
      <c r="C50" s="95" t="s">
        <v>345</v>
      </c>
      <c r="D50" s="106"/>
      <c r="E50" s="94"/>
      <c r="F50" s="15" t="s">
        <v>40</v>
      </c>
      <c r="G50" s="93">
        <v>44364</v>
      </c>
      <c r="H50" s="94"/>
      <c r="I50" s="111"/>
      <c r="J50" s="111"/>
      <c r="K50" s="111"/>
      <c r="L50" s="66"/>
      <c r="M50" s="114"/>
      <c r="N50" s="111"/>
      <c r="R50"/>
      <c r="S50" t="s">
        <v>249</v>
      </c>
      <c r="T50" t="s">
        <v>254</v>
      </c>
      <c r="U50" t="s">
        <v>265</v>
      </c>
      <c r="V50" t="s">
        <v>270</v>
      </c>
    </row>
    <row r="51" spans="1:24" ht="33" customHeight="1" x14ac:dyDescent="0.35">
      <c r="A51" s="95" t="s">
        <v>41</v>
      </c>
      <c r="B51" s="94"/>
      <c r="C51" s="95" t="str">
        <f>C50</f>
        <v>CIDCO/NAINA/Panvel/Mahodar/ /ACC/2021/0090</v>
      </c>
      <c r="D51" s="106"/>
      <c r="E51" s="94"/>
      <c r="F51" s="15" t="s">
        <v>40</v>
      </c>
      <c r="G51" s="93">
        <f>G50</f>
        <v>44364</v>
      </c>
      <c r="H51" s="94"/>
      <c r="R51"/>
      <c r="S51" t="s">
        <v>250</v>
      </c>
      <c r="T51" t="s">
        <v>255</v>
      </c>
      <c r="U51" t="s">
        <v>263</v>
      </c>
      <c r="V51" t="s">
        <v>271</v>
      </c>
    </row>
    <row r="52" spans="1:24" s="18" customFormat="1" ht="33" customHeight="1" x14ac:dyDescent="0.35">
      <c r="A52" s="107" t="s">
        <v>149</v>
      </c>
      <c r="B52" s="108"/>
      <c r="C52" s="95" t="s">
        <v>345</v>
      </c>
      <c r="D52" s="106"/>
      <c r="E52" s="94"/>
      <c r="F52" s="15" t="s">
        <v>40</v>
      </c>
      <c r="G52" s="93">
        <v>44364</v>
      </c>
      <c r="H52" s="94"/>
      <c r="I52" s="111"/>
      <c r="J52" s="111"/>
      <c r="K52" s="111"/>
      <c r="L52" s="66"/>
      <c r="M52" s="114"/>
      <c r="N52" s="111"/>
      <c r="R52"/>
      <c r="S52" t="s">
        <v>251</v>
      </c>
      <c r="T52" t="s">
        <v>256</v>
      </c>
      <c r="U52" t="s">
        <v>253</v>
      </c>
      <c r="V52" t="s">
        <v>272</v>
      </c>
    </row>
    <row r="53" spans="1:24" s="18" customFormat="1" ht="31.5" customHeight="1" x14ac:dyDescent="0.35">
      <c r="A53" s="109"/>
      <c r="B53" s="110"/>
      <c r="C53" s="95" t="s">
        <v>348</v>
      </c>
      <c r="D53" s="106"/>
      <c r="E53" s="106"/>
      <c r="F53" s="106"/>
      <c r="G53" s="106"/>
      <c r="H53" s="94"/>
      <c r="I53" s="111"/>
      <c r="J53" s="111"/>
      <c r="K53" s="111"/>
      <c r="L53" s="111"/>
      <c r="M53" s="111"/>
      <c r="N53" s="111"/>
      <c r="R53"/>
      <c r="S53" t="s">
        <v>252</v>
      </c>
      <c r="T53" t="s">
        <v>259</v>
      </c>
      <c r="U53" t="s">
        <v>266</v>
      </c>
    </row>
    <row r="54" spans="1:24" s="18" customFormat="1" hidden="1" x14ac:dyDescent="0.35">
      <c r="A54" s="102" t="s">
        <v>276</v>
      </c>
      <c r="B54" s="103"/>
      <c r="C54" s="95" t="str">
        <f>C53</f>
        <v>Total BUA of Proposal 20987.677 Sq.M
Total No of Residential Units = 527 [452(Sale) + 75(EWS)]</v>
      </c>
      <c r="D54" s="106"/>
      <c r="E54" s="94"/>
      <c r="F54" s="15" t="s">
        <v>40</v>
      </c>
      <c r="G54" s="95"/>
      <c r="H54" s="94"/>
      <c r="R54"/>
      <c r="S54" t="s">
        <v>251</v>
      </c>
      <c r="T54" t="s">
        <v>256</v>
      </c>
      <c r="U54" t="s">
        <v>253</v>
      </c>
      <c r="V54" t="s">
        <v>272</v>
      </c>
    </row>
    <row r="55" spans="1:24" s="18" customFormat="1" ht="32.25" hidden="1" customHeight="1" x14ac:dyDescent="0.35">
      <c r="A55" s="104"/>
      <c r="B55" s="105"/>
      <c r="C55" s="195"/>
      <c r="D55" s="196"/>
      <c r="E55" s="196"/>
      <c r="F55" s="196"/>
      <c r="G55" s="196"/>
      <c r="H55" s="197"/>
      <c r="R55"/>
      <c r="S55" t="s">
        <v>253</v>
      </c>
      <c r="T55" t="s">
        <v>257</v>
      </c>
      <c r="U55" t="s">
        <v>267</v>
      </c>
      <c r="V55" s="16"/>
      <c r="W55" s="16"/>
      <c r="X55" s="16"/>
    </row>
    <row r="56" spans="1:24" s="18" customFormat="1" ht="34.5" hidden="1" customHeight="1" x14ac:dyDescent="0.35">
      <c r="A56" s="102" t="s">
        <v>277</v>
      </c>
      <c r="B56" s="103"/>
      <c r="C56" s="95">
        <f>C55</f>
        <v>0</v>
      </c>
      <c r="D56" s="106"/>
      <c r="E56" s="94"/>
      <c r="F56" s="15" t="s">
        <v>40</v>
      </c>
      <c r="G56" s="95">
        <f>G55</f>
        <v>0</v>
      </c>
      <c r="H56" s="94"/>
      <c r="R56"/>
      <c r="S56" s="16"/>
      <c r="T56" t="s">
        <v>258</v>
      </c>
      <c r="U56" t="s">
        <v>268</v>
      </c>
      <c r="V56" s="16"/>
      <c r="W56" s="16"/>
      <c r="X56" s="16"/>
    </row>
    <row r="57" spans="1:24" s="18" customFormat="1" ht="41.25" hidden="1" customHeight="1" x14ac:dyDescent="0.35">
      <c r="A57" s="104"/>
      <c r="B57" s="105"/>
      <c r="C57" s="95"/>
      <c r="D57" s="106"/>
      <c r="E57" s="106"/>
      <c r="F57" s="106"/>
      <c r="G57" s="106"/>
      <c r="H57" s="94"/>
      <c r="R57"/>
      <c r="S57" s="16"/>
      <c r="T57" t="s">
        <v>260</v>
      </c>
      <c r="U57" t="s">
        <v>269</v>
      </c>
      <c r="V57" s="16"/>
      <c r="W57" s="16"/>
      <c r="X57" s="16"/>
    </row>
    <row r="58" spans="1:24" s="18" customFormat="1" ht="15.75" hidden="1" customHeight="1" x14ac:dyDescent="0.35">
      <c r="A58" s="102" t="s">
        <v>278</v>
      </c>
      <c r="B58" s="103"/>
      <c r="C58" s="95">
        <f>C57</f>
        <v>0</v>
      </c>
      <c r="D58" s="106"/>
      <c r="E58" s="94"/>
      <c r="F58" s="15" t="s">
        <v>40</v>
      </c>
      <c r="G58" s="95">
        <f>G57</f>
        <v>0</v>
      </c>
      <c r="H58" s="94"/>
      <c r="R58"/>
      <c r="S58" s="16"/>
      <c r="T58" t="s">
        <v>261</v>
      </c>
      <c r="U58" s="16" t="s">
        <v>292</v>
      </c>
      <c r="V58" s="16"/>
      <c r="W58" s="16"/>
      <c r="X58" s="16"/>
    </row>
    <row r="59" spans="1:24" s="18" customFormat="1" ht="33.75" hidden="1" customHeight="1" x14ac:dyDescent="0.35">
      <c r="A59" s="104"/>
      <c r="B59" s="105"/>
      <c r="C59" s="95"/>
      <c r="D59" s="106"/>
      <c r="E59" s="106"/>
      <c r="F59" s="106"/>
      <c r="G59" s="106"/>
      <c r="H59" s="94"/>
      <c r="R59"/>
      <c r="S59" s="16"/>
      <c r="T59" t="s">
        <v>262</v>
      </c>
      <c r="U59" s="16"/>
      <c r="V59" s="16"/>
      <c r="W59" s="16"/>
      <c r="X59" s="16"/>
    </row>
    <row r="60" spans="1:24" x14ac:dyDescent="0.35">
      <c r="A60" s="123" t="s">
        <v>42</v>
      </c>
      <c r="B60" s="124"/>
      <c r="C60" s="123" t="s">
        <v>99</v>
      </c>
      <c r="D60" s="125"/>
      <c r="E60" s="124"/>
      <c r="F60" s="78" t="s">
        <v>40</v>
      </c>
      <c r="G60" s="100" t="s">
        <v>28</v>
      </c>
      <c r="H60" s="101"/>
      <c r="R60"/>
      <c r="T60" t="s">
        <v>264</v>
      </c>
    </row>
    <row r="61" spans="1:24" x14ac:dyDescent="0.35">
      <c r="A61" s="96" t="s">
        <v>44</v>
      </c>
      <c r="B61" s="96"/>
      <c r="C61" s="96"/>
      <c r="D61" s="96"/>
      <c r="E61" s="96"/>
      <c r="F61" s="96"/>
      <c r="G61" s="96"/>
      <c r="H61" s="96"/>
      <c r="T61" t="s">
        <v>273</v>
      </c>
    </row>
    <row r="62" spans="1:24" ht="32.25" customHeight="1" x14ac:dyDescent="0.35">
      <c r="A62" s="97" t="s">
        <v>376</v>
      </c>
      <c r="B62" s="97"/>
      <c r="C62" s="97"/>
      <c r="D62" s="120">
        <f>(2708.637+(502.552+3160.516)+1665.453*2)</f>
        <v>9702.6110000000008</v>
      </c>
      <c r="E62" s="120"/>
      <c r="F62" s="120"/>
      <c r="G62" s="120"/>
      <c r="H62" s="120"/>
      <c r="R62"/>
    </row>
    <row r="63" spans="1:24" x14ac:dyDescent="0.35">
      <c r="A63" s="98" t="s">
        <v>45</v>
      </c>
      <c r="B63" s="99"/>
      <c r="C63" s="99"/>
      <c r="D63" s="99" t="s">
        <v>375</v>
      </c>
      <c r="E63" s="99"/>
      <c r="F63" s="99"/>
      <c r="G63" s="99"/>
      <c r="H63" s="99"/>
      <c r="I63" s="19"/>
      <c r="R63"/>
    </row>
    <row r="64" spans="1:24" x14ac:dyDescent="0.35">
      <c r="A64" s="89" t="s">
        <v>46</v>
      </c>
      <c r="B64" s="90"/>
      <c r="C64" s="190"/>
      <c r="D64" s="91" t="s">
        <v>346</v>
      </c>
      <c r="E64" s="92"/>
      <c r="F64" s="92"/>
      <c r="G64" s="92"/>
      <c r="H64" s="92"/>
      <c r="R64"/>
    </row>
    <row r="65" spans="1:19" ht="15.75" customHeight="1" x14ac:dyDescent="0.35">
      <c r="A65" s="89" t="s">
        <v>84</v>
      </c>
      <c r="B65" s="90"/>
      <c r="C65" s="90"/>
      <c r="D65" s="91" t="s">
        <v>346</v>
      </c>
      <c r="E65" s="92"/>
      <c r="F65" s="92"/>
      <c r="G65" s="92"/>
      <c r="H65" s="92"/>
      <c r="R65"/>
    </row>
    <row r="66" spans="1:19" ht="15.75" customHeight="1" x14ac:dyDescent="0.35">
      <c r="A66" s="120" t="s">
        <v>43</v>
      </c>
      <c r="B66" s="120"/>
      <c r="C66" s="120"/>
      <c r="D66" s="97" t="s">
        <v>347</v>
      </c>
      <c r="E66" s="97"/>
      <c r="F66" s="97"/>
      <c r="G66" s="97"/>
      <c r="H66" s="97"/>
      <c r="J66" s="20"/>
      <c r="K66" s="19"/>
      <c r="N66" s="19"/>
      <c r="S66"/>
    </row>
    <row r="67" spans="1:19" ht="15.75" customHeight="1" x14ac:dyDescent="0.35">
      <c r="A67" s="120" t="s">
        <v>82</v>
      </c>
      <c r="B67" s="120"/>
      <c r="C67" s="120"/>
      <c r="D67" s="184" t="str">
        <f>(IF(G60="NA","60 Years After Completion",IF(G60&lt;&gt;"NA",""&amp;60-ROUNDDOWN((E3-G60)/360,0)&amp;" Years"," ")))</f>
        <v>60 Years After Completion</v>
      </c>
      <c r="E67" s="184"/>
      <c r="F67" s="184"/>
      <c r="G67" s="184"/>
      <c r="H67" s="184"/>
      <c r="N67" s="19"/>
      <c r="S67"/>
    </row>
    <row r="68" spans="1:19" ht="15.75" customHeight="1" x14ac:dyDescent="0.35">
      <c r="A68" s="120" t="s">
        <v>83</v>
      </c>
      <c r="B68" s="120"/>
      <c r="C68" s="120"/>
      <c r="D68" s="97" t="s">
        <v>23</v>
      </c>
      <c r="E68" s="97"/>
      <c r="F68" s="97"/>
      <c r="G68" s="97"/>
      <c r="H68" s="97"/>
      <c r="J68" s="21"/>
      <c r="K68" s="21"/>
      <c r="S68"/>
    </row>
    <row r="69" spans="1:19" ht="51" customHeight="1" x14ac:dyDescent="0.35">
      <c r="A69" s="99" t="s">
        <v>349</v>
      </c>
      <c r="B69" s="99"/>
      <c r="C69" s="99"/>
      <c r="D69" s="98" t="s">
        <v>380</v>
      </c>
      <c r="E69" s="98"/>
      <c r="F69" s="98"/>
      <c r="G69" s="98"/>
      <c r="H69" s="98"/>
      <c r="I69" s="64" t="s">
        <v>350</v>
      </c>
      <c r="S69"/>
    </row>
    <row r="70" spans="1:19" x14ac:dyDescent="0.35">
      <c r="A70" s="97" t="s">
        <v>142</v>
      </c>
      <c r="B70" s="97"/>
      <c r="C70" s="97"/>
      <c r="D70" s="97" t="s">
        <v>28</v>
      </c>
      <c r="E70" s="97"/>
      <c r="F70" s="97"/>
      <c r="G70" s="97"/>
      <c r="H70" s="97"/>
      <c r="I70" s="22"/>
      <c r="J70" s="22"/>
      <c r="K70" s="22"/>
      <c r="L70" s="22"/>
      <c r="M70" s="22"/>
      <c r="N70" s="22"/>
    </row>
    <row r="71" spans="1:19" ht="15.75" customHeight="1" x14ac:dyDescent="0.35">
      <c r="A71" s="120" t="s">
        <v>81</v>
      </c>
      <c r="B71" s="120"/>
      <c r="C71" s="120"/>
      <c r="D71" s="98" t="str">
        <f ca="1">(IF(G77&gt;95%,"Nothing",IF(G77&gt;0%,"Cement, Aggregate, Steel, etc",IF(G77=0%,"Work not yet Started"))))</f>
        <v>Cement, Aggregate, Steel, etc</v>
      </c>
      <c r="E71" s="98"/>
      <c r="F71" s="98"/>
      <c r="G71" s="98"/>
      <c r="H71" s="98"/>
      <c r="J71" s="21"/>
      <c r="S71"/>
    </row>
    <row r="72" spans="1:19" ht="33.75" customHeight="1" thickBot="1" x14ac:dyDescent="0.4">
      <c r="A72" s="97" t="s">
        <v>112</v>
      </c>
      <c r="B72" s="97"/>
      <c r="C72" s="97"/>
      <c r="D72" s="98" t="str">
        <f ca="1">(IF(D71="Nothing","Yes",IF(D71="Cement, Aggregate, Steel, etc","Under Construction",IF(D71="Work not yet Started","Work not yet Started"))))</f>
        <v>Under Construction</v>
      </c>
      <c r="E72" s="98"/>
      <c r="F72" s="98" t="str">
        <f ca="1">(IF(D71="Nothing","Yes",IF(D71="Cement, Aggregate, Steel, etc","Under Construction",IF(D71="Work not yet Started","Work not yet Started"))))</f>
        <v>Under Construction</v>
      </c>
      <c r="G72" s="98"/>
      <c r="H72" s="98"/>
      <c r="S72"/>
    </row>
    <row r="73" spans="1:19" ht="15.75" customHeight="1" x14ac:dyDescent="0.35">
      <c r="A73" s="191" t="s">
        <v>134</v>
      </c>
      <c r="B73" s="191"/>
      <c r="C73" s="191" t="s">
        <v>384</v>
      </c>
      <c r="D73" s="191"/>
      <c r="E73" s="191"/>
      <c r="F73" s="191"/>
      <c r="G73" s="191"/>
      <c r="H73" s="191"/>
      <c r="I73" s="83" t="str">
        <f ca="1">IF(D86=100%,"All work Completed. Possession granted to the Building.",IF(D85=100%,"All work Completed, Waiting for OC",I74&amp;""&amp;I75&amp;""&amp;J74&amp;""&amp;J73&amp;" "&amp;J75))</f>
        <v xml:space="preserve">Excavation, Plinth, RCC Slab, Brickwork, Internal Plaster Completed </v>
      </c>
      <c r="J73" s="37"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39" t="s">
        <v>136</v>
      </c>
      <c r="B74" s="39">
        <f>IF(AND(ISNUMBER(SEARCH("1B",C73))),1,IF(AND(ISNUMBER(SEARCH("2B",C73))),2,IF(AND(ISNUMBER(SEARCH("3B",C73))),3,IF(AND(ISNUMBER(SEARCH("4B",C73))),4,IF(ISNUMBER(SEARCH("5B",C73)),5,0)))))</f>
        <v>0</v>
      </c>
      <c r="C74" s="39" t="s">
        <v>67</v>
      </c>
      <c r="D74" s="39">
        <v>1</v>
      </c>
      <c r="E74" s="39" t="s">
        <v>66</v>
      </c>
      <c r="F74" s="39">
        <v>0</v>
      </c>
      <c r="G74" s="39" t="s">
        <v>75</v>
      </c>
      <c r="H74" s="39">
        <f ca="1">--TRIM(RIGHT(SUBSTITUTE(LEFT(C73,_xlfn.AGGREGATE(16,6,FIND({0,1,2,3,4,5,6,7,8,9},C73,ROW(INDIRECT("1:"&amp;LEN(C73)))),1))," ",REPT(" ",LEN(C73))),LEN(C73)))</f>
        <v>7</v>
      </c>
      <c r="I74" s="84"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38"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77" t="s">
        <v>85</v>
      </c>
      <c r="B75" s="177"/>
      <c r="C75" s="191" t="str">
        <f ca="1">I73</f>
        <v xml:space="preserve">Excavation, Plinth, RCC Slab, Brickwork, Internal Plaster Completed </v>
      </c>
      <c r="D75" s="191"/>
      <c r="E75" s="191"/>
      <c r="F75" s="191"/>
      <c r="G75" s="191"/>
      <c r="H75" s="191"/>
      <c r="I75" s="84" t="str">
        <f ca="1">IF(I74&lt;&gt;""," Completed","")</f>
        <v xml:space="preserve"> Completed</v>
      </c>
      <c r="J75" s="38" t="str">
        <f ca="1">IF(J73&lt;&gt;"","Completed","")</f>
        <v/>
      </c>
      <c r="S75"/>
    </row>
    <row r="76" spans="1:19" ht="15.75" customHeight="1" x14ac:dyDescent="0.35">
      <c r="A76" s="135" t="s">
        <v>47</v>
      </c>
      <c r="B76" s="135"/>
      <c r="C76" s="88" t="s">
        <v>133</v>
      </c>
      <c r="D76" s="88" t="s">
        <v>78</v>
      </c>
      <c r="E76" s="135" t="s">
        <v>80</v>
      </c>
      <c r="F76" s="135"/>
      <c r="G76" s="135" t="s">
        <v>79</v>
      </c>
      <c r="H76" s="135"/>
      <c r="I76" s="13" t="s">
        <v>135</v>
      </c>
      <c r="J76" s="23">
        <f ca="1">H74*25%</f>
        <v>1.75</v>
      </c>
      <c r="S76"/>
    </row>
    <row r="77" spans="1:19" x14ac:dyDescent="0.35">
      <c r="A77" s="135" t="s">
        <v>122</v>
      </c>
      <c r="B77" s="135"/>
      <c r="C77" s="75">
        <f ca="1">J78</f>
        <v>7</v>
      </c>
      <c r="D77" s="67">
        <f ca="1">((100/H74)*C77)/100</f>
        <v>1</v>
      </c>
      <c r="E77" s="165">
        <f ca="1">(((C78/H74*10)+(40/(D74+F74+H74)*C79)+(7.5/(H74)*C80)+(7.5/(H74)*C81)+(10/H74*C82)+(10/H74*C83)+(5/H74*C84)+(5/H74*C85)+(5/H74*C86))/100)</f>
        <v>0.65</v>
      </c>
      <c r="F77" s="166"/>
      <c r="G77" s="165">
        <f ca="1">((((C77/H74)*20)+((C78/H74)*25)+(30/(H74+F74+D74)*C79)+(5/H74*C80)+(5/H74*C81)+(5/H74*C82)+(5/H74*C83)+(0/H74*C84)+(0/H74*C85)+(5/H74*C86))/100)</f>
        <v>0.85</v>
      </c>
      <c r="H77" s="166"/>
      <c r="I77" s="13" t="s">
        <v>94</v>
      </c>
      <c r="J77" s="24">
        <f ca="1">H74*50%</f>
        <v>3.5</v>
      </c>
    </row>
    <row r="78" spans="1:19" x14ac:dyDescent="0.35">
      <c r="A78" s="135" t="s">
        <v>48</v>
      </c>
      <c r="B78" s="135"/>
      <c r="C78" s="75">
        <f ca="1">J86</f>
        <v>7</v>
      </c>
      <c r="D78" s="67">
        <f ca="1">((100/H74)*C78)/100</f>
        <v>1</v>
      </c>
      <c r="E78" s="167"/>
      <c r="F78" s="168"/>
      <c r="G78" s="167"/>
      <c r="H78" s="168"/>
      <c r="I78" s="13" t="s">
        <v>95</v>
      </c>
      <c r="J78" s="24">
        <f ca="1">H74</f>
        <v>7</v>
      </c>
      <c r="S78"/>
    </row>
    <row r="79" spans="1:19" ht="15.75" customHeight="1" x14ac:dyDescent="0.35">
      <c r="A79" s="135" t="s">
        <v>123</v>
      </c>
      <c r="B79" s="135"/>
      <c r="C79" s="75">
        <v>8</v>
      </c>
      <c r="D79" s="67">
        <f ca="1">((100/(D74+F74+H74))*C79)/100</f>
        <v>1</v>
      </c>
      <c r="E79" s="167"/>
      <c r="F79" s="168"/>
      <c r="G79" s="167"/>
      <c r="H79" s="168"/>
      <c r="I79" s="13" t="s">
        <v>96</v>
      </c>
      <c r="J79" s="25">
        <f ca="1">(IF(B74&gt;1,(H74/(B74+2)),H74/4))</f>
        <v>1.75</v>
      </c>
      <c r="S79"/>
    </row>
    <row r="80" spans="1:19" ht="15.75" customHeight="1" x14ac:dyDescent="0.35">
      <c r="A80" s="135" t="s">
        <v>130</v>
      </c>
      <c r="B80" s="135" t="s">
        <v>124</v>
      </c>
      <c r="C80" s="75">
        <v>7</v>
      </c>
      <c r="D80" s="67">
        <f ca="1">((100/H74)*C80)/100</f>
        <v>1</v>
      </c>
      <c r="E80" s="167"/>
      <c r="F80" s="168"/>
      <c r="G80" s="167"/>
      <c r="H80" s="168"/>
      <c r="I80" s="13" t="s">
        <v>97</v>
      </c>
      <c r="J80" s="25">
        <f ca="1">(IF(B74&gt;1,(H74/(B74+2)+J79),H74/4+J79))</f>
        <v>3.5</v>
      </c>
    </row>
    <row r="81" spans="1:10" ht="15.75" customHeight="1" x14ac:dyDescent="0.35">
      <c r="A81" s="135" t="s">
        <v>131</v>
      </c>
      <c r="B81" s="135" t="s">
        <v>124</v>
      </c>
      <c r="C81" s="75">
        <v>7</v>
      </c>
      <c r="D81" s="67">
        <f ca="1">((100/H74)*C81)/100</f>
        <v>1</v>
      </c>
      <c r="E81" s="167"/>
      <c r="F81" s="168"/>
      <c r="G81" s="167"/>
      <c r="H81" s="168"/>
      <c r="I81" s="13" t="s">
        <v>140</v>
      </c>
      <c r="J81" s="25">
        <f>(IF(B74&gt;1,(H74/(B74+2)+J80),0))</f>
        <v>0</v>
      </c>
    </row>
    <row r="82" spans="1:10" ht="15" customHeight="1" x14ac:dyDescent="0.35">
      <c r="A82" s="135" t="s">
        <v>129</v>
      </c>
      <c r="B82" s="135" t="s">
        <v>126</v>
      </c>
      <c r="C82" s="75">
        <v>0</v>
      </c>
      <c r="D82" s="67">
        <f ca="1">((100/(H74))*C82)/100</f>
        <v>0</v>
      </c>
      <c r="E82" s="167"/>
      <c r="F82" s="168"/>
      <c r="G82" s="167"/>
      <c r="H82" s="168"/>
      <c r="I82" s="13" t="s">
        <v>137</v>
      </c>
      <c r="J82" s="25">
        <f>(IF(B74&gt;2,(H74/(B74+2)+J81),0))</f>
        <v>0</v>
      </c>
    </row>
    <row r="83" spans="1:10" ht="15.75" customHeight="1" x14ac:dyDescent="0.35">
      <c r="A83" s="135" t="s">
        <v>125</v>
      </c>
      <c r="B83" s="135" t="s">
        <v>125</v>
      </c>
      <c r="C83" s="75">
        <v>0</v>
      </c>
      <c r="D83" s="67">
        <f ca="1">((100/H74)*C83)/100</f>
        <v>0</v>
      </c>
      <c r="E83" s="167"/>
      <c r="F83" s="168"/>
      <c r="G83" s="167"/>
      <c r="H83" s="168"/>
      <c r="I83" s="13" t="s">
        <v>138</v>
      </c>
      <c r="J83" s="26">
        <f>(IF(B74&gt;3,(H74/(B74+2)+J82),0))</f>
        <v>0</v>
      </c>
    </row>
    <row r="84" spans="1:10" ht="15.75" customHeight="1" x14ac:dyDescent="0.35">
      <c r="A84" s="135" t="s">
        <v>132</v>
      </c>
      <c r="B84" s="135"/>
      <c r="C84" s="75">
        <v>0</v>
      </c>
      <c r="D84" s="67">
        <f ca="1">((100/H74)*C84)/100</f>
        <v>0</v>
      </c>
      <c r="E84" s="167"/>
      <c r="F84" s="168"/>
      <c r="G84" s="167"/>
      <c r="H84" s="168"/>
      <c r="I84" s="13" t="s">
        <v>139</v>
      </c>
      <c r="J84" s="25">
        <f>(IF(B74&gt;4,(H74/(B74+2)+J83),0))</f>
        <v>0</v>
      </c>
    </row>
    <row r="85" spans="1:10" ht="15.75" customHeight="1" x14ac:dyDescent="0.35">
      <c r="A85" s="135" t="s">
        <v>127</v>
      </c>
      <c r="B85" s="135" t="s">
        <v>127</v>
      </c>
      <c r="C85" s="75">
        <v>0</v>
      </c>
      <c r="D85" s="67">
        <f ca="1">((100/(H74))*C85)/100</f>
        <v>0</v>
      </c>
      <c r="E85" s="167"/>
      <c r="F85" s="168"/>
      <c r="G85" s="167"/>
      <c r="H85" s="168"/>
      <c r="I85" s="13" t="s">
        <v>141</v>
      </c>
      <c r="J85" s="25">
        <f ca="1">(IF(B74=1,(H74/(B74+3)+J80),IF(B74=0,(H74/4+J80),IF(B74&gt;1,0))))</f>
        <v>5.25</v>
      </c>
    </row>
    <row r="86" spans="1:10" ht="16" thickBot="1" x14ac:dyDescent="0.4">
      <c r="A86" s="183" t="s">
        <v>128</v>
      </c>
      <c r="B86" s="183"/>
      <c r="C86" s="77">
        <v>0</v>
      </c>
      <c r="D86" s="68">
        <f ca="1">((100/(H74))*C86)/100</f>
        <v>0</v>
      </c>
      <c r="E86" s="169"/>
      <c r="F86" s="170"/>
      <c r="G86" s="169"/>
      <c r="H86" s="170"/>
      <c r="I86" s="14" t="s">
        <v>98</v>
      </c>
      <c r="J86" s="27">
        <f ca="1">(IF(B74&gt;1.5,(H74/(B74+2)+J80+MAX(0,J81-J80)+MAX(0,J82-J81)+MAX(0,J83-J82)+MAX(0,J84-J83)+MAX(0,J85-J84)),IF(B74=1,(H74/(B74+3)+J85),IF(B74=0,H74/4+J85))))</f>
        <v>7</v>
      </c>
    </row>
    <row r="87" spans="1:10" ht="15.75" customHeight="1" x14ac:dyDescent="0.35">
      <c r="A87" s="130" t="s">
        <v>134</v>
      </c>
      <c r="B87" s="131"/>
      <c r="C87" s="132" t="s">
        <v>364</v>
      </c>
      <c r="D87" s="133"/>
      <c r="E87" s="133"/>
      <c r="F87" s="133"/>
      <c r="G87" s="133"/>
      <c r="H87" s="134"/>
      <c r="I87" s="83" t="str">
        <f ca="1">IF(D100=100%,"All work Completed. Possession granted to the Building.",IF(D99=100%,"All work Completed, Waiting for OC",I88&amp;""&amp;I89&amp;""&amp;J88&amp;""&amp;J87&amp;" "&amp;J89))</f>
        <v xml:space="preserve">Excavation, Plinth, RCC Slab, Brickwork, Internal Plaster Completed </v>
      </c>
      <c r="J87" s="37"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row>
    <row r="88" spans="1:10" x14ac:dyDescent="0.35">
      <c r="A88" s="39" t="s">
        <v>136</v>
      </c>
      <c r="B88" s="39">
        <f>IF(AND(ISNUMBER(SEARCH("1B",C87))),1,IF(AND(ISNUMBER(SEARCH("2B",C87))),2,IF(AND(ISNUMBER(SEARCH("3B",C87))),3,IF(AND(ISNUMBER(SEARCH("4B",C87))),4,IF(ISNUMBER(SEARCH("5B",C87)),5,0)))))</f>
        <v>0</v>
      </c>
      <c r="C88" s="39" t="s">
        <v>67</v>
      </c>
      <c r="D88" s="39">
        <v>1</v>
      </c>
      <c r="E88" s="39" t="s">
        <v>66</v>
      </c>
      <c r="F88" s="39">
        <v>0</v>
      </c>
      <c r="G88" s="39" t="s">
        <v>75</v>
      </c>
      <c r="H88" s="39">
        <f ca="1">--TRIM(RIGHT(SUBSTITUTE(LEFT(C87,_xlfn.AGGREGATE(16,6,FIND({0,1,2,3,4,5,6,7,8,9},C87,ROW(INDIRECT("1:"&amp;LEN(C87)))),1))," ",REPT(" ",LEN(C87))),LEN(C87)))</f>
        <v>7</v>
      </c>
      <c r="I88" s="84" t="str">
        <f ca="1">IF(D91=100%,"Excavation","")&amp;IF(D92=100%,", Plinth","")&amp;IF(D93=100%,", RCC Slab","")&amp;IF(D94=100%,", Brickwork","")&amp;IF(D95=100%,", Internal Plaster","")&amp;IF(D96=100%,", External Plaster","")&amp;IF(D97=100%,", Flooring","")&amp;IF(D98=100%,", Painting","")&amp;IF(D99=100%,", Building common Amenities","")</f>
        <v>Excavation, Plinth, RCC Slab, Brickwork, Internal Plaster</v>
      </c>
      <c r="J88" s="38"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row>
    <row r="89" spans="1:10" x14ac:dyDescent="0.35">
      <c r="A89" s="177" t="s">
        <v>85</v>
      </c>
      <c r="B89" s="177"/>
      <c r="C89" s="191" t="str">
        <f ca="1">(IF($G$60="NA",I87,"All work Completed. OC Received."))</f>
        <v xml:space="preserve">Excavation, Plinth, RCC Slab, Brickwork, Internal Plaster Completed </v>
      </c>
      <c r="D89" s="191"/>
      <c r="E89" s="191"/>
      <c r="F89" s="191"/>
      <c r="G89" s="191"/>
      <c r="H89" s="191"/>
      <c r="I89" s="84" t="str">
        <f ca="1">IF(I88&lt;&gt;""," Completed","")</f>
        <v xml:space="preserve"> Completed</v>
      </c>
      <c r="J89" s="38" t="str">
        <f ca="1">IF(J87&lt;&gt;"","Completed","")</f>
        <v/>
      </c>
    </row>
    <row r="90" spans="1:10" ht="15.75" customHeight="1" x14ac:dyDescent="0.35">
      <c r="A90" s="141" t="s">
        <v>47</v>
      </c>
      <c r="B90" s="141"/>
      <c r="C90" s="75" t="s">
        <v>133</v>
      </c>
      <c r="D90" s="75" t="s">
        <v>78</v>
      </c>
      <c r="E90" s="135" t="s">
        <v>80</v>
      </c>
      <c r="F90" s="135"/>
      <c r="G90" s="135" t="s">
        <v>79</v>
      </c>
      <c r="H90" s="135"/>
      <c r="I90" s="13" t="s">
        <v>135</v>
      </c>
      <c r="J90" s="23">
        <f ca="1">H88*25%</f>
        <v>1.75</v>
      </c>
    </row>
    <row r="91" spans="1:10" x14ac:dyDescent="0.35">
      <c r="A91" s="141" t="s">
        <v>122</v>
      </c>
      <c r="B91" s="141"/>
      <c r="C91" s="75">
        <f ca="1">J92</f>
        <v>7</v>
      </c>
      <c r="D91" s="67">
        <f ca="1">((100/H88)*C91)/100</f>
        <v>1</v>
      </c>
      <c r="E91" s="165">
        <f ca="1">(((C92/H88*10)+(40/(D88+F88+H88)*C93)+(7.5/(H88)*C94)+(7.5/(H88)*C95)+(10/H88*C96)+(10/H88*C97)+(5/H88*C98)+(5/H88*C99)+(5/H88*C100))/100)</f>
        <v>0.65</v>
      </c>
      <c r="F91" s="166"/>
      <c r="G91" s="165">
        <f ca="1">((((C91/H88)*20)+((C92/H88)*25)+(30/(H88+F88+D88)*C93)+(5/H88*C94)+(5/H88*C95)+(5/H88*C96)+(5/H88*C97)+(0/H88*C98)+(0/H88*C99)+(5/H88*C100))/100)</f>
        <v>0.85</v>
      </c>
      <c r="H91" s="166"/>
      <c r="I91" s="13" t="s">
        <v>94</v>
      </c>
      <c r="J91" s="24">
        <f ca="1">H88*50%</f>
        <v>3.5</v>
      </c>
    </row>
    <row r="92" spans="1:10" x14ac:dyDescent="0.35">
      <c r="A92" s="141" t="s">
        <v>48</v>
      </c>
      <c r="B92" s="141"/>
      <c r="C92" s="69">
        <v>7</v>
      </c>
      <c r="D92" s="67">
        <f ca="1">((100/H88)*C92)/100</f>
        <v>1</v>
      </c>
      <c r="E92" s="167"/>
      <c r="F92" s="168"/>
      <c r="G92" s="167"/>
      <c r="H92" s="168"/>
      <c r="I92" s="13" t="s">
        <v>95</v>
      </c>
      <c r="J92" s="24">
        <f ca="1">H88</f>
        <v>7</v>
      </c>
    </row>
    <row r="93" spans="1:10" ht="15.75" customHeight="1" x14ac:dyDescent="0.35">
      <c r="A93" s="141" t="s">
        <v>123</v>
      </c>
      <c r="B93" s="141"/>
      <c r="C93" s="75">
        <v>8</v>
      </c>
      <c r="D93" s="67">
        <f ca="1">((100/(D88+F88+H88))*C93)/100</f>
        <v>1</v>
      </c>
      <c r="E93" s="167"/>
      <c r="F93" s="168"/>
      <c r="G93" s="167"/>
      <c r="H93" s="168"/>
      <c r="I93" s="13" t="s">
        <v>96</v>
      </c>
      <c r="J93" s="25">
        <f ca="1">(IF(B88&gt;1,(H88/(B88+2)),H88/4))</f>
        <v>1.75</v>
      </c>
    </row>
    <row r="94" spans="1:10" ht="15.75" customHeight="1" x14ac:dyDescent="0.35">
      <c r="A94" s="141" t="s">
        <v>130</v>
      </c>
      <c r="B94" s="141" t="s">
        <v>124</v>
      </c>
      <c r="C94" s="75">
        <v>7</v>
      </c>
      <c r="D94" s="67">
        <f ca="1">((100/H88)*C94)/100</f>
        <v>1</v>
      </c>
      <c r="E94" s="167"/>
      <c r="F94" s="168"/>
      <c r="G94" s="167"/>
      <c r="H94" s="168"/>
      <c r="I94" s="13" t="s">
        <v>97</v>
      </c>
      <c r="J94" s="25">
        <f ca="1">(IF(B88&gt;1,(H88/(B88+2)+J93),H88/4+J93))</f>
        <v>3.5</v>
      </c>
    </row>
    <row r="95" spans="1:10" ht="15.75" customHeight="1" x14ac:dyDescent="0.35">
      <c r="A95" s="141" t="s">
        <v>131</v>
      </c>
      <c r="B95" s="141" t="s">
        <v>124</v>
      </c>
      <c r="C95" s="75">
        <v>7</v>
      </c>
      <c r="D95" s="67">
        <f ca="1">((100/H88)*C95)/100</f>
        <v>1</v>
      </c>
      <c r="E95" s="167"/>
      <c r="F95" s="168"/>
      <c r="G95" s="167"/>
      <c r="H95" s="168"/>
      <c r="I95" s="13" t="s">
        <v>140</v>
      </c>
      <c r="J95" s="25">
        <f>(IF(B88&gt;1,(H88/(B88+2)+J94),0))</f>
        <v>0</v>
      </c>
    </row>
    <row r="96" spans="1:10" ht="15" customHeight="1" x14ac:dyDescent="0.35">
      <c r="A96" s="141" t="s">
        <v>129</v>
      </c>
      <c r="B96" s="141" t="s">
        <v>126</v>
      </c>
      <c r="C96" s="75">
        <v>0</v>
      </c>
      <c r="D96" s="67">
        <f ca="1">((100/(H88))*C96)/100</f>
        <v>0</v>
      </c>
      <c r="E96" s="167"/>
      <c r="F96" s="168"/>
      <c r="G96" s="167"/>
      <c r="H96" s="168"/>
      <c r="I96" s="13" t="s">
        <v>137</v>
      </c>
      <c r="J96" s="25">
        <f>(IF(B88&gt;2,(H88/(B88+2)+J95),0))</f>
        <v>0</v>
      </c>
    </row>
    <row r="97" spans="1:10" ht="15.75" customHeight="1" x14ac:dyDescent="0.35">
      <c r="A97" s="141" t="s">
        <v>125</v>
      </c>
      <c r="B97" s="141" t="s">
        <v>125</v>
      </c>
      <c r="C97" s="75">
        <v>0</v>
      </c>
      <c r="D97" s="67">
        <f ca="1">((100/H88)*C97)/100</f>
        <v>0</v>
      </c>
      <c r="E97" s="167"/>
      <c r="F97" s="168"/>
      <c r="G97" s="167"/>
      <c r="H97" s="168"/>
      <c r="I97" s="13" t="s">
        <v>138</v>
      </c>
      <c r="J97" s="26">
        <f>(IF(B88&gt;3,(H88/(B88+2)+J96),0))</f>
        <v>0</v>
      </c>
    </row>
    <row r="98" spans="1:10" ht="15.75" customHeight="1" x14ac:dyDescent="0.35">
      <c r="A98" s="141" t="s">
        <v>132</v>
      </c>
      <c r="B98" s="141"/>
      <c r="C98" s="75">
        <v>0</v>
      </c>
      <c r="D98" s="67">
        <f ca="1">((100/H88)*C98)/100</f>
        <v>0</v>
      </c>
      <c r="E98" s="167"/>
      <c r="F98" s="168"/>
      <c r="G98" s="167"/>
      <c r="H98" s="168"/>
      <c r="I98" s="13" t="s">
        <v>139</v>
      </c>
      <c r="J98" s="25">
        <f>(IF(B88&gt;4,(H88/(B88+2)+J97),0))</f>
        <v>0</v>
      </c>
    </row>
    <row r="99" spans="1:10" ht="15.75" customHeight="1" x14ac:dyDescent="0.35">
      <c r="A99" s="141" t="s">
        <v>127</v>
      </c>
      <c r="B99" s="141" t="s">
        <v>127</v>
      </c>
      <c r="C99" s="75">
        <v>0</v>
      </c>
      <c r="D99" s="67">
        <f ca="1">((100/(H88))*C99)/100</f>
        <v>0</v>
      </c>
      <c r="E99" s="167"/>
      <c r="F99" s="168"/>
      <c r="G99" s="167"/>
      <c r="H99" s="168"/>
      <c r="I99" s="13" t="s">
        <v>141</v>
      </c>
      <c r="J99" s="25">
        <f ca="1">(IF(B88=1,(H88/(B88+3)+J94),IF(B88=0,(H88/4+J94),IF(B88&gt;1,0))))</f>
        <v>5.25</v>
      </c>
    </row>
    <row r="100" spans="1:10" ht="16" thickBot="1" x14ac:dyDescent="0.4">
      <c r="A100" s="143" t="s">
        <v>128</v>
      </c>
      <c r="B100" s="143"/>
      <c r="C100" s="77">
        <v>0</v>
      </c>
      <c r="D100" s="68">
        <f ca="1">((100/(H88))*C100)/100</f>
        <v>0</v>
      </c>
      <c r="E100" s="169"/>
      <c r="F100" s="170"/>
      <c r="G100" s="169"/>
      <c r="H100" s="170"/>
      <c r="I100" s="14" t="s">
        <v>98</v>
      </c>
      <c r="J100" s="27">
        <f ca="1">(IF(B88&gt;1.5,(H88/(B88+2)+J94+MAX(0,J95-J94)+MAX(0,J96-J95)+MAX(0,J97-J96)+MAX(0,J98-J97)+MAX(0,J99-J98)),IF(B88=1,(H88/(B88+3)+J99),IF(B88=0,H88/4+J99))))</f>
        <v>7</v>
      </c>
    </row>
    <row r="101" spans="1:10" ht="15.75" customHeight="1" x14ac:dyDescent="0.35">
      <c r="A101" s="130" t="s">
        <v>134</v>
      </c>
      <c r="B101" s="131"/>
      <c r="C101" s="132" t="s">
        <v>365</v>
      </c>
      <c r="D101" s="133"/>
      <c r="E101" s="133"/>
      <c r="F101" s="133"/>
      <c r="G101" s="133"/>
      <c r="H101" s="134"/>
      <c r="I101" s="83" t="str">
        <f ca="1">IF(D114=100%,"All work Completed. Possession granted to the Building.",IF(D113=100%,"All work Completed, Waiting for OC",I102&amp;""&amp;I103&amp;""&amp;J102&amp;""&amp;J101&amp;" "&amp;J103))</f>
        <v xml:space="preserve">Excavation, Plinth Completed </v>
      </c>
      <c r="J101" s="37" t="str">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
      </c>
    </row>
    <row r="102" spans="1:10" x14ac:dyDescent="0.35">
      <c r="A102" s="39" t="s">
        <v>136</v>
      </c>
      <c r="B102" s="39">
        <f>IF(AND(ISNUMBER(SEARCH("1B",C101))),1,IF(AND(ISNUMBER(SEARCH("2B",C101))),2,IF(AND(ISNUMBER(SEARCH("3B",C101))),3,IF(AND(ISNUMBER(SEARCH("4B",C101))),4,IF(ISNUMBER(SEARCH("5B",C101)),5,0)))))</f>
        <v>0</v>
      </c>
      <c r="C102" s="39" t="s">
        <v>67</v>
      </c>
      <c r="D102" s="39">
        <v>1</v>
      </c>
      <c r="E102" s="39" t="s">
        <v>66</v>
      </c>
      <c r="F102" s="39">
        <v>0</v>
      </c>
      <c r="G102" s="39" t="s">
        <v>75</v>
      </c>
      <c r="H102" s="39">
        <f ca="1">--TRIM(RIGHT(SUBSTITUTE(LEFT(C101,_xlfn.AGGREGATE(16,6,FIND({0,1,2,3,4,5,6,7,8,9},C101,ROW(INDIRECT("1:"&amp;LEN(C101)))),1))," ",REPT(" ",LEN(C101))),LEN(C101)))</f>
        <v>7</v>
      </c>
      <c r="I102" s="84" t="str">
        <f ca="1">IF(D105=100%,"Excavation","")&amp;IF(D106=100%,", Plinth","")&amp;IF(D107=100%,", RCC Slab","")&amp;IF(D108=100%,", Brickwork","")&amp;IF(D109=100%,", Internal Plaster","")&amp;IF(D110=100%,", External Plaster","")&amp;IF(D111=100%,", Flooring","")&amp;IF(D112=100%,", Painting","")&amp;IF(D113=100%,", Building common Amenities","")</f>
        <v>Excavation, Plinth</v>
      </c>
      <c r="J102" s="38" t="str">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
      </c>
    </row>
    <row r="103" spans="1:10" x14ac:dyDescent="0.35">
      <c r="A103" s="177" t="s">
        <v>85</v>
      </c>
      <c r="B103" s="177"/>
      <c r="C103" s="191" t="str">
        <f ca="1">(IF($G$60="NA",I101,"All work Completed. OC Received."))</f>
        <v xml:space="preserve">Excavation, Plinth Completed </v>
      </c>
      <c r="D103" s="191"/>
      <c r="E103" s="191"/>
      <c r="F103" s="191"/>
      <c r="G103" s="191"/>
      <c r="H103" s="191"/>
      <c r="I103" s="84" t="str">
        <f ca="1">IF(I102&lt;&gt;""," Completed","")</f>
        <v xml:space="preserve"> Completed</v>
      </c>
      <c r="J103" s="38" t="str">
        <f ca="1">IF(J101&lt;&gt;"","Completed","")</f>
        <v/>
      </c>
    </row>
    <row r="104" spans="1:10" ht="15.75" customHeight="1" x14ac:dyDescent="0.35">
      <c r="A104" s="141" t="s">
        <v>47</v>
      </c>
      <c r="B104" s="141"/>
      <c r="C104" s="75" t="s">
        <v>133</v>
      </c>
      <c r="D104" s="75" t="s">
        <v>78</v>
      </c>
      <c r="E104" s="135" t="s">
        <v>80</v>
      </c>
      <c r="F104" s="135"/>
      <c r="G104" s="135" t="s">
        <v>79</v>
      </c>
      <c r="H104" s="135"/>
      <c r="I104" s="13" t="s">
        <v>135</v>
      </c>
      <c r="J104" s="23">
        <f ca="1">H102*25%</f>
        <v>1.75</v>
      </c>
    </row>
    <row r="105" spans="1:10" x14ac:dyDescent="0.35">
      <c r="A105" s="141" t="s">
        <v>122</v>
      </c>
      <c r="B105" s="141"/>
      <c r="C105" s="88">
        <v>7</v>
      </c>
      <c r="D105" s="67">
        <f ca="1">((100/H102)*C105)/100</f>
        <v>1</v>
      </c>
      <c r="E105" s="214">
        <f ca="1">(((C106/H102*10)+(40/(D102+F102+H102)*C107)+(7.5/(H102)*C108)+(7.5/(H102)*C109)+(10/H102*C110)+(10/H102*C111)+(5/H102*C112)+(5/H102*C113)+(5/H102*C114))/100)</f>
        <v>0.1</v>
      </c>
      <c r="F105" s="214"/>
      <c r="G105" s="214">
        <f ca="1">((((C105/H102)*20)+((C106/H102)*25)+(30/(H102+F102+D102)*C107)+(5/H102*C108)+(5/H102*C109)+(5/H102*C110)+(5/H102*C111)+(0/H102*C112)+(0/H102*C113)+(5/H102*C114))/100)</f>
        <v>0.45</v>
      </c>
      <c r="H105" s="214"/>
      <c r="I105" s="13" t="s">
        <v>94</v>
      </c>
      <c r="J105" s="24">
        <f ca="1">H102*50%</f>
        <v>3.5</v>
      </c>
    </row>
    <row r="106" spans="1:10" x14ac:dyDescent="0.35">
      <c r="A106" s="141" t="s">
        <v>48</v>
      </c>
      <c r="B106" s="141"/>
      <c r="C106" s="69">
        <f ca="1">J114</f>
        <v>7</v>
      </c>
      <c r="D106" s="67">
        <f ca="1">((100/H102)*C106)/100</f>
        <v>1</v>
      </c>
      <c r="E106" s="214"/>
      <c r="F106" s="214"/>
      <c r="G106" s="214"/>
      <c r="H106" s="214"/>
      <c r="I106" s="13" t="s">
        <v>95</v>
      </c>
      <c r="J106" s="24">
        <f ca="1">H102</f>
        <v>7</v>
      </c>
    </row>
    <row r="107" spans="1:10" ht="15.75" customHeight="1" x14ac:dyDescent="0.35">
      <c r="A107" s="141" t="s">
        <v>123</v>
      </c>
      <c r="B107" s="141"/>
      <c r="C107" s="88">
        <v>0</v>
      </c>
      <c r="D107" s="67">
        <f ca="1">((100/(D102+F102+H102))*C107)/100</f>
        <v>0</v>
      </c>
      <c r="E107" s="214"/>
      <c r="F107" s="214"/>
      <c r="G107" s="214"/>
      <c r="H107" s="214"/>
      <c r="I107" s="13" t="s">
        <v>96</v>
      </c>
      <c r="J107" s="25">
        <f ca="1">(IF(B102&gt;1,(H102/(B102+2)),H102/4))</f>
        <v>1.75</v>
      </c>
    </row>
    <row r="108" spans="1:10" ht="15.75" customHeight="1" x14ac:dyDescent="0.35">
      <c r="A108" s="141" t="s">
        <v>130</v>
      </c>
      <c r="B108" s="141" t="s">
        <v>124</v>
      </c>
      <c r="C108" s="88">
        <v>0</v>
      </c>
      <c r="D108" s="67">
        <f ca="1">((100/H102)*C108)/100</f>
        <v>0</v>
      </c>
      <c r="E108" s="214"/>
      <c r="F108" s="214"/>
      <c r="G108" s="214"/>
      <c r="H108" s="214"/>
      <c r="I108" s="13" t="s">
        <v>97</v>
      </c>
      <c r="J108" s="25">
        <f ca="1">(IF(B102&gt;1,(H102/(B102+2)+J107),H102/4+J107))</f>
        <v>3.5</v>
      </c>
    </row>
    <row r="109" spans="1:10" ht="15.75" customHeight="1" x14ac:dyDescent="0.35">
      <c r="A109" s="141" t="s">
        <v>131</v>
      </c>
      <c r="B109" s="141" t="s">
        <v>124</v>
      </c>
      <c r="C109" s="88">
        <v>0</v>
      </c>
      <c r="D109" s="67">
        <f ca="1">((100/H102)*C109)/100</f>
        <v>0</v>
      </c>
      <c r="E109" s="214"/>
      <c r="F109" s="214"/>
      <c r="G109" s="214"/>
      <c r="H109" s="214"/>
      <c r="I109" s="13" t="s">
        <v>140</v>
      </c>
      <c r="J109" s="25">
        <f>(IF(B102&gt;1,(H102/(B102+2)+J108),0))</f>
        <v>0</v>
      </c>
    </row>
    <row r="110" spans="1:10" ht="15" customHeight="1" x14ac:dyDescent="0.35">
      <c r="A110" s="141" t="s">
        <v>129</v>
      </c>
      <c r="B110" s="141" t="s">
        <v>126</v>
      </c>
      <c r="C110" s="88">
        <v>0</v>
      </c>
      <c r="D110" s="67">
        <f ca="1">((100/(H102))*C110)/100</f>
        <v>0</v>
      </c>
      <c r="E110" s="214"/>
      <c r="F110" s="214"/>
      <c r="G110" s="214"/>
      <c r="H110" s="214"/>
      <c r="I110" s="13" t="s">
        <v>137</v>
      </c>
      <c r="J110" s="25">
        <f>(IF(B102&gt;2,(H102/(B102+2)+J109),0))</f>
        <v>0</v>
      </c>
    </row>
    <row r="111" spans="1:10" ht="15.75" customHeight="1" x14ac:dyDescent="0.35">
      <c r="A111" s="141" t="s">
        <v>125</v>
      </c>
      <c r="B111" s="141" t="s">
        <v>125</v>
      </c>
      <c r="C111" s="88">
        <v>0</v>
      </c>
      <c r="D111" s="67">
        <f ca="1">((100/H102)*C111)/100</f>
        <v>0</v>
      </c>
      <c r="E111" s="214"/>
      <c r="F111" s="214"/>
      <c r="G111" s="214"/>
      <c r="H111" s="214"/>
      <c r="I111" s="13" t="s">
        <v>138</v>
      </c>
      <c r="J111" s="26">
        <f>(IF(B102&gt;3,(H102/(B102+2)+J110),0))</f>
        <v>0</v>
      </c>
    </row>
    <row r="112" spans="1:10" ht="15.75" customHeight="1" x14ac:dyDescent="0.35">
      <c r="A112" s="141" t="s">
        <v>132</v>
      </c>
      <c r="B112" s="141"/>
      <c r="C112" s="88">
        <v>0</v>
      </c>
      <c r="D112" s="67">
        <f ca="1">((100/H102)*C112)/100</f>
        <v>0</v>
      </c>
      <c r="E112" s="214"/>
      <c r="F112" s="214"/>
      <c r="G112" s="214"/>
      <c r="H112" s="214"/>
      <c r="I112" s="13" t="s">
        <v>139</v>
      </c>
      <c r="J112" s="25">
        <f>(IF(B102&gt;4,(H102/(B102+2)+J111),0))</f>
        <v>0</v>
      </c>
    </row>
    <row r="113" spans="1:22" ht="15.75" customHeight="1" x14ac:dyDescent="0.35">
      <c r="A113" s="141" t="s">
        <v>127</v>
      </c>
      <c r="B113" s="141" t="s">
        <v>127</v>
      </c>
      <c r="C113" s="88">
        <v>0</v>
      </c>
      <c r="D113" s="67">
        <f ca="1">((100/(H102))*C113)/100</f>
        <v>0</v>
      </c>
      <c r="E113" s="214"/>
      <c r="F113" s="214"/>
      <c r="G113" s="214"/>
      <c r="H113" s="214"/>
      <c r="I113" s="13" t="s">
        <v>141</v>
      </c>
      <c r="J113" s="25">
        <f ca="1">(IF(B102=1,(H102/(B102+3)+J108),IF(B102=0,(H102/4+J108),IF(B102&gt;1,0))))</f>
        <v>5.25</v>
      </c>
    </row>
    <row r="114" spans="1:22" ht="16" thickBot="1" x14ac:dyDescent="0.4">
      <c r="A114" s="141" t="s">
        <v>128</v>
      </c>
      <c r="B114" s="141"/>
      <c r="C114" s="88">
        <v>0</v>
      </c>
      <c r="D114" s="67">
        <f ca="1">((100/(H102))*C114)/100</f>
        <v>0</v>
      </c>
      <c r="E114" s="214"/>
      <c r="F114" s="214"/>
      <c r="G114" s="214"/>
      <c r="H114" s="214"/>
      <c r="I114" s="14" t="s">
        <v>98</v>
      </c>
      <c r="J114" s="27">
        <f ca="1">(IF(B102&gt;1.5,(H102/(B102+2)+J108+MAX(0,J109-J108)+MAX(0,J110-J109)+MAX(0,J111-J110)+MAX(0,J112-J111)+MAX(0,J113-J112)),IF(B102=1,(H102/(B102+3)+J113),IF(B102=0,H102/4+J113))))</f>
        <v>7</v>
      </c>
    </row>
    <row r="115" spans="1:22" x14ac:dyDescent="0.35">
      <c r="A115" s="174" t="s">
        <v>151</v>
      </c>
      <c r="B115" s="174"/>
      <c r="C115" s="174"/>
      <c r="D115" s="174"/>
      <c r="E115" s="174"/>
      <c r="F115" s="176" t="s">
        <v>155</v>
      </c>
      <c r="G115" s="176"/>
      <c r="H115" s="176"/>
      <c r="R115" t="s">
        <v>248</v>
      </c>
      <c r="S115" t="s">
        <v>167</v>
      </c>
      <c r="T115" t="s">
        <v>173</v>
      </c>
      <c r="U115" t="s">
        <v>188</v>
      </c>
      <c r="V115" t="s">
        <v>183</v>
      </c>
    </row>
    <row r="116" spans="1:22" x14ac:dyDescent="0.35">
      <c r="A116" s="120" t="s">
        <v>153</v>
      </c>
      <c r="B116" s="120"/>
      <c r="C116" s="120"/>
      <c r="D116" s="120"/>
      <c r="E116" s="120"/>
      <c r="F116" s="117">
        <v>4550</v>
      </c>
      <c r="G116" s="117"/>
      <c r="H116" s="117"/>
      <c r="I116" s="16" t="s">
        <v>382</v>
      </c>
      <c r="R116"/>
      <c r="S116">
        <v>800000</v>
      </c>
      <c r="T116">
        <v>150000</v>
      </c>
      <c r="U116">
        <v>100000</v>
      </c>
      <c r="V116">
        <v>100000</v>
      </c>
    </row>
    <row r="117" spans="1:22" hidden="1" x14ac:dyDescent="0.35">
      <c r="A117" s="120" t="s">
        <v>152</v>
      </c>
      <c r="B117" s="120"/>
      <c r="C117" s="120"/>
      <c r="D117" s="120"/>
      <c r="E117" s="120"/>
      <c r="F117" s="117">
        <v>9000</v>
      </c>
      <c r="G117" s="117"/>
      <c r="H117" s="117"/>
      <c r="R117"/>
      <c r="S117">
        <v>900000</v>
      </c>
      <c r="T117">
        <v>200000</v>
      </c>
      <c r="U117">
        <v>150000</v>
      </c>
      <c r="V117">
        <v>150000</v>
      </c>
    </row>
    <row r="118" spans="1:22" hidden="1" x14ac:dyDescent="0.35">
      <c r="A118" s="120" t="s">
        <v>154</v>
      </c>
      <c r="B118" s="120"/>
      <c r="C118" s="120"/>
      <c r="D118" s="120"/>
      <c r="E118" s="120"/>
      <c r="F118" s="117"/>
      <c r="G118" s="117"/>
      <c r="H118" s="117"/>
      <c r="R118"/>
      <c r="S118">
        <v>1000000</v>
      </c>
      <c r="T118">
        <v>250000</v>
      </c>
      <c r="U118">
        <v>200000</v>
      </c>
      <c r="V118">
        <v>200000</v>
      </c>
    </row>
    <row r="119" spans="1:22" s="28" customFormat="1" hidden="1" x14ac:dyDescent="0.35">
      <c r="A119" s="120" t="s">
        <v>170</v>
      </c>
      <c r="B119" s="120"/>
      <c r="C119" s="120"/>
      <c r="D119" s="120"/>
      <c r="E119" s="120"/>
      <c r="F119" s="117"/>
      <c r="G119" s="117"/>
      <c r="H119" s="117"/>
      <c r="R119"/>
      <c r="S119">
        <v>1100000</v>
      </c>
      <c r="T119">
        <v>300000</v>
      </c>
      <c r="U119">
        <v>250000</v>
      </c>
      <c r="V119" s="18">
        <v>250000</v>
      </c>
    </row>
    <row r="120" spans="1:22" s="28" customFormat="1" hidden="1" x14ac:dyDescent="0.35">
      <c r="A120" s="120" t="s">
        <v>88</v>
      </c>
      <c r="B120" s="120"/>
      <c r="C120" s="120"/>
      <c r="D120" s="120"/>
      <c r="E120" s="120"/>
      <c r="F120" s="117"/>
      <c r="G120" s="117"/>
      <c r="H120" s="117"/>
      <c r="R120"/>
      <c r="S120">
        <v>1200000</v>
      </c>
      <c r="T120">
        <v>350000</v>
      </c>
      <c r="U120">
        <v>300000</v>
      </c>
      <c r="V120">
        <v>300000</v>
      </c>
    </row>
    <row r="121" spans="1:22" s="28" customFormat="1" hidden="1" x14ac:dyDescent="0.35">
      <c r="A121" s="120" t="s">
        <v>89</v>
      </c>
      <c r="B121" s="120"/>
      <c r="C121" s="120"/>
      <c r="D121" s="120"/>
      <c r="E121" s="120"/>
      <c r="F121" s="117"/>
      <c r="G121" s="117"/>
      <c r="H121" s="117"/>
      <c r="R121"/>
      <c r="S121">
        <v>1300000</v>
      </c>
      <c r="T121">
        <v>400000</v>
      </c>
      <c r="U121">
        <v>350000</v>
      </c>
      <c r="V121" s="18">
        <v>400000</v>
      </c>
    </row>
    <row r="122" spans="1:22" s="28" customFormat="1" hidden="1" x14ac:dyDescent="0.35">
      <c r="A122" s="120" t="s">
        <v>90</v>
      </c>
      <c r="B122" s="120"/>
      <c r="C122" s="120"/>
      <c r="D122" s="120"/>
      <c r="E122" s="120"/>
      <c r="F122" s="117"/>
      <c r="G122" s="117"/>
      <c r="H122" s="117"/>
      <c r="R122"/>
      <c r="S122">
        <v>1400000</v>
      </c>
      <c r="T122">
        <v>500000</v>
      </c>
      <c r="U122">
        <v>400000</v>
      </c>
      <c r="V122"/>
    </row>
    <row r="123" spans="1:22" s="28" customFormat="1" hidden="1" x14ac:dyDescent="0.35">
      <c r="A123" s="120" t="s">
        <v>91</v>
      </c>
      <c r="B123" s="120"/>
      <c r="C123" s="120"/>
      <c r="D123" s="120"/>
      <c r="E123" s="120"/>
      <c r="F123" s="117"/>
      <c r="G123" s="117"/>
      <c r="H123" s="117"/>
      <c r="R123"/>
      <c r="S123">
        <v>1500000</v>
      </c>
      <c r="T123">
        <v>600000</v>
      </c>
      <c r="U123">
        <v>500000</v>
      </c>
      <c r="V123" s="18"/>
    </row>
    <row r="124" spans="1:22" s="28" customFormat="1" hidden="1" x14ac:dyDescent="0.35">
      <c r="A124" s="120" t="s">
        <v>92</v>
      </c>
      <c r="B124" s="120"/>
      <c r="C124" s="120"/>
      <c r="D124" s="120"/>
      <c r="E124" s="120"/>
      <c r="F124" s="117"/>
      <c r="G124" s="117"/>
      <c r="H124" s="117"/>
      <c r="R124"/>
      <c r="S124">
        <v>1600000</v>
      </c>
      <c r="T124">
        <v>700000</v>
      </c>
      <c r="U124">
        <v>600000</v>
      </c>
      <c r="V124"/>
    </row>
    <row r="125" spans="1:22" s="28" customFormat="1" hidden="1" x14ac:dyDescent="0.35">
      <c r="A125" s="120" t="s">
        <v>93</v>
      </c>
      <c r="B125" s="120"/>
      <c r="C125" s="120"/>
      <c r="D125" s="120"/>
      <c r="E125" s="120"/>
      <c r="F125" s="117"/>
      <c r="G125" s="117"/>
      <c r="H125" s="117"/>
      <c r="R125"/>
      <c r="S125">
        <v>1700000</v>
      </c>
      <c r="T125">
        <v>800000</v>
      </c>
      <c r="U125"/>
      <c r="V125" s="18"/>
    </row>
    <row r="126" spans="1:22" x14ac:dyDescent="0.35">
      <c r="A126" s="120" t="s">
        <v>49</v>
      </c>
      <c r="B126" s="120"/>
      <c r="C126" s="120"/>
      <c r="D126" s="120"/>
      <c r="E126" s="120"/>
      <c r="F126" s="117">
        <v>150000</v>
      </c>
      <c r="G126" s="117"/>
      <c r="H126" s="117"/>
      <c r="R126"/>
      <c r="S126">
        <v>1800000</v>
      </c>
      <c r="T126">
        <v>900000</v>
      </c>
      <c r="U126"/>
    </row>
    <row r="127" spans="1:22" s="29" customFormat="1" x14ac:dyDescent="0.35">
      <c r="A127" s="174" t="s">
        <v>50</v>
      </c>
      <c r="B127" s="174"/>
      <c r="C127" s="174"/>
      <c r="D127" s="174"/>
      <c r="E127" s="174"/>
      <c r="F127" s="117">
        <f>F116*0.8</f>
        <v>3640</v>
      </c>
      <c r="G127" s="117"/>
      <c r="H127" s="117"/>
      <c r="R127" s="16"/>
      <c r="S127" s="16"/>
      <c r="T127">
        <v>1000000</v>
      </c>
      <c r="U127"/>
      <c r="V127" s="16"/>
    </row>
    <row r="128" spans="1:22" s="30" customFormat="1" ht="15.75" hidden="1" customHeight="1" x14ac:dyDescent="0.35">
      <c r="A128" s="173" t="s">
        <v>70</v>
      </c>
      <c r="B128" s="173"/>
      <c r="C128" s="173"/>
      <c r="D128" s="173"/>
      <c r="E128" s="173"/>
      <c r="F128" s="173"/>
      <c r="G128" s="173"/>
      <c r="H128" s="173"/>
      <c r="R128"/>
      <c r="S128" s="16"/>
      <c r="T128"/>
      <c r="U128"/>
      <c r="V128" s="16"/>
    </row>
    <row r="129" spans="1:22" s="30" customFormat="1" ht="15.75" hidden="1" customHeight="1" x14ac:dyDescent="0.35">
      <c r="A129" s="119" t="s">
        <v>51</v>
      </c>
      <c r="B129" s="119"/>
      <c r="C129" s="128" t="s">
        <v>73</v>
      </c>
      <c r="D129" s="128"/>
      <c r="E129" s="126" t="s">
        <v>52</v>
      </c>
      <c r="F129" s="126"/>
      <c r="G129" s="119" t="s">
        <v>53</v>
      </c>
      <c r="H129" s="119"/>
      <c r="R129"/>
      <c r="S129" s="16"/>
      <c r="T129"/>
      <c r="U129" s="16"/>
      <c r="V129" s="16"/>
    </row>
    <row r="130" spans="1:22" s="30" customFormat="1" hidden="1" x14ac:dyDescent="0.35">
      <c r="A130" s="127"/>
      <c r="B130" s="127"/>
      <c r="C130" s="193"/>
      <c r="D130" s="193"/>
      <c r="E130" s="194"/>
      <c r="F130" s="194"/>
      <c r="G130" s="142"/>
      <c r="H130" s="142"/>
      <c r="R130"/>
      <c r="S130" s="16"/>
      <c r="T130"/>
      <c r="U130" s="16"/>
      <c r="V130" s="16"/>
    </row>
    <row r="131" spans="1:22" s="30" customFormat="1" hidden="1" x14ac:dyDescent="0.35">
      <c r="A131" s="127"/>
      <c r="B131" s="127"/>
      <c r="C131" s="193"/>
      <c r="D131" s="193"/>
      <c r="E131" s="194"/>
      <c r="F131" s="194"/>
      <c r="G131" s="142"/>
      <c r="H131" s="142"/>
      <c r="R131"/>
      <c r="S131" s="16"/>
      <c r="T131"/>
      <c r="U131" s="16"/>
      <c r="V131" s="16"/>
    </row>
    <row r="132" spans="1:22" s="30" customFormat="1" hidden="1" x14ac:dyDescent="0.35">
      <c r="A132" s="173" t="s">
        <v>144</v>
      </c>
      <c r="B132" s="173"/>
      <c r="C132" s="128"/>
      <c r="D132" s="128"/>
      <c r="E132" s="126"/>
      <c r="F132" s="126"/>
      <c r="G132" s="119"/>
      <c r="H132" s="119"/>
      <c r="R132"/>
      <c r="S132" s="16"/>
      <c r="T132"/>
      <c r="U132" s="16"/>
      <c r="V132" s="16"/>
    </row>
    <row r="133" spans="1:22" s="30" customFormat="1" x14ac:dyDescent="0.35">
      <c r="A133" s="173" t="s">
        <v>373</v>
      </c>
      <c r="B133" s="173"/>
      <c r="C133" s="173"/>
      <c r="D133" s="173"/>
      <c r="E133" s="173"/>
      <c r="F133" s="173"/>
      <c r="G133" s="173"/>
      <c r="H133" s="173"/>
      <c r="T133"/>
    </row>
    <row r="134" spans="1:22" s="30" customFormat="1" ht="15.75" customHeight="1" x14ac:dyDescent="0.35">
      <c r="A134" s="119" t="s">
        <v>51</v>
      </c>
      <c r="B134" s="119"/>
      <c r="C134" s="128" t="s">
        <v>73</v>
      </c>
      <c r="D134" s="128"/>
      <c r="E134" s="126" t="s">
        <v>52</v>
      </c>
      <c r="F134" s="126"/>
      <c r="G134" s="119" t="s">
        <v>53</v>
      </c>
      <c r="H134" s="119"/>
      <c r="T134"/>
    </row>
    <row r="135" spans="1:22" s="30" customFormat="1" x14ac:dyDescent="0.35">
      <c r="A135" s="127" t="s">
        <v>351</v>
      </c>
      <c r="B135" s="127"/>
      <c r="C135" s="193">
        <f>COUNT(F160:F169)*7</f>
        <v>70</v>
      </c>
      <c r="D135" s="193"/>
      <c r="E135" s="187">
        <f>SUM(F160:F169)*7</f>
        <v>28420.813511999997</v>
      </c>
      <c r="F135" s="187"/>
      <c r="G135" s="187">
        <f>SUM(H160:H169)*7</f>
        <v>44016</v>
      </c>
      <c r="H135" s="187"/>
      <c r="T135"/>
    </row>
    <row r="136" spans="1:22" s="30" customFormat="1" x14ac:dyDescent="0.35">
      <c r="A136" s="127" t="s">
        <v>355</v>
      </c>
      <c r="B136" s="127"/>
      <c r="C136" s="187">
        <f>COUNT(D190:D201)</f>
        <v>12</v>
      </c>
      <c r="D136" s="187"/>
      <c r="E136" s="187">
        <f>SUM(F190:F201)</f>
        <v>4651.6841279999999</v>
      </c>
      <c r="F136" s="187"/>
      <c r="G136" s="187">
        <f>SUM(H190:H201)</f>
        <v>7392</v>
      </c>
      <c r="H136" s="187"/>
      <c r="T136"/>
    </row>
    <row r="137" spans="1:22" s="30" customFormat="1" x14ac:dyDescent="0.35">
      <c r="A137" s="127" t="s">
        <v>368</v>
      </c>
      <c r="B137" s="127"/>
      <c r="C137" s="187">
        <f>COUNT(D205:D210)*7</f>
        <v>42</v>
      </c>
      <c r="D137" s="187"/>
      <c r="E137" s="187">
        <f>SUM(F205:F210)*7</f>
        <v>18020.679767999998</v>
      </c>
      <c r="F137" s="187"/>
      <c r="G137" s="187">
        <f>SUM(H205:H210)*7</f>
        <v>27825</v>
      </c>
      <c r="H137" s="187"/>
      <c r="T137"/>
    </row>
    <row r="138" spans="1:22" s="30" customFormat="1" x14ac:dyDescent="0.35">
      <c r="A138" s="127" t="s">
        <v>371</v>
      </c>
      <c r="B138" s="127"/>
      <c r="C138" s="206">
        <f>COUNT(D214:D219)*7</f>
        <v>42</v>
      </c>
      <c r="D138" s="207"/>
      <c r="E138" s="206">
        <f>SUM(F214:F219)*7</f>
        <v>18020.679767999998</v>
      </c>
      <c r="F138" s="207"/>
      <c r="G138" s="206">
        <f>SUM(H214:H219)*7</f>
        <v>27825</v>
      </c>
      <c r="H138" s="207"/>
      <c r="T138"/>
    </row>
    <row r="139" spans="1:22" s="30" customFormat="1" x14ac:dyDescent="0.35">
      <c r="A139" s="203" t="s">
        <v>144</v>
      </c>
      <c r="B139" s="203"/>
      <c r="C139" s="144">
        <f>SUM(C135:C138)</f>
        <v>166</v>
      </c>
      <c r="D139" s="144"/>
      <c r="E139" s="204">
        <f>SUM(E135:E138)</f>
        <v>69113.85717599999</v>
      </c>
      <c r="F139" s="204"/>
      <c r="G139" s="205">
        <f>SUM(G135:G138)</f>
        <v>107058</v>
      </c>
      <c r="H139" s="205"/>
      <c r="T139"/>
    </row>
    <row r="140" spans="1:22" s="30" customFormat="1" x14ac:dyDescent="0.35">
      <c r="A140" s="173" t="s">
        <v>374</v>
      </c>
      <c r="B140" s="173"/>
      <c r="C140" s="173"/>
      <c r="D140" s="173"/>
      <c r="E140" s="173"/>
      <c r="F140" s="173"/>
      <c r="G140" s="173"/>
      <c r="H140" s="173"/>
      <c r="T140"/>
    </row>
    <row r="141" spans="1:22" s="30" customFormat="1" x14ac:dyDescent="0.35">
      <c r="A141" s="119" t="s">
        <v>51</v>
      </c>
      <c r="B141" s="119"/>
      <c r="C141" s="128" t="s">
        <v>73</v>
      </c>
      <c r="D141" s="128"/>
      <c r="E141" s="126" t="s">
        <v>52</v>
      </c>
      <c r="F141" s="126"/>
      <c r="G141" s="119" t="s">
        <v>53</v>
      </c>
      <c r="H141" s="119"/>
      <c r="T141"/>
    </row>
    <row r="142" spans="1:22" x14ac:dyDescent="0.35">
      <c r="A142" s="127" t="s">
        <v>355</v>
      </c>
      <c r="B142" s="127"/>
      <c r="C142" s="194">
        <f>COUNT(D172:D174)+COUNT(D177:D188)*6</f>
        <v>75</v>
      </c>
      <c r="D142" s="194"/>
      <c r="E142" s="187">
        <f>SUM(F172:F174)+SUM(F177:F188)*6</f>
        <v>28939.250807999997</v>
      </c>
      <c r="F142" s="187"/>
      <c r="G142" s="187">
        <f>SUM(H172:H174)+SUM(H177:H188)*6</f>
        <v>46200</v>
      </c>
      <c r="H142" s="187"/>
      <c r="T142" s="30"/>
    </row>
    <row r="143" spans="1:22" ht="16" thickBot="1" x14ac:dyDescent="0.4">
      <c r="A143" s="203" t="s">
        <v>144</v>
      </c>
      <c r="B143" s="203"/>
      <c r="C143" s="144">
        <f>SUM(C142)</f>
        <v>75</v>
      </c>
      <c r="D143" s="144"/>
      <c r="E143" s="204">
        <f>SUM(E142)</f>
        <v>28939.250807999997</v>
      </c>
      <c r="F143" s="204"/>
      <c r="G143" s="205">
        <f>SUM(G142)</f>
        <v>46200</v>
      </c>
      <c r="H143" s="205"/>
      <c r="T143" s="30"/>
    </row>
    <row r="144" spans="1:22" s="32" customFormat="1" ht="16" thickBot="1" x14ac:dyDescent="0.4">
      <c r="A144" s="154" t="s">
        <v>161</v>
      </c>
      <c r="B144" s="154"/>
      <c r="C144" s="155">
        <f>C139+C143</f>
        <v>241</v>
      </c>
      <c r="D144" s="155"/>
      <c r="E144" s="156">
        <f>E139+E143</f>
        <v>98053.107983999987</v>
      </c>
      <c r="F144" s="156"/>
      <c r="G144" s="156">
        <f>G139+G143</f>
        <v>153258</v>
      </c>
      <c r="H144" s="156"/>
      <c r="T144" s="30"/>
    </row>
    <row r="145" spans="1:20" s="32" customFormat="1" x14ac:dyDescent="0.35">
      <c r="A145" s="148" t="s">
        <v>372</v>
      </c>
      <c r="B145" s="148"/>
      <c r="C145" s="148"/>
      <c r="D145" s="148"/>
      <c r="E145" s="148"/>
      <c r="F145" s="148"/>
      <c r="G145" s="148"/>
      <c r="H145" s="148"/>
      <c r="J145" s="31"/>
      <c r="T145" s="30"/>
    </row>
    <row r="146" spans="1:20" s="32" customFormat="1" ht="15.75" customHeight="1" x14ac:dyDescent="0.35">
      <c r="A146" s="118" t="s">
        <v>169</v>
      </c>
      <c r="B146" s="118"/>
      <c r="C146" s="118"/>
      <c r="D146" s="118"/>
      <c r="E146" s="118"/>
      <c r="F146" s="118"/>
      <c r="G146" s="118"/>
      <c r="H146" s="118"/>
      <c r="I146" s="31"/>
      <c r="L146" s="186"/>
      <c r="M146" s="186"/>
      <c r="N146" s="31"/>
      <c r="T146" s="30"/>
    </row>
    <row r="147" spans="1:20" s="32" customFormat="1" ht="48" hidden="1" customHeight="1" x14ac:dyDescent="0.35">
      <c r="A147" s="139" t="s">
        <v>114</v>
      </c>
      <c r="B147" s="139" t="s">
        <v>171</v>
      </c>
      <c r="C147" s="139" t="s">
        <v>54</v>
      </c>
      <c r="D147" s="201" t="s">
        <v>226</v>
      </c>
      <c r="E147" s="188" t="s">
        <v>150</v>
      </c>
      <c r="F147" s="139" t="s">
        <v>55</v>
      </c>
      <c r="G147" s="188" t="s">
        <v>56</v>
      </c>
      <c r="H147" s="74" t="s">
        <v>143</v>
      </c>
      <c r="I147" s="31"/>
      <c r="L147" s="186"/>
      <c r="M147" s="186"/>
      <c r="N147" s="31"/>
      <c r="T147" s="29"/>
    </row>
    <row r="148" spans="1:20" s="32" customFormat="1" ht="15.75" hidden="1" customHeight="1" x14ac:dyDescent="0.35">
      <c r="A148" s="140"/>
      <c r="B148" s="140"/>
      <c r="C148" s="140"/>
      <c r="D148" s="202"/>
      <c r="E148" s="189"/>
      <c r="F148" s="140"/>
      <c r="G148" s="189"/>
      <c r="H148" s="42">
        <v>0.45</v>
      </c>
      <c r="I148" s="31"/>
      <c r="L148" s="186"/>
      <c r="M148" s="186"/>
      <c r="N148" s="31"/>
      <c r="T148" s="16"/>
    </row>
    <row r="149" spans="1:20" s="32" customFormat="1" ht="15.75" hidden="1" customHeight="1" x14ac:dyDescent="0.35">
      <c r="A149" s="145" t="s">
        <v>113</v>
      </c>
      <c r="B149" s="146"/>
      <c r="C149" s="146"/>
      <c r="D149" s="146"/>
      <c r="E149" s="146"/>
      <c r="F149" s="146"/>
      <c r="G149" s="146"/>
      <c r="H149" s="147"/>
      <c r="I149" s="31"/>
      <c r="L149" s="186"/>
      <c r="M149" s="186"/>
      <c r="N149" s="31"/>
      <c r="T149" s="16"/>
    </row>
    <row r="150" spans="1:20" s="32" customFormat="1" hidden="1" x14ac:dyDescent="0.35">
      <c r="A150" s="121">
        <v>1</v>
      </c>
      <c r="B150" s="122"/>
      <c r="C150" s="62"/>
      <c r="D150" s="62">
        <v>0</v>
      </c>
      <c r="E150" s="62">
        <v>0</v>
      </c>
      <c r="F150" s="62">
        <f>D150+(IF(E150&lt;201,E150,IF(E150&lt;301,E150/2,E150/3)))</f>
        <v>0</v>
      </c>
      <c r="G150" s="48">
        <v>0</v>
      </c>
      <c r="H150" s="62">
        <f>(F150+(IF(G150&lt;101,G150,IF(G150&lt;201,G150/2,IF(G150&lt;=301,G150/3,G150/4)))))*(($H$148)+1)</f>
        <v>0</v>
      </c>
      <c r="I150" s="31"/>
      <c r="N150" s="31"/>
    </row>
    <row r="151" spans="1:20" ht="47.25" hidden="1" customHeight="1" x14ac:dyDescent="0.35">
      <c r="A151" s="121">
        <f>A150+1</f>
        <v>2</v>
      </c>
      <c r="B151" s="122"/>
      <c r="C151" s="62"/>
      <c r="D151" s="62"/>
      <c r="E151" s="62">
        <v>0</v>
      </c>
      <c r="F151" s="62">
        <f t="shared" ref="F151:F153" si="0">D151+(IF(E151&lt;201,E151,IF(E151&lt;301,E151/2,E151/3)))</f>
        <v>0</v>
      </c>
      <c r="G151" s="62">
        <v>0</v>
      </c>
      <c r="H151" s="62">
        <f t="shared" ref="H151:H153" si="1">(F151+(IF(G151&lt;101,G151,IF(G151&lt;201,G151/2,IF(G151&lt;=301,G151/3,G151/4)))))*(($H$148)+1)</f>
        <v>0</v>
      </c>
      <c r="I151" s="31"/>
      <c r="T151" s="32"/>
    </row>
    <row r="152" spans="1:20" s="32" customFormat="1" hidden="1" x14ac:dyDescent="0.35">
      <c r="A152" s="121">
        <f>A151+1</f>
        <v>3</v>
      </c>
      <c r="B152" s="122"/>
      <c r="C152" s="62"/>
      <c r="D152" s="62"/>
      <c r="E152" s="62">
        <v>0</v>
      </c>
      <c r="F152" s="62">
        <f t="shared" si="0"/>
        <v>0</v>
      </c>
      <c r="G152" s="62">
        <v>0</v>
      </c>
      <c r="H152" s="62">
        <f t="shared" si="1"/>
        <v>0</v>
      </c>
      <c r="I152" s="31"/>
    </row>
    <row r="153" spans="1:20" s="32" customFormat="1" hidden="1" x14ac:dyDescent="0.35">
      <c r="A153" s="121">
        <f>A152+1</f>
        <v>4</v>
      </c>
      <c r="B153" s="122"/>
      <c r="C153" s="62"/>
      <c r="D153" s="62"/>
      <c r="E153" s="62">
        <v>0</v>
      </c>
      <c r="F153" s="62">
        <f t="shared" si="0"/>
        <v>0</v>
      </c>
      <c r="G153" s="62">
        <v>0</v>
      </c>
      <c r="H153" s="62">
        <f t="shared" si="1"/>
        <v>0</v>
      </c>
      <c r="I153" s="85">
        <v>10.763999999999999</v>
      </c>
      <c r="J153" s="31"/>
    </row>
    <row r="154" spans="1:20" s="32" customFormat="1" ht="15.75" hidden="1" customHeight="1" x14ac:dyDescent="0.35">
      <c r="A154" s="121"/>
      <c r="B154" s="164"/>
      <c r="C154" s="164"/>
      <c r="D154" s="164"/>
      <c r="E154" s="164"/>
      <c r="F154" s="164"/>
      <c r="G154" s="164"/>
      <c r="H154" s="122"/>
      <c r="I154" s="31"/>
      <c r="L154" s="186"/>
      <c r="M154" s="186"/>
      <c r="N154" s="31"/>
    </row>
    <row r="155" spans="1:20" s="32" customFormat="1" ht="51" customHeight="1" x14ac:dyDescent="0.35">
      <c r="A155" s="149" t="s">
        <v>115</v>
      </c>
      <c r="B155" s="139" t="s">
        <v>356</v>
      </c>
      <c r="C155" s="139" t="s">
        <v>54</v>
      </c>
      <c r="D155" s="137" t="s">
        <v>226</v>
      </c>
      <c r="E155" s="139" t="s">
        <v>370</v>
      </c>
      <c r="F155" s="139" t="s">
        <v>55</v>
      </c>
      <c r="G155" s="188" t="s">
        <v>56</v>
      </c>
      <c r="H155" s="76" t="s">
        <v>381</v>
      </c>
      <c r="I155" s="31"/>
      <c r="L155" s="186"/>
      <c r="M155" s="186"/>
      <c r="N155" s="31"/>
    </row>
    <row r="156" spans="1:20" s="32" customFormat="1" ht="15.75" customHeight="1" x14ac:dyDescent="0.35">
      <c r="A156" s="150"/>
      <c r="B156" s="140"/>
      <c r="C156" s="140"/>
      <c r="D156" s="138"/>
      <c r="E156" s="140"/>
      <c r="F156" s="140"/>
      <c r="G156" s="189"/>
      <c r="H156" s="70">
        <v>0.54</v>
      </c>
      <c r="I156" s="31">
        <f>3.5*2.75+0.9*1.1+2.35*2.15+2.75*2.4+1.5*1.2+1.5*0.9+1.5*0.9</f>
        <v>26.767500000000002</v>
      </c>
      <c r="J156" s="32">
        <f>2.35+2.9</f>
        <v>5.25</v>
      </c>
      <c r="K156" s="32">
        <f>1.325*1.5</f>
        <v>1.9874999999999998</v>
      </c>
      <c r="L156" s="186"/>
      <c r="M156" s="186"/>
      <c r="N156" s="31"/>
    </row>
    <row r="157" spans="1:20" s="32" customFormat="1" ht="15.75" customHeight="1" x14ac:dyDescent="0.35">
      <c r="A157" s="145" t="s">
        <v>351</v>
      </c>
      <c r="B157" s="146"/>
      <c r="C157" s="146"/>
      <c r="D157" s="146"/>
      <c r="E157" s="146"/>
      <c r="F157" s="146"/>
      <c r="G157" s="146"/>
      <c r="H157" s="147"/>
      <c r="I157" s="31"/>
      <c r="L157" s="186"/>
      <c r="M157" s="186"/>
      <c r="N157" s="31"/>
      <c r="T157" s="16"/>
    </row>
    <row r="158" spans="1:20" s="32" customFormat="1" x14ac:dyDescent="0.35">
      <c r="A158" s="145" t="s">
        <v>352</v>
      </c>
      <c r="B158" s="146"/>
      <c r="C158" s="146"/>
      <c r="D158" s="146"/>
      <c r="E158" s="146"/>
      <c r="F158" s="146"/>
      <c r="G158" s="146"/>
      <c r="H158" s="147"/>
      <c r="I158" s="31"/>
      <c r="L158" s="186"/>
      <c r="M158" s="186"/>
    </row>
    <row r="159" spans="1:20" s="32" customFormat="1" x14ac:dyDescent="0.35">
      <c r="A159" s="145" t="s">
        <v>353</v>
      </c>
      <c r="B159" s="146"/>
      <c r="C159" s="146"/>
      <c r="D159" s="146"/>
      <c r="E159" s="146"/>
      <c r="F159" s="146"/>
      <c r="G159" s="146"/>
      <c r="H159" s="147"/>
      <c r="I159" s="31"/>
      <c r="N159" s="31"/>
      <c r="O159" s="32">
        <v>4550</v>
      </c>
    </row>
    <row r="160" spans="1:20" s="32" customFormat="1" x14ac:dyDescent="0.35">
      <c r="A160" s="62">
        <v>1</v>
      </c>
      <c r="B160" s="62" t="s">
        <v>357</v>
      </c>
      <c r="C160" s="62" t="s">
        <v>354</v>
      </c>
      <c r="D160" s="65">
        <f>(29.793)*10.764</f>
        <v>320.69185199999998</v>
      </c>
      <c r="E160" s="65">
        <f>(5.25+1.987)*10.764</f>
        <v>77.899068</v>
      </c>
      <c r="F160" s="62">
        <f t="shared" ref="F160:F169" si="2">D160+E160</f>
        <v>398.59091999999998</v>
      </c>
      <c r="G160" s="62">
        <v>0</v>
      </c>
      <c r="H160" s="80">
        <v>616</v>
      </c>
      <c r="I160" s="79">
        <f>3.5*2.75+2.1*2.15+2.75*2.4+1.5*1.2+1.5*0.9+0.9*1.5+0.8*0.7</f>
        <v>25.800000000000004</v>
      </c>
      <c r="J160" s="79">
        <f>2.35+2.9</f>
        <v>5.25</v>
      </c>
      <c r="K160" s="31">
        <f>I160+J160:J161</f>
        <v>31.050000000000004</v>
      </c>
      <c r="L160" s="80">
        <v>616</v>
      </c>
      <c r="M160" s="32">
        <f>L160/F160</f>
        <v>1.5454441360580919</v>
      </c>
      <c r="N160" s="31">
        <f>2900000/L160</f>
        <v>4707.7922077922076</v>
      </c>
      <c r="O160" s="32">
        <f>O$159*L160</f>
        <v>2802800</v>
      </c>
    </row>
    <row r="161" spans="1:20" s="32" customFormat="1" x14ac:dyDescent="0.35">
      <c r="A161" s="62">
        <f>A160+1</f>
        <v>2</v>
      </c>
      <c r="B161" s="62" t="s">
        <v>357</v>
      </c>
      <c r="C161" s="62" t="s">
        <v>354</v>
      </c>
      <c r="D161" s="65">
        <f t="shared" ref="D161:D168" si="3">(30.618)*10.764</f>
        <v>329.57215199999996</v>
      </c>
      <c r="E161" s="65">
        <f>(5.175+1.987)*10.764</f>
        <v>77.091767999999988</v>
      </c>
      <c r="F161" s="62">
        <f t="shared" si="2"/>
        <v>406.66391999999996</v>
      </c>
      <c r="G161" s="62">
        <v>0</v>
      </c>
      <c r="H161" s="80">
        <v>632</v>
      </c>
      <c r="I161" s="31"/>
      <c r="L161" s="80">
        <v>632</v>
      </c>
      <c r="M161" s="72">
        <f t="shared" ref="M161:M169" si="4">L161/F161</f>
        <v>1.554108857259823</v>
      </c>
      <c r="N161" s="31">
        <f t="shared" ref="N161:N169" si="5">2900000/L161</f>
        <v>4588.6075949367087</v>
      </c>
      <c r="O161" s="72">
        <f t="shared" ref="O161:O169" si="6">O$159*L161</f>
        <v>2875600</v>
      </c>
    </row>
    <row r="162" spans="1:20" s="32" customFormat="1" x14ac:dyDescent="0.35">
      <c r="A162" s="62">
        <f>A161+1</f>
        <v>3</v>
      </c>
      <c r="B162" s="62" t="s">
        <v>357</v>
      </c>
      <c r="C162" s="62" t="s">
        <v>354</v>
      </c>
      <c r="D162" s="65">
        <f t="shared" si="3"/>
        <v>329.57215199999996</v>
      </c>
      <c r="E162" s="65">
        <f>(5.175+2.154)*10.764</f>
        <v>78.889355999999992</v>
      </c>
      <c r="F162" s="62">
        <f t="shared" si="2"/>
        <v>408.46150799999998</v>
      </c>
      <c r="G162" s="62">
        <v>0</v>
      </c>
      <c r="H162" s="80">
        <v>632</v>
      </c>
      <c r="I162" s="31"/>
      <c r="J162" s="32">
        <f>2775000/F162</f>
        <v>6793.7858173896775</v>
      </c>
      <c r="L162" s="80">
        <v>632</v>
      </c>
      <c r="M162" s="72">
        <f t="shared" si="4"/>
        <v>1.5472694185910905</v>
      </c>
      <c r="N162" s="31">
        <f t="shared" si="5"/>
        <v>4588.6075949367087</v>
      </c>
      <c r="O162" s="72">
        <f t="shared" si="6"/>
        <v>2875600</v>
      </c>
    </row>
    <row r="163" spans="1:20" s="32" customFormat="1" x14ac:dyDescent="0.35">
      <c r="A163" s="62">
        <f>A162+1</f>
        <v>4</v>
      </c>
      <c r="B163" s="62" t="s">
        <v>357</v>
      </c>
      <c r="C163" s="62" t="s">
        <v>354</v>
      </c>
      <c r="D163" s="65">
        <f t="shared" si="3"/>
        <v>329.57215199999996</v>
      </c>
      <c r="E163" s="65">
        <f>(5.175+2.154)*10.764</f>
        <v>78.889355999999992</v>
      </c>
      <c r="F163" s="62">
        <f t="shared" si="2"/>
        <v>408.46150799999998</v>
      </c>
      <c r="G163" s="62">
        <v>0</v>
      </c>
      <c r="H163" s="80">
        <v>632</v>
      </c>
      <c r="I163" s="31"/>
      <c r="L163" s="80">
        <v>632</v>
      </c>
      <c r="M163" s="72">
        <f t="shared" si="4"/>
        <v>1.5472694185910905</v>
      </c>
      <c r="N163" s="31">
        <f t="shared" si="5"/>
        <v>4588.6075949367087</v>
      </c>
      <c r="O163" s="72">
        <f t="shared" si="6"/>
        <v>2875600</v>
      </c>
    </row>
    <row r="164" spans="1:20" s="32" customFormat="1" ht="15.75" customHeight="1" x14ac:dyDescent="0.35">
      <c r="A164" s="62">
        <f>A163+1</f>
        <v>5</v>
      </c>
      <c r="B164" s="62" t="s">
        <v>357</v>
      </c>
      <c r="C164" s="62" t="s">
        <v>354</v>
      </c>
      <c r="D164" s="65">
        <f t="shared" si="3"/>
        <v>329.57215199999996</v>
      </c>
      <c r="E164" s="65">
        <f>(5.175+2.1)*10.764</f>
        <v>78.308099999999996</v>
      </c>
      <c r="F164" s="62">
        <f t="shared" si="2"/>
        <v>407.88025199999993</v>
      </c>
      <c r="G164" s="62">
        <v>0</v>
      </c>
      <c r="H164" s="80">
        <v>632</v>
      </c>
      <c r="I164" s="31"/>
      <c r="L164" s="80">
        <v>632</v>
      </c>
      <c r="M164" s="72">
        <f t="shared" si="4"/>
        <v>1.5494743785732488</v>
      </c>
      <c r="N164" s="31">
        <f t="shared" si="5"/>
        <v>4588.6075949367087</v>
      </c>
      <c r="O164" s="72">
        <f t="shared" si="6"/>
        <v>2875600</v>
      </c>
    </row>
    <row r="165" spans="1:20" s="32" customFormat="1" ht="15.75" customHeight="1" x14ac:dyDescent="0.35">
      <c r="A165" s="62">
        <v>6</v>
      </c>
      <c r="B165" s="62" t="s">
        <v>357</v>
      </c>
      <c r="C165" s="62" t="s">
        <v>354</v>
      </c>
      <c r="D165" s="65">
        <f t="shared" si="3"/>
        <v>329.57215199999996</v>
      </c>
      <c r="E165" s="65">
        <f>(5.175+2.1)*10.764</f>
        <v>78.308099999999996</v>
      </c>
      <c r="F165" s="62">
        <f t="shared" si="2"/>
        <v>407.88025199999993</v>
      </c>
      <c r="G165" s="62">
        <v>0</v>
      </c>
      <c r="H165" s="80">
        <v>632</v>
      </c>
      <c r="I165" s="31"/>
      <c r="L165" s="80">
        <v>632</v>
      </c>
      <c r="M165" s="72">
        <f t="shared" si="4"/>
        <v>1.5494743785732488</v>
      </c>
      <c r="N165" s="31">
        <f t="shared" si="5"/>
        <v>4588.6075949367087</v>
      </c>
      <c r="O165" s="72">
        <f t="shared" si="6"/>
        <v>2875600</v>
      </c>
    </row>
    <row r="166" spans="1:20" s="32" customFormat="1" ht="15.75" customHeight="1" x14ac:dyDescent="0.35">
      <c r="A166" s="62">
        <f>A165+1</f>
        <v>7</v>
      </c>
      <c r="B166" s="62" t="s">
        <v>357</v>
      </c>
      <c r="C166" s="62" t="s">
        <v>354</v>
      </c>
      <c r="D166" s="65">
        <f t="shared" si="3"/>
        <v>329.57215199999996</v>
      </c>
      <c r="E166" s="65">
        <f>(5.175+2.154)*10.764</f>
        <v>78.889355999999992</v>
      </c>
      <c r="F166" s="62">
        <f t="shared" si="2"/>
        <v>408.46150799999998</v>
      </c>
      <c r="G166" s="62">
        <v>0</v>
      </c>
      <c r="H166" s="80">
        <v>632</v>
      </c>
      <c r="I166" s="31"/>
      <c r="L166" s="80">
        <v>632</v>
      </c>
      <c r="M166" s="72">
        <f t="shared" si="4"/>
        <v>1.5472694185910905</v>
      </c>
      <c r="N166" s="31">
        <f t="shared" si="5"/>
        <v>4588.6075949367087</v>
      </c>
      <c r="O166" s="72">
        <f t="shared" si="6"/>
        <v>2875600</v>
      </c>
    </row>
    <row r="167" spans="1:20" s="32" customFormat="1" ht="15.75" customHeight="1" x14ac:dyDescent="0.35">
      <c r="A167" s="62">
        <f>A166+1</f>
        <v>8</v>
      </c>
      <c r="B167" s="62" t="s">
        <v>357</v>
      </c>
      <c r="C167" s="62" t="s">
        <v>354</v>
      </c>
      <c r="D167" s="65">
        <f t="shared" si="3"/>
        <v>329.57215199999996</v>
      </c>
      <c r="E167" s="65">
        <f>(5.175+2.154)*10.764</f>
        <v>78.889355999999992</v>
      </c>
      <c r="F167" s="62">
        <f t="shared" si="2"/>
        <v>408.46150799999998</v>
      </c>
      <c r="G167" s="62">
        <v>0</v>
      </c>
      <c r="H167" s="80">
        <v>632</v>
      </c>
      <c r="I167" s="31"/>
      <c r="L167" s="80">
        <v>632</v>
      </c>
      <c r="M167" s="72">
        <f t="shared" si="4"/>
        <v>1.5472694185910905</v>
      </c>
      <c r="N167" s="31">
        <f t="shared" si="5"/>
        <v>4588.6075949367087</v>
      </c>
      <c r="O167" s="72">
        <f t="shared" si="6"/>
        <v>2875600</v>
      </c>
    </row>
    <row r="168" spans="1:20" s="32" customFormat="1" ht="15.75" customHeight="1" x14ac:dyDescent="0.35">
      <c r="A168" s="62">
        <f>A167+1</f>
        <v>9</v>
      </c>
      <c r="B168" s="62" t="s">
        <v>357</v>
      </c>
      <c r="C168" s="62" t="s">
        <v>354</v>
      </c>
      <c r="D168" s="65">
        <f t="shared" si="3"/>
        <v>329.57215199999996</v>
      </c>
      <c r="E168" s="65">
        <f>(5.175+1.987)*10.764</f>
        <v>77.091767999999988</v>
      </c>
      <c r="F168" s="62">
        <f t="shared" si="2"/>
        <v>406.66391999999996</v>
      </c>
      <c r="G168" s="62">
        <v>0</v>
      </c>
      <c r="H168" s="80">
        <v>632</v>
      </c>
      <c r="I168" s="31"/>
      <c r="L168" s="80">
        <v>632</v>
      </c>
      <c r="M168" s="72">
        <f t="shared" si="4"/>
        <v>1.554108857259823</v>
      </c>
      <c r="N168" s="31">
        <f t="shared" si="5"/>
        <v>4588.6075949367087</v>
      </c>
      <c r="O168" s="72">
        <f t="shared" si="6"/>
        <v>2875600</v>
      </c>
    </row>
    <row r="169" spans="1:20" s="32" customFormat="1" ht="15.75" customHeight="1" x14ac:dyDescent="0.35">
      <c r="A169" s="62">
        <f>A168+1</f>
        <v>10</v>
      </c>
      <c r="B169" s="62" t="s">
        <v>357</v>
      </c>
      <c r="C169" s="62" t="s">
        <v>354</v>
      </c>
      <c r="D169" s="65">
        <f>(29.793)*10.764</f>
        <v>320.69185199999998</v>
      </c>
      <c r="E169" s="65">
        <f>(5.25+1.987)*10.764</f>
        <v>77.899068</v>
      </c>
      <c r="F169" s="62">
        <f t="shared" si="2"/>
        <v>398.59091999999998</v>
      </c>
      <c r="G169" s="62">
        <v>0</v>
      </c>
      <c r="H169" s="80">
        <v>616</v>
      </c>
      <c r="I169" s="31"/>
      <c r="L169" s="80">
        <v>616</v>
      </c>
      <c r="M169" s="72">
        <f t="shared" si="4"/>
        <v>1.5454441360580919</v>
      </c>
      <c r="N169" s="31">
        <f t="shared" si="5"/>
        <v>4707.7922077922076</v>
      </c>
      <c r="O169" s="72">
        <f t="shared" si="6"/>
        <v>2802800</v>
      </c>
    </row>
    <row r="170" spans="1:20" s="32" customFormat="1" ht="15.75" customHeight="1" x14ac:dyDescent="0.35">
      <c r="A170" s="145" t="s">
        <v>355</v>
      </c>
      <c r="B170" s="146"/>
      <c r="C170" s="146"/>
      <c r="D170" s="146"/>
      <c r="E170" s="146"/>
      <c r="F170" s="146"/>
      <c r="G170" s="146"/>
      <c r="H170" s="147"/>
      <c r="I170" s="31"/>
    </row>
    <row r="171" spans="1:20" s="32" customFormat="1" ht="15.75" customHeight="1" x14ac:dyDescent="0.35">
      <c r="A171" s="145" t="s">
        <v>367</v>
      </c>
      <c r="B171" s="146"/>
      <c r="C171" s="146"/>
      <c r="D171" s="146"/>
      <c r="E171" s="146"/>
      <c r="F171" s="146"/>
      <c r="G171" s="146"/>
      <c r="H171" s="147"/>
      <c r="I171" s="31"/>
    </row>
    <row r="172" spans="1:20" s="32" customFormat="1" ht="15.75" customHeight="1" x14ac:dyDescent="0.35">
      <c r="A172" s="62">
        <v>1</v>
      </c>
      <c r="B172" s="62" t="s">
        <v>360</v>
      </c>
      <c r="C172" s="62" t="s">
        <v>354</v>
      </c>
      <c r="D172" s="65">
        <f>(31.87)*10.764</f>
        <v>343.04867999999999</v>
      </c>
      <c r="E172" s="65">
        <v>0</v>
      </c>
      <c r="F172" s="62">
        <f>D172+E172</f>
        <v>343.04867999999999</v>
      </c>
      <c r="G172" s="62">
        <v>0</v>
      </c>
      <c r="H172" s="80">
        <v>616</v>
      </c>
      <c r="I172" s="31"/>
    </row>
    <row r="173" spans="1:20" s="32" customFormat="1" ht="15.75" customHeight="1" x14ac:dyDescent="0.35">
      <c r="A173" s="62">
        <f>A172+1</f>
        <v>2</v>
      </c>
      <c r="B173" s="62" t="s">
        <v>360</v>
      </c>
      <c r="C173" s="62" t="s">
        <v>354</v>
      </c>
      <c r="D173" s="65">
        <f>(31.87)*10.764</f>
        <v>343.04867999999999</v>
      </c>
      <c r="E173" s="65">
        <v>0</v>
      </c>
      <c r="F173" s="62">
        <f>D173+E173</f>
        <v>343.04867999999999</v>
      </c>
      <c r="G173" s="62">
        <v>0</v>
      </c>
      <c r="H173" s="80">
        <v>616</v>
      </c>
      <c r="I173" s="31">
        <f>3.5*2.75+1.6*0.9+2.1*3.15+2.75*3.4+1.5*0.9+1.5*1.2+1.6*0.9</f>
        <v>31.620000000000005</v>
      </c>
    </row>
    <row r="174" spans="1:20" s="32" customFormat="1" ht="15.75" customHeight="1" x14ac:dyDescent="0.35">
      <c r="A174" s="62">
        <f>A173+1</f>
        <v>3</v>
      </c>
      <c r="B174" s="62" t="s">
        <v>360</v>
      </c>
      <c r="C174" s="62" t="s">
        <v>354</v>
      </c>
      <c r="D174" s="65">
        <f>(31.87)*10.764</f>
        <v>343.04867999999999</v>
      </c>
      <c r="E174" s="65">
        <v>0</v>
      </c>
      <c r="F174" s="62">
        <f>D174+E174</f>
        <v>343.04867999999999</v>
      </c>
      <c r="G174" s="62">
        <v>0</v>
      </c>
      <c r="H174" s="80">
        <v>616</v>
      </c>
      <c r="I174" s="31"/>
    </row>
    <row r="175" spans="1:20" s="30" customFormat="1" x14ac:dyDescent="0.35">
      <c r="A175" s="62" t="s">
        <v>358</v>
      </c>
      <c r="B175" s="121" t="s">
        <v>359</v>
      </c>
      <c r="C175" s="164"/>
      <c r="D175" s="164"/>
      <c r="E175" s="164"/>
      <c r="F175" s="164"/>
      <c r="G175" s="122"/>
      <c r="H175" s="62" t="s">
        <v>358</v>
      </c>
      <c r="T175" s="32"/>
    </row>
    <row r="176" spans="1:20" s="30" customFormat="1" x14ac:dyDescent="0.35">
      <c r="A176" s="215" t="s">
        <v>366</v>
      </c>
      <c r="B176" s="215"/>
      <c r="C176" s="215"/>
      <c r="D176" s="215"/>
      <c r="E176" s="215"/>
      <c r="F176" s="215"/>
      <c r="G176" s="215"/>
      <c r="H176" s="215"/>
      <c r="T176" s="32"/>
    </row>
    <row r="177" spans="1:20" s="30" customFormat="1" x14ac:dyDescent="0.35">
      <c r="A177" s="62">
        <v>1</v>
      </c>
      <c r="B177" s="62" t="s">
        <v>360</v>
      </c>
      <c r="C177" s="62" t="s">
        <v>354</v>
      </c>
      <c r="D177" s="65">
        <f t="shared" ref="D177:D188" si="7">(33.97)*10.764</f>
        <v>365.65307999999999</v>
      </c>
      <c r="E177" s="65">
        <f>(1.987)*10.764</f>
        <v>21.388068000000001</v>
      </c>
      <c r="F177" s="62">
        <f t="shared" ref="F177:F188" si="8">D177+E177</f>
        <v>387.04114799999996</v>
      </c>
      <c r="G177" s="62">
        <v>0</v>
      </c>
      <c r="H177" s="80">
        <v>616</v>
      </c>
      <c r="T177" s="32"/>
    </row>
    <row r="178" spans="1:20" s="30" customFormat="1" x14ac:dyDescent="0.35">
      <c r="A178" s="62">
        <f>A177+1</f>
        <v>2</v>
      </c>
      <c r="B178" s="62" t="s">
        <v>360</v>
      </c>
      <c r="C178" s="62" t="s">
        <v>354</v>
      </c>
      <c r="D178" s="65">
        <f t="shared" si="7"/>
        <v>365.65307999999999</v>
      </c>
      <c r="E178" s="65">
        <f>(1.987)*10.764</f>
        <v>21.388068000000001</v>
      </c>
      <c r="F178" s="62">
        <f t="shared" si="8"/>
        <v>387.04114799999996</v>
      </c>
      <c r="G178" s="62">
        <v>0</v>
      </c>
      <c r="H178" s="80">
        <v>616</v>
      </c>
      <c r="T178" s="32"/>
    </row>
    <row r="179" spans="1:20" s="30" customFormat="1" x14ac:dyDescent="0.35">
      <c r="A179" s="62">
        <f>A178+1</f>
        <v>3</v>
      </c>
      <c r="B179" s="62" t="s">
        <v>360</v>
      </c>
      <c r="C179" s="62" t="s">
        <v>354</v>
      </c>
      <c r="D179" s="65">
        <f t="shared" si="7"/>
        <v>365.65307999999999</v>
      </c>
      <c r="E179" s="65">
        <f>(2.154)*10.764</f>
        <v>23.185655999999998</v>
      </c>
      <c r="F179" s="62">
        <f t="shared" si="8"/>
        <v>388.83873599999998</v>
      </c>
      <c r="G179" s="62">
        <v>0</v>
      </c>
      <c r="H179" s="80">
        <v>616</v>
      </c>
      <c r="T179" s="32"/>
    </row>
    <row r="180" spans="1:20" s="30" customFormat="1" x14ac:dyDescent="0.35">
      <c r="A180" s="62">
        <f>A179+1</f>
        <v>4</v>
      </c>
      <c r="B180" s="62" t="s">
        <v>360</v>
      </c>
      <c r="C180" s="62" t="s">
        <v>354</v>
      </c>
      <c r="D180" s="65">
        <f t="shared" si="7"/>
        <v>365.65307999999999</v>
      </c>
      <c r="E180" s="65">
        <f>(2.154)*10.764</f>
        <v>23.185655999999998</v>
      </c>
      <c r="F180" s="62">
        <f t="shared" si="8"/>
        <v>388.83873599999998</v>
      </c>
      <c r="G180" s="62">
        <v>0</v>
      </c>
      <c r="H180" s="80">
        <v>616</v>
      </c>
      <c r="T180" s="32"/>
    </row>
    <row r="181" spans="1:20" s="30" customFormat="1" x14ac:dyDescent="0.35">
      <c r="A181" s="62">
        <f>A180+1</f>
        <v>5</v>
      </c>
      <c r="B181" s="62" t="s">
        <v>360</v>
      </c>
      <c r="C181" s="62" t="s">
        <v>354</v>
      </c>
      <c r="D181" s="65">
        <f t="shared" si="7"/>
        <v>365.65307999999999</v>
      </c>
      <c r="E181" s="65">
        <f>(1.987)*10.764</f>
        <v>21.388068000000001</v>
      </c>
      <c r="F181" s="62">
        <f t="shared" si="8"/>
        <v>387.04114799999996</v>
      </c>
      <c r="G181" s="62">
        <v>0</v>
      </c>
      <c r="H181" s="80">
        <v>616</v>
      </c>
    </row>
    <row r="182" spans="1:20" s="30" customFormat="1" x14ac:dyDescent="0.35">
      <c r="A182" s="62">
        <v>6</v>
      </c>
      <c r="B182" s="62" t="s">
        <v>360</v>
      </c>
      <c r="C182" s="62" t="s">
        <v>354</v>
      </c>
      <c r="D182" s="65">
        <f t="shared" si="7"/>
        <v>365.65307999999999</v>
      </c>
      <c r="E182" s="65">
        <f>(1.987)*10.764</f>
        <v>21.388068000000001</v>
      </c>
      <c r="F182" s="62">
        <f t="shared" si="8"/>
        <v>387.04114799999996</v>
      </c>
      <c r="G182" s="62">
        <v>0</v>
      </c>
      <c r="H182" s="80">
        <v>616</v>
      </c>
      <c r="I182" s="30">
        <f>1.325*1.5</f>
        <v>1.9874999999999998</v>
      </c>
    </row>
    <row r="183" spans="1:20" s="30" customFormat="1" x14ac:dyDescent="0.35">
      <c r="A183" s="62">
        <f t="shared" ref="A183:A188" si="9">A182+1</f>
        <v>7</v>
      </c>
      <c r="B183" s="62" t="s">
        <v>360</v>
      </c>
      <c r="C183" s="62" t="s">
        <v>354</v>
      </c>
      <c r="D183" s="65">
        <f t="shared" si="7"/>
        <v>365.65307999999999</v>
      </c>
      <c r="E183" s="65">
        <f>(1.987)*10.764</f>
        <v>21.388068000000001</v>
      </c>
      <c r="F183" s="62">
        <f t="shared" si="8"/>
        <v>387.04114799999996</v>
      </c>
      <c r="G183" s="62">
        <v>0</v>
      </c>
      <c r="H183" s="80">
        <v>616</v>
      </c>
    </row>
    <row r="184" spans="1:20" s="30" customFormat="1" x14ac:dyDescent="0.35">
      <c r="A184" s="62">
        <f t="shared" si="9"/>
        <v>8</v>
      </c>
      <c r="B184" s="62" t="s">
        <v>360</v>
      </c>
      <c r="C184" s="62" t="s">
        <v>354</v>
      </c>
      <c r="D184" s="65">
        <f t="shared" si="7"/>
        <v>365.65307999999999</v>
      </c>
      <c r="E184" s="65">
        <f>(1.987)*10.764</f>
        <v>21.388068000000001</v>
      </c>
      <c r="F184" s="62">
        <f t="shared" si="8"/>
        <v>387.04114799999996</v>
      </c>
      <c r="G184" s="62">
        <v>0</v>
      </c>
      <c r="H184" s="80">
        <v>616</v>
      </c>
    </row>
    <row r="185" spans="1:20" s="30" customFormat="1" x14ac:dyDescent="0.35">
      <c r="A185" s="62">
        <f t="shared" si="9"/>
        <v>9</v>
      </c>
      <c r="B185" s="62" t="s">
        <v>360</v>
      </c>
      <c r="C185" s="62" t="s">
        <v>354</v>
      </c>
      <c r="D185" s="65">
        <f t="shared" si="7"/>
        <v>365.65307999999999</v>
      </c>
      <c r="E185" s="65">
        <f>(2.154)*10.764</f>
        <v>23.185655999999998</v>
      </c>
      <c r="F185" s="62">
        <f t="shared" si="8"/>
        <v>388.83873599999998</v>
      </c>
      <c r="G185" s="62">
        <v>0</v>
      </c>
      <c r="H185" s="80">
        <v>616</v>
      </c>
    </row>
    <row r="186" spans="1:20" s="30" customFormat="1" x14ac:dyDescent="0.35">
      <c r="A186" s="62">
        <f t="shared" si="9"/>
        <v>10</v>
      </c>
      <c r="B186" s="62" t="s">
        <v>360</v>
      </c>
      <c r="C186" s="62" t="s">
        <v>354</v>
      </c>
      <c r="D186" s="65">
        <f t="shared" si="7"/>
        <v>365.65307999999999</v>
      </c>
      <c r="E186" s="65">
        <f>(2.154)*10.764</f>
        <v>23.185655999999998</v>
      </c>
      <c r="F186" s="62">
        <f t="shared" si="8"/>
        <v>388.83873599999998</v>
      </c>
      <c r="G186" s="62">
        <v>0</v>
      </c>
      <c r="H186" s="80">
        <v>616</v>
      </c>
    </row>
    <row r="187" spans="1:20" x14ac:dyDescent="0.35">
      <c r="A187" s="62">
        <f t="shared" si="9"/>
        <v>11</v>
      </c>
      <c r="B187" s="62" t="s">
        <v>360</v>
      </c>
      <c r="C187" s="62" t="s">
        <v>354</v>
      </c>
      <c r="D187" s="65">
        <f t="shared" si="7"/>
        <v>365.65307999999999</v>
      </c>
      <c r="E187" s="65">
        <f>(1.987)*10.764</f>
        <v>21.388068000000001</v>
      </c>
      <c r="F187" s="62">
        <f t="shared" si="8"/>
        <v>387.04114799999996</v>
      </c>
      <c r="G187" s="62">
        <v>0</v>
      </c>
      <c r="H187" s="80">
        <v>616</v>
      </c>
      <c r="T187" s="30"/>
    </row>
    <row r="188" spans="1:20" x14ac:dyDescent="0.35">
      <c r="A188" s="62">
        <f t="shared" si="9"/>
        <v>12</v>
      </c>
      <c r="B188" s="62" t="s">
        <v>360</v>
      </c>
      <c r="C188" s="62" t="s">
        <v>354</v>
      </c>
      <c r="D188" s="65">
        <f t="shared" si="7"/>
        <v>365.65307999999999</v>
      </c>
      <c r="E188" s="65">
        <f>(1.987)*10.764</f>
        <v>21.388068000000001</v>
      </c>
      <c r="F188" s="62">
        <f t="shared" si="8"/>
        <v>387.04114799999996</v>
      </c>
      <c r="G188" s="62">
        <v>0</v>
      </c>
      <c r="H188" s="80">
        <v>616</v>
      </c>
      <c r="T188" s="30"/>
    </row>
    <row r="189" spans="1:20" ht="15.75" customHeight="1" x14ac:dyDescent="0.35">
      <c r="A189" s="145" t="s">
        <v>361</v>
      </c>
      <c r="B189" s="146"/>
      <c r="C189" s="146"/>
      <c r="D189" s="146"/>
      <c r="E189" s="146"/>
      <c r="F189" s="146"/>
      <c r="G189" s="146"/>
      <c r="H189" s="147"/>
      <c r="T189" s="30"/>
    </row>
    <row r="190" spans="1:20" x14ac:dyDescent="0.35">
      <c r="A190" s="62">
        <v>1</v>
      </c>
      <c r="B190" s="62" t="s">
        <v>357</v>
      </c>
      <c r="C190" s="62" t="s">
        <v>354</v>
      </c>
      <c r="D190" s="65">
        <f t="shared" ref="D190:D201" si="10">(33.97)*10.764</f>
        <v>365.65307999999999</v>
      </c>
      <c r="E190" s="65">
        <f>(1.987)*10.764</f>
        <v>21.388068000000001</v>
      </c>
      <c r="F190" s="62">
        <f t="shared" ref="F190:F201" si="11">D190+E190</f>
        <v>387.04114799999996</v>
      </c>
      <c r="G190" s="62">
        <v>0</v>
      </c>
      <c r="H190" s="80">
        <v>616</v>
      </c>
      <c r="T190" s="30"/>
    </row>
    <row r="191" spans="1:20" x14ac:dyDescent="0.35">
      <c r="A191" s="62">
        <f>A190+1</f>
        <v>2</v>
      </c>
      <c r="B191" s="62" t="s">
        <v>357</v>
      </c>
      <c r="C191" s="62" t="s">
        <v>354</v>
      </c>
      <c r="D191" s="65">
        <f t="shared" si="10"/>
        <v>365.65307999999999</v>
      </c>
      <c r="E191" s="65">
        <f>(1.987)*10.764</f>
        <v>21.388068000000001</v>
      </c>
      <c r="F191" s="62">
        <f t="shared" si="11"/>
        <v>387.04114799999996</v>
      </c>
      <c r="G191" s="62">
        <v>0</v>
      </c>
      <c r="H191" s="80">
        <v>616</v>
      </c>
      <c r="T191" s="30"/>
    </row>
    <row r="192" spans="1:20" x14ac:dyDescent="0.35">
      <c r="A192" s="62">
        <f>A191+1</f>
        <v>3</v>
      </c>
      <c r="B192" s="62" t="s">
        <v>357</v>
      </c>
      <c r="C192" s="62" t="s">
        <v>354</v>
      </c>
      <c r="D192" s="65">
        <f t="shared" si="10"/>
        <v>365.65307999999999</v>
      </c>
      <c r="E192" s="65">
        <f>(2.154)*10.764</f>
        <v>23.185655999999998</v>
      </c>
      <c r="F192" s="62">
        <f t="shared" si="11"/>
        <v>388.83873599999998</v>
      </c>
      <c r="G192" s="62">
        <v>0</v>
      </c>
      <c r="H192" s="80">
        <v>616</v>
      </c>
      <c r="T192" s="30"/>
    </row>
    <row r="193" spans="1:10" x14ac:dyDescent="0.35">
      <c r="A193" s="62">
        <f>A192+1</f>
        <v>4</v>
      </c>
      <c r="B193" s="62" t="s">
        <v>357</v>
      </c>
      <c r="C193" s="62" t="s">
        <v>354</v>
      </c>
      <c r="D193" s="65">
        <f t="shared" si="10"/>
        <v>365.65307999999999</v>
      </c>
      <c r="E193" s="65">
        <f>(2.154)*10.764</f>
        <v>23.185655999999998</v>
      </c>
      <c r="F193" s="62">
        <f t="shared" si="11"/>
        <v>388.83873599999998</v>
      </c>
      <c r="G193" s="62">
        <v>0</v>
      </c>
      <c r="H193" s="80">
        <v>616</v>
      </c>
    </row>
    <row r="194" spans="1:10" x14ac:dyDescent="0.35">
      <c r="A194" s="62">
        <f>A193+1</f>
        <v>5</v>
      </c>
      <c r="B194" s="62" t="s">
        <v>357</v>
      </c>
      <c r="C194" s="62" t="s">
        <v>354</v>
      </c>
      <c r="D194" s="65">
        <f t="shared" si="10"/>
        <v>365.65307999999999</v>
      </c>
      <c r="E194" s="65">
        <f>(1.987)*10.764</f>
        <v>21.388068000000001</v>
      </c>
      <c r="F194" s="62">
        <f t="shared" si="11"/>
        <v>387.04114799999996</v>
      </c>
      <c r="G194" s="62">
        <v>0</v>
      </c>
      <c r="H194" s="80">
        <v>616</v>
      </c>
    </row>
    <row r="195" spans="1:10" x14ac:dyDescent="0.35">
      <c r="A195" s="62">
        <v>6</v>
      </c>
      <c r="B195" s="62" t="s">
        <v>357</v>
      </c>
      <c r="C195" s="62" t="s">
        <v>354</v>
      </c>
      <c r="D195" s="65">
        <f t="shared" si="10"/>
        <v>365.65307999999999</v>
      </c>
      <c r="E195" s="65">
        <f>(1.987)*10.764</f>
        <v>21.388068000000001</v>
      </c>
      <c r="F195" s="62">
        <f t="shared" si="11"/>
        <v>387.04114799999996</v>
      </c>
      <c r="G195" s="62">
        <v>0</v>
      </c>
      <c r="H195" s="80">
        <v>616</v>
      </c>
    </row>
    <row r="196" spans="1:10" x14ac:dyDescent="0.35">
      <c r="A196" s="62">
        <f t="shared" ref="A196:A201" si="12">A195+1</f>
        <v>7</v>
      </c>
      <c r="B196" s="62" t="s">
        <v>357</v>
      </c>
      <c r="C196" s="62" t="s">
        <v>354</v>
      </c>
      <c r="D196" s="65">
        <f t="shared" si="10"/>
        <v>365.65307999999999</v>
      </c>
      <c r="E196" s="65">
        <f>(1.987)*10.764</f>
        <v>21.388068000000001</v>
      </c>
      <c r="F196" s="62">
        <f t="shared" si="11"/>
        <v>387.04114799999996</v>
      </c>
      <c r="G196" s="62">
        <v>0</v>
      </c>
      <c r="H196" s="80">
        <v>616</v>
      </c>
    </row>
    <row r="197" spans="1:10" x14ac:dyDescent="0.35">
      <c r="A197" s="62">
        <f t="shared" si="12"/>
        <v>8</v>
      </c>
      <c r="B197" s="62" t="s">
        <v>357</v>
      </c>
      <c r="C197" s="62" t="s">
        <v>354</v>
      </c>
      <c r="D197" s="65">
        <f t="shared" si="10"/>
        <v>365.65307999999999</v>
      </c>
      <c r="E197" s="65">
        <f>(1.987)*10.764</f>
        <v>21.388068000000001</v>
      </c>
      <c r="F197" s="62">
        <f t="shared" si="11"/>
        <v>387.04114799999996</v>
      </c>
      <c r="G197" s="62">
        <v>0</v>
      </c>
      <c r="H197" s="80">
        <v>616</v>
      </c>
    </row>
    <row r="198" spans="1:10" x14ac:dyDescent="0.35">
      <c r="A198" s="62">
        <f t="shared" si="12"/>
        <v>9</v>
      </c>
      <c r="B198" s="62" t="s">
        <v>357</v>
      </c>
      <c r="C198" s="62" t="s">
        <v>354</v>
      </c>
      <c r="D198" s="65">
        <f t="shared" si="10"/>
        <v>365.65307999999999</v>
      </c>
      <c r="E198" s="65">
        <f>(2.154)*10.764</f>
        <v>23.185655999999998</v>
      </c>
      <c r="F198" s="62">
        <f t="shared" si="11"/>
        <v>388.83873599999998</v>
      </c>
      <c r="G198" s="62">
        <v>0</v>
      </c>
      <c r="H198" s="80">
        <v>616</v>
      </c>
    </row>
    <row r="199" spans="1:10" x14ac:dyDescent="0.35">
      <c r="A199" s="62">
        <f t="shared" si="12"/>
        <v>10</v>
      </c>
      <c r="B199" s="62" t="s">
        <v>357</v>
      </c>
      <c r="C199" s="62" t="s">
        <v>354</v>
      </c>
      <c r="D199" s="65">
        <f t="shared" si="10"/>
        <v>365.65307999999999</v>
      </c>
      <c r="E199" s="65">
        <f>(2.154)*10.764</f>
        <v>23.185655999999998</v>
      </c>
      <c r="F199" s="62">
        <f t="shared" si="11"/>
        <v>388.83873599999998</v>
      </c>
      <c r="G199" s="62">
        <v>0</v>
      </c>
      <c r="H199" s="80">
        <v>616</v>
      </c>
    </row>
    <row r="200" spans="1:10" ht="15" customHeight="1" x14ac:dyDescent="0.35">
      <c r="A200" s="62">
        <f t="shared" si="12"/>
        <v>11</v>
      </c>
      <c r="B200" s="62" t="s">
        <v>357</v>
      </c>
      <c r="C200" s="62" t="s">
        <v>354</v>
      </c>
      <c r="D200" s="65">
        <f t="shared" si="10"/>
        <v>365.65307999999999</v>
      </c>
      <c r="E200" s="65">
        <f>(1.987)*10.764</f>
        <v>21.388068000000001</v>
      </c>
      <c r="F200" s="62">
        <f t="shared" si="11"/>
        <v>387.04114799999996</v>
      </c>
      <c r="G200" s="62">
        <v>0</v>
      </c>
      <c r="H200" s="80">
        <v>616</v>
      </c>
    </row>
    <row r="201" spans="1:10" x14ac:dyDescent="0.35">
      <c r="A201" s="62">
        <f t="shared" si="12"/>
        <v>12</v>
      </c>
      <c r="B201" s="62" t="s">
        <v>357</v>
      </c>
      <c r="C201" s="62" t="s">
        <v>354</v>
      </c>
      <c r="D201" s="65">
        <f t="shared" si="10"/>
        <v>365.65307999999999</v>
      </c>
      <c r="E201" s="65">
        <f>(1.987)*10.764</f>
        <v>21.388068000000001</v>
      </c>
      <c r="F201" s="62">
        <f t="shared" si="11"/>
        <v>387.04114799999996</v>
      </c>
      <c r="G201" s="62">
        <v>0</v>
      </c>
      <c r="H201" s="80">
        <v>616</v>
      </c>
    </row>
    <row r="202" spans="1:10" x14ac:dyDescent="0.35">
      <c r="A202" s="145" t="s">
        <v>368</v>
      </c>
      <c r="B202" s="146"/>
      <c r="C202" s="146"/>
      <c r="D202" s="146"/>
      <c r="E202" s="146"/>
      <c r="F202" s="146"/>
      <c r="G202" s="146"/>
      <c r="H202" s="147"/>
    </row>
    <row r="203" spans="1:10" x14ac:dyDescent="0.35">
      <c r="A203" s="145" t="s">
        <v>352</v>
      </c>
      <c r="B203" s="146"/>
      <c r="C203" s="146"/>
      <c r="D203" s="146"/>
      <c r="E203" s="146"/>
      <c r="F203" s="146"/>
      <c r="G203" s="146"/>
      <c r="H203" s="147"/>
      <c r="I203" s="86">
        <v>10.763999999999999</v>
      </c>
    </row>
    <row r="204" spans="1:10" x14ac:dyDescent="0.35">
      <c r="A204" s="145" t="s">
        <v>353</v>
      </c>
      <c r="B204" s="146"/>
      <c r="C204" s="146"/>
      <c r="D204" s="146"/>
      <c r="E204" s="146"/>
      <c r="F204" s="146"/>
      <c r="G204" s="146"/>
      <c r="H204" s="147"/>
    </row>
    <row r="205" spans="1:10" x14ac:dyDescent="0.35">
      <c r="A205" s="62">
        <v>1</v>
      </c>
      <c r="B205" s="62" t="s">
        <v>357</v>
      </c>
      <c r="C205" s="62" t="s">
        <v>354</v>
      </c>
      <c r="D205" s="71">
        <f>(29.793)*10.764</f>
        <v>320.69185199999998</v>
      </c>
      <c r="E205" s="71">
        <f>(5.25+1.987)*10.764</f>
        <v>77.899068</v>
      </c>
      <c r="F205" s="62">
        <f t="shared" ref="F205:F210" si="13">D205+E205</f>
        <v>398.59091999999998</v>
      </c>
      <c r="G205" s="62">
        <v>0</v>
      </c>
      <c r="H205" s="80">
        <v>616</v>
      </c>
      <c r="J205" s="81">
        <f>H205/F205</f>
        <v>1.5454441360580919</v>
      </c>
    </row>
    <row r="206" spans="1:10" x14ac:dyDescent="0.35">
      <c r="A206" s="62">
        <f>A205+1</f>
        <v>2</v>
      </c>
      <c r="B206" s="62" t="s">
        <v>357</v>
      </c>
      <c r="C206" s="62" t="s">
        <v>354</v>
      </c>
      <c r="D206" s="71">
        <f>(29.793)*10.764</f>
        <v>320.69185199999998</v>
      </c>
      <c r="E206" s="71">
        <f>(5.25+1.987)*10.764</f>
        <v>77.899068</v>
      </c>
      <c r="F206" s="62">
        <f t="shared" si="13"/>
        <v>398.59091999999998</v>
      </c>
      <c r="G206" s="62">
        <v>0</v>
      </c>
      <c r="H206" s="80">
        <v>616</v>
      </c>
      <c r="J206" s="81">
        <f t="shared" ref="J206:J210" si="14">H206/F206</f>
        <v>1.5454441360580919</v>
      </c>
    </row>
    <row r="207" spans="1:10" x14ac:dyDescent="0.35">
      <c r="A207" s="62">
        <f>A206+1</f>
        <v>3</v>
      </c>
      <c r="B207" s="62" t="s">
        <v>357</v>
      </c>
      <c r="C207" s="62" t="s">
        <v>354</v>
      </c>
      <c r="D207" s="71">
        <f>(29.793)*10.764</f>
        <v>320.69185199999998</v>
      </c>
      <c r="E207" s="71">
        <f>(5.25+2.1)*10.764</f>
        <v>79.115399999999994</v>
      </c>
      <c r="F207" s="62">
        <f t="shared" si="13"/>
        <v>399.80725199999995</v>
      </c>
      <c r="G207" s="62">
        <v>0</v>
      </c>
      <c r="H207" s="80">
        <v>616</v>
      </c>
      <c r="J207" s="81">
        <f t="shared" si="14"/>
        <v>1.5407424375583865</v>
      </c>
    </row>
    <row r="208" spans="1:10" x14ac:dyDescent="0.35">
      <c r="A208" s="62">
        <f>A207+1</f>
        <v>4</v>
      </c>
      <c r="B208" s="62" t="s">
        <v>357</v>
      </c>
      <c r="C208" s="62" t="s">
        <v>354</v>
      </c>
      <c r="D208" s="71">
        <f>(29.793)*10.764</f>
        <v>320.69185199999998</v>
      </c>
      <c r="E208" s="71">
        <f>(5.25+2.1)*10.764</f>
        <v>79.115399999999994</v>
      </c>
      <c r="F208" s="62">
        <f t="shared" si="13"/>
        <v>399.80725199999995</v>
      </c>
      <c r="G208" s="62">
        <v>0</v>
      </c>
      <c r="H208" s="80">
        <v>616</v>
      </c>
      <c r="J208" s="81">
        <f t="shared" si="14"/>
        <v>1.5407424375583865</v>
      </c>
    </row>
    <row r="209" spans="1:12" x14ac:dyDescent="0.35">
      <c r="A209" s="62">
        <f>A208+1</f>
        <v>5</v>
      </c>
      <c r="B209" s="62" t="s">
        <v>357</v>
      </c>
      <c r="C209" s="62" t="s">
        <v>354</v>
      </c>
      <c r="D209" s="71">
        <f>(29.793)*10.764</f>
        <v>320.69185199999998</v>
      </c>
      <c r="E209" s="71">
        <f>(5.25+1.927)*10.764</f>
        <v>77.253227999999993</v>
      </c>
      <c r="F209" s="62">
        <f t="shared" si="13"/>
        <v>397.94507999999996</v>
      </c>
      <c r="G209" s="62">
        <v>0</v>
      </c>
      <c r="H209" s="80">
        <v>616</v>
      </c>
      <c r="J209" s="81">
        <f t="shared" si="14"/>
        <v>1.5479522953267824</v>
      </c>
    </row>
    <row r="210" spans="1:12" x14ac:dyDescent="0.35">
      <c r="A210" s="62">
        <v>6</v>
      </c>
      <c r="B210" s="62" t="s">
        <v>357</v>
      </c>
      <c r="C210" s="62" t="s">
        <v>369</v>
      </c>
      <c r="D210" s="71">
        <f>(48)*10.764</f>
        <v>516.67200000000003</v>
      </c>
      <c r="E210" s="71">
        <f>(5.85)*10.764</f>
        <v>62.969399999999993</v>
      </c>
      <c r="F210" s="62">
        <f t="shared" si="13"/>
        <v>579.64139999999998</v>
      </c>
      <c r="G210" s="62">
        <v>0</v>
      </c>
      <c r="H210" s="62">
        <v>895</v>
      </c>
      <c r="J210" s="81">
        <f t="shared" si="14"/>
        <v>1.5440581021300412</v>
      </c>
    </row>
    <row r="211" spans="1:12" x14ac:dyDescent="0.35">
      <c r="A211" s="145" t="s">
        <v>371</v>
      </c>
      <c r="B211" s="146"/>
      <c r="C211" s="146"/>
      <c r="D211" s="146"/>
      <c r="E211" s="146"/>
      <c r="F211" s="146"/>
      <c r="G211" s="146"/>
      <c r="H211" s="147"/>
    </row>
    <row r="212" spans="1:12" x14ac:dyDescent="0.35">
      <c r="A212" s="145" t="s">
        <v>352</v>
      </c>
      <c r="B212" s="146"/>
      <c r="C212" s="146"/>
      <c r="D212" s="146"/>
      <c r="E212" s="146"/>
      <c r="F212" s="146"/>
      <c r="G212" s="146"/>
      <c r="H212" s="147"/>
    </row>
    <row r="213" spans="1:12" x14ac:dyDescent="0.35">
      <c r="A213" s="145" t="s">
        <v>353</v>
      </c>
      <c r="B213" s="146"/>
      <c r="C213" s="146"/>
      <c r="D213" s="146"/>
      <c r="E213" s="146"/>
      <c r="F213" s="146"/>
      <c r="G213" s="146"/>
      <c r="H213" s="147"/>
      <c r="J213" s="16">
        <v>4600</v>
      </c>
    </row>
    <row r="214" spans="1:12" x14ac:dyDescent="0.35">
      <c r="A214" s="62">
        <v>1</v>
      </c>
      <c r="B214" s="62" t="s">
        <v>357</v>
      </c>
      <c r="C214" s="62" t="s">
        <v>354</v>
      </c>
      <c r="D214" s="71">
        <f>(29.793)*10.764</f>
        <v>320.69185199999998</v>
      </c>
      <c r="E214" s="71">
        <f>(5.25+1.987)*10.764</f>
        <v>77.899068</v>
      </c>
      <c r="F214" s="62">
        <f t="shared" ref="F214:F219" si="15">D214+E214</f>
        <v>398.59091999999998</v>
      </c>
      <c r="G214" s="62">
        <v>0</v>
      </c>
      <c r="H214" s="80">
        <v>616</v>
      </c>
      <c r="J214" s="16">
        <f>J$213*H214</f>
        <v>2833600</v>
      </c>
      <c r="L214" s="16">
        <f>H214/F214</f>
        <v>1.5454441360580919</v>
      </c>
    </row>
    <row r="215" spans="1:12" x14ac:dyDescent="0.35">
      <c r="A215" s="62">
        <f>A214+1</f>
        <v>2</v>
      </c>
      <c r="B215" s="62" t="s">
        <v>357</v>
      </c>
      <c r="C215" s="62" t="s">
        <v>354</v>
      </c>
      <c r="D215" s="71">
        <f>(29.793)*10.764</f>
        <v>320.69185199999998</v>
      </c>
      <c r="E215" s="71">
        <f>(5.25+1.987)*10.764</f>
        <v>77.899068</v>
      </c>
      <c r="F215" s="62">
        <f t="shared" si="15"/>
        <v>398.59091999999998</v>
      </c>
      <c r="G215" s="62">
        <v>0</v>
      </c>
      <c r="H215" s="80">
        <v>616</v>
      </c>
      <c r="J215" s="16">
        <f t="shared" ref="J215:J219" si="16">J$213*H215</f>
        <v>2833600</v>
      </c>
      <c r="L215" s="16">
        <f t="shared" ref="L215:L220" si="17">H215/F215</f>
        <v>1.5454441360580919</v>
      </c>
    </row>
    <row r="216" spans="1:12" x14ac:dyDescent="0.35">
      <c r="A216" s="62">
        <f>A215+1</f>
        <v>3</v>
      </c>
      <c r="B216" s="62" t="s">
        <v>357</v>
      </c>
      <c r="C216" s="62" t="s">
        <v>354</v>
      </c>
      <c r="D216" s="71">
        <f>(29.793)*10.764</f>
        <v>320.69185199999998</v>
      </c>
      <c r="E216" s="71">
        <f>(5.25+2.1)*10.764</f>
        <v>79.115399999999994</v>
      </c>
      <c r="F216" s="62">
        <f t="shared" si="15"/>
        <v>399.80725199999995</v>
      </c>
      <c r="G216" s="62">
        <v>0</v>
      </c>
      <c r="H216" s="80">
        <v>616</v>
      </c>
      <c r="J216" s="16">
        <f t="shared" si="16"/>
        <v>2833600</v>
      </c>
      <c r="L216" s="16">
        <f t="shared" si="17"/>
        <v>1.5407424375583865</v>
      </c>
    </row>
    <row r="217" spans="1:12" x14ac:dyDescent="0.35">
      <c r="A217" s="62">
        <f>A216+1</f>
        <v>4</v>
      </c>
      <c r="B217" s="62" t="s">
        <v>357</v>
      </c>
      <c r="C217" s="62" t="s">
        <v>354</v>
      </c>
      <c r="D217" s="71">
        <f>(29.793)*10.764</f>
        <v>320.69185199999998</v>
      </c>
      <c r="E217" s="71">
        <f>(5.25+2.1)*10.764</f>
        <v>79.115399999999994</v>
      </c>
      <c r="F217" s="62">
        <f t="shared" si="15"/>
        <v>399.80725199999995</v>
      </c>
      <c r="G217" s="62">
        <v>0</v>
      </c>
      <c r="H217" s="80">
        <v>616</v>
      </c>
      <c r="J217" s="16">
        <f t="shared" si="16"/>
        <v>2833600</v>
      </c>
      <c r="L217" s="16">
        <f t="shared" si="17"/>
        <v>1.5407424375583865</v>
      </c>
    </row>
    <row r="218" spans="1:12" x14ac:dyDescent="0.35">
      <c r="A218" s="62">
        <f>A217+1</f>
        <v>5</v>
      </c>
      <c r="B218" s="62" t="s">
        <v>357</v>
      </c>
      <c r="C218" s="62" t="s">
        <v>354</v>
      </c>
      <c r="D218" s="71">
        <f>(29.793)*10.764</f>
        <v>320.69185199999998</v>
      </c>
      <c r="E218" s="71">
        <f>(5.25+1.927)*10.764</f>
        <v>77.253227999999993</v>
      </c>
      <c r="F218" s="62">
        <f t="shared" si="15"/>
        <v>397.94507999999996</v>
      </c>
      <c r="G218" s="62">
        <v>0</v>
      </c>
      <c r="H218" s="80">
        <v>616</v>
      </c>
      <c r="I218" s="16">
        <f>2700000/H218</f>
        <v>4383.1168831168834</v>
      </c>
      <c r="J218" s="16">
        <f t="shared" si="16"/>
        <v>2833600</v>
      </c>
      <c r="L218" s="16">
        <f t="shared" si="17"/>
        <v>1.5479522953267824</v>
      </c>
    </row>
    <row r="219" spans="1:12" x14ac:dyDescent="0.35">
      <c r="A219" s="62">
        <v>6</v>
      </c>
      <c r="B219" s="62" t="s">
        <v>357</v>
      </c>
      <c r="C219" s="62" t="s">
        <v>369</v>
      </c>
      <c r="D219" s="71">
        <f>(48)*10.764</f>
        <v>516.67200000000003</v>
      </c>
      <c r="E219" s="71">
        <f>(5.85)*10.764</f>
        <v>62.969399999999993</v>
      </c>
      <c r="F219" s="62">
        <f t="shared" si="15"/>
        <v>579.64139999999998</v>
      </c>
      <c r="G219" s="62">
        <v>0</v>
      </c>
      <c r="H219" s="62">
        <v>895</v>
      </c>
      <c r="I219" s="16">
        <f>3900000/H219</f>
        <v>4357.5418994413412</v>
      </c>
      <c r="J219" s="16">
        <f t="shared" si="16"/>
        <v>4117000</v>
      </c>
      <c r="L219" s="82">
        <f t="shared" si="17"/>
        <v>1.5440581021300412</v>
      </c>
    </row>
    <row r="220" spans="1:12" x14ac:dyDescent="0.35">
      <c r="A220" s="121"/>
      <c r="B220" s="164"/>
      <c r="C220" s="164"/>
      <c r="D220" s="164"/>
      <c r="E220" s="164"/>
      <c r="F220" s="164"/>
      <c r="G220" s="164"/>
      <c r="H220" s="122"/>
      <c r="L220" s="16" t="e">
        <f t="shared" si="17"/>
        <v>#DIV/0!</v>
      </c>
    </row>
    <row r="221" spans="1:12" x14ac:dyDescent="0.35">
      <c r="A221" s="163" t="s">
        <v>64</v>
      </c>
      <c r="B221" s="163"/>
      <c r="C221" s="163"/>
      <c r="D221" s="163"/>
      <c r="E221" s="163"/>
      <c r="F221" s="163"/>
      <c r="G221" s="163"/>
      <c r="H221" s="163"/>
    </row>
    <row r="222" spans="1:12" ht="78.5" customHeight="1" x14ac:dyDescent="0.35">
      <c r="A222" s="73" t="s">
        <v>147</v>
      </c>
      <c r="B222" s="160" t="s">
        <v>387</v>
      </c>
      <c r="C222" s="161"/>
      <c r="D222" s="161"/>
      <c r="E222" s="161"/>
      <c r="F222" s="161"/>
      <c r="G222" s="161"/>
      <c r="H222" s="162"/>
    </row>
    <row r="223" spans="1:12" x14ac:dyDescent="0.35">
      <c r="A223" s="73" t="s">
        <v>147</v>
      </c>
      <c r="B223" s="160" t="str">
        <f>(IF(H155="Saleable area Loading :","We have considered Saleable area of Flats as per our Calculation.","We considered Saleable area of Flat as per Builder area Sheet."))</f>
        <v>We considered Saleable area of Flat as per Builder area Sheet.</v>
      </c>
      <c r="C223" s="161"/>
      <c r="D223" s="161"/>
      <c r="E223" s="161"/>
      <c r="F223" s="161"/>
      <c r="G223" s="161"/>
      <c r="H223" s="162"/>
    </row>
    <row r="224" spans="1:12" hidden="1" x14ac:dyDescent="0.35">
      <c r="A224" s="73" t="s">
        <v>147</v>
      </c>
      <c r="B224" s="160" t="str">
        <f>(IF(H147="Saleable area Loading :","We have considered Saleable area of Commercial as per our Calculation.","We considered Saleable area of Commercial as per Builder area Sheet."))</f>
        <v>We have considered Saleable area of Commercial as per our Calculation.</v>
      </c>
      <c r="C224" s="161"/>
      <c r="D224" s="161"/>
      <c r="E224" s="161"/>
      <c r="F224" s="161"/>
      <c r="G224" s="161"/>
      <c r="H224" s="162"/>
    </row>
    <row r="225" spans="1:8" x14ac:dyDescent="0.35">
      <c r="A225" s="73" t="s">
        <v>147</v>
      </c>
      <c r="B225" s="157" t="s">
        <v>117</v>
      </c>
      <c r="C225" s="158"/>
      <c r="D225" s="158"/>
      <c r="E225" s="158"/>
      <c r="F225" s="158"/>
      <c r="G225" s="158"/>
      <c r="H225" s="159"/>
    </row>
    <row r="226" spans="1:8" x14ac:dyDescent="0.35">
      <c r="A226" s="73" t="s">
        <v>147</v>
      </c>
      <c r="B226" s="160" t="s">
        <v>385</v>
      </c>
      <c r="C226" s="161"/>
      <c r="D226" s="161"/>
      <c r="E226" s="161"/>
      <c r="F226" s="161"/>
      <c r="G226" s="161"/>
      <c r="H226" s="162"/>
    </row>
    <row r="227" spans="1:8" x14ac:dyDescent="0.35">
      <c r="A227" s="73" t="s">
        <v>147</v>
      </c>
      <c r="B227" s="157" t="s">
        <v>146</v>
      </c>
      <c r="C227" s="158"/>
      <c r="D227" s="158"/>
      <c r="E227" s="158"/>
      <c r="F227" s="158"/>
      <c r="G227" s="158"/>
      <c r="H227" s="159"/>
    </row>
    <row r="228" spans="1:8" x14ac:dyDescent="0.35">
      <c r="A228" s="73" t="s">
        <v>147</v>
      </c>
      <c r="B228" s="157" t="s">
        <v>118</v>
      </c>
      <c r="C228" s="158"/>
      <c r="D228" s="158"/>
      <c r="E228" s="158"/>
      <c r="F228" s="158"/>
      <c r="G228" s="158"/>
      <c r="H228" s="159"/>
    </row>
    <row r="229" spans="1:8" ht="33" customHeight="1" x14ac:dyDescent="0.35">
      <c r="A229" s="73" t="s">
        <v>147</v>
      </c>
      <c r="B229" s="157" t="s">
        <v>148</v>
      </c>
      <c r="C229" s="158"/>
      <c r="D229" s="158"/>
      <c r="E229" s="158"/>
      <c r="F229" s="158"/>
      <c r="G229" s="158"/>
      <c r="H229" s="159"/>
    </row>
    <row r="230" spans="1:8" x14ac:dyDescent="0.35">
      <c r="A230" s="73" t="s">
        <v>147</v>
      </c>
      <c r="B230" s="157" t="s">
        <v>119</v>
      </c>
      <c r="C230" s="158"/>
      <c r="D230" s="158"/>
      <c r="E230" s="158"/>
      <c r="F230" s="158"/>
      <c r="G230" s="158"/>
      <c r="H230" s="159"/>
    </row>
    <row r="231" spans="1:8" x14ac:dyDescent="0.35">
      <c r="A231" s="87" t="s">
        <v>147</v>
      </c>
      <c r="B231" s="157" t="s">
        <v>379</v>
      </c>
      <c r="C231" s="158"/>
      <c r="D231" s="158"/>
      <c r="E231" s="158"/>
      <c r="F231" s="158"/>
      <c r="G231" s="158"/>
      <c r="H231" s="159"/>
    </row>
    <row r="232" spans="1:8" hidden="1" x14ac:dyDescent="0.35">
      <c r="A232" s="73" t="s">
        <v>147</v>
      </c>
      <c r="B232" s="157" t="s">
        <v>379</v>
      </c>
      <c r="C232" s="158"/>
      <c r="D232" s="158"/>
      <c r="E232" s="158"/>
      <c r="F232" s="158"/>
      <c r="G232" s="158"/>
      <c r="H232" s="159"/>
    </row>
    <row r="233" spans="1:8" hidden="1" x14ac:dyDescent="0.35">
      <c r="A233" s="73" t="s">
        <v>147</v>
      </c>
      <c r="B233" s="151" t="s">
        <v>172</v>
      </c>
      <c r="C233" s="152"/>
      <c r="D233" s="152"/>
      <c r="E233" s="152"/>
      <c r="F233" s="152"/>
      <c r="G233" s="152"/>
      <c r="H233" s="153"/>
    </row>
    <row r="234" spans="1:8" hidden="1" x14ac:dyDescent="0.35">
      <c r="A234" s="73" t="s">
        <v>147</v>
      </c>
      <c r="B234" s="151" t="s">
        <v>227</v>
      </c>
      <c r="C234" s="152"/>
      <c r="D234" s="152"/>
      <c r="E234" s="152"/>
      <c r="F234" s="152"/>
      <c r="G234" s="152"/>
      <c r="H234" s="153"/>
    </row>
    <row r="235" spans="1:8" x14ac:dyDescent="0.35">
      <c r="A235" s="96" t="s">
        <v>57</v>
      </c>
      <c r="B235" s="96"/>
      <c r="C235" s="96"/>
      <c r="D235" s="96"/>
      <c r="E235" s="96"/>
      <c r="F235" s="96"/>
      <c r="G235" s="96"/>
      <c r="H235" s="96"/>
    </row>
    <row r="236" spans="1:8" x14ac:dyDescent="0.35">
      <c r="A236" s="120" t="s">
        <v>58</v>
      </c>
      <c r="B236" s="120"/>
      <c r="C236" s="120"/>
      <c r="D236" s="120"/>
      <c r="E236" s="120"/>
      <c r="F236" s="120"/>
      <c r="G236" s="120"/>
      <c r="H236" s="120"/>
    </row>
    <row r="237" spans="1:8" x14ac:dyDescent="0.35">
      <c r="A237" s="136" t="s">
        <v>59</v>
      </c>
      <c r="B237" s="136"/>
      <c r="C237" s="136"/>
      <c r="D237" s="136"/>
      <c r="E237" s="136"/>
      <c r="F237" s="136"/>
      <c r="G237" s="136"/>
      <c r="H237" s="136"/>
    </row>
    <row r="238" spans="1:8" x14ac:dyDescent="0.35">
      <c r="A238" s="120" t="s">
        <v>60</v>
      </c>
      <c r="B238" s="120"/>
      <c r="C238" s="120"/>
      <c r="D238" s="120"/>
      <c r="E238" s="120"/>
      <c r="F238" s="120"/>
      <c r="G238" s="120"/>
      <c r="H238" s="120"/>
    </row>
    <row r="239" spans="1:8" x14ac:dyDescent="0.35">
      <c r="A239" s="120" t="s">
        <v>61</v>
      </c>
      <c r="B239" s="120"/>
      <c r="C239" s="120"/>
      <c r="D239" s="120"/>
      <c r="E239" s="120"/>
      <c r="F239" s="120"/>
      <c r="G239" s="120"/>
      <c r="H239" s="120"/>
    </row>
    <row r="240" spans="1:8" x14ac:dyDescent="0.35">
      <c r="A240" s="120" t="s">
        <v>120</v>
      </c>
      <c r="B240" s="120"/>
      <c r="C240" s="120"/>
      <c r="D240" s="120"/>
      <c r="E240" s="120"/>
      <c r="F240" s="120"/>
      <c r="G240" s="120"/>
      <c r="H240" s="120"/>
    </row>
    <row r="241" spans="1:8" x14ac:dyDescent="0.35">
      <c r="A241" s="97" t="s">
        <v>121</v>
      </c>
      <c r="B241" s="97"/>
      <c r="C241" s="97"/>
      <c r="D241" s="97"/>
      <c r="E241" s="97"/>
      <c r="F241" s="97"/>
      <c r="G241" s="97"/>
      <c r="H241" s="97"/>
    </row>
    <row r="242" spans="1:8" x14ac:dyDescent="0.35">
      <c r="A242" s="172" t="s">
        <v>72</v>
      </c>
      <c r="B242" s="172"/>
      <c r="C242" s="172" t="s">
        <v>362</v>
      </c>
      <c r="D242" s="172"/>
      <c r="E242" s="172" t="s">
        <v>100</v>
      </c>
      <c r="F242" s="172"/>
      <c r="G242" s="172" t="s">
        <v>388</v>
      </c>
      <c r="H242" s="172"/>
    </row>
    <row r="243" spans="1:8" x14ac:dyDescent="0.35">
      <c r="A243" s="171" t="s">
        <v>74</v>
      </c>
      <c r="B243" s="171"/>
      <c r="C243" s="171"/>
      <c r="D243" s="171"/>
      <c r="E243" s="171"/>
      <c r="F243" s="171"/>
      <c r="G243" s="171"/>
      <c r="H243" s="171"/>
    </row>
    <row r="244" spans="1:8" x14ac:dyDescent="0.35">
      <c r="A244" s="171"/>
      <c r="B244" s="171"/>
      <c r="C244" s="171"/>
      <c r="D244" s="171"/>
      <c r="E244" s="171"/>
      <c r="F244" s="171"/>
      <c r="G244" s="171"/>
      <c r="H244" s="171"/>
    </row>
    <row r="245" spans="1:8" x14ac:dyDescent="0.35">
      <c r="A245" s="171"/>
      <c r="B245" s="171"/>
      <c r="C245" s="171"/>
      <c r="D245" s="171"/>
      <c r="E245" s="171"/>
      <c r="F245" s="171"/>
      <c r="G245" s="171"/>
      <c r="H245" s="171"/>
    </row>
    <row r="246" spans="1:8" x14ac:dyDescent="0.35">
      <c r="A246" s="171"/>
      <c r="B246" s="171"/>
      <c r="C246" s="171"/>
      <c r="D246" s="171"/>
      <c r="E246" s="171"/>
      <c r="F246" s="171"/>
      <c r="G246" s="171"/>
      <c r="H246" s="171"/>
    </row>
    <row r="247" spans="1:8" x14ac:dyDescent="0.35">
      <c r="A247" s="33" t="s">
        <v>62</v>
      </c>
      <c r="B247" s="34"/>
      <c r="C247" s="34"/>
      <c r="D247" s="33" t="str">
        <f>E9</f>
        <v>Arihant Amisha Phase III</v>
      </c>
      <c r="F247" s="34"/>
      <c r="G247" s="34"/>
      <c r="H247" s="34"/>
    </row>
    <row r="248" spans="1:8" x14ac:dyDescent="0.35">
      <c r="A248" s="34"/>
      <c r="B248" s="34"/>
      <c r="C248" s="34"/>
      <c r="D248" s="34"/>
      <c r="E248" s="34"/>
      <c r="F248" s="34"/>
      <c r="G248" s="34"/>
      <c r="H248" s="34"/>
    </row>
    <row r="249" spans="1:8" x14ac:dyDescent="0.35">
      <c r="A249" s="34"/>
      <c r="B249" s="34"/>
      <c r="C249" s="34"/>
      <c r="D249" s="34"/>
      <c r="E249" s="34"/>
      <c r="F249" s="34"/>
      <c r="G249" s="34"/>
      <c r="H249" s="34"/>
    </row>
    <row r="290" spans="1:8" x14ac:dyDescent="0.35">
      <c r="A290" s="36" t="s">
        <v>158</v>
      </c>
      <c r="B290" s="16"/>
      <c r="C290" s="16"/>
      <c r="D290" s="16"/>
      <c r="E290" s="16"/>
      <c r="F290" s="16"/>
      <c r="G290" s="16"/>
      <c r="H290" s="16"/>
    </row>
    <row r="333" spans="1:8" x14ac:dyDescent="0.35">
      <c r="A333" s="36" t="s">
        <v>63</v>
      </c>
      <c r="B333" s="16"/>
      <c r="C333" s="16"/>
      <c r="D333" s="16"/>
      <c r="E333" s="16"/>
      <c r="F333" s="16"/>
      <c r="G333" s="16"/>
      <c r="H333" s="16"/>
    </row>
    <row r="341" spans="11:11" x14ac:dyDescent="0.35">
      <c r="K341" s="18"/>
    </row>
    <row r="363" spans="1:8" x14ac:dyDescent="0.35">
      <c r="A363" s="16"/>
      <c r="B363" s="16"/>
      <c r="C363" s="16"/>
      <c r="D363" s="16"/>
      <c r="E363" s="16"/>
      <c r="F363" s="16"/>
      <c r="G363" s="16"/>
      <c r="H363" s="16"/>
    </row>
  </sheetData>
  <mergeCells count="377">
    <mergeCell ref="A140:H140"/>
    <mergeCell ref="A141:B141"/>
    <mergeCell ref="C141:D141"/>
    <mergeCell ref="E141:F141"/>
    <mergeCell ref="G141:H141"/>
    <mergeCell ref="A142:B142"/>
    <mergeCell ref="C142:D142"/>
    <mergeCell ref="E142:F142"/>
    <mergeCell ref="G142:H142"/>
    <mergeCell ref="A137:B137"/>
    <mergeCell ref="C137:D137"/>
    <mergeCell ref="E137:F137"/>
    <mergeCell ref="G137:H137"/>
    <mergeCell ref="A138:B138"/>
    <mergeCell ref="C138:D138"/>
    <mergeCell ref="E138:F138"/>
    <mergeCell ref="G138:H138"/>
    <mergeCell ref="A139:B139"/>
    <mergeCell ref="C139:D139"/>
    <mergeCell ref="E139:F139"/>
    <mergeCell ref="G139:H139"/>
    <mergeCell ref="B234:H234"/>
    <mergeCell ref="A120:E120"/>
    <mergeCell ref="A100:B100"/>
    <mergeCell ref="A105:B105"/>
    <mergeCell ref="A143:B143"/>
    <mergeCell ref="E143:F143"/>
    <mergeCell ref="C103:H103"/>
    <mergeCell ref="A104:B104"/>
    <mergeCell ref="A125:E125"/>
    <mergeCell ref="G143:H143"/>
    <mergeCell ref="C131:D131"/>
    <mergeCell ref="E131:F131"/>
    <mergeCell ref="G131:H131"/>
    <mergeCell ref="A132:B132"/>
    <mergeCell ref="C132:D132"/>
    <mergeCell ref="E132:F132"/>
    <mergeCell ref="G132:H132"/>
    <mergeCell ref="A136:B136"/>
    <mergeCell ref="C136:D136"/>
    <mergeCell ref="E136:F136"/>
    <mergeCell ref="G136:H136"/>
    <mergeCell ref="B229:H229"/>
    <mergeCell ref="F115:H115"/>
    <mergeCell ref="F120:H120"/>
    <mergeCell ref="A49:B49"/>
    <mergeCell ref="C49:H49"/>
    <mergeCell ref="B227:H227"/>
    <mergeCell ref="A106:B106"/>
    <mergeCell ref="A107:B107"/>
    <mergeCell ref="G91:H100"/>
    <mergeCell ref="A92:B92"/>
    <mergeCell ref="A93:B93"/>
    <mergeCell ref="A94:B94"/>
    <mergeCell ref="F117:H117"/>
    <mergeCell ref="A117:E117"/>
    <mergeCell ref="D147:D148"/>
    <mergeCell ref="A119:E119"/>
    <mergeCell ref="A110:B110"/>
    <mergeCell ref="A112:B112"/>
    <mergeCell ref="A113:B113"/>
    <mergeCell ref="A118:E118"/>
    <mergeCell ref="A115:E115"/>
    <mergeCell ref="F119:H119"/>
    <mergeCell ref="G104:H104"/>
    <mergeCell ref="A103:B103"/>
    <mergeCell ref="G147:G148"/>
    <mergeCell ref="A79:B79"/>
    <mergeCell ref="A78:B78"/>
    <mergeCell ref="L158:M158"/>
    <mergeCell ref="A40:B40"/>
    <mergeCell ref="C40:H40"/>
    <mergeCell ref="F147:F148"/>
    <mergeCell ref="C130:D130"/>
    <mergeCell ref="E130:F130"/>
    <mergeCell ref="B147:B148"/>
    <mergeCell ref="A147:A148"/>
    <mergeCell ref="C155:C156"/>
    <mergeCell ref="G155:G156"/>
    <mergeCell ref="L157:M157"/>
    <mergeCell ref="L154:M154"/>
    <mergeCell ref="G144:H144"/>
    <mergeCell ref="L155:M155"/>
    <mergeCell ref="L156:M156"/>
    <mergeCell ref="C55:H55"/>
    <mergeCell ref="A76:B76"/>
    <mergeCell ref="A75:B75"/>
    <mergeCell ref="A73:B73"/>
    <mergeCell ref="C73:H73"/>
    <mergeCell ref="A81:B81"/>
    <mergeCell ref="A68:C68"/>
    <mergeCell ref="D68:H68"/>
    <mergeCell ref="C75:H75"/>
    <mergeCell ref="A39:B39"/>
    <mergeCell ref="C39:H39"/>
    <mergeCell ref="A46:D46"/>
    <mergeCell ref="L149:M149"/>
    <mergeCell ref="L148:M148"/>
    <mergeCell ref="L147:M147"/>
    <mergeCell ref="L146:M146"/>
    <mergeCell ref="A84:B84"/>
    <mergeCell ref="C135:D135"/>
    <mergeCell ref="E135:F135"/>
    <mergeCell ref="G135:H135"/>
    <mergeCell ref="A116:E116"/>
    <mergeCell ref="A101:B101"/>
    <mergeCell ref="C101:H101"/>
    <mergeCell ref="A149:H149"/>
    <mergeCell ref="E147:E148"/>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0:B80"/>
    <mergeCell ref="E76:F76"/>
    <mergeCell ref="A69:C69"/>
    <mergeCell ref="D69:H69"/>
    <mergeCell ref="A72:C72"/>
    <mergeCell ref="D72:H72"/>
    <mergeCell ref="A70:C70"/>
    <mergeCell ref="D71:H71"/>
    <mergeCell ref="A77:B77"/>
    <mergeCell ref="G76:H76"/>
    <mergeCell ref="A243:H246"/>
    <mergeCell ref="A242:B242"/>
    <mergeCell ref="E242:F242"/>
    <mergeCell ref="C242:D242"/>
    <mergeCell ref="G242:H242"/>
    <mergeCell ref="A128:H128"/>
    <mergeCell ref="A126:E126"/>
    <mergeCell ref="F126:H126"/>
    <mergeCell ref="A127:E127"/>
    <mergeCell ref="F127:H127"/>
    <mergeCell ref="A135:B135"/>
    <mergeCell ref="A130:B130"/>
    <mergeCell ref="A238:H238"/>
    <mergeCell ref="A133:H133"/>
    <mergeCell ref="A241:H241"/>
    <mergeCell ref="A239:H239"/>
    <mergeCell ref="A235:H235"/>
    <mergeCell ref="G134:H134"/>
    <mergeCell ref="C147:C148"/>
    <mergeCell ref="B155:B156"/>
    <mergeCell ref="A236:H236"/>
    <mergeCell ref="A153:B153"/>
    <mergeCell ref="A152:B152"/>
    <mergeCell ref="A154:H154"/>
    <mergeCell ref="E90:F90"/>
    <mergeCell ref="G90:H90"/>
    <mergeCell ref="A121:E121"/>
    <mergeCell ref="F121:H121"/>
    <mergeCell ref="A123:E123"/>
    <mergeCell ref="F118:H118"/>
    <mergeCell ref="A122:E122"/>
    <mergeCell ref="A108:B108"/>
    <mergeCell ref="A109:B109"/>
    <mergeCell ref="E91:F100"/>
    <mergeCell ref="A98:B98"/>
    <mergeCell ref="A99:B99"/>
    <mergeCell ref="E104:F104"/>
    <mergeCell ref="E105:F114"/>
    <mergeCell ref="B232:H232"/>
    <mergeCell ref="A212:H212"/>
    <mergeCell ref="A213:H213"/>
    <mergeCell ref="A189:H189"/>
    <mergeCell ref="A220:H220"/>
    <mergeCell ref="A158:H158"/>
    <mergeCell ref="A159:H159"/>
    <mergeCell ref="A171:H171"/>
    <mergeCell ref="A176:H176"/>
    <mergeCell ref="B175:G175"/>
    <mergeCell ref="A202:H202"/>
    <mergeCell ref="A203:H203"/>
    <mergeCell ref="A204:H204"/>
    <mergeCell ref="A211:H211"/>
    <mergeCell ref="B231:H231"/>
    <mergeCell ref="E144:F144"/>
    <mergeCell ref="B230:H230"/>
    <mergeCell ref="B228:H228"/>
    <mergeCell ref="B224:H224"/>
    <mergeCell ref="B222:H222"/>
    <mergeCell ref="B223:H223"/>
    <mergeCell ref="B225:H225"/>
    <mergeCell ref="B226:H226"/>
    <mergeCell ref="A221:H221"/>
    <mergeCell ref="A170:H170"/>
    <mergeCell ref="A240:H240"/>
    <mergeCell ref="A237:H237"/>
    <mergeCell ref="A134:B134"/>
    <mergeCell ref="D155:D156"/>
    <mergeCell ref="E155:E156"/>
    <mergeCell ref="A95:B95"/>
    <mergeCell ref="A96:B96"/>
    <mergeCell ref="A97:B97"/>
    <mergeCell ref="A111:B111"/>
    <mergeCell ref="F116:H116"/>
    <mergeCell ref="G130:H130"/>
    <mergeCell ref="A114:B114"/>
    <mergeCell ref="F122:H122"/>
    <mergeCell ref="C129:D129"/>
    <mergeCell ref="C143:D143"/>
    <mergeCell ref="A157:H157"/>
    <mergeCell ref="E134:F134"/>
    <mergeCell ref="A145:H145"/>
    <mergeCell ref="A155:A156"/>
    <mergeCell ref="F155:F156"/>
    <mergeCell ref="A150:B150"/>
    <mergeCell ref="B233:H233"/>
    <mergeCell ref="A144:B144"/>
    <mergeCell ref="C144:D144"/>
    <mergeCell ref="I15:P15"/>
    <mergeCell ref="F125:H125"/>
    <mergeCell ref="F123:H123"/>
    <mergeCell ref="A146:H146"/>
    <mergeCell ref="G129:H129"/>
    <mergeCell ref="A124:E124"/>
    <mergeCell ref="A151:B151"/>
    <mergeCell ref="A60:B60"/>
    <mergeCell ref="C60:E60"/>
    <mergeCell ref="D62:H62"/>
    <mergeCell ref="F124:H124"/>
    <mergeCell ref="E129:F129"/>
    <mergeCell ref="A129:B129"/>
    <mergeCell ref="A131:B131"/>
    <mergeCell ref="C134:D134"/>
    <mergeCell ref="D70:H70"/>
    <mergeCell ref="A71:C71"/>
    <mergeCell ref="E43:H43"/>
    <mergeCell ref="A43:D43"/>
    <mergeCell ref="A87:B87"/>
    <mergeCell ref="C87:H87"/>
    <mergeCell ref="A82:B82"/>
    <mergeCell ref="A50:B50"/>
    <mergeCell ref="C50:E50"/>
    <mergeCell ref="I53:N53"/>
    <mergeCell ref="I33:K33"/>
    <mergeCell ref="I34:K34"/>
    <mergeCell ref="I35:K35"/>
    <mergeCell ref="I36:K36"/>
    <mergeCell ref="I37:K37"/>
    <mergeCell ref="I50:K50"/>
    <mergeCell ref="M50:N50"/>
    <mergeCell ref="I52:K52"/>
    <mergeCell ref="M52:N52"/>
    <mergeCell ref="A65:C65"/>
    <mergeCell ref="D65:H65"/>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1:E51"/>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7:E148">
      <formula1>"Attached Loft area,Attached Otla area,Attached Mezzanine area"</formula1>
    </dataValidation>
    <dataValidation type="list" allowBlank="1" showInputMessage="1" showErrorMessage="1" sqref="G242:H242">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7:B148">
      <formula1>"Shop No. (Sale Plan),Sale / Rehab,Sale / Mhada"</formula1>
    </dataValidation>
    <dataValidation type="list" allowBlank="1" showInputMessage="1" showErrorMessage="1" sqref="B155:B156">
      <formula1>"Flat No. (Sale Plan),Sale/EWS,Sale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area,Enclosed Balcony + Balcony Area,Chajja Area,Cornice Area,AP Area,WS Area"</formula1>
    </dataValidation>
    <dataValidation type="list" allowBlank="1" showInputMessage="1" showErrorMessage="1" sqref="H14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7 H155">
      <formula1>"Saleable area Loading :,Builder Saleable Area"</formula1>
    </dataValidation>
    <dataValidation type="list" allowBlank="1" showInputMessage="1" showErrorMessage="1" sqref="D147:D148 D155:D156">
      <formula1>"Carpet area,RERA Carpet area"</formula1>
    </dataValidation>
    <dataValidation type="list" allowBlank="1" showInputMessage="1" showErrorMessage="1" sqref="H156">
      <formula1>".45,.50,.55,.54,.60"</formula1>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72" max="7" man="1"/>
    <brk id="220" max="16383" man="1"/>
    <brk id="246" max="7" man="1"/>
    <brk id="289" max="7" man="1"/>
    <brk id="332"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8" t="s">
        <v>101</v>
      </c>
      <c r="C3" s="208"/>
      <c r="D3" s="208"/>
      <c r="E3" s="208"/>
      <c r="F3" s="208"/>
      <c r="G3" s="208"/>
      <c r="H3" s="208"/>
    </row>
    <row r="4" spans="1:9" x14ac:dyDescent="0.35">
      <c r="A4" s="2"/>
      <c r="B4" s="3" t="s">
        <v>102</v>
      </c>
      <c r="C4" s="3" t="s">
        <v>103</v>
      </c>
      <c r="D4" s="3" t="s">
        <v>65</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0"/>
      <c r="C4" s="40" t="s">
        <v>11</v>
      </c>
      <c r="D4" s="41" t="s">
        <v>173</v>
      </c>
      <c r="E4" s="41" t="s">
        <v>183</v>
      </c>
      <c r="F4" s="41" t="s">
        <v>167</v>
      </c>
      <c r="G4" s="41" t="s">
        <v>188</v>
      </c>
      <c r="H4" s="41" t="s">
        <v>206</v>
      </c>
      <c r="J4" t="s">
        <v>188</v>
      </c>
      <c r="K4" t="s">
        <v>204</v>
      </c>
    </row>
    <row r="5" spans="2:11" x14ac:dyDescent="0.35">
      <c r="B5" s="40"/>
      <c r="C5" s="40"/>
      <c r="D5" s="41" t="s">
        <v>174</v>
      </c>
      <c r="E5" s="41" t="s">
        <v>181</v>
      </c>
      <c r="F5" s="41" t="s">
        <v>203</v>
      </c>
      <c r="G5" s="41" t="s">
        <v>189</v>
      </c>
      <c r="H5" s="41" t="s">
        <v>207</v>
      </c>
    </row>
    <row r="6" spans="2:11" x14ac:dyDescent="0.35">
      <c r="B6" s="40"/>
      <c r="C6" s="40"/>
      <c r="D6" s="41" t="s">
        <v>175</v>
      </c>
      <c r="E6" s="41" t="s">
        <v>182</v>
      </c>
      <c r="F6" s="41" t="s">
        <v>204</v>
      </c>
      <c r="G6" s="41" t="s">
        <v>190</v>
      </c>
      <c r="H6" s="41" t="s">
        <v>220</v>
      </c>
    </row>
    <row r="7" spans="2:11" x14ac:dyDescent="0.35">
      <c r="B7" s="40"/>
      <c r="C7" s="40"/>
      <c r="D7" s="41" t="s">
        <v>176</v>
      </c>
      <c r="E7" s="41" t="s">
        <v>184</v>
      </c>
      <c r="F7" s="41" t="s">
        <v>205</v>
      </c>
      <c r="G7" s="41" t="s">
        <v>191</v>
      </c>
      <c r="H7" s="41" t="s">
        <v>208</v>
      </c>
    </row>
    <row r="8" spans="2:11" x14ac:dyDescent="0.35">
      <c r="B8" s="40"/>
      <c r="C8" s="40"/>
      <c r="D8" s="41" t="s">
        <v>177</v>
      </c>
      <c r="E8" s="41" t="s">
        <v>185</v>
      </c>
      <c r="F8" s="41"/>
      <c r="G8" s="41" t="s">
        <v>192</v>
      </c>
      <c r="H8" s="41" t="s">
        <v>209</v>
      </c>
    </row>
    <row r="9" spans="2:11" x14ac:dyDescent="0.35">
      <c r="B9" s="40"/>
      <c r="C9" s="40"/>
      <c r="D9" s="41" t="s">
        <v>178</v>
      </c>
      <c r="E9" s="41" t="s">
        <v>183</v>
      </c>
      <c r="F9" s="41"/>
      <c r="G9" s="41" t="s">
        <v>193</v>
      </c>
      <c r="H9" s="41" t="s">
        <v>210</v>
      </c>
    </row>
    <row r="10" spans="2:11" x14ac:dyDescent="0.35">
      <c r="B10" s="40"/>
      <c r="C10" s="40"/>
      <c r="D10" s="41" t="s">
        <v>179</v>
      </c>
      <c r="E10" s="41" t="s">
        <v>186</v>
      </c>
      <c r="F10" s="41"/>
      <c r="G10" s="41" t="s">
        <v>194</v>
      </c>
      <c r="H10" s="41" t="s">
        <v>211</v>
      </c>
    </row>
    <row r="11" spans="2:11" x14ac:dyDescent="0.35">
      <c r="B11" s="40"/>
      <c r="C11" s="40"/>
      <c r="D11" s="41" t="s">
        <v>180</v>
      </c>
      <c r="E11" s="41" t="s">
        <v>187</v>
      </c>
      <c r="F11" s="41"/>
      <c r="G11" s="41" t="s">
        <v>195</v>
      </c>
      <c r="H11" s="41" t="s">
        <v>212</v>
      </c>
    </row>
    <row r="12" spans="2:11" x14ac:dyDescent="0.35">
      <c r="B12" s="40"/>
      <c r="C12" s="40"/>
      <c r="D12" s="41"/>
      <c r="E12" s="41"/>
      <c r="F12" s="41"/>
      <c r="G12" s="41" t="s">
        <v>196</v>
      </c>
      <c r="H12" s="41" t="s">
        <v>213</v>
      </c>
    </row>
    <row r="13" spans="2:11" x14ac:dyDescent="0.35">
      <c r="B13" s="40"/>
      <c r="C13" s="40"/>
      <c r="D13" s="41"/>
      <c r="E13" s="41"/>
      <c r="F13" s="41"/>
      <c r="G13" s="41" t="s">
        <v>197</v>
      </c>
      <c r="H13" s="41" t="s">
        <v>214</v>
      </c>
    </row>
    <row r="14" spans="2:11" x14ac:dyDescent="0.35">
      <c r="B14" s="40"/>
      <c r="C14" s="40"/>
      <c r="D14" s="41"/>
      <c r="E14" s="41"/>
      <c r="F14" s="41"/>
      <c r="G14" s="41" t="s">
        <v>198</v>
      </c>
      <c r="H14" s="41" t="s">
        <v>215</v>
      </c>
    </row>
    <row r="15" spans="2:11" x14ac:dyDescent="0.35">
      <c r="B15" s="40"/>
      <c r="C15" s="40"/>
      <c r="D15" s="41"/>
      <c r="E15" s="41"/>
      <c r="F15" s="41"/>
      <c r="G15" s="41" t="s">
        <v>199</v>
      </c>
      <c r="H15" s="41" t="s">
        <v>216</v>
      </c>
    </row>
    <row r="16" spans="2:11" x14ac:dyDescent="0.35">
      <c r="B16" s="40"/>
      <c r="C16" s="40"/>
      <c r="D16" s="41"/>
      <c r="E16" s="41"/>
      <c r="F16" s="41"/>
      <c r="G16" s="41" t="s">
        <v>200</v>
      </c>
      <c r="H16" s="41" t="s">
        <v>217</v>
      </c>
    </row>
    <row r="17" spans="2:8" x14ac:dyDescent="0.35">
      <c r="B17" s="40"/>
      <c r="C17" s="40"/>
      <c r="D17" s="41"/>
      <c r="E17" s="41"/>
      <c r="F17" s="41"/>
      <c r="G17" s="41" t="s">
        <v>201</v>
      </c>
      <c r="H17" s="41" t="s">
        <v>218</v>
      </c>
    </row>
    <row r="18" spans="2:8" x14ac:dyDescent="0.35">
      <c r="B18" s="40"/>
      <c r="C18" s="40"/>
      <c r="D18" s="41"/>
      <c r="E18" s="41"/>
      <c r="F18" s="41"/>
      <c r="G18" s="41" t="s">
        <v>202</v>
      </c>
      <c r="H18" s="41" t="s">
        <v>219</v>
      </c>
    </row>
    <row r="24" spans="2:8" x14ac:dyDescent="0.35">
      <c r="C24" t="s">
        <v>164</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164</v>
      </c>
    </row>
    <row r="33" spans="3:11" x14ac:dyDescent="0.35">
      <c r="J33">
        <v>1</v>
      </c>
      <c r="K33">
        <v>2</v>
      </c>
    </row>
    <row r="34" spans="3:11" x14ac:dyDescent="0.35">
      <c r="C34" s="43" t="s">
        <v>231</v>
      </c>
      <c r="D34" s="41" t="s">
        <v>229</v>
      </c>
      <c r="E34" s="41" t="s">
        <v>234</v>
      </c>
      <c r="F34" s="41" t="s">
        <v>232</v>
      </c>
      <c r="G34" s="41" t="s">
        <v>233</v>
      </c>
      <c r="H34" s="41" t="s">
        <v>235</v>
      </c>
      <c r="J34" t="s">
        <v>188</v>
      </c>
      <c r="K34" t="s">
        <v>204</v>
      </c>
    </row>
    <row r="35" spans="3:11" x14ac:dyDescent="0.35">
      <c r="C35" s="40" t="s">
        <v>230</v>
      </c>
      <c r="D35" s="41" t="s">
        <v>165</v>
      </c>
      <c r="E35" s="41" t="s">
        <v>239</v>
      </c>
      <c r="F35" s="41" t="s">
        <v>241</v>
      </c>
      <c r="G35" s="41" t="s">
        <v>243</v>
      </c>
      <c r="H35" s="41"/>
    </row>
    <row r="36" spans="3:11" x14ac:dyDescent="0.35">
      <c r="C36" s="40"/>
      <c r="D36" s="41" t="s">
        <v>236</v>
      </c>
      <c r="E36" s="41" t="s">
        <v>240</v>
      </c>
      <c r="F36" s="41" t="s">
        <v>242</v>
      </c>
      <c r="G36" s="41" t="s">
        <v>244</v>
      </c>
      <c r="H36" s="41"/>
    </row>
    <row r="37" spans="3:11" x14ac:dyDescent="0.35">
      <c r="C37" s="40"/>
      <c r="D37" s="41" t="s">
        <v>237</v>
      </c>
      <c r="E37" s="41"/>
      <c r="F37" s="41"/>
      <c r="G37" s="41" t="s">
        <v>245</v>
      </c>
      <c r="H37" s="41"/>
    </row>
    <row r="38" spans="3:11" x14ac:dyDescent="0.35">
      <c r="C38" s="40"/>
      <c r="D38" s="41" t="s">
        <v>238</v>
      </c>
      <c r="E38" s="41"/>
      <c r="F38" s="41"/>
      <c r="G38" s="41" t="s">
        <v>245</v>
      </c>
      <c r="H38" s="41"/>
    </row>
    <row r="39" spans="3:11" x14ac:dyDescent="0.35">
      <c r="C39" s="40"/>
      <c r="D39" s="41"/>
      <c r="E39" s="41"/>
      <c r="F39" s="41"/>
      <c r="G39" s="41" t="s">
        <v>246</v>
      </c>
      <c r="H39" s="41"/>
    </row>
    <row r="40" spans="3:11" x14ac:dyDescent="0.35">
      <c r="C40" s="40"/>
      <c r="D40" s="41"/>
      <c r="E40" s="41"/>
      <c r="F40" s="41"/>
      <c r="G40" s="41" t="s">
        <v>247</v>
      </c>
      <c r="H40" s="41"/>
    </row>
    <row r="41" spans="3:11" x14ac:dyDescent="0.35">
      <c r="C41" s="40"/>
      <c r="D41" s="41"/>
      <c r="E41" s="41"/>
      <c r="F41" s="41"/>
      <c r="G41" s="41"/>
      <c r="H41" s="41"/>
    </row>
    <row r="43" spans="3:11" x14ac:dyDescent="0.35">
      <c r="C43" t="s">
        <v>248</v>
      </c>
    </row>
    <row r="44" spans="3:11" x14ac:dyDescent="0.35">
      <c r="C44" t="s">
        <v>167</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173</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188</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183</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44">
        <v>1</v>
      </c>
      <c r="C2" s="47" t="s">
        <v>279</v>
      </c>
    </row>
    <row r="3" spans="2:3" x14ac:dyDescent="0.35">
      <c r="B3" s="44">
        <v>2</v>
      </c>
      <c r="C3" s="45" t="s">
        <v>280</v>
      </c>
    </row>
    <row r="4" spans="2:3" x14ac:dyDescent="0.35">
      <c r="B4" s="44">
        <v>3</v>
      </c>
      <c r="C4" s="46" t="s">
        <v>281</v>
      </c>
    </row>
    <row r="5" spans="2:3" x14ac:dyDescent="0.35">
      <c r="B5" s="44">
        <v>4</v>
      </c>
      <c r="C5" s="45" t="s">
        <v>282</v>
      </c>
    </row>
    <row r="6" spans="2:3" x14ac:dyDescent="0.35">
      <c r="B6" s="44">
        <v>5</v>
      </c>
      <c r="C6" s="46" t="s">
        <v>283</v>
      </c>
    </row>
    <row r="7" spans="2:3" ht="29" x14ac:dyDescent="0.35">
      <c r="B7" s="44">
        <v>6</v>
      </c>
      <c r="C7" s="45" t="s">
        <v>284</v>
      </c>
    </row>
    <row r="8" spans="2:3" ht="72.5" x14ac:dyDescent="0.35">
      <c r="B8" s="44">
        <v>7</v>
      </c>
      <c r="C8" s="45" t="s">
        <v>285</v>
      </c>
    </row>
    <row r="9" spans="2:3" x14ac:dyDescent="0.35">
      <c r="B9" s="44">
        <v>8</v>
      </c>
      <c r="C9" s="46" t="s">
        <v>286</v>
      </c>
    </row>
    <row r="10" spans="2:3" x14ac:dyDescent="0.35">
      <c r="B10" s="44">
        <v>9</v>
      </c>
      <c r="C10" s="46" t="s">
        <v>287</v>
      </c>
    </row>
    <row r="11" spans="2:3" x14ac:dyDescent="0.35">
      <c r="B11" s="44">
        <v>10</v>
      </c>
      <c r="C11" s="46" t="s">
        <v>288</v>
      </c>
    </row>
    <row r="12" spans="2:3" x14ac:dyDescent="0.35">
      <c r="B12" s="44">
        <v>11</v>
      </c>
      <c r="C12" s="46" t="s">
        <v>289</v>
      </c>
    </row>
    <row r="13" spans="2:3" x14ac:dyDescent="0.35">
      <c r="B13" s="44">
        <v>12</v>
      </c>
      <c r="C13" s="46" t="s">
        <v>290</v>
      </c>
    </row>
    <row r="14" spans="2:3" x14ac:dyDescent="0.35">
      <c r="B14" s="44">
        <v>13</v>
      </c>
      <c r="C14" s="46" t="s">
        <v>291</v>
      </c>
    </row>
    <row r="15" spans="2:3" x14ac:dyDescent="0.35">
      <c r="B15" s="44">
        <v>14</v>
      </c>
      <c r="C15" s="46" t="s">
        <v>281</v>
      </c>
    </row>
    <row r="16" spans="2:3" x14ac:dyDescent="0.35">
      <c r="B16" s="44">
        <v>15</v>
      </c>
      <c r="C16" s="46" t="s">
        <v>293</v>
      </c>
    </row>
    <row r="17" spans="2:3" ht="31.5" customHeight="1" x14ac:dyDescent="0.35">
      <c r="B17" s="49">
        <v>16</v>
      </c>
      <c r="C17" s="51" t="s">
        <v>294</v>
      </c>
    </row>
    <row r="18" spans="2:3" x14ac:dyDescent="0.35">
      <c r="B18" s="50">
        <v>17</v>
      </c>
      <c r="C18" s="51" t="s">
        <v>295</v>
      </c>
    </row>
    <row r="19" spans="2:3" x14ac:dyDescent="0.35">
      <c r="B19" s="49">
        <v>18</v>
      </c>
      <c r="C19" s="44" t="s">
        <v>296</v>
      </c>
    </row>
    <row r="20" spans="2:3" x14ac:dyDescent="0.35">
      <c r="B20" s="50">
        <v>19</v>
      </c>
      <c r="C20" s="44" t="s">
        <v>297</v>
      </c>
    </row>
    <row r="21" spans="2:3" x14ac:dyDescent="0.35">
      <c r="B21" s="52">
        <v>20</v>
      </c>
      <c r="C21" s="44" t="s">
        <v>298</v>
      </c>
    </row>
    <row r="22" spans="2:3" x14ac:dyDescent="0.35">
      <c r="B22" s="50">
        <v>21</v>
      </c>
      <c r="C22" s="44" t="s">
        <v>296</v>
      </c>
    </row>
    <row r="23" spans="2:3" s="60" customFormat="1" ht="29.25" customHeight="1" x14ac:dyDescent="0.35">
      <c r="B23" s="59">
        <v>22</v>
      </c>
      <c r="C23" s="47" t="s">
        <v>325</v>
      </c>
    </row>
    <row r="24" spans="2:3" s="60" customFormat="1" ht="30.75" customHeight="1" x14ac:dyDescent="0.35">
      <c r="B24" s="61">
        <v>23</v>
      </c>
      <c r="C24" s="47" t="s">
        <v>326</v>
      </c>
    </row>
    <row r="25" spans="2:3" x14ac:dyDescent="0.35">
      <c r="B25" s="52">
        <v>24</v>
      </c>
      <c r="C25" s="44"/>
    </row>
    <row r="26" spans="2:3" x14ac:dyDescent="0.35">
      <c r="B26" s="50">
        <v>25</v>
      </c>
      <c r="C26" s="4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0"/>
    <col min="2" max="2" width="12.26953125" style="40" customWidth="1"/>
    <col min="3" max="16384" width="9.1796875" style="40"/>
  </cols>
  <sheetData>
    <row r="2" spans="1:12" x14ac:dyDescent="0.35">
      <c r="B2" s="53" t="s">
        <v>299</v>
      </c>
      <c r="C2" s="209"/>
      <c r="D2" s="209"/>
    </row>
    <row r="3" spans="1:12" x14ac:dyDescent="0.35">
      <c r="D3" s="54"/>
      <c r="E3" s="54"/>
      <c r="F3" s="54"/>
      <c r="G3" s="54"/>
      <c r="H3" s="54"/>
      <c r="I3" s="54"/>
    </row>
    <row r="4" spans="1:12" x14ac:dyDescent="0.35">
      <c r="A4" s="53" t="s">
        <v>65</v>
      </c>
      <c r="B4" s="55" t="s">
        <v>300</v>
      </c>
      <c r="C4" s="210" t="s">
        <v>301</v>
      </c>
      <c r="D4" s="210"/>
      <c r="E4" s="210"/>
      <c r="F4" s="55"/>
      <c r="G4" s="211" t="s">
        <v>302</v>
      </c>
      <c r="H4" s="211"/>
      <c r="I4" s="211"/>
      <c r="J4" s="212" t="s">
        <v>303</v>
      </c>
      <c r="K4" s="212"/>
      <c r="L4" s="212"/>
    </row>
    <row r="5" spans="1:12" x14ac:dyDescent="0.35">
      <c r="A5" s="53"/>
      <c r="B5" s="55"/>
      <c r="C5" s="55" t="s">
        <v>304</v>
      </c>
      <c r="D5" s="55" t="s">
        <v>305</v>
      </c>
      <c r="E5" s="55" t="s">
        <v>306</v>
      </c>
      <c r="F5" s="55"/>
      <c r="G5" s="55" t="s">
        <v>304</v>
      </c>
      <c r="H5" s="55" t="s">
        <v>305</v>
      </c>
      <c r="I5" s="55" t="s">
        <v>306</v>
      </c>
      <c r="J5" s="55" t="s">
        <v>304</v>
      </c>
      <c r="K5" s="55" t="s">
        <v>305</v>
      </c>
      <c r="L5" s="55" t="s">
        <v>306</v>
      </c>
    </row>
    <row r="6" spans="1:12" x14ac:dyDescent="0.35">
      <c r="B6" s="41" t="s">
        <v>307</v>
      </c>
      <c r="C6" s="41"/>
      <c r="D6" s="41"/>
      <c r="E6" s="41">
        <f>C6*D6</f>
        <v>0</v>
      </c>
      <c r="F6" s="41" t="s">
        <v>324</v>
      </c>
      <c r="G6" s="41"/>
      <c r="H6" s="41"/>
      <c r="I6" s="41">
        <f>G6*H6</f>
        <v>0</v>
      </c>
      <c r="J6" s="41"/>
      <c r="K6" s="41"/>
      <c r="L6" s="41">
        <f>J6*K6</f>
        <v>0</v>
      </c>
    </row>
    <row r="7" spans="1:12" x14ac:dyDescent="0.35">
      <c r="B7" s="41"/>
      <c r="C7" s="41"/>
      <c r="D7" s="41"/>
      <c r="E7" s="41">
        <f t="shared" ref="E7:E41" si="0">C7*D7</f>
        <v>0</v>
      </c>
      <c r="F7" s="41" t="s">
        <v>324</v>
      </c>
      <c r="G7" s="41"/>
      <c r="H7" s="41"/>
      <c r="I7" s="41">
        <f t="shared" ref="I7:I35" si="1">G7*H7</f>
        <v>0</v>
      </c>
      <c r="J7" s="41"/>
      <c r="K7" s="41"/>
      <c r="L7" s="41">
        <f t="shared" ref="L7:L35" si="2">J7*K7</f>
        <v>0</v>
      </c>
    </row>
    <row r="8" spans="1:12" x14ac:dyDescent="0.35">
      <c r="B8" s="41"/>
      <c r="C8" s="41"/>
      <c r="D8" s="41"/>
      <c r="E8" s="41">
        <f t="shared" si="0"/>
        <v>0</v>
      </c>
      <c r="F8" s="41"/>
      <c r="G8" s="41"/>
      <c r="H8" s="41"/>
      <c r="I8" s="41">
        <f t="shared" si="1"/>
        <v>0</v>
      </c>
      <c r="J8" s="41"/>
      <c r="K8" s="41"/>
      <c r="L8" s="41">
        <f t="shared" si="2"/>
        <v>0</v>
      </c>
    </row>
    <row r="9" spans="1:12" x14ac:dyDescent="0.35">
      <c r="B9" s="41"/>
      <c r="C9" s="41"/>
      <c r="D9" s="41"/>
      <c r="E9" s="41">
        <f t="shared" si="0"/>
        <v>0</v>
      </c>
      <c r="F9" s="41" t="s">
        <v>308</v>
      </c>
      <c r="G9" s="41"/>
      <c r="H9" s="41"/>
      <c r="I9" s="41">
        <f t="shared" si="1"/>
        <v>0</v>
      </c>
      <c r="J9" s="41"/>
      <c r="K9" s="41"/>
      <c r="L9" s="41">
        <f t="shared" si="2"/>
        <v>0</v>
      </c>
    </row>
    <row r="10" spans="1:12" x14ac:dyDescent="0.35">
      <c r="B10" s="41" t="s">
        <v>309</v>
      </c>
      <c r="C10" s="41"/>
      <c r="D10" s="41"/>
      <c r="E10" s="41">
        <f t="shared" si="0"/>
        <v>0</v>
      </c>
      <c r="F10" s="41" t="s">
        <v>308</v>
      </c>
      <c r="G10" s="41"/>
      <c r="H10" s="41"/>
      <c r="I10" s="41">
        <f t="shared" si="1"/>
        <v>0</v>
      </c>
      <c r="J10" s="41"/>
      <c r="K10" s="41"/>
      <c r="L10" s="41">
        <f t="shared" si="2"/>
        <v>0</v>
      </c>
    </row>
    <row r="11" spans="1:12" x14ac:dyDescent="0.35">
      <c r="B11" s="41"/>
      <c r="C11" s="41"/>
      <c r="D11" s="41"/>
      <c r="E11" s="41">
        <f t="shared" si="0"/>
        <v>0</v>
      </c>
      <c r="F11" s="41" t="s">
        <v>310</v>
      </c>
      <c r="G11" s="41"/>
      <c r="H11" s="41"/>
      <c r="I11" s="41">
        <f t="shared" si="1"/>
        <v>0</v>
      </c>
      <c r="J11" s="41"/>
      <c r="K11" s="41"/>
      <c r="L11" s="41">
        <f t="shared" si="2"/>
        <v>0</v>
      </c>
    </row>
    <row r="12" spans="1:12" x14ac:dyDescent="0.35">
      <c r="B12" s="41"/>
      <c r="C12" s="41"/>
      <c r="D12" s="41"/>
      <c r="E12" s="41">
        <f t="shared" si="0"/>
        <v>0</v>
      </c>
      <c r="F12" s="41"/>
      <c r="G12" s="41"/>
      <c r="H12" s="41"/>
      <c r="I12" s="41">
        <f t="shared" si="1"/>
        <v>0</v>
      </c>
      <c r="J12" s="41"/>
      <c r="K12" s="41"/>
      <c r="L12" s="41">
        <f t="shared" si="2"/>
        <v>0</v>
      </c>
    </row>
    <row r="13" spans="1:12" x14ac:dyDescent="0.35">
      <c r="B13" s="41"/>
      <c r="C13" s="41"/>
      <c r="D13" s="41"/>
      <c r="E13" s="41">
        <f t="shared" si="0"/>
        <v>0</v>
      </c>
      <c r="F13" s="41"/>
      <c r="G13" s="41"/>
      <c r="H13" s="41"/>
      <c r="I13" s="41">
        <f t="shared" si="1"/>
        <v>0</v>
      </c>
      <c r="J13" s="41"/>
      <c r="K13" s="41"/>
      <c r="L13" s="41">
        <f t="shared" si="2"/>
        <v>0</v>
      </c>
    </row>
    <row r="14" spans="1:12" x14ac:dyDescent="0.35">
      <c r="B14" s="41" t="s">
        <v>311</v>
      </c>
      <c r="C14" s="41"/>
      <c r="D14" s="41"/>
      <c r="E14" s="41">
        <f t="shared" si="0"/>
        <v>0</v>
      </c>
      <c r="F14" s="41" t="s">
        <v>308</v>
      </c>
      <c r="G14" s="41"/>
      <c r="H14" s="41"/>
      <c r="I14" s="41">
        <f t="shared" si="1"/>
        <v>0</v>
      </c>
      <c r="J14" s="41"/>
      <c r="K14" s="41"/>
      <c r="L14" s="41">
        <f t="shared" si="2"/>
        <v>0</v>
      </c>
    </row>
    <row r="15" spans="1:12" x14ac:dyDescent="0.35">
      <c r="B15" s="41"/>
      <c r="C15" s="41"/>
      <c r="D15" s="41"/>
      <c r="E15" s="41">
        <f t="shared" si="0"/>
        <v>0</v>
      </c>
      <c r="F15" s="41" t="s">
        <v>310</v>
      </c>
      <c r="G15" s="41"/>
      <c r="H15" s="41"/>
      <c r="I15" s="41">
        <f t="shared" si="1"/>
        <v>0</v>
      </c>
      <c r="J15" s="41"/>
      <c r="K15" s="41"/>
      <c r="L15" s="41">
        <f t="shared" si="2"/>
        <v>0</v>
      </c>
    </row>
    <row r="16" spans="1:12" x14ac:dyDescent="0.35">
      <c r="B16" s="41"/>
      <c r="C16" s="41"/>
      <c r="D16" s="41"/>
      <c r="E16" s="41">
        <f t="shared" si="0"/>
        <v>0</v>
      </c>
      <c r="F16" s="41"/>
      <c r="G16" s="41"/>
      <c r="H16" s="41"/>
      <c r="I16" s="41">
        <f t="shared" si="1"/>
        <v>0</v>
      </c>
      <c r="J16" s="41"/>
      <c r="K16" s="41"/>
      <c r="L16" s="41">
        <f t="shared" si="2"/>
        <v>0</v>
      </c>
    </row>
    <row r="17" spans="2:12" x14ac:dyDescent="0.35">
      <c r="B17" s="41"/>
      <c r="C17" s="41"/>
      <c r="D17" s="41"/>
      <c r="E17" s="41">
        <f t="shared" si="0"/>
        <v>0</v>
      </c>
      <c r="F17" s="41"/>
      <c r="G17" s="41"/>
      <c r="H17" s="41"/>
      <c r="I17" s="41">
        <f t="shared" si="1"/>
        <v>0</v>
      </c>
      <c r="J17" s="41"/>
      <c r="K17" s="41"/>
      <c r="L17" s="41">
        <f t="shared" si="2"/>
        <v>0</v>
      </c>
    </row>
    <row r="18" spans="2:12" x14ac:dyDescent="0.35">
      <c r="B18" s="41" t="s">
        <v>312</v>
      </c>
      <c r="C18" s="41"/>
      <c r="D18" s="41"/>
      <c r="E18" s="41">
        <f t="shared" si="0"/>
        <v>0</v>
      </c>
      <c r="F18" s="41" t="s">
        <v>308</v>
      </c>
      <c r="G18" s="41"/>
      <c r="H18" s="41"/>
      <c r="I18" s="41">
        <f t="shared" si="1"/>
        <v>0</v>
      </c>
      <c r="J18" s="41"/>
      <c r="K18" s="41"/>
      <c r="L18" s="41">
        <f t="shared" si="2"/>
        <v>0</v>
      </c>
    </row>
    <row r="19" spans="2:12" x14ac:dyDescent="0.35">
      <c r="B19" s="41"/>
      <c r="C19" s="41"/>
      <c r="D19" s="41"/>
      <c r="E19" s="41">
        <f t="shared" si="0"/>
        <v>0</v>
      </c>
      <c r="F19" s="41" t="s">
        <v>310</v>
      </c>
      <c r="G19" s="41"/>
      <c r="H19" s="41"/>
      <c r="I19" s="41">
        <f t="shared" si="1"/>
        <v>0</v>
      </c>
      <c r="J19" s="41"/>
      <c r="K19" s="41"/>
      <c r="L19" s="41">
        <f t="shared" si="2"/>
        <v>0</v>
      </c>
    </row>
    <row r="20" spans="2:12" x14ac:dyDescent="0.35">
      <c r="B20" s="41"/>
      <c r="C20" s="41"/>
      <c r="D20" s="41"/>
      <c r="E20" s="41">
        <f t="shared" si="0"/>
        <v>0</v>
      </c>
      <c r="F20" s="41"/>
      <c r="G20" s="41"/>
      <c r="H20" s="41"/>
      <c r="I20" s="41">
        <f t="shared" si="1"/>
        <v>0</v>
      </c>
      <c r="J20" s="41"/>
      <c r="K20" s="41"/>
      <c r="L20" s="41">
        <f t="shared" si="2"/>
        <v>0</v>
      </c>
    </row>
    <row r="21" spans="2:12" x14ac:dyDescent="0.35">
      <c r="B21" s="41" t="s">
        <v>313</v>
      </c>
      <c r="C21" s="41"/>
      <c r="D21" s="41"/>
      <c r="E21" s="41">
        <f t="shared" si="0"/>
        <v>0</v>
      </c>
      <c r="F21" s="41" t="s">
        <v>308</v>
      </c>
      <c r="G21" s="41"/>
      <c r="H21" s="41"/>
      <c r="I21" s="41">
        <f t="shared" si="1"/>
        <v>0</v>
      </c>
      <c r="J21" s="41"/>
      <c r="K21" s="41"/>
      <c r="L21" s="41">
        <f t="shared" si="2"/>
        <v>0</v>
      </c>
    </row>
    <row r="22" spans="2:12" x14ac:dyDescent="0.35">
      <c r="B22" s="41"/>
      <c r="C22" s="41"/>
      <c r="D22" s="41"/>
      <c r="E22" s="41">
        <f t="shared" si="0"/>
        <v>0</v>
      </c>
      <c r="F22" s="41" t="s">
        <v>310</v>
      </c>
      <c r="G22" s="41"/>
      <c r="H22" s="41"/>
      <c r="I22" s="41">
        <f t="shared" si="1"/>
        <v>0</v>
      </c>
      <c r="J22" s="41"/>
      <c r="K22" s="41"/>
      <c r="L22" s="41">
        <f t="shared" si="2"/>
        <v>0</v>
      </c>
    </row>
    <row r="23" spans="2:12" x14ac:dyDescent="0.35">
      <c r="B23" s="41"/>
      <c r="C23" s="41"/>
      <c r="D23" s="41"/>
      <c r="E23" s="41">
        <f t="shared" si="0"/>
        <v>0</v>
      </c>
      <c r="F23" s="41"/>
      <c r="G23" s="41"/>
      <c r="H23" s="41"/>
      <c r="I23" s="41">
        <f t="shared" si="1"/>
        <v>0</v>
      </c>
      <c r="J23" s="41"/>
      <c r="K23" s="41"/>
      <c r="L23" s="41">
        <f t="shared" si="2"/>
        <v>0</v>
      </c>
    </row>
    <row r="24" spans="2:12" x14ac:dyDescent="0.35">
      <c r="B24" s="41" t="s">
        <v>314</v>
      </c>
      <c r="C24" s="41"/>
      <c r="D24" s="41"/>
      <c r="E24" s="41">
        <f t="shared" si="0"/>
        <v>0</v>
      </c>
      <c r="F24" s="41" t="s">
        <v>315</v>
      </c>
      <c r="G24" s="41"/>
      <c r="H24" s="41"/>
      <c r="I24" s="41">
        <f t="shared" si="1"/>
        <v>0</v>
      </c>
      <c r="J24" s="41"/>
      <c r="K24" s="41"/>
      <c r="L24" s="41">
        <f t="shared" si="2"/>
        <v>0</v>
      </c>
    </row>
    <row r="25" spans="2:12" x14ac:dyDescent="0.35">
      <c r="B25" s="41"/>
      <c r="C25" s="41"/>
      <c r="D25" s="41"/>
      <c r="E25" s="41">
        <f t="shared" ref="E25:E27" si="3">C25*D25</f>
        <v>0</v>
      </c>
      <c r="F25" s="41" t="s">
        <v>315</v>
      </c>
      <c r="G25" s="41"/>
      <c r="H25" s="41"/>
      <c r="I25" s="41">
        <f t="shared" ref="I25:I27" si="4">G25*H25</f>
        <v>0</v>
      </c>
      <c r="J25" s="41"/>
      <c r="K25" s="41"/>
      <c r="L25" s="41">
        <f t="shared" ref="L25:L27" si="5">J25*K25</f>
        <v>0</v>
      </c>
    </row>
    <row r="26" spans="2:12" x14ac:dyDescent="0.35">
      <c r="B26" s="41"/>
      <c r="C26" s="41"/>
      <c r="D26" s="41"/>
      <c r="E26" s="41">
        <f t="shared" si="3"/>
        <v>0</v>
      </c>
      <c r="F26" s="41" t="s">
        <v>315</v>
      </c>
      <c r="G26" s="41"/>
      <c r="H26" s="41"/>
      <c r="I26" s="41">
        <f t="shared" si="4"/>
        <v>0</v>
      </c>
      <c r="J26" s="41"/>
      <c r="K26" s="41"/>
      <c r="L26" s="41">
        <f t="shared" si="5"/>
        <v>0</v>
      </c>
    </row>
    <row r="27" spans="2:12" x14ac:dyDescent="0.35">
      <c r="B27" s="41"/>
      <c r="C27" s="41"/>
      <c r="D27" s="41"/>
      <c r="E27" s="41">
        <f t="shared" si="3"/>
        <v>0</v>
      </c>
      <c r="F27" s="41" t="s">
        <v>315</v>
      </c>
      <c r="G27" s="41"/>
      <c r="H27" s="41"/>
      <c r="I27" s="41">
        <f t="shared" si="4"/>
        <v>0</v>
      </c>
      <c r="J27" s="41"/>
      <c r="K27" s="41"/>
      <c r="L27" s="41">
        <f t="shared" si="5"/>
        <v>0</v>
      </c>
    </row>
    <row r="28" spans="2:12" x14ac:dyDescent="0.35">
      <c r="B28" s="41" t="s">
        <v>316</v>
      </c>
      <c r="C28" s="41"/>
      <c r="D28" s="41"/>
      <c r="E28" s="41">
        <f t="shared" si="0"/>
        <v>0</v>
      </c>
      <c r="F28" s="41" t="s">
        <v>315</v>
      </c>
      <c r="G28" s="41"/>
      <c r="H28" s="41"/>
      <c r="I28" s="41">
        <f t="shared" si="1"/>
        <v>0</v>
      </c>
      <c r="J28" s="41"/>
      <c r="K28" s="41"/>
      <c r="L28" s="41">
        <f t="shared" si="2"/>
        <v>0</v>
      </c>
    </row>
    <row r="29" spans="2:12" x14ac:dyDescent="0.35">
      <c r="B29" s="41" t="s">
        <v>317</v>
      </c>
      <c r="C29" s="41"/>
      <c r="D29" s="41"/>
      <c r="E29" s="41">
        <f t="shared" si="0"/>
        <v>0</v>
      </c>
      <c r="F29" s="41" t="s">
        <v>315</v>
      </c>
      <c r="G29" s="41"/>
      <c r="H29" s="41"/>
      <c r="I29" s="41">
        <f t="shared" si="1"/>
        <v>0</v>
      </c>
      <c r="J29" s="41"/>
      <c r="K29" s="41"/>
      <c r="L29" s="41">
        <f t="shared" si="2"/>
        <v>0</v>
      </c>
    </row>
    <row r="30" spans="2:12" x14ac:dyDescent="0.35">
      <c r="B30" s="41" t="s">
        <v>321</v>
      </c>
      <c r="C30" s="41"/>
      <c r="D30" s="41"/>
      <c r="E30" s="41">
        <f t="shared" si="0"/>
        <v>0</v>
      </c>
      <c r="F30" s="41"/>
      <c r="G30" s="41"/>
      <c r="H30" s="41"/>
      <c r="I30" s="41">
        <f t="shared" si="1"/>
        <v>0</v>
      </c>
      <c r="J30" s="41"/>
      <c r="K30" s="41"/>
      <c r="L30" s="41">
        <f t="shared" si="2"/>
        <v>0</v>
      </c>
    </row>
    <row r="31" spans="2:12" x14ac:dyDescent="0.35">
      <c r="B31" s="41"/>
      <c r="C31" s="41"/>
      <c r="D31" s="41"/>
      <c r="E31" s="41">
        <f t="shared" ref="E31:E32" si="6">C31*D31</f>
        <v>0</v>
      </c>
      <c r="F31" s="41"/>
      <c r="G31" s="41"/>
      <c r="H31" s="41"/>
      <c r="I31" s="41">
        <f t="shared" ref="I31:I32" si="7">G31*H31</f>
        <v>0</v>
      </c>
      <c r="J31" s="41"/>
      <c r="K31" s="41"/>
      <c r="L31" s="41">
        <f t="shared" ref="L31:L32" si="8">J31*K31</f>
        <v>0</v>
      </c>
    </row>
    <row r="32" spans="2:12" x14ac:dyDescent="0.35">
      <c r="B32" s="41"/>
      <c r="C32" s="41"/>
      <c r="D32" s="41"/>
      <c r="E32" s="41">
        <f t="shared" si="6"/>
        <v>0</v>
      </c>
      <c r="F32" s="41"/>
      <c r="G32" s="41"/>
      <c r="H32" s="41"/>
      <c r="I32" s="41">
        <f t="shared" si="7"/>
        <v>0</v>
      </c>
      <c r="J32" s="41"/>
      <c r="K32" s="41"/>
      <c r="L32" s="41">
        <f t="shared" si="8"/>
        <v>0</v>
      </c>
    </row>
    <row r="33" spans="2:12" x14ac:dyDescent="0.35">
      <c r="B33" s="41" t="s">
        <v>318</v>
      </c>
      <c r="C33" s="41"/>
      <c r="D33" s="41"/>
      <c r="E33" s="41">
        <f t="shared" si="0"/>
        <v>0</v>
      </c>
      <c r="F33" s="41"/>
      <c r="G33" s="41"/>
      <c r="H33" s="41"/>
      <c r="I33" s="41">
        <f t="shared" si="1"/>
        <v>0</v>
      </c>
      <c r="J33" s="41"/>
      <c r="K33" s="41"/>
      <c r="L33" s="41">
        <f t="shared" si="2"/>
        <v>0</v>
      </c>
    </row>
    <row r="34" spans="2:12" x14ac:dyDescent="0.35">
      <c r="B34" s="41" t="s">
        <v>322</v>
      </c>
      <c r="C34" s="41"/>
      <c r="D34" s="41"/>
      <c r="E34" s="41">
        <f t="shared" si="0"/>
        <v>0</v>
      </c>
      <c r="F34" s="41"/>
      <c r="G34" s="41"/>
      <c r="H34" s="41"/>
      <c r="I34" s="41">
        <f t="shared" si="1"/>
        <v>0</v>
      </c>
      <c r="J34" s="41"/>
      <c r="K34" s="41"/>
      <c r="L34" s="41">
        <f t="shared" si="2"/>
        <v>0</v>
      </c>
    </row>
    <row r="35" spans="2:12" x14ac:dyDescent="0.35">
      <c r="B35" s="41" t="s">
        <v>319</v>
      </c>
      <c r="C35" s="41"/>
      <c r="D35" s="41"/>
      <c r="E35" s="41">
        <f t="shared" si="0"/>
        <v>0</v>
      </c>
      <c r="F35" s="41"/>
      <c r="G35" s="41"/>
      <c r="H35" s="41"/>
      <c r="I35" s="41">
        <f t="shared" si="1"/>
        <v>0</v>
      </c>
      <c r="J35" s="41"/>
      <c r="K35" s="41"/>
      <c r="L35" s="41">
        <f t="shared" si="2"/>
        <v>0</v>
      </c>
    </row>
    <row r="36" spans="2:12" x14ac:dyDescent="0.35">
      <c r="B36" s="41" t="s">
        <v>320</v>
      </c>
      <c r="C36" s="41"/>
      <c r="D36" s="41"/>
      <c r="E36" s="41">
        <f t="shared" si="0"/>
        <v>0</v>
      </c>
      <c r="F36" s="41"/>
      <c r="G36" s="41"/>
      <c r="H36" s="41"/>
      <c r="I36" s="41">
        <f>G36*H36</f>
        <v>0</v>
      </c>
      <c r="J36" s="41"/>
      <c r="K36" s="41"/>
      <c r="L36" s="41">
        <f>J36*K36</f>
        <v>0</v>
      </c>
    </row>
    <row r="37" spans="2:12" x14ac:dyDescent="0.35">
      <c r="B37" s="41"/>
      <c r="C37" s="41"/>
      <c r="D37" s="41"/>
      <c r="E37" s="41">
        <f t="shared" ref="E37:E38" si="9">C37*D37</f>
        <v>0</v>
      </c>
      <c r="F37" s="41"/>
      <c r="G37" s="41"/>
      <c r="H37" s="41"/>
      <c r="I37" s="41">
        <f t="shared" ref="I37:I38" si="10">G37*H37</f>
        <v>0</v>
      </c>
      <c r="J37" s="41"/>
      <c r="K37" s="41"/>
      <c r="L37" s="41">
        <f t="shared" ref="L37:L38" si="11">J37*K37</f>
        <v>0</v>
      </c>
    </row>
    <row r="38" spans="2:12" x14ac:dyDescent="0.35">
      <c r="B38" s="41" t="s">
        <v>323</v>
      </c>
      <c r="C38" s="41"/>
      <c r="D38" s="41"/>
      <c r="E38" s="41">
        <f t="shared" si="9"/>
        <v>0</v>
      </c>
      <c r="F38" s="41"/>
      <c r="G38" s="41"/>
      <c r="H38" s="41"/>
      <c r="I38" s="41">
        <f t="shared" si="10"/>
        <v>0</v>
      </c>
      <c r="J38" s="41"/>
      <c r="K38" s="41"/>
      <c r="L38" s="41">
        <f t="shared" si="11"/>
        <v>0</v>
      </c>
    </row>
    <row r="39" spans="2:12" x14ac:dyDescent="0.35">
      <c r="B39" s="41"/>
      <c r="C39" s="41"/>
      <c r="D39" s="41"/>
      <c r="E39" s="41">
        <f t="shared" si="0"/>
        <v>0</v>
      </c>
      <c r="F39" s="41"/>
      <c r="G39" s="41"/>
      <c r="H39" s="41"/>
      <c r="I39" s="41">
        <f>G39*H39</f>
        <v>0</v>
      </c>
      <c r="J39" s="41"/>
      <c r="K39" s="41"/>
      <c r="L39" s="41">
        <f>J39*K39</f>
        <v>0</v>
      </c>
    </row>
    <row r="40" spans="2:12" x14ac:dyDescent="0.35">
      <c r="B40" s="41"/>
      <c r="C40" s="41"/>
      <c r="D40" s="41"/>
      <c r="E40" s="41">
        <f t="shared" si="0"/>
        <v>0</v>
      </c>
      <c r="F40" s="41"/>
      <c r="G40" s="41"/>
      <c r="H40" s="41"/>
      <c r="I40" s="41">
        <f>G40*H40</f>
        <v>0</v>
      </c>
      <c r="J40" s="41"/>
      <c r="K40" s="41"/>
      <c r="L40" s="41">
        <f>J40*K40</f>
        <v>0</v>
      </c>
    </row>
    <row r="41" spans="2:12" x14ac:dyDescent="0.35">
      <c r="B41" s="41"/>
      <c r="C41" s="41"/>
      <c r="D41" s="41"/>
      <c r="E41" s="41">
        <f t="shared" si="0"/>
        <v>0</v>
      </c>
      <c r="F41" s="41"/>
      <c r="G41" s="41"/>
      <c r="H41" s="41"/>
      <c r="I41" s="41">
        <f>G41*H41</f>
        <v>0</v>
      </c>
      <c r="J41" s="41"/>
      <c r="K41" s="41"/>
      <c r="L41" s="41">
        <f>J41*K41</f>
        <v>0</v>
      </c>
    </row>
    <row r="42" spans="2:12" x14ac:dyDescent="0.35">
      <c r="B42" s="41" t="s">
        <v>144</v>
      </c>
      <c r="C42" s="41"/>
      <c r="D42" s="41">
        <f>E42*10.764</f>
        <v>0</v>
      </c>
      <c r="E42" s="58">
        <f>SUM(E6:E41)</f>
        <v>0</v>
      </c>
      <c r="F42" s="41"/>
      <c r="G42" s="41"/>
      <c r="H42" s="41">
        <f>I42*10.764</f>
        <v>0</v>
      </c>
      <c r="I42" s="57">
        <f>SUM(I6:I41)</f>
        <v>0</v>
      </c>
      <c r="J42" s="41"/>
      <c r="K42" s="41">
        <f>L42*10.764</f>
        <v>0</v>
      </c>
      <c r="L42" s="56">
        <f>SUM(L6:L41)</f>
        <v>0</v>
      </c>
    </row>
    <row r="44" spans="2:12" x14ac:dyDescent="0.35">
      <c r="D44" s="40">
        <f>D42+H42</f>
        <v>0</v>
      </c>
      <c r="E44" s="4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2025-05-16T09:07:59Z</cp:lastPrinted>
  <dcterms:created xsi:type="dcterms:W3CDTF">2019-07-16T09:29:46Z</dcterms:created>
  <dcterms:modified xsi:type="dcterms:W3CDTF">2025-08-13T15:02:43Z</dcterms:modified>
</cp:coreProperties>
</file>