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J91" i="1" l="1"/>
  <c r="J90" i="1"/>
  <c r="J89" i="1"/>
  <c r="J88" i="1"/>
  <c r="E3" i="1" l="1"/>
  <c r="L164" i="1" l="1"/>
  <c r="L156" i="1"/>
  <c r="K164" i="1"/>
  <c r="D190" i="1" l="1"/>
  <c r="I189" i="1"/>
  <c r="D189" i="1"/>
  <c r="A189" i="1"/>
  <c r="A190" i="1" s="1"/>
  <c r="G188" i="1"/>
  <c r="G189" i="1" s="1"/>
  <c r="G190" i="1" s="1"/>
  <c r="D188" i="1"/>
  <c r="D168" i="1"/>
  <c r="I167" i="1"/>
  <c r="D167" i="1"/>
  <c r="A167" i="1"/>
  <c r="A168" i="1" s="1"/>
  <c r="G166" i="1"/>
  <c r="G167" i="1" s="1"/>
  <c r="G168" i="1" s="1"/>
  <c r="D166" i="1"/>
  <c r="D186" i="1"/>
  <c r="K186" i="1" s="1"/>
  <c r="D185" i="1"/>
  <c r="K185" i="1" s="1"/>
  <c r="D184" i="1"/>
  <c r="K184" i="1" s="1"/>
  <c r="D183" i="1"/>
  <c r="K183" i="1" s="1"/>
  <c r="D182" i="1"/>
  <c r="K182" i="1" s="1"/>
  <c r="D181" i="1"/>
  <c r="K181" i="1" s="1"/>
  <c r="D180" i="1"/>
  <c r="K180" i="1" s="1"/>
  <c r="I179" i="1"/>
  <c r="D179" i="1"/>
  <c r="K179" i="1" s="1"/>
  <c r="A179" i="1"/>
  <c r="A180" i="1" s="1"/>
  <c r="A181" i="1" s="1"/>
  <c r="A182" i="1" s="1"/>
  <c r="A183" i="1" s="1"/>
  <c r="A184" i="1" s="1"/>
  <c r="A185" i="1" s="1"/>
  <c r="A186" i="1" s="1"/>
  <c r="G178" i="1"/>
  <c r="G179" i="1" s="1"/>
  <c r="G180" i="1" s="1"/>
  <c r="G181" i="1" s="1"/>
  <c r="G182" i="1" s="1"/>
  <c r="G183" i="1" s="1"/>
  <c r="D178" i="1"/>
  <c r="K178" i="1" s="1"/>
  <c r="D163" i="1"/>
  <c r="D162" i="1"/>
  <c r="D161" i="1"/>
  <c r="D164" i="1"/>
  <c r="D160" i="1"/>
  <c r="D159" i="1"/>
  <c r="D158" i="1"/>
  <c r="D157" i="1"/>
  <c r="D156" i="1"/>
  <c r="I157" i="1"/>
  <c r="A157" i="1"/>
  <c r="A158" i="1" s="1"/>
  <c r="A159" i="1" s="1"/>
  <c r="A160" i="1" s="1"/>
  <c r="A161" i="1" s="1"/>
  <c r="A162" i="1" s="1"/>
  <c r="A163" i="1" s="1"/>
  <c r="A164" i="1" s="1"/>
  <c r="G156" i="1"/>
  <c r="G157" i="1" s="1"/>
  <c r="G158" i="1" s="1"/>
  <c r="G159" i="1" s="1"/>
  <c r="G160" i="1" s="1"/>
  <c r="G161" i="1" s="1"/>
  <c r="G162" i="1" s="1"/>
  <c r="G164" i="1" s="1"/>
  <c r="D176" i="1"/>
  <c r="D175" i="1"/>
  <c r="D174" i="1"/>
  <c r="E151" i="1"/>
  <c r="E173" i="1"/>
  <c r="D173" i="1"/>
  <c r="F173" i="1" s="1"/>
  <c r="D172" i="1"/>
  <c r="D154" i="1"/>
  <c r="D153" i="1"/>
  <c r="D152" i="1"/>
  <c r="D151" i="1"/>
  <c r="D150" i="1"/>
  <c r="I150" i="1"/>
  <c r="D149" i="1"/>
  <c r="F149" i="1" s="1"/>
  <c r="J149" i="1" s="1"/>
  <c r="K172" i="1"/>
  <c r="A173" i="1"/>
  <c r="A174" i="1" s="1"/>
  <c r="A175" i="1" s="1"/>
  <c r="A176" i="1" s="1"/>
  <c r="G172" i="1"/>
  <c r="G173" i="1" s="1"/>
  <c r="G174" i="1" s="1"/>
  <c r="G175" i="1" s="1"/>
  <c r="G176" i="1" s="1"/>
  <c r="D143" i="1"/>
  <c r="D142" i="1"/>
  <c r="D141" i="1"/>
  <c r="D140" i="1"/>
  <c r="D139" i="1"/>
  <c r="D138" i="1"/>
  <c r="D137" i="1"/>
  <c r="D136" i="1"/>
  <c r="D132" i="1"/>
  <c r="D131" i="1"/>
  <c r="D130" i="1"/>
  <c r="D129" i="1"/>
  <c r="D128" i="1"/>
  <c r="D127" i="1"/>
  <c r="D126" i="1"/>
  <c r="D125" i="1"/>
  <c r="F151" i="1" l="1"/>
  <c r="C110" i="1"/>
  <c r="C109" i="1"/>
  <c r="C114" i="1"/>
  <c r="E114" i="1"/>
  <c r="E115" i="1"/>
  <c r="E109" i="1"/>
  <c r="E110" i="1"/>
  <c r="C115" i="1"/>
  <c r="G185" i="1"/>
  <c r="G184" i="1"/>
  <c r="G186" i="1" s="1"/>
  <c r="G163" i="1"/>
  <c r="G115" i="1"/>
  <c r="F143" i="1"/>
  <c r="F142" i="1"/>
  <c r="F141" i="1"/>
  <c r="F140" i="1"/>
  <c r="J40" i="1"/>
  <c r="C111" i="1" l="1"/>
  <c r="C116" i="1"/>
  <c r="E111" i="1"/>
  <c r="E116" i="1"/>
  <c r="F139" i="1"/>
  <c r="F138" i="1"/>
  <c r="F137" i="1"/>
  <c r="F136" i="1"/>
  <c r="F132" i="1"/>
  <c r="F131" i="1"/>
  <c r="F130" i="1"/>
  <c r="F129" i="1"/>
  <c r="E117" i="1" l="1"/>
  <c r="C117" i="1"/>
  <c r="G110" i="1"/>
  <c r="B194" i="1"/>
  <c r="C13" i="1" l="1"/>
  <c r="E28" i="1" l="1"/>
  <c r="A150" i="1" l="1"/>
  <c r="A151" i="1" s="1"/>
  <c r="A152" i="1" s="1"/>
  <c r="A153" i="1" s="1"/>
  <c r="A154" i="1" s="1"/>
  <c r="G149" i="1"/>
  <c r="G150" i="1" s="1"/>
  <c r="G151" i="1" s="1"/>
  <c r="G152" i="1" s="1"/>
  <c r="G153" i="1" s="1"/>
  <c r="G154" i="1" s="1"/>
  <c r="G114" i="1" l="1"/>
  <c r="G116" i="1" s="1"/>
  <c r="F106" i="1"/>
  <c r="F126" i="1" l="1"/>
  <c r="F127" i="1"/>
  <c r="F128" i="1"/>
  <c r="I128" i="1" s="1"/>
  <c r="F125" i="1"/>
  <c r="G109" i="1" l="1"/>
  <c r="G111" i="1" s="1"/>
  <c r="G117" i="1" s="1"/>
  <c r="B19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6" i="1"/>
  <c r="A126" i="1"/>
  <c r="A127" i="1" s="1"/>
  <c r="A128" i="1" s="1"/>
  <c r="A129" i="1" s="1"/>
  <c r="A130" i="1" s="1"/>
  <c r="A131" i="1" s="1"/>
  <c r="A132" i="1" s="1"/>
  <c r="A136" i="1" s="1"/>
  <c r="A137" i="1" s="1"/>
  <c r="A138" i="1" s="1"/>
  <c r="A139" i="1" s="1"/>
  <c r="A140" i="1" s="1"/>
  <c r="A141" i="1" s="1"/>
  <c r="A142" i="1" s="1"/>
  <c r="A143" i="1" s="1"/>
  <c r="G125" i="1"/>
  <c r="G126" i="1" s="1"/>
  <c r="G127" i="1" s="1"/>
  <c r="G128" i="1" s="1"/>
  <c r="G129" i="1" s="1"/>
  <c r="G130" i="1" s="1"/>
  <c r="G131" i="1" s="1"/>
  <c r="G132" i="1" s="1"/>
  <c r="G136" i="1" s="1"/>
  <c r="G137" i="1" s="1"/>
  <c r="G138" i="1" s="1"/>
  <c r="G139" i="1" s="1"/>
  <c r="G140" i="1" s="1"/>
  <c r="G141" i="1" s="1"/>
  <c r="G142" i="1" s="1"/>
  <c r="G143" i="1" s="1"/>
  <c r="J77" i="1"/>
  <c r="J76" i="1"/>
  <c r="J75" i="1"/>
  <c r="J74" i="1"/>
  <c r="D54" i="1"/>
  <c r="E41" i="1"/>
  <c r="E42" i="1" s="1"/>
  <c r="E25" i="1"/>
  <c r="E23" i="1"/>
  <c r="E7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8" i="1" s="1"/>
  <c r="J79" i="1" s="1"/>
  <c r="C71" i="1" s="1"/>
  <c r="E70" i="1" s="1"/>
  <c r="D72" i="1"/>
  <c r="J68" i="1"/>
  <c r="D70" i="1"/>
  <c r="J67" i="1" l="1"/>
  <c r="G70" i="1"/>
  <c r="D64" i="1" s="1"/>
  <c r="F65" i="1" s="1"/>
  <c r="D71" i="1"/>
  <c r="I67" i="1" l="1"/>
  <c r="I68" i="1" s="1"/>
  <c r="I66" i="1" s="1"/>
  <c r="C68" i="1" s="1"/>
  <c r="D65" i="1"/>
  <c r="H81" i="1" l="1"/>
  <c r="D88" i="1" l="1"/>
  <c r="J84" i="1"/>
  <c r="D87" i="1"/>
  <c r="D90" i="1"/>
  <c r="D93" i="1"/>
  <c r="J80" i="1"/>
  <c r="J82" i="1" s="1"/>
  <c r="D89" i="1"/>
  <c r="D86" i="1"/>
  <c r="D92" i="1"/>
  <c r="J85" i="1"/>
  <c r="C84" i="1" s="1"/>
  <c r="J86" i="1"/>
  <c r="J87" i="1" s="1"/>
  <c r="J92" i="1" s="1"/>
  <c r="J93" i="1" s="1"/>
  <c r="C85" i="1" s="1"/>
  <c r="E84" i="1" s="1"/>
  <c r="J83" i="1"/>
  <c r="D91" i="1"/>
  <c r="D84" i="1"/>
  <c r="J81" i="1" l="1"/>
  <c r="G84" i="1"/>
  <c r="D85" i="1"/>
  <c r="I81" i="1" s="1"/>
  <c r="I82" i="1" l="1"/>
  <c r="I80" i="1" s="1"/>
  <c r="C82" i="1" s="1"/>
</calcChain>
</file>

<file path=xl/sharedStrings.xml><?xml version="1.0" encoding="utf-8"?>
<sst xmlns="http://schemas.openxmlformats.org/spreadsheetml/2006/main" count="369" uniqueCount="227">
  <si>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</si>
  <si>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</si>
  <si>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</si>
  <si>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</si>
  <si>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</si>
  <si>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</si>
  <si>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</si>
  <si>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</si>
  <si>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</si>
  <si>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</si>
  <si>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</si>
  <si>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</si>
  <si>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</si>
  <si>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</si>
  <si>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</si>
  <si>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</si>
  <si>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</si>
  <si>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</si>
  <si>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</si>
  <si>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</si>
  <si>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</si>
  <si>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</si>
  <si>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</si>
  <si>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</si>
  <si>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</si>
  <si>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</si>
  <si>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</si>
  <si>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</si>
  <si>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</si>
  <si>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</si>
  <si>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</si>
  <si>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</si>
  <si>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</si>
  <si>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</si>
  <si>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</si>
  <si>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</si>
  <si>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</si>
  <si>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</si>
  <si>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</si>
  <si>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</si>
  <si>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</si>
  <si>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</si>
  <si>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</si>
  <si>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</si>
  <si>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</si>
  <si>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</si>
  <si>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</si>
  <si>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</si>
  <si>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</si>
  <si>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</si>
  <si>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</si>
  <si>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</si>
  <si>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</si>
  <si>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</si>
  <si>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</si>
  <si>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</si>
  <si>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</si>
  <si>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</si>
  <si>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</si>
  <si>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</si>
  <si>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</si>
  <si>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</si>
  <si>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</si>
  <si>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</si>
  <si>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</si>
  <si>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</si>
  <si>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</si>
  <si>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</si>
  <si>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</si>
  <si>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</si>
  <si>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</si>
  <si>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</si>
  <si>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</si>
  <si>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</si>
  <si>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</si>
  <si>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</si>
  <si>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</si>
  <si>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</si>
  <si>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</si>
  <si>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</si>
  <si>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</si>
  <si>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</si>
  <si>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</si>
  <si>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</si>
  <si>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</si>
  <si>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</si>
  <si>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</si>
  <si>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</si>
  <si>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</si>
  <si>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</si>
  <si>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</si>
  <si>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</si>
  <si>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</si>
  <si>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</si>
  <si>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</si>
  <si>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</si>
  <si>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</si>
  <si>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</si>
  <si>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</si>
  <si>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</si>
  <si>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</si>
  <si>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</si>
  <si>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</si>
  <si>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</si>
  <si>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</si>
  <si>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</si>
  <si>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</si>
  <si>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</si>
  <si>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</si>
  <si>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</si>
  <si>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</si>
  <si>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</si>
  <si>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</si>
  <si>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</si>
  <si>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</si>
  <si>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</si>
  <si>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</si>
  <si>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</si>
  <si>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</si>
  <si>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</si>
  <si>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</si>
  <si>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</si>
  <si>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</si>
  <si>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</si>
  <si>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</si>
  <si>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</si>
  <si>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</si>
  <si>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</si>
  <si>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</si>
  <si>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</si>
  <si>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</si>
  <si>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</si>
  <si>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</si>
  <si>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</si>
  <si>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</si>
  <si>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</si>
  <si>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</si>
  <si>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</si>
  <si>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</si>
  <si>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</si>
  <si>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</si>
  <si>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</si>
  <si>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</si>
  <si>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</si>
  <si>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</si>
  <si>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</si>
  <si>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</si>
  <si>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</si>
  <si>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</si>
  <si>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</si>
  <si>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</si>
  <si>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</si>
  <si>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</si>
  <si>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</si>
  <si>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</si>
  <si>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</si>
  <si>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</si>
  <si>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</si>
  <si>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</si>
  <si>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</si>
  <si>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</si>
  <si>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</si>
  <si>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</si>
  <si>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</si>
  <si>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</si>
  <si>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</si>
  <si>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</si>
  <si>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</si>
  <si>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</si>
  <si>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</si>
  <si>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Thane</t>
  </si>
  <si>
    <t>M/s.Bhagwati Lifescapes Llp</t>
  </si>
  <si>
    <t>P52000045868</t>
  </si>
  <si>
    <t>Plot No</t>
  </si>
  <si>
    <t>20, Sector - 04</t>
  </si>
  <si>
    <t>Dapoli</t>
  </si>
  <si>
    <t>Raigad</t>
  </si>
  <si>
    <t>Panvel</t>
  </si>
  <si>
    <t>Open Plot</t>
  </si>
  <si>
    <t>https://goo.gl/maps/53xW7BjTtw3oGbLNA</t>
  </si>
  <si>
    <t>CIDCO</t>
  </si>
  <si>
    <t>As per RERA - 31/03/2026</t>
  </si>
  <si>
    <t>Ground Floor For Commercial &amp; Parking</t>
  </si>
  <si>
    <t>Shop</t>
  </si>
  <si>
    <t>A Wing</t>
  </si>
  <si>
    <t>2BHK</t>
  </si>
  <si>
    <t>1BHK</t>
  </si>
  <si>
    <t>B Wing</t>
  </si>
  <si>
    <t>2nd Floor For Residential &amp; Fitness Center/ Society Office &amp; Voids</t>
  </si>
  <si>
    <t>2nd Floor For Residential &amp; Meter Room &amp; Voids</t>
  </si>
  <si>
    <t xml:space="preserve">3rd to 6th Floor For Residential </t>
  </si>
  <si>
    <t>7th Floor (Part Terrace Area)</t>
  </si>
  <si>
    <t>We considered Gross carpet area = Net carpet + Open balcony + Chajja Area.</t>
  </si>
  <si>
    <t>6.6KM from Khandeshwar Railway Station</t>
  </si>
  <si>
    <t>Internal Rd</t>
  </si>
  <si>
    <t>Ranumata Mandir</t>
  </si>
  <si>
    <t>Flats -89, Shops -16.</t>
  </si>
  <si>
    <t>Wing A &amp; B</t>
  </si>
  <si>
    <t>Pushpak Nagar</t>
  </si>
  <si>
    <t xml:space="preserve">Commencement-CC No
Valid Up to: </t>
  </si>
  <si>
    <t>Basement For Parking</t>
  </si>
  <si>
    <t xml:space="preserve"> 1st Floor For Parking </t>
  </si>
  <si>
    <t>Builder Saleable area</t>
  </si>
  <si>
    <t>Grill Charges</t>
  </si>
  <si>
    <r>
      <t>A &amp; B Wing = Basement</t>
    </r>
    <r>
      <rPr>
        <b/>
        <sz val="12"/>
        <rFont val="Times New Roman"/>
        <family val="1"/>
      </rPr>
      <t xml:space="preserve"> +</t>
    </r>
    <r>
      <rPr>
        <sz val="12"/>
        <rFont val="Times New Roman"/>
        <family val="1"/>
      </rPr>
      <t xml:space="preserve"> G + 1st to 7th Floor</t>
    </r>
  </si>
  <si>
    <r>
      <t>Approved Plans, CC, Cost Sheet,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Builder Saleable Area.</t>
    </r>
  </si>
  <si>
    <t>2 Buildings</t>
  </si>
  <si>
    <t>6000 to 6100</t>
  </si>
  <si>
    <t>Smith pal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</si>
  <si>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</si>
  <si>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Bhagwati Elysia II</t>
  </si>
  <si>
    <t>Latitude, Longitude</t>
  </si>
  <si>
    <t>18.973196, 73.0787228</t>
  </si>
  <si>
    <t>Grand Total</t>
  </si>
  <si>
    <r>
      <t>A &amp; B Wing = Basement</t>
    </r>
    <r>
      <rPr>
        <b/>
        <sz val="12"/>
        <rFont val="Times New Roman"/>
        <family val="1"/>
      </rPr>
      <t xml:space="preserve"> +</t>
    </r>
    <r>
      <rPr>
        <sz val="12"/>
        <rFont val="Times New Roman"/>
        <family val="1"/>
      </rPr>
      <t xml:space="preserve"> G + 1st to 11th Floor</t>
    </r>
  </si>
  <si>
    <t>A &amp; B Wing = 1B + Gr/Stilt + 1st Podium floor + 1st to 9th Floor</t>
  </si>
  <si>
    <t>We have updated latest CC from Rera (On 11/08/2023).</t>
  </si>
  <si>
    <t>A Wing = Basement + G + 1st to 11th Floor</t>
  </si>
  <si>
    <t>B Wing = Basement + G + 1st to 11th Floor</t>
  </si>
  <si>
    <t>Please provide revised CC &amp;  revised approved floor plans for wing A &amp; B</t>
  </si>
  <si>
    <t>On Site, we meet Mr. Sanket  (7040229867).</t>
  </si>
  <si>
    <t>Construction work was stopped at the time of visit. Work is same as last visit (12/11/2024).</t>
  </si>
  <si>
    <t>Mr. Rahul 9833554377
Mr. Aashish 9657913387</t>
  </si>
  <si>
    <t>CIDCO/BP-17926/TPO(NM&amp;K)/ 2021/9193</t>
  </si>
  <si>
    <t>CIDCO/BP-17926/TPO(NM &amp; K)/ 2021/10654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</si>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</sst>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260</xdr:row>
      <xdr:rowOff>19050</xdr:rowOff>
    </xdr:from>
    <xdr:to>
      <xdr:col>6</xdr:col>
      <xdr:colOff>359211</xdr:colOff>
      <xdr:row>278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3975" y="51196875"/>
          <a:ext cx="43120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548120</xdr:colOff>
      <xdr:row>278</xdr:row>
      <xdr:rowOff>108517</xdr:rowOff>
    </xdr:from>
    <xdr:to>
      <xdr:col>6</xdr:col>
      <xdr:colOff>402506</xdr:colOff>
      <xdr:row>296</xdr:row>
      <xdr:rowOff>108068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0120" y="54695426"/>
          <a:ext cx="4002091" cy="35844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250605</xdr:colOff>
      <xdr:row>218</xdr:row>
      <xdr:rowOff>57480</xdr:rowOff>
    </xdr:from>
    <xdr:to>
      <xdr:col>9</xdr:col>
      <xdr:colOff>550150</xdr:colOff>
      <xdr:row>219</xdr:row>
      <xdr:rowOff>135322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0D32A87-74CF-C0B5-0258-0D21BEB3B98C}"/>
            </a:ext>
          </a:extLst>
        </xdr:cNvPr>
        <xdr:cNvSpPr txBox="1"/>
      </xdr:nvSpPr>
      <xdr:spPr>
        <a:xfrm>
          <a:off x="7937280" y="46310880"/>
          <a:ext cx="299545" cy="268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11</xdr:col>
      <xdr:colOff>499769</xdr:colOff>
      <xdr:row>217</xdr:row>
      <xdr:rowOff>189185</xdr:rowOff>
    </xdr:from>
    <xdr:to>
      <xdr:col>12</xdr:col>
      <xdr:colOff>94464</xdr:colOff>
      <xdr:row>219</xdr:row>
      <xdr:rowOff>67002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2F070C5-FF98-46D4-B4D5-037AA303D8A4}"/>
            </a:ext>
          </a:extLst>
        </xdr:cNvPr>
        <xdr:cNvSpPr txBox="1"/>
      </xdr:nvSpPr>
      <xdr:spPr>
        <a:xfrm>
          <a:off x="9653294" y="46242560"/>
          <a:ext cx="299545" cy="268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</a:t>
          </a:r>
        </a:p>
      </xdr:txBody>
    </xdr:sp>
    <xdr:clientData/>
  </xdr:twoCellAnchor>
  <xdr:twoCellAnchor>
    <xdr:from>
      <xdr:col>14</xdr:col>
      <xdr:colOff>169423</xdr:colOff>
      <xdr:row>217</xdr:row>
      <xdr:rowOff>155513</xdr:rowOff>
    </xdr:from>
    <xdr:to>
      <xdr:col>15</xdr:col>
      <xdr:colOff>440564</xdr:colOff>
      <xdr:row>219</xdr:row>
      <xdr:rowOff>134320</xdr:rowOff>
    </xdr:to>
    <xdr:sp macro="" textlink="">
      <xdr:nvSpPr>
        <xdr:cNvPr id="15" name="Rectangle 14"/>
        <xdr:cNvSpPr/>
      </xdr:nvSpPr>
      <xdr:spPr>
        <a:xfrm>
          <a:off x="12653523" y="45380213"/>
          <a:ext cx="956941" cy="3661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31751</xdr:colOff>
      <xdr:row>216</xdr:row>
      <xdr:rowOff>12700</xdr:rowOff>
    </xdr:from>
    <xdr:to>
      <xdr:col>8</xdr:col>
      <xdr:colOff>998310</xdr:colOff>
      <xdr:row>217</xdr:row>
      <xdr:rowOff>96055</xdr:rowOff>
    </xdr:to>
    <xdr:sp macro="" textlink="">
      <xdr:nvSpPr>
        <xdr:cNvPr id="35" name="Rectangle 34"/>
        <xdr:cNvSpPr/>
      </xdr:nvSpPr>
      <xdr:spPr>
        <a:xfrm>
          <a:off x="7321551" y="45040550"/>
          <a:ext cx="966559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12</xdr:col>
      <xdr:colOff>404547</xdr:colOff>
      <xdr:row>215</xdr:row>
      <xdr:rowOff>190500</xdr:rowOff>
    </xdr:from>
    <xdr:to>
      <xdr:col>13</xdr:col>
      <xdr:colOff>545606</xdr:colOff>
      <xdr:row>217</xdr:row>
      <xdr:rowOff>77005</xdr:rowOff>
    </xdr:to>
    <xdr:sp macro="" textlink="">
      <xdr:nvSpPr>
        <xdr:cNvPr id="37" name="Rectangle 36"/>
        <xdr:cNvSpPr/>
      </xdr:nvSpPr>
      <xdr:spPr>
        <a:xfrm>
          <a:off x="11186847" y="45021500"/>
          <a:ext cx="966559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 </a:t>
          </a:r>
        </a:p>
      </xdr:txBody>
    </xdr:sp>
    <xdr:clientData/>
  </xdr:twoCellAnchor>
  <xdr:twoCellAnchor>
    <xdr:from>
      <xdr:col>8</xdr:col>
      <xdr:colOff>431800</xdr:colOff>
      <xdr:row>216</xdr:row>
      <xdr:rowOff>190500</xdr:rowOff>
    </xdr:from>
    <xdr:to>
      <xdr:col>16</xdr:col>
      <xdr:colOff>72178</xdr:colOff>
      <xdr:row>254</xdr:row>
      <xdr:rowOff>150514</xdr:rowOff>
    </xdr:to>
    <xdr:grpSp>
      <xdr:nvGrpSpPr>
        <xdr:cNvPr id="4" name="Group 3"/>
        <xdr:cNvGrpSpPr/>
      </xdr:nvGrpSpPr>
      <xdr:grpSpPr>
        <a:xfrm>
          <a:off x="7721600" y="45218350"/>
          <a:ext cx="6339628" cy="7433964"/>
          <a:chOff x="519710" y="45199300"/>
          <a:chExt cx="6318393" cy="7433964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5168" y="5047326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6912" y="4519930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1974" y="5047326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19522" y="48196282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9448" y="4519930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710" y="48196282"/>
            <a:ext cx="162451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2715" y="48196282"/>
            <a:ext cx="286538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457200</xdr:colOff>
      <xdr:row>216</xdr:row>
      <xdr:rowOff>133350</xdr:rowOff>
    </xdr:from>
    <xdr:to>
      <xdr:col>7</xdr:col>
      <xdr:colOff>872134</xdr:colOff>
      <xdr:row>254</xdr:row>
      <xdr:rowOff>89044</xdr:rowOff>
    </xdr:to>
    <xdr:grpSp>
      <xdr:nvGrpSpPr>
        <xdr:cNvPr id="6" name="Group 5"/>
        <xdr:cNvGrpSpPr/>
      </xdr:nvGrpSpPr>
      <xdr:grpSpPr>
        <a:xfrm>
          <a:off x="457200" y="45161200"/>
          <a:ext cx="6390284" cy="7429644"/>
          <a:chOff x="457200" y="45161200"/>
          <a:chExt cx="6390284" cy="7429644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212" y="5043084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00" y="48156022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918" y="5043084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90599" y="45161200"/>
            <a:ext cx="3822288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212" y="45161200"/>
            <a:ext cx="2166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1940" y="504308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22421" y="4815602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637" y="4815602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3xW7BjTtw3oGbLN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8.81640625" style="37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70" t="s">
        <v>209</v>
      </c>
      <c r="B1" s="170"/>
      <c r="C1" s="170"/>
      <c r="D1" s="170"/>
      <c r="E1" s="170"/>
      <c r="F1" s="170"/>
      <c r="G1" s="170"/>
      <c r="H1" s="170"/>
    </row>
    <row r="2" spans="1:8" ht="16.5" customHeight="1" x14ac:dyDescent="0.3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5">
      <c r="A3" s="139" t="s">
        <v>1</v>
      </c>
      <c r="B3" s="139"/>
      <c r="C3" s="139"/>
      <c r="D3" s="139"/>
      <c r="E3" s="139" t="str">
        <f ca="1">TEXT(TODAY(),"DD/MM/YYYY")</f>
        <v>13/08/2025</v>
      </c>
      <c r="F3" s="139"/>
      <c r="G3" s="139"/>
      <c r="H3" s="139"/>
    </row>
    <row r="4" spans="1:8" ht="15" customHeight="1" x14ac:dyDescent="0.35">
      <c r="A4" s="139" t="s">
        <v>2</v>
      </c>
      <c r="B4" s="139"/>
      <c r="C4" s="139"/>
      <c r="D4" s="139"/>
      <c r="E4" s="139" t="s">
        <v>170</v>
      </c>
      <c r="F4" s="139"/>
      <c r="G4" s="139"/>
      <c r="H4" s="139"/>
    </row>
    <row r="5" spans="1:8" x14ac:dyDescent="0.35">
      <c r="A5" s="139" t="s">
        <v>3</v>
      </c>
      <c r="B5" s="139"/>
      <c r="C5" s="139"/>
      <c r="D5" s="139"/>
      <c r="E5" s="157">
        <v>45880</v>
      </c>
      <c r="F5" s="157"/>
      <c r="G5" s="157"/>
      <c r="H5" s="157"/>
    </row>
    <row r="6" spans="1:8" ht="16.5" customHeight="1" x14ac:dyDescent="0.35">
      <c r="A6" s="139" t="s">
        <v>4</v>
      </c>
      <c r="B6" s="139"/>
      <c r="C6" s="139"/>
      <c r="D6" s="139"/>
      <c r="E6" s="139" t="s">
        <v>171</v>
      </c>
      <c r="F6" s="139"/>
      <c r="G6" s="139"/>
      <c r="H6" s="139"/>
    </row>
    <row r="7" spans="1:8" ht="15" customHeight="1" x14ac:dyDescent="0.35">
      <c r="A7" s="139" t="s">
        <v>5</v>
      </c>
      <c r="B7" s="139"/>
      <c r="C7" s="139"/>
      <c r="D7" s="139"/>
      <c r="E7" s="139" t="str">
        <f>E6</f>
        <v>M/s.Bhagwati Lifescapes Llp</v>
      </c>
      <c r="F7" s="139"/>
      <c r="G7" s="139"/>
      <c r="H7" s="139"/>
    </row>
    <row r="8" spans="1:8" x14ac:dyDescent="0.35">
      <c r="A8" s="139" t="s">
        <v>6</v>
      </c>
      <c r="B8" s="139"/>
      <c r="C8" s="139"/>
      <c r="D8" s="139"/>
      <c r="E8" s="68" t="s">
        <v>210</v>
      </c>
      <c r="F8" s="139"/>
      <c r="G8" s="139"/>
      <c r="H8" s="139"/>
    </row>
    <row r="9" spans="1:8" ht="32.25" customHeight="1" x14ac:dyDescent="0.35">
      <c r="A9" s="139" t="s">
        <v>124</v>
      </c>
      <c r="B9" s="139"/>
      <c r="C9" s="139"/>
      <c r="D9" s="139"/>
      <c r="E9" s="122" t="s">
        <v>222</v>
      </c>
      <c r="F9" s="139"/>
      <c r="G9" s="139"/>
      <c r="H9" s="139"/>
    </row>
    <row r="10" spans="1:8" x14ac:dyDescent="0.35">
      <c r="A10" s="139" t="s">
        <v>7</v>
      </c>
      <c r="B10" s="139"/>
      <c r="C10" s="139"/>
      <c r="D10" s="139"/>
      <c r="E10" s="139" t="s">
        <v>197</v>
      </c>
      <c r="F10" s="139"/>
      <c r="G10" s="139"/>
      <c r="H10" s="139"/>
    </row>
    <row r="11" spans="1:8" x14ac:dyDescent="0.35">
      <c r="A11" s="100" t="s">
        <v>8</v>
      </c>
      <c r="B11" s="100"/>
      <c r="C11" s="100"/>
      <c r="D11" s="100"/>
      <c r="E11" s="122" t="s">
        <v>205</v>
      </c>
      <c r="F11" s="122"/>
      <c r="G11" s="122"/>
      <c r="H11" s="122"/>
    </row>
    <row r="12" spans="1:8" x14ac:dyDescent="0.35">
      <c r="A12" s="100" t="s">
        <v>9</v>
      </c>
      <c r="B12" s="100"/>
      <c r="C12" s="100"/>
      <c r="D12" s="100"/>
      <c r="E12" s="122" t="s">
        <v>172</v>
      </c>
      <c r="F12" s="139"/>
      <c r="G12" s="139"/>
      <c r="H12" s="139"/>
    </row>
    <row r="13" spans="1:8" ht="30.75" customHeight="1" x14ac:dyDescent="0.35">
      <c r="A13" s="146" t="s">
        <v>10</v>
      </c>
      <c r="B13" s="146"/>
      <c r="C13" s="146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Bhagwati Elysia II, Plot No.20, Sector - 04, near Ranumata Mandir, Internal Rd, Pushpak Nagar, Dapoli, Panvel, Panvel, Raigad - 410206.</v>
      </c>
      <c r="D13" s="146"/>
      <c r="E13" s="146"/>
      <c r="F13" s="146"/>
      <c r="G13" s="146"/>
      <c r="H13" s="146"/>
    </row>
    <row r="14" spans="1:8" x14ac:dyDescent="0.35">
      <c r="A14" s="122" t="s">
        <v>173</v>
      </c>
      <c r="B14" s="122"/>
      <c r="C14" s="122" t="s">
        <v>174</v>
      </c>
      <c r="D14" s="122"/>
      <c r="E14" s="122"/>
      <c r="F14" s="122"/>
      <c r="G14" s="122"/>
      <c r="H14" s="122"/>
    </row>
    <row r="15" spans="1:8" ht="15.75" customHeight="1" x14ac:dyDescent="0.35">
      <c r="A15" s="117" t="s">
        <v>167</v>
      </c>
      <c r="B15" s="118"/>
      <c r="C15" s="117" t="s">
        <v>198</v>
      </c>
      <c r="D15" s="119"/>
      <c r="E15" s="119"/>
      <c r="F15" s="119"/>
      <c r="G15" s="119"/>
      <c r="H15" s="118"/>
    </row>
    <row r="16" spans="1:8" ht="15.75" customHeight="1" x14ac:dyDescent="0.35">
      <c r="A16" s="146" t="s">
        <v>11</v>
      </c>
      <c r="B16" s="146"/>
      <c r="C16" s="139" t="s">
        <v>194</v>
      </c>
      <c r="D16" s="139"/>
      <c r="E16" s="146" t="s">
        <v>168</v>
      </c>
      <c r="F16" s="146"/>
      <c r="G16" s="122" t="s">
        <v>175</v>
      </c>
      <c r="H16" s="122"/>
    </row>
    <row r="17" spans="1:8" x14ac:dyDescent="0.35">
      <c r="A17" s="100" t="s">
        <v>13</v>
      </c>
      <c r="B17" s="100"/>
      <c r="C17" s="122" t="s">
        <v>177</v>
      </c>
      <c r="D17" s="122"/>
      <c r="E17" s="146" t="s">
        <v>12</v>
      </c>
      <c r="F17" s="146"/>
      <c r="G17" s="169" t="s">
        <v>176</v>
      </c>
      <c r="H17" s="169"/>
    </row>
    <row r="18" spans="1:8" x14ac:dyDescent="0.35">
      <c r="A18" s="100" t="s">
        <v>74</v>
      </c>
      <c r="B18" s="100"/>
      <c r="C18" s="122" t="s">
        <v>177</v>
      </c>
      <c r="D18" s="122"/>
      <c r="E18" s="146" t="s">
        <v>14</v>
      </c>
      <c r="F18" s="146"/>
      <c r="G18" s="122">
        <v>410206</v>
      </c>
      <c r="H18" s="122"/>
    </row>
    <row r="19" spans="1:8" ht="32.25" customHeight="1" x14ac:dyDescent="0.35">
      <c r="A19" s="100" t="s">
        <v>125</v>
      </c>
      <c r="B19" s="100"/>
      <c r="C19" s="122" t="s">
        <v>195</v>
      </c>
      <c r="D19" s="122"/>
      <c r="E19" s="146" t="s">
        <v>15</v>
      </c>
      <c r="F19" s="146"/>
      <c r="G19" s="122" t="s">
        <v>193</v>
      </c>
      <c r="H19" s="122"/>
    </row>
    <row r="20" spans="1:8" ht="15" customHeight="1" x14ac:dyDescent="0.35">
      <c r="A20" s="146" t="s">
        <v>77</v>
      </c>
      <c r="B20" s="146"/>
      <c r="C20" s="146"/>
      <c r="D20" s="146"/>
      <c r="E20" s="139" t="s">
        <v>16</v>
      </c>
      <c r="F20" s="139"/>
      <c r="G20" s="139"/>
      <c r="H20" s="139"/>
    </row>
    <row r="21" spans="1:8" ht="18.75" customHeight="1" x14ac:dyDescent="0.35">
      <c r="A21" s="146"/>
      <c r="B21" s="146"/>
      <c r="C21" s="146"/>
      <c r="D21" s="146"/>
      <c r="E21" s="139"/>
      <c r="F21" s="139"/>
      <c r="G21" s="139"/>
      <c r="H21" s="139"/>
    </row>
    <row r="22" spans="1:8" ht="15" customHeight="1" x14ac:dyDescent="0.35">
      <c r="A22" s="146" t="s">
        <v>17</v>
      </c>
      <c r="B22" s="146"/>
      <c r="C22" s="146"/>
      <c r="D22" s="146"/>
      <c r="E22" s="122" t="s">
        <v>18</v>
      </c>
      <c r="F22" s="122"/>
      <c r="G22" s="122"/>
      <c r="H22" s="122"/>
    </row>
    <row r="23" spans="1:8" ht="15" customHeight="1" x14ac:dyDescent="0.35">
      <c r="A23" s="100" t="s">
        <v>19</v>
      </c>
      <c r="B23" s="100"/>
      <c r="C23" s="100"/>
      <c r="D23" s="100"/>
      <c r="E23" s="122" t="str">
        <f>IF(AND(G17="Mumbai"),"Upper Class","Middle Class")</f>
        <v>Middle Class</v>
      </c>
      <c r="F23" s="122"/>
      <c r="G23" s="122"/>
      <c r="H23" s="122"/>
    </row>
    <row r="24" spans="1:8" x14ac:dyDescent="0.35">
      <c r="A24" s="100" t="s">
        <v>20</v>
      </c>
      <c r="B24" s="100"/>
      <c r="C24" s="100"/>
      <c r="D24" s="100"/>
      <c r="E24" s="122" t="s">
        <v>21</v>
      </c>
      <c r="F24" s="122"/>
      <c r="G24" s="122"/>
      <c r="H24" s="122"/>
    </row>
    <row r="25" spans="1:8" ht="15.75" customHeight="1" x14ac:dyDescent="0.35">
      <c r="A25" s="100" t="s">
        <v>22</v>
      </c>
      <c r="B25" s="100"/>
      <c r="C25" s="100"/>
      <c r="D25" s="100"/>
      <c r="E25" s="122" t="str">
        <f>IF(AND(G17="Mumbai"),"Developed","Developing")</f>
        <v>Developing</v>
      </c>
      <c r="F25" s="122"/>
      <c r="G25" s="122"/>
      <c r="H25" s="122"/>
    </row>
    <row r="26" spans="1:8" x14ac:dyDescent="0.35">
      <c r="A26" s="100" t="s">
        <v>23</v>
      </c>
      <c r="B26" s="100"/>
      <c r="C26" s="100"/>
      <c r="D26" s="100"/>
      <c r="E26" s="122" t="s">
        <v>24</v>
      </c>
      <c r="F26" s="122"/>
      <c r="G26" s="122"/>
      <c r="H26" s="122"/>
    </row>
    <row r="27" spans="1:8" ht="15.75" customHeight="1" x14ac:dyDescent="0.35">
      <c r="A27" s="100" t="s">
        <v>82</v>
      </c>
      <c r="B27" s="100"/>
      <c r="C27" s="100"/>
      <c r="D27" s="100"/>
      <c r="E27" s="122" t="s">
        <v>83</v>
      </c>
      <c r="F27" s="122"/>
      <c r="G27" s="122"/>
      <c r="H27" s="122"/>
    </row>
    <row r="28" spans="1:8" ht="15" customHeight="1" x14ac:dyDescent="0.35">
      <c r="A28" s="100" t="s">
        <v>33</v>
      </c>
      <c r="B28" s="100"/>
      <c r="C28" s="100"/>
      <c r="D28" s="100"/>
      <c r="E28" s="12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22"/>
      <c r="G28" s="122"/>
      <c r="H28" s="122"/>
    </row>
    <row r="29" spans="1:8" ht="15.75" customHeight="1" x14ac:dyDescent="0.35">
      <c r="A29" s="100" t="s">
        <v>94</v>
      </c>
      <c r="B29" s="100"/>
      <c r="C29" s="100"/>
      <c r="D29" s="100"/>
      <c r="E29" s="122" t="s">
        <v>34</v>
      </c>
      <c r="F29" s="122"/>
      <c r="G29" s="122"/>
      <c r="H29" s="122"/>
    </row>
    <row r="30" spans="1:8" s="20" customFormat="1" x14ac:dyDescent="0.35">
      <c r="A30" s="168" t="s">
        <v>95</v>
      </c>
      <c r="B30" s="168"/>
      <c r="C30" s="167" t="s">
        <v>29</v>
      </c>
      <c r="D30" s="167"/>
      <c r="E30" s="167"/>
      <c r="F30" s="167" t="s">
        <v>31</v>
      </c>
      <c r="G30" s="167"/>
      <c r="H30" s="167"/>
    </row>
    <row r="31" spans="1:8" s="20" customFormat="1" x14ac:dyDescent="0.35">
      <c r="A31" s="150" t="s">
        <v>25</v>
      </c>
      <c r="B31" s="150" t="s">
        <v>30</v>
      </c>
      <c r="C31" s="151" t="s">
        <v>30</v>
      </c>
      <c r="D31" s="151"/>
      <c r="E31" s="151"/>
      <c r="F31" s="151" t="s">
        <v>11</v>
      </c>
      <c r="G31" s="151"/>
      <c r="H31" s="151"/>
    </row>
    <row r="32" spans="1:8" x14ac:dyDescent="0.35">
      <c r="A32" s="150" t="s">
        <v>26</v>
      </c>
      <c r="B32" s="150" t="s">
        <v>30</v>
      </c>
      <c r="C32" s="151" t="s">
        <v>30</v>
      </c>
      <c r="D32" s="151"/>
      <c r="E32" s="151"/>
      <c r="F32" s="151" t="s">
        <v>178</v>
      </c>
      <c r="G32" s="151"/>
      <c r="H32" s="151"/>
    </row>
    <row r="33" spans="1:13" s="20" customFormat="1" x14ac:dyDescent="0.35">
      <c r="A33" s="150" t="s">
        <v>28</v>
      </c>
      <c r="B33" s="150" t="s">
        <v>30</v>
      </c>
      <c r="C33" s="151" t="s">
        <v>30</v>
      </c>
      <c r="D33" s="151"/>
      <c r="E33" s="151"/>
      <c r="F33" s="151" t="s">
        <v>178</v>
      </c>
      <c r="G33" s="151"/>
      <c r="H33" s="151"/>
    </row>
    <row r="34" spans="1:13" x14ac:dyDescent="0.35">
      <c r="A34" s="150" t="s">
        <v>27</v>
      </c>
      <c r="B34" s="150" t="s">
        <v>30</v>
      </c>
      <c r="C34" s="151" t="s">
        <v>30</v>
      </c>
      <c r="D34" s="151"/>
      <c r="E34" s="151"/>
      <c r="F34" s="151" t="s">
        <v>178</v>
      </c>
      <c r="G34" s="151"/>
      <c r="H34" s="151"/>
    </row>
    <row r="35" spans="1:13" x14ac:dyDescent="0.35">
      <c r="A35" s="100" t="s">
        <v>32</v>
      </c>
      <c r="B35" s="100"/>
      <c r="C35" s="100"/>
      <c r="D35" s="100"/>
      <c r="E35" s="100"/>
      <c r="F35" s="100"/>
      <c r="G35" s="100"/>
      <c r="H35" s="100"/>
    </row>
    <row r="36" spans="1:13" ht="15.75" customHeight="1" x14ac:dyDescent="0.35">
      <c r="A36" s="120" t="s">
        <v>211</v>
      </c>
      <c r="B36" s="120"/>
      <c r="C36" s="195" t="s">
        <v>212</v>
      </c>
      <c r="D36" s="195"/>
      <c r="E36" s="195"/>
      <c r="F36" s="195"/>
      <c r="G36" s="195"/>
      <c r="H36" s="195"/>
    </row>
    <row r="37" spans="1:13" x14ac:dyDescent="0.35">
      <c r="A37" s="120" t="s">
        <v>166</v>
      </c>
      <c r="B37" s="120"/>
      <c r="C37" s="121" t="s">
        <v>179</v>
      </c>
      <c r="D37" s="122"/>
      <c r="E37" s="122"/>
      <c r="F37" s="122"/>
      <c r="G37" s="122"/>
      <c r="H37" s="122"/>
    </row>
    <row r="38" spans="1:13" x14ac:dyDescent="0.35">
      <c r="A38" s="153" t="s">
        <v>35</v>
      </c>
      <c r="B38" s="153"/>
      <c r="C38" s="153"/>
      <c r="D38" s="153"/>
      <c r="E38" s="153"/>
      <c r="F38" s="153"/>
      <c r="G38" s="153"/>
      <c r="H38" s="153"/>
    </row>
    <row r="39" spans="1:13" x14ac:dyDescent="0.35">
      <c r="A39" s="100" t="s">
        <v>36</v>
      </c>
      <c r="B39" s="100"/>
      <c r="C39" s="100"/>
      <c r="D39" s="100"/>
      <c r="E39" s="152">
        <v>3569.76</v>
      </c>
      <c r="F39" s="152"/>
      <c r="G39" s="152"/>
      <c r="H39" s="152"/>
    </row>
    <row r="40" spans="1:13" x14ac:dyDescent="0.35">
      <c r="A40" s="100" t="s">
        <v>37</v>
      </c>
      <c r="B40" s="100"/>
      <c r="C40" s="100"/>
      <c r="D40" s="100"/>
      <c r="E40" s="138">
        <v>1.98</v>
      </c>
      <c r="F40" s="138"/>
      <c r="G40" s="138"/>
      <c r="H40" s="138"/>
      <c r="J40" s="132">
        <f>7062.666/E39</f>
        <v>1.9784708215678364</v>
      </c>
      <c r="K40" s="132"/>
      <c r="L40" s="132"/>
      <c r="M40" s="132"/>
    </row>
    <row r="41" spans="1:13" x14ac:dyDescent="0.35">
      <c r="A41" s="100" t="s">
        <v>38</v>
      </c>
      <c r="B41" s="100"/>
      <c r="C41" s="100"/>
      <c r="D41" s="100"/>
      <c r="E41" s="138">
        <f>E43/E39-E40</f>
        <v>-1.5291784321636026E-3</v>
      </c>
      <c r="F41" s="138"/>
      <c r="G41" s="138"/>
      <c r="H41" s="138"/>
    </row>
    <row r="42" spans="1:13" x14ac:dyDescent="0.35">
      <c r="A42" s="100" t="s">
        <v>39</v>
      </c>
      <c r="B42" s="100"/>
      <c r="C42" s="100"/>
      <c r="D42" s="100"/>
      <c r="E42" s="138">
        <f>E40+E41</f>
        <v>1.9784708215678364</v>
      </c>
      <c r="F42" s="138"/>
      <c r="G42" s="138"/>
      <c r="H42" s="138"/>
    </row>
    <row r="43" spans="1:13" x14ac:dyDescent="0.35">
      <c r="A43" s="100" t="s">
        <v>93</v>
      </c>
      <c r="B43" s="100"/>
      <c r="C43" s="100"/>
      <c r="D43" s="100"/>
      <c r="E43" s="132">
        <v>7062.6660000000002</v>
      </c>
      <c r="F43" s="132"/>
      <c r="G43" s="132"/>
      <c r="H43" s="132"/>
    </row>
    <row r="44" spans="1:13" x14ac:dyDescent="0.35">
      <c r="A44" s="139" t="s">
        <v>40</v>
      </c>
      <c r="B44" s="139"/>
      <c r="C44" s="139"/>
      <c r="D44" s="139"/>
      <c r="E44" s="139" t="s">
        <v>206</v>
      </c>
      <c r="F44" s="139"/>
      <c r="G44" s="139"/>
      <c r="H44" s="139"/>
    </row>
    <row r="45" spans="1:13" x14ac:dyDescent="0.35">
      <c r="A45" s="153" t="s">
        <v>41</v>
      </c>
      <c r="B45" s="153"/>
      <c r="C45" s="153"/>
      <c r="D45" s="153"/>
      <c r="E45" s="153"/>
      <c r="F45" s="153"/>
      <c r="G45" s="153"/>
      <c r="H45" s="153"/>
    </row>
    <row r="46" spans="1:13" ht="33.75" customHeight="1" x14ac:dyDescent="0.35">
      <c r="A46" s="110" t="s">
        <v>156</v>
      </c>
      <c r="B46" s="111"/>
      <c r="C46" s="112" t="s">
        <v>180</v>
      </c>
      <c r="D46" s="113"/>
      <c r="E46" s="113"/>
      <c r="F46" s="113"/>
      <c r="G46" s="113"/>
      <c r="H46" s="114"/>
    </row>
    <row r="47" spans="1:13" ht="33.75" customHeight="1" x14ac:dyDescent="0.35">
      <c r="A47" s="110" t="s">
        <v>42</v>
      </c>
      <c r="B47" s="111"/>
      <c r="C47" s="110" t="s">
        <v>223</v>
      </c>
      <c r="D47" s="133"/>
      <c r="E47" s="111"/>
      <c r="F47" s="18" t="s">
        <v>43</v>
      </c>
      <c r="G47" s="157">
        <v>44648</v>
      </c>
      <c r="H47" s="157"/>
    </row>
    <row r="48" spans="1:13" ht="33.75" customHeight="1" x14ac:dyDescent="0.35">
      <c r="A48" s="110" t="s">
        <v>44</v>
      </c>
      <c r="B48" s="111"/>
      <c r="C48" s="110" t="str">
        <f>C47</f>
        <v>CIDCO/BP-17926/TPO(NM&amp;K)/ 2021/9193</v>
      </c>
      <c r="D48" s="133"/>
      <c r="E48" s="111"/>
      <c r="F48" s="18" t="s">
        <v>43</v>
      </c>
      <c r="G48" s="157">
        <v>44648</v>
      </c>
      <c r="H48" s="157"/>
    </row>
    <row r="49" spans="1:14" s="21" customFormat="1" ht="31.5" customHeight="1" x14ac:dyDescent="0.35">
      <c r="A49" s="158" t="s">
        <v>199</v>
      </c>
      <c r="B49" s="159"/>
      <c r="C49" s="110" t="s">
        <v>224</v>
      </c>
      <c r="D49" s="133"/>
      <c r="E49" s="111"/>
      <c r="F49" s="18" t="s">
        <v>43</v>
      </c>
      <c r="G49" s="157">
        <v>45078</v>
      </c>
      <c r="H49" s="157"/>
    </row>
    <row r="50" spans="1:14" s="21" customFormat="1" x14ac:dyDescent="0.35">
      <c r="A50" s="160"/>
      <c r="B50" s="161"/>
      <c r="C50" s="110" t="s">
        <v>215</v>
      </c>
      <c r="D50" s="133"/>
      <c r="E50" s="133"/>
      <c r="F50" s="133"/>
      <c r="G50" s="133"/>
      <c r="H50" s="111"/>
    </row>
    <row r="51" spans="1:14" x14ac:dyDescent="0.35">
      <c r="A51" s="185" t="s">
        <v>169</v>
      </c>
      <c r="B51" s="186"/>
      <c r="C51" s="164" t="s">
        <v>30</v>
      </c>
      <c r="D51" s="165"/>
      <c r="E51" s="166"/>
      <c r="F51" s="47" t="s">
        <v>43</v>
      </c>
      <c r="G51" s="183" t="s">
        <v>30</v>
      </c>
      <c r="H51" s="184"/>
    </row>
    <row r="52" spans="1:14" x14ac:dyDescent="0.35">
      <c r="A52" s="187"/>
      <c r="B52" s="188"/>
      <c r="C52" s="164" t="s">
        <v>30</v>
      </c>
      <c r="D52" s="165"/>
      <c r="E52" s="165"/>
      <c r="F52" s="165"/>
      <c r="G52" s="165"/>
      <c r="H52" s="166"/>
    </row>
    <row r="53" spans="1:14" x14ac:dyDescent="0.35">
      <c r="A53" s="174" t="s">
        <v>46</v>
      </c>
      <c r="B53" s="174"/>
      <c r="C53" s="174"/>
      <c r="D53" s="174"/>
      <c r="E53" s="174"/>
      <c r="F53" s="174"/>
      <c r="G53" s="174"/>
      <c r="H53" s="174"/>
    </row>
    <row r="54" spans="1:14" x14ac:dyDescent="0.35">
      <c r="A54" s="146" t="s">
        <v>92</v>
      </c>
      <c r="B54" s="146"/>
      <c r="C54" s="146"/>
      <c r="D54" s="100">
        <f>E43</f>
        <v>7062.6660000000002</v>
      </c>
      <c r="E54" s="100"/>
      <c r="F54" s="100"/>
      <c r="G54" s="100"/>
      <c r="H54" s="100"/>
    </row>
    <row r="55" spans="1:14" x14ac:dyDescent="0.35">
      <c r="A55" s="122" t="s">
        <v>47</v>
      </c>
      <c r="B55" s="139"/>
      <c r="C55" s="139"/>
      <c r="D55" s="139" t="s">
        <v>196</v>
      </c>
      <c r="E55" s="139"/>
      <c r="F55" s="139"/>
      <c r="G55" s="139"/>
      <c r="H55" s="139"/>
      <c r="I55" s="22"/>
    </row>
    <row r="56" spans="1:14" x14ac:dyDescent="0.35">
      <c r="A56" s="154" t="s">
        <v>48</v>
      </c>
      <c r="B56" s="155"/>
      <c r="C56" s="156"/>
      <c r="D56" s="139" t="s">
        <v>204</v>
      </c>
      <c r="E56" s="139"/>
      <c r="F56" s="139"/>
      <c r="G56" s="139"/>
      <c r="H56" s="139"/>
    </row>
    <row r="57" spans="1:14" ht="15.75" customHeight="1" x14ac:dyDescent="0.35">
      <c r="A57" s="154" t="s">
        <v>90</v>
      </c>
      <c r="B57" s="155"/>
      <c r="C57" s="155"/>
      <c r="D57" s="139" t="s">
        <v>214</v>
      </c>
      <c r="E57" s="139"/>
      <c r="F57" s="139"/>
      <c r="G57" s="139"/>
      <c r="H57" s="139"/>
    </row>
    <row r="58" spans="1:14" ht="15.75" hidden="1" customHeight="1" x14ac:dyDescent="0.35">
      <c r="A58" s="162"/>
      <c r="B58" s="163"/>
      <c r="C58" s="163"/>
      <c r="D58" s="180" t="s">
        <v>151</v>
      </c>
      <c r="E58" s="181"/>
      <c r="F58" s="181"/>
      <c r="G58" s="181"/>
      <c r="H58" s="182"/>
    </row>
    <row r="59" spans="1:14" ht="15.75" customHeight="1" x14ac:dyDescent="0.35">
      <c r="A59" s="100" t="s">
        <v>45</v>
      </c>
      <c r="B59" s="100"/>
      <c r="C59" s="100"/>
      <c r="D59" s="189" t="s">
        <v>181</v>
      </c>
      <c r="E59" s="189"/>
      <c r="F59" s="189"/>
      <c r="G59" s="189"/>
      <c r="H59" s="189"/>
      <c r="J59" s="23"/>
      <c r="K59" s="22"/>
      <c r="N59" s="22"/>
    </row>
    <row r="60" spans="1:14" ht="15.75" customHeight="1" x14ac:dyDescent="0.35">
      <c r="A60" s="100" t="s">
        <v>88</v>
      </c>
      <c r="B60" s="100"/>
      <c r="C60" s="100"/>
      <c r="D60" s="191" t="str">
        <f>(IF(G51="NA","60 Years After Completion",IF(G51&lt;&gt;"NA",""&amp;60-ROUNDDOWN((E3-G51)/360,0)&amp;" Years"," ")))</f>
        <v>60 Years After Completion</v>
      </c>
      <c r="E60" s="191"/>
      <c r="F60" s="191"/>
      <c r="G60" s="191"/>
      <c r="H60" s="191"/>
      <c r="N60" s="22"/>
    </row>
    <row r="61" spans="1:14" ht="15.75" customHeight="1" x14ac:dyDescent="0.35">
      <c r="A61" s="100" t="s">
        <v>89</v>
      </c>
      <c r="B61" s="100"/>
      <c r="C61" s="100"/>
      <c r="D61" s="146" t="s">
        <v>24</v>
      </c>
      <c r="E61" s="146"/>
      <c r="F61" s="146"/>
      <c r="G61" s="146"/>
      <c r="H61" s="146"/>
      <c r="J61" s="24"/>
      <c r="K61" s="24"/>
    </row>
    <row r="62" spans="1:14" ht="15" hidden="1" customHeight="1" x14ac:dyDescent="0.35">
      <c r="A62" s="100" t="s">
        <v>75</v>
      </c>
      <c r="B62" s="100"/>
      <c r="C62" s="100"/>
      <c r="D62" s="122" t="s">
        <v>152</v>
      </c>
      <c r="E62" s="146"/>
      <c r="F62" s="146"/>
      <c r="G62" s="146"/>
      <c r="H62" s="146"/>
    </row>
    <row r="63" spans="1:14" x14ac:dyDescent="0.35">
      <c r="A63" s="146" t="s">
        <v>153</v>
      </c>
      <c r="B63" s="146"/>
      <c r="C63" s="146"/>
      <c r="D63" s="146" t="s">
        <v>30</v>
      </c>
      <c r="E63" s="146"/>
      <c r="F63" s="146"/>
      <c r="G63" s="146"/>
      <c r="H63" s="146"/>
      <c r="I63" s="25"/>
      <c r="J63" s="25"/>
      <c r="K63" s="25"/>
      <c r="L63" s="25"/>
      <c r="M63" s="25"/>
      <c r="N63" s="25"/>
    </row>
    <row r="64" spans="1:14" ht="15.75" customHeight="1" x14ac:dyDescent="0.35">
      <c r="A64" s="192" t="s">
        <v>87</v>
      </c>
      <c r="B64" s="192"/>
      <c r="C64" s="192"/>
      <c r="D64" s="149" t="str">
        <f ca="1">(IF(G70&gt;95%,"Nothing",IF(G70&gt;0%,"Cement, Aggregate, Steel, etc",IF(G70=0%,"Work not yet Started"))))</f>
        <v>Cement, Aggregate, Steel, etc</v>
      </c>
      <c r="E64" s="149"/>
      <c r="F64" s="149"/>
      <c r="G64" s="149"/>
      <c r="H64" s="149"/>
      <c r="J64" s="24"/>
    </row>
    <row r="65" spans="1:10" ht="33.75" customHeight="1" thickBot="1" x14ac:dyDescent="0.4">
      <c r="A65" s="148" t="s">
        <v>119</v>
      </c>
      <c r="B65" s="148"/>
      <c r="C65" s="148"/>
      <c r="D65" s="149" t="str">
        <f ca="1">(IF(D64="Nothing","Yes",IF(D64="Cement, Aggregate, Steel, etc","Under Construction",IF(D64="Work not yet Started","Work not yet Started"))))</f>
        <v>Under Construction</v>
      </c>
      <c r="E65" s="149"/>
      <c r="F65" s="149" t="str">
        <f ca="1">(IF(D64="Nothing","Yes",IF(D64="Cement, Aggregate, Steel, etc","Under Construction",IF(D64="Work not yet Started","Work not yet Started"))))</f>
        <v>Under Construction</v>
      </c>
      <c r="G65" s="149"/>
      <c r="H65" s="149"/>
    </row>
    <row r="66" spans="1:10" ht="15.75" customHeight="1" x14ac:dyDescent="0.35">
      <c r="A66" s="141" t="s">
        <v>143</v>
      </c>
      <c r="B66" s="142"/>
      <c r="C66" s="143" t="s">
        <v>217</v>
      </c>
      <c r="D66" s="144"/>
      <c r="E66" s="144"/>
      <c r="F66" s="144"/>
      <c r="G66" s="144"/>
      <c r="H66" s="145"/>
      <c r="I66" s="43" t="str">
        <f ca="1">IF(D79=100%,"All work Completed. Possession granted to the Building.",IF(D78=100%,"All work Completed, Waiting for OC",I67&amp;""&amp;I68&amp;""&amp;J67&amp;""&amp;J66&amp;" "&amp;J68))</f>
        <v>Excavation, Plinth Completed, RCC upto 11 Slab, Brickwork upto 10 Floor, Internal Plaster upto 10 Floor, External Plaster upto 5 Floor, Flooring upto 2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11 Slab, Brickwork upto 10 Floor, Internal Plaster upto 10 Floor, External Plaster upto 5 Floor, Flooring upto 2 Floor</v>
      </c>
    </row>
    <row r="67" spans="1:10" x14ac:dyDescent="0.35">
      <c r="A67" s="16" t="s">
        <v>145</v>
      </c>
      <c r="B67" s="52">
        <v>1</v>
      </c>
      <c r="C67" s="52" t="s">
        <v>73</v>
      </c>
      <c r="D67" s="52">
        <v>1</v>
      </c>
      <c r="E67" s="52" t="s">
        <v>72</v>
      </c>
      <c r="F67" s="52">
        <v>0</v>
      </c>
      <c r="G67" s="52" t="s">
        <v>81</v>
      </c>
      <c r="H67" s="17">
        <f ca="1">--TRIM(RIGHT(SUBSTITUTE(LEFT(C66,_xlfn.AGGREGATE(16,6,FIND({0,1,2,3,4,5,6,7,8,9},C66,ROW(INDIRECT("1:"&amp;LEN(C66)))),1))," ",REPT(" ",LEN(C66))),LEN(C66)))</f>
        <v>11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15" customHeight="1" x14ac:dyDescent="0.35">
      <c r="A68" s="140" t="s">
        <v>91</v>
      </c>
      <c r="B68" s="68"/>
      <c r="C68" s="67" t="str">
        <f ca="1">(IF($C$52=C66,"All work Completed. OC Received.",I66))</f>
        <v>Excavation, Plinth Completed, RCC upto 11 Slab, Brickwork upto 10 Floor, Internal Plaster upto 10 Floor, External Plaster upto 5 Floor, Flooring upto 2 Floor Completed</v>
      </c>
      <c r="D68" s="67"/>
      <c r="E68" s="67"/>
      <c r="F68" s="67"/>
      <c r="G68" s="67"/>
      <c r="H68" s="147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0" ht="15.75" customHeight="1" x14ac:dyDescent="0.35">
      <c r="A69" s="70" t="s">
        <v>49</v>
      </c>
      <c r="B69" s="69"/>
      <c r="C69" s="54" t="s">
        <v>142</v>
      </c>
      <c r="D69" s="54" t="s">
        <v>84</v>
      </c>
      <c r="E69" s="69" t="s">
        <v>86</v>
      </c>
      <c r="F69" s="69"/>
      <c r="G69" s="69" t="s">
        <v>85</v>
      </c>
      <c r="H69" s="193"/>
      <c r="I69" s="14" t="s">
        <v>144</v>
      </c>
      <c r="J69" s="26">
        <f ca="1">H67*25%</f>
        <v>2.75</v>
      </c>
    </row>
    <row r="70" spans="1:10" x14ac:dyDescent="0.35">
      <c r="A70" s="69" t="s">
        <v>131</v>
      </c>
      <c r="B70" s="69"/>
      <c r="C70" s="60">
        <f ca="1">J71</f>
        <v>11</v>
      </c>
      <c r="D70" s="55">
        <f ca="1">((100/H67)*C70)/100</f>
        <v>1.0000000000000002</v>
      </c>
      <c r="E70" s="190">
        <f ca="1">(((C71/H67*10)+(40/(D67+F67+H67)*C72)+(7.5/(H67)*C73)+(7.5/(H67)*C74)+(10/H67*C75)+(10/H67*C76)+(5/H67*C77)+(5/H67*C78)+(5/H67*C79))/100)</f>
        <v>0.66666666666666674</v>
      </c>
      <c r="F70" s="190"/>
      <c r="G70" s="190">
        <f ca="1">((((C70/H67)*20)+((C71/H67)*25)+(30/(H67+F67+D67)*C72)+(5/H67*C73)+(5/H67*C74)+(5/H67*C75)+(5/H67*C76)+(0/H67*C77)+(0/H67*C78)+(5/H67*C79))/100)</f>
        <v>0.84772727272727266</v>
      </c>
      <c r="H70" s="190"/>
      <c r="I70" s="14" t="s">
        <v>102</v>
      </c>
      <c r="J70" s="27">
        <f ca="1">H67*50%</f>
        <v>5.5</v>
      </c>
    </row>
    <row r="71" spans="1:10" x14ac:dyDescent="0.35">
      <c r="A71" s="69" t="s">
        <v>50</v>
      </c>
      <c r="B71" s="69"/>
      <c r="C71" s="56">
        <f ca="1">J79</f>
        <v>11</v>
      </c>
      <c r="D71" s="55">
        <f ca="1">((100/H67)*C71)/100</f>
        <v>1.0000000000000002</v>
      </c>
      <c r="E71" s="190"/>
      <c r="F71" s="190"/>
      <c r="G71" s="190"/>
      <c r="H71" s="190"/>
      <c r="I71" s="14" t="s">
        <v>103</v>
      </c>
      <c r="J71" s="27">
        <f ca="1">H67</f>
        <v>11</v>
      </c>
    </row>
    <row r="72" spans="1:10" ht="15.75" customHeight="1" x14ac:dyDescent="0.35">
      <c r="A72" s="69" t="s">
        <v>132</v>
      </c>
      <c r="B72" s="69"/>
      <c r="C72" s="60">
        <v>11</v>
      </c>
      <c r="D72" s="55">
        <f ca="1">((100/(D67+F67+H67))*C72)/100</f>
        <v>0.91666666666666674</v>
      </c>
      <c r="E72" s="190"/>
      <c r="F72" s="190"/>
      <c r="G72" s="190"/>
      <c r="H72" s="190"/>
      <c r="I72" s="14" t="s">
        <v>104</v>
      </c>
      <c r="J72" s="28">
        <f ca="1">(IF(B67&gt;1,(H67/(B67+2)),H67/4))</f>
        <v>2.75</v>
      </c>
    </row>
    <row r="73" spans="1:10" ht="15.75" customHeight="1" x14ac:dyDescent="0.35">
      <c r="A73" s="69" t="s">
        <v>139</v>
      </c>
      <c r="B73" s="69" t="s">
        <v>133</v>
      </c>
      <c r="C73" s="60">
        <v>10</v>
      </c>
      <c r="D73" s="55">
        <f ca="1">((100/H67)*C73)/100</f>
        <v>0.90909090909090917</v>
      </c>
      <c r="E73" s="190"/>
      <c r="F73" s="190"/>
      <c r="G73" s="190"/>
      <c r="H73" s="190"/>
      <c r="I73" s="14" t="s">
        <v>105</v>
      </c>
      <c r="J73" s="28">
        <f ca="1">(IF(B67&gt;1,(H67/(B67+2)+J72),H67/4+J72))</f>
        <v>5.5</v>
      </c>
    </row>
    <row r="74" spans="1:10" ht="15.75" customHeight="1" x14ac:dyDescent="0.35">
      <c r="A74" s="69" t="s">
        <v>140</v>
      </c>
      <c r="B74" s="69" t="s">
        <v>133</v>
      </c>
      <c r="C74" s="60">
        <v>10</v>
      </c>
      <c r="D74" s="55">
        <f ca="1">((100/H67)*C74)/100</f>
        <v>0.90909090909090917</v>
      </c>
      <c r="E74" s="190"/>
      <c r="F74" s="190"/>
      <c r="G74" s="190"/>
      <c r="H74" s="190"/>
      <c r="I74" s="14" t="s">
        <v>149</v>
      </c>
      <c r="J74" s="28">
        <f>(IF(B67&gt;1,(H67/(B67+2)+J73),0))</f>
        <v>0</v>
      </c>
    </row>
    <row r="75" spans="1:10" ht="15" customHeight="1" x14ac:dyDescent="0.35">
      <c r="A75" s="69" t="s">
        <v>138</v>
      </c>
      <c r="B75" s="69" t="s">
        <v>135</v>
      </c>
      <c r="C75" s="60">
        <v>5</v>
      </c>
      <c r="D75" s="55">
        <f ca="1">((100/(H67))*C75)/100</f>
        <v>0.45454545454545459</v>
      </c>
      <c r="E75" s="190"/>
      <c r="F75" s="190"/>
      <c r="G75" s="190"/>
      <c r="H75" s="190"/>
      <c r="I75" s="14" t="s">
        <v>146</v>
      </c>
      <c r="J75" s="28">
        <f>(IF(B67&gt;2,(H67/(B67+2)+J74),0))</f>
        <v>0</v>
      </c>
    </row>
    <row r="76" spans="1:10" ht="15.75" customHeight="1" x14ac:dyDescent="0.35">
      <c r="A76" s="69" t="s">
        <v>134</v>
      </c>
      <c r="B76" s="69" t="s">
        <v>134</v>
      </c>
      <c r="C76" s="60">
        <v>2</v>
      </c>
      <c r="D76" s="55">
        <f ca="1">((100/H67)*C76)/100</f>
        <v>0.18181818181818182</v>
      </c>
      <c r="E76" s="190"/>
      <c r="F76" s="190"/>
      <c r="G76" s="190"/>
      <c r="H76" s="190"/>
      <c r="I76" s="14" t="s">
        <v>147</v>
      </c>
      <c r="J76" s="29">
        <f>(IF(B67&gt;3,(H67/(B67+2)+J75),0))</f>
        <v>0</v>
      </c>
    </row>
    <row r="77" spans="1:10" ht="15.75" customHeight="1" x14ac:dyDescent="0.35">
      <c r="A77" s="69" t="s">
        <v>141</v>
      </c>
      <c r="B77" s="69"/>
      <c r="C77" s="60">
        <v>0</v>
      </c>
      <c r="D77" s="55">
        <f ca="1">((100/H67)*C77)/100</f>
        <v>0</v>
      </c>
      <c r="E77" s="190"/>
      <c r="F77" s="190"/>
      <c r="G77" s="190"/>
      <c r="H77" s="190"/>
      <c r="I77" s="14" t="s">
        <v>148</v>
      </c>
      <c r="J77" s="28">
        <f>(IF(B67&gt;4,(H67/(B67+2)+J76),0))</f>
        <v>0</v>
      </c>
    </row>
    <row r="78" spans="1:10" ht="15.75" customHeight="1" x14ac:dyDescent="0.35">
      <c r="A78" s="69" t="s">
        <v>136</v>
      </c>
      <c r="B78" s="69" t="s">
        <v>136</v>
      </c>
      <c r="C78" s="60">
        <v>0</v>
      </c>
      <c r="D78" s="55">
        <f ca="1">((100/(H67))*C78)/100</f>
        <v>0</v>
      </c>
      <c r="E78" s="190"/>
      <c r="F78" s="190"/>
      <c r="G78" s="190"/>
      <c r="H78" s="190"/>
      <c r="I78" s="14" t="s">
        <v>150</v>
      </c>
      <c r="J78" s="28">
        <f ca="1">(IF(B67=1,(H67/(B67+3)+J73),IF(B67=0,(H67/4+J73),IF(B67&gt;1,0))))</f>
        <v>8.25</v>
      </c>
    </row>
    <row r="79" spans="1:10" ht="16" thickBot="1" x14ac:dyDescent="0.4">
      <c r="A79" s="69" t="s">
        <v>137</v>
      </c>
      <c r="B79" s="69"/>
      <c r="C79" s="60">
        <v>0</v>
      </c>
      <c r="D79" s="55">
        <f ca="1">((100/(H67))*C79)/100</f>
        <v>0</v>
      </c>
      <c r="E79" s="190"/>
      <c r="F79" s="190"/>
      <c r="G79" s="190"/>
      <c r="H79" s="190"/>
      <c r="I79" s="15" t="s">
        <v>106</v>
      </c>
      <c r="J79" s="30">
        <f ca="1">(IF(B67&gt;1.5,(H67/(B67+2)+J73+MAX(0,J74-J73)+MAX(0,J75-J74)+MAX(0,J76-J75)+MAX(0,J77-J76)+MAX(0,J78-J77)),IF(B67=1,(H67/(B67+3)+J78),IF(B67=0,H67/4+J78))))</f>
        <v>11</v>
      </c>
    </row>
    <row r="80" spans="1:10" ht="15.75" customHeight="1" x14ac:dyDescent="0.35">
      <c r="A80" s="67" t="s">
        <v>143</v>
      </c>
      <c r="B80" s="67"/>
      <c r="C80" s="67" t="s">
        <v>218</v>
      </c>
      <c r="D80" s="67"/>
      <c r="E80" s="67"/>
      <c r="F80" s="67"/>
      <c r="G80" s="67"/>
      <c r="H80" s="67"/>
      <c r="I80" s="62" t="str">
        <f ca="1">IF(D93=100%,"All work Completed. Possession granted to the Building.",IF(D92=100%,"All work Completed, Waiting for OC",I81&amp;""&amp;I82&amp;""&amp;J81&amp;""&amp;J80&amp;" "&amp;J82))</f>
        <v>Excavation, Plinth Completed, RCC upto 11 Slab, Brickwork upto 10 Floor, Internal Plaster upto 10 Floor, External Plaster upto 4 Floor, Flooring upto 2 Floor Completed</v>
      </c>
      <c r="J80" s="44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11 Slab, Brickwork upto 10 Floor, Internal Plaster upto 10 Floor, External Plaster upto 4 Floor, Flooring upto 2 Floor</v>
      </c>
    </row>
    <row r="81" spans="1:13" x14ac:dyDescent="0.35">
      <c r="A81" s="61" t="s">
        <v>145</v>
      </c>
      <c r="B81" s="61">
        <v>1</v>
      </c>
      <c r="C81" s="61" t="s">
        <v>73</v>
      </c>
      <c r="D81" s="61">
        <v>1</v>
      </c>
      <c r="E81" s="61" t="s">
        <v>72</v>
      </c>
      <c r="F81" s="61">
        <v>0</v>
      </c>
      <c r="G81" s="61" t="s">
        <v>81</v>
      </c>
      <c r="H81" s="61">
        <f ca="1">--TRIM(RIGHT(SUBSTITUTE(LEFT(C80,_xlfn.AGGREGATE(16,6,FIND({0,1,2,3,4,5,6,7,8,9},C80,ROW(INDIRECT("1:"&amp;LEN(C80)))),1))," ",REPT(" ",LEN(C80))),LEN(C80)))</f>
        <v>11</v>
      </c>
      <c r="I81" s="6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6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3" ht="35.5" customHeight="1" x14ac:dyDescent="0.35">
      <c r="A82" s="68" t="s">
        <v>91</v>
      </c>
      <c r="B82" s="68"/>
      <c r="C82" s="67" t="str">
        <f ca="1">(IF($C$52=C80,"All work Completed. OC Received.",I80))</f>
        <v>Excavation, Plinth Completed, RCC upto 11 Slab, Brickwork upto 10 Floor, Internal Plaster upto 10 Floor, External Plaster upto 4 Floor, Flooring upto 2 Floor Completed</v>
      </c>
      <c r="D82" s="67"/>
      <c r="E82" s="67"/>
      <c r="F82" s="67"/>
      <c r="G82" s="67"/>
      <c r="H82" s="67"/>
      <c r="I82" s="63" t="str">
        <f ca="1">IF(I81&lt;&gt;""," Completed","")</f>
        <v xml:space="preserve"> Completed</v>
      </c>
      <c r="J82" s="46" t="str">
        <f ca="1">IF(J80&lt;&gt;"","Completed","")</f>
        <v>Completed</v>
      </c>
    </row>
    <row r="83" spans="1:13" ht="15.75" customHeight="1" x14ac:dyDescent="0.35">
      <c r="A83" s="69" t="s">
        <v>49</v>
      </c>
      <c r="B83" s="69"/>
      <c r="C83" s="60" t="s">
        <v>142</v>
      </c>
      <c r="D83" s="60" t="s">
        <v>84</v>
      </c>
      <c r="E83" s="69" t="s">
        <v>86</v>
      </c>
      <c r="F83" s="69"/>
      <c r="G83" s="69" t="s">
        <v>85</v>
      </c>
      <c r="H83" s="69"/>
      <c r="I83" s="14" t="s">
        <v>144</v>
      </c>
      <c r="J83" s="26">
        <f ca="1">H81*25%</f>
        <v>2.75</v>
      </c>
    </row>
    <row r="84" spans="1:13" x14ac:dyDescent="0.35">
      <c r="A84" s="70" t="s">
        <v>131</v>
      </c>
      <c r="B84" s="69"/>
      <c r="C84" s="54">
        <f ca="1">J85</f>
        <v>11</v>
      </c>
      <c r="D84" s="55">
        <f ca="1">((100/H81)*C84)/100</f>
        <v>1.0000000000000002</v>
      </c>
      <c r="E84" s="71">
        <f ca="1">(((C85/H81*10)+(40/(D81+F81+H81)*C86)+(7.5/(H81)*C87)+(7.5/(H81)*C88)+(10/H81*C89)+(10/H81*C90)+(5/H81*C91)+(5/H81*C92)+(5/H81*C93))/100)</f>
        <v>0.6575757575757577</v>
      </c>
      <c r="F84" s="72"/>
      <c r="G84" s="71">
        <f ca="1">((((C84/H81)*20)+((C85/H81)*25)+(30/(H81+F81+D81)*C86)+(5/H81*C87)+(5/H81*C88)+(5/H81*C89)+(5/H81*C90)+(0/H81*C91)+(0/H81*C92)+(5/H81*C93))/100)</f>
        <v>0.84318181818181814</v>
      </c>
      <c r="H84" s="77"/>
      <c r="I84" s="14" t="s">
        <v>102</v>
      </c>
      <c r="J84" s="27">
        <f ca="1">H81*50%</f>
        <v>5.5</v>
      </c>
    </row>
    <row r="85" spans="1:13" x14ac:dyDescent="0.35">
      <c r="A85" s="70" t="s">
        <v>50</v>
      </c>
      <c r="B85" s="69"/>
      <c r="C85" s="56">
        <f ca="1">J93</f>
        <v>11</v>
      </c>
      <c r="D85" s="55">
        <f ca="1">((100/H81)*C85)/100</f>
        <v>1.0000000000000002</v>
      </c>
      <c r="E85" s="73"/>
      <c r="F85" s="74"/>
      <c r="G85" s="73"/>
      <c r="H85" s="78"/>
      <c r="I85" s="14" t="s">
        <v>103</v>
      </c>
      <c r="J85" s="27">
        <f ca="1">H81</f>
        <v>11</v>
      </c>
    </row>
    <row r="86" spans="1:13" ht="15.75" customHeight="1" x14ac:dyDescent="0.35">
      <c r="A86" s="70" t="s">
        <v>132</v>
      </c>
      <c r="B86" s="69"/>
      <c r="C86" s="54">
        <v>11</v>
      </c>
      <c r="D86" s="55">
        <f ca="1">((100/(D81+F81+H81))*C86)/100</f>
        <v>0.91666666666666674</v>
      </c>
      <c r="E86" s="73"/>
      <c r="F86" s="74"/>
      <c r="G86" s="73"/>
      <c r="H86" s="78"/>
      <c r="I86" s="14" t="s">
        <v>104</v>
      </c>
      <c r="J86" s="28">
        <f ca="1">(IF(B81&gt;1,(H81/(B81+2)),H81/4))</f>
        <v>2.75</v>
      </c>
    </row>
    <row r="87" spans="1:13" ht="15.75" customHeight="1" x14ac:dyDescent="0.35">
      <c r="A87" s="70" t="s">
        <v>139</v>
      </c>
      <c r="B87" s="69" t="s">
        <v>133</v>
      </c>
      <c r="C87" s="54">
        <v>10</v>
      </c>
      <c r="D87" s="55">
        <f ca="1">((100/H81)*C87)/100</f>
        <v>0.90909090909090917</v>
      </c>
      <c r="E87" s="73"/>
      <c r="F87" s="74"/>
      <c r="G87" s="73"/>
      <c r="H87" s="78"/>
      <c r="I87" s="14" t="s">
        <v>105</v>
      </c>
      <c r="J87" s="28">
        <f ca="1">(IF(B81&gt;1,(H81/(B81+2)+J86),H81/4+J86))</f>
        <v>5.5</v>
      </c>
    </row>
    <row r="88" spans="1:13" ht="15.75" customHeight="1" x14ac:dyDescent="0.35">
      <c r="A88" s="70" t="s">
        <v>140</v>
      </c>
      <c r="B88" s="69" t="s">
        <v>133</v>
      </c>
      <c r="C88" s="54">
        <v>10</v>
      </c>
      <c r="D88" s="55">
        <f ca="1">((100/H81)*C88)/100</f>
        <v>0.90909090909090917</v>
      </c>
      <c r="E88" s="73"/>
      <c r="F88" s="74"/>
      <c r="G88" s="73"/>
      <c r="H88" s="78"/>
      <c r="I88" s="14" t="s">
        <v>149</v>
      </c>
      <c r="J88" s="28">
        <f>(IF(B81&gt;1,(H81/(B81+2)+J87),0))</f>
        <v>0</v>
      </c>
    </row>
    <row r="89" spans="1:13" ht="15" customHeight="1" x14ac:dyDescent="0.35">
      <c r="A89" s="70" t="s">
        <v>138</v>
      </c>
      <c r="B89" s="69" t="s">
        <v>135</v>
      </c>
      <c r="C89" s="54">
        <v>4</v>
      </c>
      <c r="D89" s="55">
        <f ca="1">((100/(H81))*C89)/100</f>
        <v>0.36363636363636365</v>
      </c>
      <c r="E89" s="73"/>
      <c r="F89" s="74"/>
      <c r="G89" s="73"/>
      <c r="H89" s="78"/>
      <c r="I89" s="14" t="s">
        <v>146</v>
      </c>
      <c r="J89" s="28">
        <f>(IF(B81&gt;2,(H81/(B81+2)+J88),0))</f>
        <v>0</v>
      </c>
    </row>
    <row r="90" spans="1:13" ht="15.75" customHeight="1" x14ac:dyDescent="0.35">
      <c r="A90" s="70" t="s">
        <v>134</v>
      </c>
      <c r="B90" s="69" t="s">
        <v>134</v>
      </c>
      <c r="C90" s="54">
        <v>2</v>
      </c>
      <c r="D90" s="55">
        <f ca="1">((100/H81)*C90)/100</f>
        <v>0.18181818181818182</v>
      </c>
      <c r="E90" s="73"/>
      <c r="F90" s="74"/>
      <c r="G90" s="73"/>
      <c r="H90" s="78"/>
      <c r="I90" s="14" t="s">
        <v>147</v>
      </c>
      <c r="J90" s="29">
        <f>(IF(B81&gt;3,(H81/(B81+2)+J89),0))</f>
        <v>0</v>
      </c>
    </row>
    <row r="91" spans="1:13" ht="15.75" customHeight="1" x14ac:dyDescent="0.35">
      <c r="A91" s="70" t="s">
        <v>141</v>
      </c>
      <c r="B91" s="69"/>
      <c r="C91" s="54">
        <v>0</v>
      </c>
      <c r="D91" s="55">
        <f ca="1">((100/H81)*C91)/100</f>
        <v>0</v>
      </c>
      <c r="E91" s="73"/>
      <c r="F91" s="74"/>
      <c r="G91" s="73"/>
      <c r="H91" s="78"/>
      <c r="I91" s="14" t="s">
        <v>148</v>
      </c>
      <c r="J91" s="28">
        <f>(IF(B81&gt;4,(H81/(B81+2)+J90),0))</f>
        <v>0</v>
      </c>
    </row>
    <row r="92" spans="1:13" ht="15.75" customHeight="1" x14ac:dyDescent="0.35">
      <c r="A92" s="70" t="s">
        <v>136</v>
      </c>
      <c r="B92" s="69" t="s">
        <v>136</v>
      </c>
      <c r="C92" s="54">
        <v>0</v>
      </c>
      <c r="D92" s="55">
        <f ca="1">((100/(H81))*C92)/100</f>
        <v>0</v>
      </c>
      <c r="E92" s="73"/>
      <c r="F92" s="74"/>
      <c r="G92" s="73"/>
      <c r="H92" s="78"/>
      <c r="I92" s="14" t="s">
        <v>150</v>
      </c>
      <c r="J92" s="28">
        <f ca="1">(IF(B81=1,(H81/(B81+3)+J87),IF(B81=0,(H81/4+J87),IF(B81&gt;1,0))))</f>
        <v>8.25</v>
      </c>
    </row>
    <row r="93" spans="1:13" ht="16" thickBot="1" x14ac:dyDescent="0.4">
      <c r="A93" s="80" t="s">
        <v>137</v>
      </c>
      <c r="B93" s="81"/>
      <c r="C93" s="57">
        <v>0</v>
      </c>
      <c r="D93" s="58">
        <f ca="1">((100/(H81))*C93)/100</f>
        <v>0</v>
      </c>
      <c r="E93" s="75"/>
      <c r="F93" s="76"/>
      <c r="G93" s="75"/>
      <c r="H93" s="79"/>
      <c r="I93" s="15" t="s">
        <v>106</v>
      </c>
      <c r="J93" s="30">
        <f ca="1">(IF(B81&gt;1.5,(H81/(B81+2)+J87+MAX(0,J88-J87)+MAX(0,J89-J88)+MAX(0,J90-J89)+MAX(0,J91-J90)+MAX(0,J92-J91)),IF(B81=1,(H81/(B81+3)+J92),IF(B81=0,H81/4+J92))))</f>
        <v>11</v>
      </c>
    </row>
    <row r="94" spans="1:13" x14ac:dyDescent="0.35">
      <c r="A94" s="131" t="s">
        <v>161</v>
      </c>
      <c r="B94" s="131"/>
      <c r="C94" s="131"/>
      <c r="D94" s="131"/>
      <c r="E94" s="131"/>
      <c r="F94" s="107" t="s">
        <v>165</v>
      </c>
      <c r="G94" s="107"/>
      <c r="H94" s="107"/>
    </row>
    <row r="95" spans="1:13" x14ac:dyDescent="0.35">
      <c r="A95" s="100" t="s">
        <v>164</v>
      </c>
      <c r="B95" s="100"/>
      <c r="C95" s="100"/>
      <c r="D95" s="100"/>
      <c r="E95" s="100"/>
      <c r="F95" s="99">
        <v>6100</v>
      </c>
      <c r="G95" s="99"/>
      <c r="H95" s="99"/>
      <c r="K95" s="19" t="s">
        <v>207</v>
      </c>
      <c r="L95" s="23">
        <v>45005</v>
      </c>
      <c r="M95" s="19" t="s">
        <v>208</v>
      </c>
    </row>
    <row r="96" spans="1:13" x14ac:dyDescent="0.35">
      <c r="A96" s="100" t="s">
        <v>163</v>
      </c>
      <c r="B96" s="100"/>
      <c r="C96" s="100"/>
      <c r="D96" s="100"/>
      <c r="E96" s="100"/>
      <c r="F96" s="99">
        <v>11000</v>
      </c>
      <c r="G96" s="99"/>
      <c r="H96" s="99"/>
    </row>
    <row r="97" spans="1:11" s="31" customFormat="1" hidden="1" x14ac:dyDescent="0.3">
      <c r="A97" s="100" t="s">
        <v>162</v>
      </c>
      <c r="B97" s="100"/>
      <c r="C97" s="100"/>
      <c r="D97" s="100"/>
      <c r="E97" s="100"/>
      <c r="F97" s="99"/>
      <c r="G97" s="99"/>
      <c r="H97" s="99"/>
    </row>
    <row r="98" spans="1:11" s="31" customFormat="1" x14ac:dyDescent="0.3">
      <c r="A98" s="100" t="s">
        <v>96</v>
      </c>
      <c r="B98" s="100"/>
      <c r="C98" s="100"/>
      <c r="D98" s="100"/>
      <c r="E98" s="100"/>
      <c r="F98" s="99">
        <v>350000</v>
      </c>
      <c r="G98" s="99"/>
      <c r="H98" s="99"/>
    </row>
    <row r="99" spans="1:11" s="31" customFormat="1" x14ac:dyDescent="0.3">
      <c r="A99" s="100" t="s">
        <v>97</v>
      </c>
      <c r="B99" s="100"/>
      <c r="C99" s="100"/>
      <c r="D99" s="100"/>
      <c r="E99" s="100"/>
      <c r="F99" s="99">
        <v>100000</v>
      </c>
      <c r="G99" s="99"/>
      <c r="H99" s="99"/>
    </row>
    <row r="100" spans="1:11" s="31" customFormat="1" x14ac:dyDescent="0.3">
      <c r="A100" s="100" t="s">
        <v>203</v>
      </c>
      <c r="B100" s="100"/>
      <c r="C100" s="100"/>
      <c r="D100" s="100"/>
      <c r="E100" s="100"/>
      <c r="F100" s="99">
        <v>75000</v>
      </c>
      <c r="G100" s="99"/>
      <c r="H100" s="99"/>
    </row>
    <row r="101" spans="1:11" s="31" customFormat="1" hidden="1" x14ac:dyDescent="0.3">
      <c r="A101" s="100" t="s">
        <v>98</v>
      </c>
      <c r="B101" s="100"/>
      <c r="C101" s="100"/>
      <c r="D101" s="100"/>
      <c r="E101" s="100"/>
      <c r="F101" s="99"/>
      <c r="G101" s="99"/>
      <c r="H101" s="99"/>
    </row>
    <row r="102" spans="1:11" s="31" customFormat="1" hidden="1" x14ac:dyDescent="0.3">
      <c r="A102" s="100" t="s">
        <v>99</v>
      </c>
      <c r="B102" s="100"/>
      <c r="C102" s="100"/>
      <c r="D102" s="100"/>
      <c r="E102" s="100"/>
      <c r="F102" s="99"/>
      <c r="G102" s="99"/>
      <c r="H102" s="99"/>
    </row>
    <row r="103" spans="1:11" s="31" customFormat="1" x14ac:dyDescent="0.3">
      <c r="A103" s="100" t="s">
        <v>100</v>
      </c>
      <c r="B103" s="100"/>
      <c r="C103" s="100"/>
      <c r="D103" s="100"/>
      <c r="E103" s="100"/>
      <c r="F103" s="99">
        <v>100000</v>
      </c>
      <c r="G103" s="99"/>
      <c r="H103" s="99"/>
    </row>
    <row r="104" spans="1:11" s="31" customFormat="1" hidden="1" x14ac:dyDescent="0.3">
      <c r="A104" s="100" t="s">
        <v>101</v>
      </c>
      <c r="B104" s="100"/>
      <c r="C104" s="100"/>
      <c r="D104" s="100"/>
      <c r="E104" s="100"/>
      <c r="F104" s="99"/>
      <c r="G104" s="99"/>
      <c r="H104" s="99"/>
    </row>
    <row r="105" spans="1:11" x14ac:dyDescent="0.35">
      <c r="A105" s="100" t="s">
        <v>51</v>
      </c>
      <c r="B105" s="100"/>
      <c r="C105" s="100"/>
      <c r="D105" s="100"/>
      <c r="E105" s="100"/>
      <c r="F105" s="99">
        <v>250000</v>
      </c>
      <c r="G105" s="99"/>
      <c r="H105" s="99"/>
    </row>
    <row r="106" spans="1:11" s="32" customFormat="1" x14ac:dyDescent="0.35">
      <c r="A106" s="153" t="s">
        <v>52</v>
      </c>
      <c r="B106" s="153"/>
      <c r="C106" s="153"/>
      <c r="D106" s="153"/>
      <c r="E106" s="153"/>
      <c r="F106" s="99">
        <f>F95*0.8</f>
        <v>4880</v>
      </c>
      <c r="G106" s="99"/>
      <c r="H106" s="99"/>
    </row>
    <row r="107" spans="1:11" s="33" customFormat="1" ht="15.75" customHeight="1" x14ac:dyDescent="0.35">
      <c r="A107" s="127" t="s">
        <v>76</v>
      </c>
      <c r="B107" s="127"/>
      <c r="C107" s="127"/>
      <c r="D107" s="127"/>
      <c r="E107" s="127"/>
      <c r="F107" s="127"/>
      <c r="G107" s="127"/>
      <c r="H107" s="127"/>
    </row>
    <row r="108" spans="1:11" s="33" customFormat="1" ht="15.75" customHeight="1" x14ac:dyDescent="0.35">
      <c r="A108" s="109" t="s">
        <v>53</v>
      </c>
      <c r="B108" s="109"/>
      <c r="C108" s="129" t="s">
        <v>79</v>
      </c>
      <c r="D108" s="129"/>
      <c r="E108" s="108" t="s">
        <v>54</v>
      </c>
      <c r="F108" s="108"/>
      <c r="G108" s="109" t="s">
        <v>55</v>
      </c>
      <c r="H108" s="109"/>
    </row>
    <row r="109" spans="1:11" s="33" customFormat="1" x14ac:dyDescent="0.35">
      <c r="A109" s="123" t="s">
        <v>184</v>
      </c>
      <c r="B109" s="123"/>
      <c r="C109" s="97">
        <f>COUNT(D125:D132)</f>
        <v>8</v>
      </c>
      <c r="D109" s="125"/>
      <c r="E109" s="98">
        <f>SUM(D125:D132)</f>
        <v>2945.8377</v>
      </c>
      <c r="F109" s="126"/>
      <c r="G109" s="98">
        <f>SUM(F125:F132)</f>
        <v>4713.3403200000002</v>
      </c>
      <c r="H109" s="126"/>
    </row>
    <row r="110" spans="1:11" s="33" customFormat="1" x14ac:dyDescent="0.35">
      <c r="A110" s="123" t="s">
        <v>187</v>
      </c>
      <c r="B110" s="123"/>
      <c r="C110" s="97">
        <f>COUNT(D136:D143)</f>
        <v>8</v>
      </c>
      <c r="D110" s="125"/>
      <c r="E110" s="98">
        <f>SUM(D136:D143)</f>
        <v>2945.8377</v>
      </c>
      <c r="F110" s="126"/>
      <c r="G110" s="98">
        <f>SUM(F136:F143)</f>
        <v>4713.3403199999993</v>
      </c>
      <c r="H110" s="126"/>
    </row>
    <row r="111" spans="1:11" s="33" customFormat="1" x14ac:dyDescent="0.35">
      <c r="A111" s="127" t="s">
        <v>155</v>
      </c>
      <c r="B111" s="127"/>
      <c r="C111" s="128">
        <f>SUM(C109:C110)</f>
        <v>16</v>
      </c>
      <c r="D111" s="129"/>
      <c r="E111" s="130">
        <f>SUM(E109:E110)</f>
        <v>5891.6754000000001</v>
      </c>
      <c r="F111" s="108"/>
      <c r="G111" s="109">
        <f>SUM(G109:G110)</f>
        <v>9426.6806399999987</v>
      </c>
      <c r="H111" s="109"/>
      <c r="J111" s="59"/>
      <c r="K111" s="59"/>
    </row>
    <row r="112" spans="1:11" s="33" customFormat="1" x14ac:dyDescent="0.35">
      <c r="A112" s="127" t="s">
        <v>71</v>
      </c>
      <c r="B112" s="127"/>
      <c r="C112" s="127"/>
      <c r="D112" s="127"/>
      <c r="E112" s="127"/>
      <c r="F112" s="127"/>
      <c r="G112" s="127"/>
      <c r="H112" s="127"/>
    </row>
    <row r="113" spans="1:14" s="33" customFormat="1" ht="15.75" customHeight="1" x14ac:dyDescent="0.35">
      <c r="A113" s="109" t="s">
        <v>53</v>
      </c>
      <c r="B113" s="109"/>
      <c r="C113" s="129" t="s">
        <v>79</v>
      </c>
      <c r="D113" s="129"/>
      <c r="E113" s="108" t="s">
        <v>54</v>
      </c>
      <c r="F113" s="108"/>
      <c r="G113" s="109" t="s">
        <v>55</v>
      </c>
      <c r="H113" s="109"/>
    </row>
    <row r="114" spans="1:14" s="33" customFormat="1" x14ac:dyDescent="0.35">
      <c r="A114" s="123" t="s">
        <v>184</v>
      </c>
      <c r="B114" s="123"/>
      <c r="C114" s="97">
        <f>COUNT(D149:D154)+COUNT(D156:D164)*4+COUNT(D166:D168)</f>
        <v>45</v>
      </c>
      <c r="D114" s="97"/>
      <c r="E114" s="98">
        <f>SUM(D149:D154)+SUM(D156:D164)*4+SUM(D166:D168)</f>
        <v>27563.337125999999</v>
      </c>
      <c r="F114" s="98"/>
      <c r="G114" s="98">
        <f>SUM(F149:F154)+SUM(F156:F164)*4+SUM(F166:F168)</f>
        <v>45433.926383700003</v>
      </c>
      <c r="H114" s="98"/>
    </row>
    <row r="115" spans="1:14" s="33" customFormat="1" x14ac:dyDescent="0.35">
      <c r="A115" s="123" t="s">
        <v>187</v>
      </c>
      <c r="B115" s="123"/>
      <c r="C115" s="97">
        <f>COUNT(D172:D176)+COUNT(D178:D186)*4+COUNT(D188:D190)</f>
        <v>44</v>
      </c>
      <c r="D115" s="97"/>
      <c r="E115" s="98">
        <f>SUM(D172:D176)+SUM(D178:D186)*4+SUM(D188:D190)</f>
        <v>26745.579900000001</v>
      </c>
      <c r="F115" s="98"/>
      <c r="G115" s="98">
        <f>SUM(F172:F176)+SUM(F178:F186)*4+SUM(F188:F190)</f>
        <v>44084.6269608</v>
      </c>
      <c r="H115" s="98"/>
    </row>
    <row r="116" spans="1:14" s="33" customFormat="1" ht="16" thickBot="1" x14ac:dyDescent="0.4">
      <c r="A116" s="178" t="s">
        <v>155</v>
      </c>
      <c r="B116" s="178"/>
      <c r="C116" s="134">
        <f>SUM(C114:C115)</f>
        <v>89</v>
      </c>
      <c r="D116" s="135"/>
      <c r="E116" s="136">
        <f>SUM(E114:E115)</f>
        <v>54308.917025999996</v>
      </c>
      <c r="F116" s="137"/>
      <c r="G116" s="124">
        <f>SUM(G114:G115)</f>
        <v>89518.553344500004</v>
      </c>
      <c r="H116" s="124"/>
    </row>
    <row r="117" spans="1:14" s="33" customFormat="1" ht="16" thickBot="1" x14ac:dyDescent="0.4">
      <c r="A117" s="88" t="s">
        <v>213</v>
      </c>
      <c r="B117" s="89"/>
      <c r="C117" s="90">
        <f>C111+C116</f>
        <v>105</v>
      </c>
      <c r="D117" s="91"/>
      <c r="E117" s="92">
        <f>E111+E116</f>
        <v>60200.592425999996</v>
      </c>
      <c r="F117" s="93"/>
      <c r="G117" s="94">
        <f>G111+G116</f>
        <v>98945.233984499995</v>
      </c>
      <c r="H117" s="95"/>
    </row>
    <row r="118" spans="1:14" s="32" customFormat="1" x14ac:dyDescent="0.35">
      <c r="A118" s="107" t="s">
        <v>56</v>
      </c>
      <c r="B118" s="107"/>
      <c r="C118" s="107"/>
      <c r="D118" s="107"/>
      <c r="E118" s="107"/>
      <c r="F118" s="107"/>
      <c r="G118" s="107"/>
      <c r="H118" s="107"/>
    </row>
    <row r="119" spans="1:14" x14ac:dyDescent="0.35">
      <c r="A119" s="120" t="s">
        <v>57</v>
      </c>
      <c r="B119" s="120"/>
      <c r="C119" s="120"/>
      <c r="D119" s="120"/>
      <c r="E119" s="120"/>
      <c r="F119" s="120"/>
      <c r="G119" s="120"/>
      <c r="H119" s="120"/>
    </row>
    <row r="120" spans="1:14" ht="47.25" customHeight="1" x14ac:dyDescent="0.35">
      <c r="A120" s="115" t="s">
        <v>121</v>
      </c>
      <c r="B120" s="115" t="s">
        <v>120</v>
      </c>
      <c r="C120" s="115" t="s">
        <v>58</v>
      </c>
      <c r="D120" s="115" t="s">
        <v>59</v>
      </c>
      <c r="E120" s="101" t="s">
        <v>160</v>
      </c>
      <c r="F120" s="40" t="s">
        <v>154</v>
      </c>
      <c r="G120" s="103" t="s">
        <v>61</v>
      </c>
      <c r="H120" s="104"/>
    </row>
    <row r="121" spans="1:14" s="42" customFormat="1" x14ac:dyDescent="0.35">
      <c r="A121" s="116"/>
      <c r="B121" s="116"/>
      <c r="C121" s="116"/>
      <c r="D121" s="116"/>
      <c r="E121" s="102"/>
      <c r="F121" s="13">
        <v>0.6</v>
      </c>
      <c r="G121" s="105"/>
      <c r="H121" s="106"/>
    </row>
    <row r="122" spans="1:14" s="42" customFormat="1" x14ac:dyDescent="0.35">
      <c r="A122" s="196" t="s">
        <v>184</v>
      </c>
      <c r="B122" s="196"/>
      <c r="C122" s="196"/>
      <c r="D122" s="196"/>
      <c r="E122" s="196"/>
      <c r="F122" s="196"/>
      <c r="G122" s="196"/>
      <c r="H122" s="196"/>
      <c r="J122" s="34"/>
    </row>
    <row r="123" spans="1:14" s="42" customFormat="1" x14ac:dyDescent="0.35">
      <c r="A123" s="196" t="s">
        <v>200</v>
      </c>
      <c r="B123" s="196"/>
      <c r="C123" s="196"/>
      <c r="D123" s="196"/>
      <c r="E123" s="196"/>
      <c r="F123" s="196"/>
      <c r="G123" s="196"/>
      <c r="H123" s="196"/>
      <c r="J123" s="34"/>
    </row>
    <row r="124" spans="1:14" s="42" customFormat="1" x14ac:dyDescent="0.35">
      <c r="A124" s="196" t="s">
        <v>182</v>
      </c>
      <c r="B124" s="196"/>
      <c r="C124" s="196"/>
      <c r="D124" s="196"/>
      <c r="E124" s="196"/>
      <c r="F124" s="196"/>
      <c r="G124" s="196"/>
      <c r="H124" s="196"/>
      <c r="J124" s="34"/>
    </row>
    <row r="125" spans="1:14" s="42" customFormat="1" x14ac:dyDescent="0.35">
      <c r="A125" s="197">
        <v>1</v>
      </c>
      <c r="B125" s="197"/>
      <c r="C125" s="39" t="s">
        <v>183</v>
      </c>
      <c r="D125" s="49">
        <f>(29.814)*10.764</f>
        <v>320.91789599999998</v>
      </c>
      <c r="E125" s="39">
        <v>0</v>
      </c>
      <c r="F125" s="39">
        <f>(D125+E125)*(($F$121)+1)</f>
        <v>513.46863359999998</v>
      </c>
      <c r="G125" s="197" t="str">
        <f>A124</f>
        <v>Ground Floor For Commercial &amp; Parking</v>
      </c>
      <c r="H125" s="197"/>
      <c r="I125" s="34"/>
      <c r="L125" s="96"/>
      <c r="M125" s="96"/>
      <c r="N125" s="34"/>
    </row>
    <row r="126" spans="1:14" s="42" customFormat="1" x14ac:dyDescent="0.35">
      <c r="A126" s="197">
        <f t="shared" ref="A126:A143" si="0">A125+1</f>
        <v>2</v>
      </c>
      <c r="B126" s="197"/>
      <c r="C126" s="39" t="s">
        <v>183</v>
      </c>
      <c r="D126" s="49">
        <f>(26.881)*10.764</f>
        <v>289.347084</v>
      </c>
      <c r="E126" s="39">
        <v>0</v>
      </c>
      <c r="F126" s="39">
        <f t="shared" ref="F126:F128" si="1">(D126+E126)*(($F$121)+1)</f>
        <v>462.95533440000003</v>
      </c>
      <c r="G126" s="197" t="str">
        <f t="shared" ref="G126:G143" si="2">G125</f>
        <v>Ground Floor For Commercial &amp; Parking</v>
      </c>
      <c r="H126" s="197"/>
      <c r="I126" s="34"/>
      <c r="J126" s="34">
        <v>10.763999999999999</v>
      </c>
      <c r="L126" s="96"/>
      <c r="M126" s="96"/>
      <c r="N126" s="34"/>
    </row>
    <row r="127" spans="1:14" s="42" customFormat="1" x14ac:dyDescent="0.35">
      <c r="A127" s="197">
        <f t="shared" si="0"/>
        <v>3</v>
      </c>
      <c r="B127" s="197"/>
      <c r="C127" s="39" t="s">
        <v>183</v>
      </c>
      <c r="D127" s="49">
        <f>(29.814)*10.764</f>
        <v>320.91789599999998</v>
      </c>
      <c r="E127" s="39">
        <v>0</v>
      </c>
      <c r="F127" s="39">
        <f t="shared" si="1"/>
        <v>513.46863359999998</v>
      </c>
      <c r="G127" s="197" t="str">
        <f t="shared" si="2"/>
        <v>Ground Floor For Commercial &amp; Parking</v>
      </c>
      <c r="H127" s="197"/>
      <c r="I127" s="34"/>
      <c r="L127" s="96"/>
      <c r="M127" s="96"/>
      <c r="N127" s="34"/>
    </row>
    <row r="128" spans="1:14" s="42" customFormat="1" x14ac:dyDescent="0.35">
      <c r="A128" s="197">
        <f t="shared" si="0"/>
        <v>4</v>
      </c>
      <c r="B128" s="197"/>
      <c r="C128" s="39" t="s">
        <v>183</v>
      </c>
      <c r="D128" s="49">
        <f>(29.814)*10.764</f>
        <v>320.91789599999998</v>
      </c>
      <c r="E128" s="39">
        <v>0</v>
      </c>
      <c r="F128" s="39">
        <f t="shared" si="1"/>
        <v>513.46863359999998</v>
      </c>
      <c r="G128" s="197" t="str">
        <f t="shared" si="2"/>
        <v>Ground Floor For Commercial &amp; Parking</v>
      </c>
      <c r="H128" s="197"/>
      <c r="I128" s="34">
        <f>11000*F128</f>
        <v>5648154.9695999995</v>
      </c>
      <c r="L128" s="96"/>
      <c r="M128" s="96"/>
      <c r="N128" s="34"/>
    </row>
    <row r="129" spans="1:14" s="42" customFormat="1" x14ac:dyDescent="0.35">
      <c r="A129" s="197">
        <f t="shared" si="0"/>
        <v>5</v>
      </c>
      <c r="B129" s="197"/>
      <c r="C129" s="39" t="s">
        <v>183</v>
      </c>
      <c r="D129" s="49">
        <f>(52.396)*10.764</f>
        <v>563.990544</v>
      </c>
      <c r="E129" s="39">
        <v>0</v>
      </c>
      <c r="F129" s="39">
        <f t="shared" ref="F129:F131" si="3">(D129+E129)*(($F$121)+1)</f>
        <v>902.38487040000007</v>
      </c>
      <c r="G129" s="197" t="str">
        <f t="shared" si="2"/>
        <v>Ground Floor For Commercial &amp; Parking</v>
      </c>
      <c r="H129" s="197"/>
      <c r="I129" s="34"/>
      <c r="L129" s="96"/>
      <c r="M129" s="96"/>
      <c r="N129" s="34"/>
    </row>
    <row r="130" spans="1:14" s="42" customFormat="1" x14ac:dyDescent="0.35">
      <c r="A130" s="197">
        <f t="shared" si="0"/>
        <v>6</v>
      </c>
      <c r="B130" s="197"/>
      <c r="C130" s="39" t="s">
        <v>183</v>
      </c>
      <c r="D130" s="49">
        <f>(33.52)*10.764</f>
        <v>360.80928</v>
      </c>
      <c r="E130" s="39">
        <v>0</v>
      </c>
      <c r="F130" s="39">
        <f t="shared" si="3"/>
        <v>577.294848</v>
      </c>
      <c r="G130" s="197" t="str">
        <f t="shared" si="2"/>
        <v>Ground Floor For Commercial &amp; Parking</v>
      </c>
      <c r="H130" s="197"/>
      <c r="I130" s="34"/>
      <c r="L130" s="96"/>
      <c r="M130" s="96"/>
      <c r="N130" s="34"/>
    </row>
    <row r="131" spans="1:14" s="42" customFormat="1" x14ac:dyDescent="0.35">
      <c r="A131" s="197">
        <f t="shared" si="0"/>
        <v>7</v>
      </c>
      <c r="B131" s="197"/>
      <c r="C131" s="39" t="s">
        <v>183</v>
      </c>
      <c r="D131" s="49">
        <f>(36.817)*10.764</f>
        <v>396.29818799999998</v>
      </c>
      <c r="E131" s="39">
        <v>0</v>
      </c>
      <c r="F131" s="39">
        <f t="shared" si="3"/>
        <v>634.07710080000004</v>
      </c>
      <c r="G131" s="197" t="str">
        <f t="shared" si="2"/>
        <v>Ground Floor For Commercial &amp; Parking</v>
      </c>
      <c r="H131" s="197"/>
      <c r="I131" s="34"/>
      <c r="L131" s="96"/>
      <c r="M131" s="96"/>
      <c r="N131" s="34"/>
    </row>
    <row r="132" spans="1:14" s="42" customFormat="1" ht="15" customHeight="1" x14ac:dyDescent="0.35">
      <c r="A132" s="85">
        <f>A131+1</f>
        <v>8</v>
      </c>
      <c r="B132" s="86"/>
      <c r="C132" s="39" t="s">
        <v>183</v>
      </c>
      <c r="D132" s="49">
        <f>(34.619)*10.764</f>
        <v>372.63891599999999</v>
      </c>
      <c r="E132" s="39">
        <v>0</v>
      </c>
      <c r="F132" s="39">
        <f>(D132+E132)*(($F$121)+1)</f>
        <v>596.22226560000001</v>
      </c>
      <c r="G132" s="85" t="str">
        <f>G131</f>
        <v>Ground Floor For Commercial &amp; Parking</v>
      </c>
      <c r="H132" s="86"/>
      <c r="I132" s="34"/>
      <c r="L132" s="96"/>
      <c r="M132" s="96"/>
      <c r="N132" s="34"/>
    </row>
    <row r="133" spans="1:14" s="42" customFormat="1" x14ac:dyDescent="0.35">
      <c r="A133" s="82" t="s">
        <v>187</v>
      </c>
      <c r="B133" s="83"/>
      <c r="C133" s="83"/>
      <c r="D133" s="83"/>
      <c r="E133" s="83"/>
      <c r="F133" s="83"/>
      <c r="G133" s="83"/>
      <c r="H133" s="84"/>
      <c r="J133" s="34"/>
    </row>
    <row r="134" spans="1:14" s="42" customFormat="1" x14ac:dyDescent="0.35">
      <c r="A134" s="82" t="s">
        <v>200</v>
      </c>
      <c r="B134" s="83"/>
      <c r="C134" s="83"/>
      <c r="D134" s="83"/>
      <c r="E134" s="83"/>
      <c r="F134" s="83"/>
      <c r="G134" s="83"/>
      <c r="H134" s="84"/>
      <c r="J134" s="34"/>
    </row>
    <row r="135" spans="1:14" s="42" customFormat="1" x14ac:dyDescent="0.35">
      <c r="A135" s="82" t="s">
        <v>182</v>
      </c>
      <c r="B135" s="83"/>
      <c r="C135" s="83"/>
      <c r="D135" s="83"/>
      <c r="E135" s="83"/>
      <c r="F135" s="83"/>
      <c r="G135" s="83"/>
      <c r="H135" s="84"/>
      <c r="J135" s="34"/>
    </row>
    <row r="136" spans="1:14" s="42" customFormat="1" x14ac:dyDescent="0.35">
      <c r="A136" s="85">
        <f>A132+1</f>
        <v>9</v>
      </c>
      <c r="B136" s="86"/>
      <c r="C136" s="39" t="s">
        <v>183</v>
      </c>
      <c r="D136" s="49">
        <f>(34.619)*10.764</f>
        <v>372.63891599999999</v>
      </c>
      <c r="E136" s="39">
        <v>0</v>
      </c>
      <c r="F136" s="39">
        <f t="shared" ref="F136" si="4">(D136+E136)*(($F$121)+1)</f>
        <v>596.22226560000001</v>
      </c>
      <c r="G136" s="85" t="str">
        <f>G132</f>
        <v>Ground Floor For Commercial &amp; Parking</v>
      </c>
      <c r="H136" s="86"/>
      <c r="I136" s="34"/>
      <c r="L136" s="96"/>
      <c r="M136" s="96"/>
      <c r="N136" s="34"/>
    </row>
    <row r="137" spans="1:14" s="42" customFormat="1" x14ac:dyDescent="0.35">
      <c r="A137" s="85">
        <f t="shared" si="0"/>
        <v>10</v>
      </c>
      <c r="B137" s="86"/>
      <c r="C137" s="39" t="s">
        <v>183</v>
      </c>
      <c r="D137" s="49">
        <f>(36.817)*10.764</f>
        <v>396.29818799999998</v>
      </c>
      <c r="E137" s="39">
        <v>0</v>
      </c>
      <c r="F137" s="39">
        <f t="shared" ref="F137:F138" si="5">(D137+E137)*(($F$121)+1)</f>
        <v>634.07710080000004</v>
      </c>
      <c r="G137" s="85" t="str">
        <f t="shared" si="2"/>
        <v>Ground Floor For Commercial &amp; Parking</v>
      </c>
      <c r="H137" s="86"/>
      <c r="I137" s="34"/>
      <c r="L137" s="96"/>
      <c r="M137" s="96"/>
      <c r="N137" s="34"/>
    </row>
    <row r="138" spans="1:14" s="42" customFormat="1" x14ac:dyDescent="0.35">
      <c r="A138" s="85">
        <f t="shared" si="0"/>
        <v>11</v>
      </c>
      <c r="B138" s="86"/>
      <c r="C138" s="39" t="s">
        <v>183</v>
      </c>
      <c r="D138" s="49">
        <f>(33.52)*10.764</f>
        <v>360.80928</v>
      </c>
      <c r="E138" s="39">
        <v>0</v>
      </c>
      <c r="F138" s="39">
        <f t="shared" si="5"/>
        <v>577.294848</v>
      </c>
      <c r="G138" s="85" t="str">
        <f t="shared" si="2"/>
        <v>Ground Floor For Commercial &amp; Parking</v>
      </c>
      <c r="H138" s="86"/>
      <c r="I138" s="34"/>
      <c r="L138" s="96"/>
      <c r="M138" s="96"/>
      <c r="N138" s="34"/>
    </row>
    <row r="139" spans="1:14" s="42" customFormat="1" x14ac:dyDescent="0.35">
      <c r="A139" s="85">
        <f t="shared" si="0"/>
        <v>12</v>
      </c>
      <c r="B139" s="86"/>
      <c r="C139" s="39" t="s">
        <v>183</v>
      </c>
      <c r="D139" s="49">
        <f>(52.396)*10.764</f>
        <v>563.990544</v>
      </c>
      <c r="E139" s="39">
        <v>0</v>
      </c>
      <c r="F139" s="39">
        <f t="shared" ref="F139:F143" si="6">(D139+E139)*(($F$121)+1)</f>
        <v>902.38487040000007</v>
      </c>
      <c r="G139" s="85" t="str">
        <f t="shared" si="2"/>
        <v>Ground Floor For Commercial &amp; Parking</v>
      </c>
      <c r="H139" s="86"/>
      <c r="I139" s="34"/>
      <c r="L139" s="96"/>
      <c r="M139" s="96"/>
      <c r="N139" s="34"/>
    </row>
    <row r="140" spans="1:14" s="42" customFormat="1" ht="15" customHeight="1" x14ac:dyDescent="0.35">
      <c r="A140" s="85">
        <f t="shared" si="0"/>
        <v>13</v>
      </c>
      <c r="B140" s="86"/>
      <c r="C140" s="39" t="s">
        <v>183</v>
      </c>
      <c r="D140" s="49">
        <f>(29.814)*10.764</f>
        <v>320.91789599999998</v>
      </c>
      <c r="E140" s="39">
        <v>0</v>
      </c>
      <c r="F140" s="39">
        <f t="shared" si="6"/>
        <v>513.46863359999998</v>
      </c>
      <c r="G140" s="85" t="str">
        <f t="shared" si="2"/>
        <v>Ground Floor For Commercial &amp; Parking</v>
      </c>
      <c r="H140" s="86"/>
      <c r="I140" s="34"/>
      <c r="L140" s="96"/>
      <c r="M140" s="96"/>
      <c r="N140" s="34"/>
    </row>
    <row r="141" spans="1:14" s="42" customFormat="1" x14ac:dyDescent="0.35">
      <c r="A141" s="85">
        <f t="shared" si="0"/>
        <v>14</v>
      </c>
      <c r="B141" s="86"/>
      <c r="C141" s="39" t="s">
        <v>183</v>
      </c>
      <c r="D141" s="49">
        <f>(29.814)*10.764</f>
        <v>320.91789599999998</v>
      </c>
      <c r="E141" s="39">
        <v>0</v>
      </c>
      <c r="F141" s="39">
        <f t="shared" si="6"/>
        <v>513.46863359999998</v>
      </c>
      <c r="G141" s="85" t="str">
        <f t="shared" si="2"/>
        <v>Ground Floor For Commercial &amp; Parking</v>
      </c>
      <c r="H141" s="86"/>
      <c r="I141" s="34"/>
      <c r="L141" s="96"/>
      <c r="M141" s="96"/>
      <c r="N141" s="34"/>
    </row>
    <row r="142" spans="1:14" s="42" customFormat="1" x14ac:dyDescent="0.35">
      <c r="A142" s="85">
        <f t="shared" si="0"/>
        <v>15</v>
      </c>
      <c r="B142" s="86"/>
      <c r="C142" s="39" t="s">
        <v>183</v>
      </c>
      <c r="D142" s="49">
        <f>(26.881)*10.764</f>
        <v>289.347084</v>
      </c>
      <c r="E142" s="39">
        <v>0</v>
      </c>
      <c r="F142" s="39">
        <f t="shared" si="6"/>
        <v>462.95533440000003</v>
      </c>
      <c r="G142" s="85" t="str">
        <f t="shared" si="2"/>
        <v>Ground Floor For Commercial &amp; Parking</v>
      </c>
      <c r="H142" s="86"/>
      <c r="I142" s="34"/>
      <c r="L142" s="96"/>
      <c r="M142" s="96"/>
      <c r="N142" s="34"/>
    </row>
    <row r="143" spans="1:14" s="42" customFormat="1" x14ac:dyDescent="0.35">
      <c r="A143" s="85">
        <f t="shared" si="0"/>
        <v>16</v>
      </c>
      <c r="B143" s="86"/>
      <c r="C143" s="39" t="s">
        <v>183</v>
      </c>
      <c r="D143" s="49">
        <f>(29.814)*10.764</f>
        <v>320.91789599999998</v>
      </c>
      <c r="E143" s="39">
        <v>0</v>
      </c>
      <c r="F143" s="39">
        <f t="shared" si="6"/>
        <v>513.46863359999998</v>
      </c>
      <c r="G143" s="85" t="str">
        <f t="shared" si="2"/>
        <v>Ground Floor For Commercial &amp; Parking</v>
      </c>
      <c r="H143" s="86"/>
      <c r="I143" s="34"/>
      <c r="L143" s="96"/>
      <c r="M143" s="96"/>
      <c r="N143" s="34"/>
    </row>
    <row r="144" spans="1:14" s="42" customFormat="1" x14ac:dyDescent="0.35">
      <c r="A144" s="85"/>
      <c r="B144" s="173"/>
      <c r="C144" s="173"/>
      <c r="D144" s="173"/>
      <c r="E144" s="173"/>
      <c r="F144" s="173"/>
      <c r="G144" s="173"/>
      <c r="H144" s="86"/>
      <c r="I144" s="34"/>
      <c r="N144" s="34"/>
    </row>
    <row r="145" spans="1:14" ht="47.25" customHeight="1" x14ac:dyDescent="0.35">
      <c r="A145" s="51" t="s">
        <v>122</v>
      </c>
      <c r="B145" s="51" t="s">
        <v>123</v>
      </c>
      <c r="C145" s="40" t="s">
        <v>58</v>
      </c>
      <c r="D145" s="40" t="s">
        <v>59</v>
      </c>
      <c r="E145" s="50" t="s">
        <v>60</v>
      </c>
      <c r="F145" s="40" t="s">
        <v>202</v>
      </c>
      <c r="G145" s="103" t="s">
        <v>61</v>
      </c>
      <c r="H145" s="104"/>
      <c r="I145" s="34"/>
    </row>
    <row r="146" spans="1:14" s="42" customFormat="1" x14ac:dyDescent="0.35">
      <c r="A146" s="82" t="s">
        <v>184</v>
      </c>
      <c r="B146" s="83"/>
      <c r="C146" s="83"/>
      <c r="D146" s="83"/>
      <c r="E146" s="83"/>
      <c r="F146" s="83"/>
      <c r="G146" s="83"/>
      <c r="H146" s="84"/>
      <c r="J146" s="34"/>
    </row>
    <row r="147" spans="1:14" s="42" customFormat="1" x14ac:dyDescent="0.35">
      <c r="A147" s="82" t="s">
        <v>201</v>
      </c>
      <c r="B147" s="83"/>
      <c r="C147" s="83"/>
      <c r="D147" s="83"/>
      <c r="E147" s="83"/>
      <c r="F147" s="83"/>
      <c r="G147" s="83"/>
      <c r="H147" s="84"/>
      <c r="J147" s="34"/>
    </row>
    <row r="148" spans="1:14" s="42" customFormat="1" x14ac:dyDescent="0.35">
      <c r="A148" s="82" t="s">
        <v>188</v>
      </c>
      <c r="B148" s="83"/>
      <c r="C148" s="83"/>
      <c r="D148" s="83"/>
      <c r="E148" s="83"/>
      <c r="F148" s="83"/>
      <c r="G148" s="83"/>
      <c r="H148" s="84"/>
      <c r="J148" s="34"/>
    </row>
    <row r="149" spans="1:14" s="42" customFormat="1" x14ac:dyDescent="0.35">
      <c r="A149" s="85">
        <v>1</v>
      </c>
      <c r="B149" s="86"/>
      <c r="C149" s="48" t="s">
        <v>185</v>
      </c>
      <c r="D149" s="49">
        <f>(64.691+4.043+0.75*(2.75+3.55+3.35))*10.764</f>
        <v>817.75722600000006</v>
      </c>
      <c r="E149" s="39">
        <v>0</v>
      </c>
      <c r="F149" s="49">
        <f>D149*1.65</f>
        <v>1349.2994229000001</v>
      </c>
      <c r="G149" s="85" t="str">
        <f>A148</f>
        <v>2nd Floor For Residential &amp; Fitness Center/ Society Office &amp; Voids</v>
      </c>
      <c r="H149" s="86"/>
      <c r="I149" s="34"/>
      <c r="J149" s="42">
        <f>F149/D149</f>
        <v>1.65</v>
      </c>
      <c r="L149" s="96"/>
      <c r="M149" s="96"/>
      <c r="N149" s="34"/>
    </row>
    <row r="150" spans="1:14" s="42" customFormat="1" x14ac:dyDescent="0.35">
      <c r="A150" s="85">
        <f t="shared" ref="A150:A154" si="7">A149+1</f>
        <v>2</v>
      </c>
      <c r="B150" s="86"/>
      <c r="C150" s="48" t="s">
        <v>185</v>
      </c>
      <c r="D150" s="49">
        <f>(55.833+5.65+0.75*(2.75+3.05))*10.764</f>
        <v>708.62641199999996</v>
      </c>
      <c r="E150" s="39">
        <v>0</v>
      </c>
      <c r="F150" s="49">
        <v>1170</v>
      </c>
      <c r="G150" s="85" t="str">
        <f t="shared" ref="G150:G154" si="8">G149</f>
        <v>2nd Floor For Residential &amp; Fitness Center/ Society Office &amp; Voids</v>
      </c>
      <c r="H150" s="86"/>
      <c r="I150" s="34">
        <f>3*1.2+2.05*1</f>
        <v>5.6499999999999995</v>
      </c>
      <c r="L150" s="96"/>
      <c r="M150" s="96"/>
      <c r="N150" s="34"/>
    </row>
    <row r="151" spans="1:14" s="42" customFormat="1" x14ac:dyDescent="0.35">
      <c r="A151" s="85">
        <f t="shared" si="7"/>
        <v>3</v>
      </c>
      <c r="B151" s="86"/>
      <c r="C151" s="48" t="s">
        <v>185</v>
      </c>
      <c r="D151" s="49">
        <f>(56.615+6.753+0.75*(2.75+3.05))*10.764</f>
        <v>728.91655200000002</v>
      </c>
      <c r="E151" s="39">
        <f>(3*3.2+0.75*1.3)*10.764</f>
        <v>113.8293</v>
      </c>
      <c r="F151" s="49">
        <f>1.65*D151+E151/2</f>
        <v>1259.6269608</v>
      </c>
      <c r="G151" s="85" t="str">
        <f t="shared" si="8"/>
        <v>2nd Floor For Residential &amp; Fitness Center/ Society Office &amp; Voids</v>
      </c>
      <c r="H151" s="86"/>
      <c r="I151" s="34"/>
      <c r="L151" s="96"/>
      <c r="M151" s="96"/>
      <c r="N151" s="34"/>
    </row>
    <row r="152" spans="1:14" s="42" customFormat="1" x14ac:dyDescent="0.35">
      <c r="A152" s="85">
        <f t="shared" si="7"/>
        <v>4</v>
      </c>
      <c r="B152" s="86"/>
      <c r="C152" s="48" t="s">
        <v>186</v>
      </c>
      <c r="D152" s="49">
        <f>(36.502+2.05+0.75*(2.75+2.75))*10.764</f>
        <v>459.37522799999999</v>
      </c>
      <c r="E152" s="39">
        <v>0</v>
      </c>
      <c r="F152" s="49">
        <v>745</v>
      </c>
      <c r="G152" s="85" t="str">
        <f t="shared" si="8"/>
        <v>2nd Floor For Residential &amp; Fitness Center/ Society Office &amp; Voids</v>
      </c>
      <c r="H152" s="86"/>
      <c r="I152" s="34"/>
      <c r="L152" s="96"/>
      <c r="M152" s="96"/>
      <c r="N152" s="34"/>
    </row>
    <row r="153" spans="1:14" s="42" customFormat="1" x14ac:dyDescent="0.35">
      <c r="A153" s="85">
        <f t="shared" si="7"/>
        <v>5</v>
      </c>
      <c r="B153" s="86"/>
      <c r="C153" s="48" t="s">
        <v>186</v>
      </c>
      <c r="D153" s="49">
        <f>(36.502+2.05+0.75*(2.75+2.75))*10.764</f>
        <v>459.37522799999999</v>
      </c>
      <c r="E153" s="39">
        <v>0</v>
      </c>
      <c r="F153" s="49">
        <v>745</v>
      </c>
      <c r="G153" s="85" t="str">
        <f t="shared" si="8"/>
        <v>2nd Floor For Residential &amp; Fitness Center/ Society Office &amp; Voids</v>
      </c>
      <c r="H153" s="86"/>
      <c r="I153" s="34"/>
      <c r="L153" s="96"/>
      <c r="M153" s="96"/>
      <c r="N153" s="34"/>
    </row>
    <row r="154" spans="1:14" s="42" customFormat="1" x14ac:dyDescent="0.35">
      <c r="A154" s="85">
        <f t="shared" si="7"/>
        <v>6</v>
      </c>
      <c r="B154" s="86"/>
      <c r="C154" s="48" t="s">
        <v>185</v>
      </c>
      <c r="D154" s="49">
        <f>(48.863+2.05+0.75*(2.75+2.75+1.7))*10.764</f>
        <v>606.15313199999991</v>
      </c>
      <c r="E154" s="39">
        <v>0</v>
      </c>
      <c r="F154" s="49">
        <v>1000</v>
      </c>
      <c r="G154" s="85" t="str">
        <f t="shared" si="8"/>
        <v>2nd Floor For Residential &amp; Fitness Center/ Society Office &amp; Voids</v>
      </c>
      <c r="H154" s="86"/>
      <c r="I154" s="34"/>
      <c r="L154" s="96"/>
      <c r="M154" s="96"/>
      <c r="N154" s="34"/>
    </row>
    <row r="155" spans="1:14" s="42" customFormat="1" x14ac:dyDescent="0.35">
      <c r="A155" s="82" t="s">
        <v>190</v>
      </c>
      <c r="B155" s="83"/>
      <c r="C155" s="83"/>
      <c r="D155" s="83"/>
      <c r="E155" s="83"/>
      <c r="F155" s="83"/>
      <c r="G155" s="83"/>
      <c r="H155" s="84"/>
      <c r="J155" s="34"/>
    </row>
    <row r="156" spans="1:14" s="42" customFormat="1" x14ac:dyDescent="0.35">
      <c r="A156" s="85">
        <v>1</v>
      </c>
      <c r="B156" s="86"/>
      <c r="C156" s="48" t="s">
        <v>185</v>
      </c>
      <c r="D156" s="49">
        <f>(58.275+6.502+0.75*(2.75+3.15))*10.764</f>
        <v>744.89032799999995</v>
      </c>
      <c r="E156" s="39">
        <v>0</v>
      </c>
      <c r="F156" s="53">
        <v>1240</v>
      </c>
      <c r="G156" s="85" t="str">
        <f>A155</f>
        <v xml:space="preserve">3rd to 6th Floor For Residential </v>
      </c>
      <c r="H156" s="86"/>
      <c r="I156" s="34"/>
      <c r="J156" s="53">
        <v>1240</v>
      </c>
      <c r="L156" s="96">
        <f>6000*J156</f>
        <v>7440000</v>
      </c>
      <c r="M156" s="96"/>
      <c r="N156" s="34"/>
    </row>
    <row r="157" spans="1:14" s="42" customFormat="1" x14ac:dyDescent="0.35">
      <c r="A157" s="85">
        <f t="shared" ref="A157:A164" si="9">A156+1</f>
        <v>2</v>
      </c>
      <c r="B157" s="86"/>
      <c r="C157" s="48" t="s">
        <v>185</v>
      </c>
      <c r="D157" s="49">
        <f>(55.833+5.65+0.75*(2.75+3.05))*10.764</f>
        <v>708.62641199999996</v>
      </c>
      <c r="E157" s="39">
        <v>0</v>
      </c>
      <c r="F157" s="53">
        <v>1170</v>
      </c>
      <c r="G157" s="85" t="str">
        <f t="shared" ref="G157:G162" si="10">G156</f>
        <v xml:space="preserve">3rd to 6th Floor For Residential </v>
      </c>
      <c r="H157" s="86"/>
      <c r="I157" s="34">
        <f>3*1.2+2.05*1</f>
        <v>5.6499999999999995</v>
      </c>
      <c r="J157" s="53">
        <v>1170</v>
      </c>
      <c r="L157" s="96"/>
      <c r="M157" s="96"/>
      <c r="N157" s="34"/>
    </row>
    <row r="158" spans="1:14" s="42" customFormat="1" x14ac:dyDescent="0.35">
      <c r="A158" s="85">
        <f t="shared" si="9"/>
        <v>3</v>
      </c>
      <c r="B158" s="86"/>
      <c r="C158" s="48" t="s">
        <v>185</v>
      </c>
      <c r="D158" s="49">
        <f>(56.615+6.753+0.75*(2.75+3.05))*10.764</f>
        <v>728.91655200000002</v>
      </c>
      <c r="E158" s="39">
        <v>0</v>
      </c>
      <c r="F158" s="53">
        <v>1215</v>
      </c>
      <c r="G158" s="85" t="str">
        <f t="shared" si="10"/>
        <v xml:space="preserve">3rd to 6th Floor For Residential </v>
      </c>
      <c r="H158" s="86"/>
      <c r="I158" s="34"/>
      <c r="J158" s="53">
        <v>1215</v>
      </c>
      <c r="L158" s="96"/>
      <c r="M158" s="96"/>
      <c r="N158" s="34"/>
    </row>
    <row r="159" spans="1:14" s="42" customFormat="1" x14ac:dyDescent="0.35">
      <c r="A159" s="85">
        <f t="shared" si="9"/>
        <v>4</v>
      </c>
      <c r="B159" s="86"/>
      <c r="C159" s="48" t="s">
        <v>186</v>
      </c>
      <c r="D159" s="49">
        <f>(36.502+2.05+0.75*(2.75+2.75))*10.764</f>
        <v>459.37522799999999</v>
      </c>
      <c r="E159" s="39">
        <v>0</v>
      </c>
      <c r="F159" s="53">
        <v>745</v>
      </c>
      <c r="G159" s="85" t="str">
        <f t="shared" si="10"/>
        <v xml:space="preserve">3rd to 6th Floor For Residential </v>
      </c>
      <c r="H159" s="86"/>
      <c r="I159" s="34"/>
      <c r="J159" s="53">
        <v>745</v>
      </c>
      <c r="L159" s="96"/>
      <c r="M159" s="96"/>
      <c r="N159" s="34"/>
    </row>
    <row r="160" spans="1:14" s="42" customFormat="1" x14ac:dyDescent="0.35">
      <c r="A160" s="85">
        <f t="shared" si="9"/>
        <v>5</v>
      </c>
      <c r="B160" s="86"/>
      <c r="C160" s="48" t="s">
        <v>186</v>
      </c>
      <c r="D160" s="49">
        <f>(36.502+2.05+0.75*(2.75+2.75))*10.764</f>
        <v>459.37522799999999</v>
      </c>
      <c r="E160" s="39">
        <v>0</v>
      </c>
      <c r="F160" s="53">
        <v>745</v>
      </c>
      <c r="G160" s="85" t="str">
        <f t="shared" si="10"/>
        <v xml:space="preserve">3rd to 6th Floor For Residential </v>
      </c>
      <c r="H160" s="86"/>
      <c r="I160" s="34"/>
      <c r="J160" s="53">
        <v>745</v>
      </c>
      <c r="L160" s="96"/>
      <c r="M160" s="96"/>
      <c r="N160" s="34"/>
    </row>
    <row r="161" spans="1:14" s="42" customFormat="1" x14ac:dyDescent="0.35">
      <c r="A161" s="85">
        <f t="shared" si="9"/>
        <v>6</v>
      </c>
      <c r="B161" s="86"/>
      <c r="C161" s="48" t="s">
        <v>185</v>
      </c>
      <c r="D161" s="49">
        <f>(48.863+2.05+0.75*(2.75+2.75+1.8))*10.764</f>
        <v>606.96043199999997</v>
      </c>
      <c r="E161" s="39">
        <v>0</v>
      </c>
      <c r="F161" s="53">
        <v>1000</v>
      </c>
      <c r="G161" s="85" t="str">
        <f t="shared" si="10"/>
        <v xml:space="preserve">3rd to 6th Floor For Residential </v>
      </c>
      <c r="H161" s="86"/>
      <c r="I161" s="34"/>
      <c r="J161" s="53">
        <v>1000</v>
      </c>
      <c r="L161" s="96"/>
      <c r="M161" s="96"/>
      <c r="N161" s="34"/>
    </row>
    <row r="162" spans="1:14" s="42" customFormat="1" x14ac:dyDescent="0.35">
      <c r="A162" s="85">
        <f t="shared" si="9"/>
        <v>7</v>
      </c>
      <c r="B162" s="86"/>
      <c r="C162" s="48" t="s">
        <v>185</v>
      </c>
      <c r="D162" s="49">
        <f>(48.863+2.05+0.75*(2.75+2.75+1.8))*10.764</f>
        <v>606.96043199999997</v>
      </c>
      <c r="E162" s="39">
        <v>0</v>
      </c>
      <c r="F162" s="53">
        <v>1000</v>
      </c>
      <c r="G162" s="85" t="str">
        <f t="shared" si="10"/>
        <v xml:space="preserve">3rd to 6th Floor For Residential </v>
      </c>
      <c r="H162" s="86"/>
      <c r="I162" s="34"/>
      <c r="J162" s="53">
        <v>1000</v>
      </c>
      <c r="L162" s="96"/>
      <c r="M162" s="96"/>
      <c r="N162" s="34"/>
    </row>
    <row r="163" spans="1:14" s="42" customFormat="1" x14ac:dyDescent="0.35">
      <c r="A163" s="85">
        <f t="shared" si="9"/>
        <v>8</v>
      </c>
      <c r="B163" s="86"/>
      <c r="C163" s="48" t="s">
        <v>185</v>
      </c>
      <c r="D163" s="49">
        <f>(50.066+0.75*(2.75+8))*10.764</f>
        <v>625.69517399999995</v>
      </c>
      <c r="E163" s="39">
        <v>0</v>
      </c>
      <c r="F163" s="53">
        <v>1025</v>
      </c>
      <c r="G163" s="85" t="str">
        <f>G161</f>
        <v xml:space="preserve">3rd to 6th Floor For Residential </v>
      </c>
      <c r="H163" s="86"/>
      <c r="I163" s="34"/>
      <c r="J163" s="53">
        <v>1025</v>
      </c>
      <c r="L163" s="96"/>
      <c r="M163" s="96"/>
      <c r="N163" s="34"/>
    </row>
    <row r="164" spans="1:14" s="42" customFormat="1" x14ac:dyDescent="0.35">
      <c r="A164" s="197">
        <f t="shared" si="9"/>
        <v>9</v>
      </c>
      <c r="B164" s="197"/>
      <c r="C164" s="48" t="s">
        <v>186</v>
      </c>
      <c r="D164" s="49">
        <f>(36.502+2.05+0.75*(2.75+2.75))*10.764</f>
        <v>459.37522799999999</v>
      </c>
      <c r="E164" s="39">
        <v>0</v>
      </c>
      <c r="F164" s="53">
        <v>745</v>
      </c>
      <c r="G164" s="197" t="str">
        <f>G162</f>
        <v xml:space="preserve">3rd to 6th Floor For Residential </v>
      </c>
      <c r="H164" s="197"/>
      <c r="I164" s="34"/>
      <c r="J164" s="53">
        <v>745</v>
      </c>
      <c r="K164" s="42">
        <f>6450*F164</f>
        <v>4805250</v>
      </c>
      <c r="L164" s="96">
        <f>6000*F164+625000</f>
        <v>5095000</v>
      </c>
      <c r="M164" s="96"/>
      <c r="N164" s="34"/>
    </row>
    <row r="165" spans="1:14" s="42" customFormat="1" x14ac:dyDescent="0.35">
      <c r="A165" s="196" t="s">
        <v>191</v>
      </c>
      <c r="B165" s="196"/>
      <c r="C165" s="196"/>
      <c r="D165" s="196"/>
      <c r="E165" s="196"/>
      <c r="F165" s="196"/>
      <c r="G165" s="196"/>
      <c r="H165" s="196"/>
      <c r="J165" s="34"/>
    </row>
    <row r="166" spans="1:14" s="42" customFormat="1" x14ac:dyDescent="0.35">
      <c r="A166" s="197">
        <v>1</v>
      </c>
      <c r="B166" s="197"/>
      <c r="C166" s="48" t="s">
        <v>185</v>
      </c>
      <c r="D166" s="49">
        <f>(58.275+6.502+0.75*(2.75+3.15))*10.764</f>
        <v>744.89032799999995</v>
      </c>
      <c r="E166" s="39">
        <v>0</v>
      </c>
      <c r="F166" s="53">
        <v>1240</v>
      </c>
      <c r="G166" s="197" t="str">
        <f>A165</f>
        <v>7th Floor (Part Terrace Area)</v>
      </c>
      <c r="H166" s="197"/>
      <c r="I166" s="34"/>
      <c r="L166" s="96"/>
      <c r="M166" s="96"/>
      <c r="N166" s="34"/>
    </row>
    <row r="167" spans="1:14" s="42" customFormat="1" x14ac:dyDescent="0.35">
      <c r="A167" s="197">
        <f t="shared" ref="A167:A168" si="11">A166+1</f>
        <v>2</v>
      </c>
      <c r="B167" s="197"/>
      <c r="C167" s="48" t="s">
        <v>185</v>
      </c>
      <c r="D167" s="49">
        <f>(55.833+5.65+0.75*(2.75+3.05))*10.764</f>
        <v>708.62641199999996</v>
      </c>
      <c r="E167" s="39">
        <v>0</v>
      </c>
      <c r="F167" s="53">
        <v>1170</v>
      </c>
      <c r="G167" s="197" t="str">
        <f t="shared" ref="G167:G168" si="12">G166</f>
        <v>7th Floor (Part Terrace Area)</v>
      </c>
      <c r="H167" s="197"/>
      <c r="I167" s="34">
        <f>3*1.2+2.05*1</f>
        <v>5.6499999999999995</v>
      </c>
      <c r="L167" s="96"/>
      <c r="M167" s="96"/>
      <c r="N167" s="34"/>
    </row>
    <row r="168" spans="1:14" s="42" customFormat="1" x14ac:dyDescent="0.35">
      <c r="A168" s="197">
        <f t="shared" si="11"/>
        <v>3</v>
      </c>
      <c r="B168" s="197"/>
      <c r="C168" s="48" t="s">
        <v>185</v>
      </c>
      <c r="D168" s="49">
        <f>(56.615+6.753+0.75*(2.75+3.05))*10.764</f>
        <v>728.91655200000002</v>
      </c>
      <c r="E168" s="39">
        <v>0</v>
      </c>
      <c r="F168" s="53">
        <v>1215</v>
      </c>
      <c r="G168" s="197" t="str">
        <f t="shared" si="12"/>
        <v>7th Floor (Part Terrace Area)</v>
      </c>
      <c r="H168" s="197"/>
      <c r="I168" s="34"/>
      <c r="L168" s="96"/>
      <c r="M168" s="96"/>
      <c r="N168" s="34"/>
    </row>
    <row r="169" spans="1:14" s="42" customFormat="1" x14ac:dyDescent="0.35">
      <c r="A169" s="196" t="s">
        <v>187</v>
      </c>
      <c r="B169" s="196"/>
      <c r="C169" s="196"/>
      <c r="D169" s="196"/>
      <c r="E169" s="196"/>
      <c r="F169" s="196"/>
      <c r="G169" s="196"/>
      <c r="H169" s="196"/>
      <c r="J169" s="34"/>
    </row>
    <row r="170" spans="1:14" s="42" customFormat="1" ht="15.75" customHeight="1" x14ac:dyDescent="0.35">
      <c r="A170" s="196" t="s">
        <v>201</v>
      </c>
      <c r="B170" s="196"/>
      <c r="C170" s="196"/>
      <c r="D170" s="196"/>
      <c r="E170" s="196"/>
      <c r="F170" s="196"/>
      <c r="G170" s="196"/>
      <c r="H170" s="196"/>
      <c r="J170" s="34"/>
    </row>
    <row r="171" spans="1:14" s="42" customFormat="1" x14ac:dyDescent="0.35">
      <c r="A171" s="196" t="s">
        <v>189</v>
      </c>
      <c r="B171" s="196"/>
      <c r="C171" s="196"/>
      <c r="D171" s="196"/>
      <c r="E171" s="196"/>
      <c r="F171" s="196"/>
      <c r="G171" s="196"/>
      <c r="H171" s="196"/>
      <c r="J171" s="34"/>
    </row>
    <row r="172" spans="1:14" s="42" customFormat="1" x14ac:dyDescent="0.35">
      <c r="A172" s="197">
        <v>1</v>
      </c>
      <c r="B172" s="197"/>
      <c r="C172" s="48" t="s">
        <v>185</v>
      </c>
      <c r="D172" s="49">
        <f>(55.833+5.65+0.75*(2.75+3.05))*10.764</f>
        <v>708.62641199999996</v>
      </c>
      <c r="E172" s="39">
        <v>0</v>
      </c>
      <c r="F172" s="53">
        <v>1170</v>
      </c>
      <c r="G172" s="197" t="str">
        <f>A171</f>
        <v>2nd Floor For Residential &amp; Meter Room &amp; Voids</v>
      </c>
      <c r="H172" s="197"/>
      <c r="I172" s="34"/>
      <c r="K172" s="42">
        <f>3.3*1.225</f>
        <v>4.0425000000000004</v>
      </c>
      <c r="L172" s="96"/>
      <c r="M172" s="96"/>
      <c r="N172" s="34"/>
    </row>
    <row r="173" spans="1:14" s="42" customFormat="1" x14ac:dyDescent="0.35">
      <c r="A173" s="197">
        <f t="shared" ref="A173:A176" si="13">A172+1</f>
        <v>2</v>
      </c>
      <c r="B173" s="197"/>
      <c r="C173" s="48" t="s">
        <v>185</v>
      </c>
      <c r="D173" s="49">
        <f>(56.615+6.753+0.75*(2.75+3.05))*10.764</f>
        <v>728.91655200000002</v>
      </c>
      <c r="E173" s="39">
        <f>(3*3.2+0.75*1.3)*10.764</f>
        <v>113.8293</v>
      </c>
      <c r="F173" s="49">
        <f>1.65*D173+E173/2</f>
        <v>1259.6269608</v>
      </c>
      <c r="G173" s="197" t="str">
        <f t="shared" ref="G173:G176" si="14">G172</f>
        <v>2nd Floor For Residential &amp; Meter Room &amp; Voids</v>
      </c>
      <c r="H173" s="197"/>
      <c r="I173" s="34"/>
      <c r="L173" s="96"/>
      <c r="M173" s="96"/>
      <c r="N173" s="34"/>
    </row>
    <row r="174" spans="1:14" s="42" customFormat="1" x14ac:dyDescent="0.35">
      <c r="A174" s="197">
        <f t="shared" si="13"/>
        <v>3</v>
      </c>
      <c r="B174" s="197"/>
      <c r="C174" s="48" t="s">
        <v>186</v>
      </c>
      <c r="D174" s="49">
        <f>(36.502+2.05+0.75*(2.75+2.75))*10.764</f>
        <v>459.37522799999999</v>
      </c>
      <c r="E174" s="39">
        <v>0</v>
      </c>
      <c r="F174" s="53">
        <v>745</v>
      </c>
      <c r="G174" s="197" t="str">
        <f t="shared" si="14"/>
        <v>2nd Floor For Residential &amp; Meter Room &amp; Voids</v>
      </c>
      <c r="H174" s="197"/>
      <c r="I174" s="34"/>
      <c r="L174" s="96"/>
      <c r="M174" s="96"/>
      <c r="N174" s="34"/>
    </row>
    <row r="175" spans="1:14" s="42" customFormat="1" x14ac:dyDescent="0.35">
      <c r="A175" s="85">
        <f t="shared" si="13"/>
        <v>4</v>
      </c>
      <c r="B175" s="86"/>
      <c r="C175" s="48" t="s">
        <v>186</v>
      </c>
      <c r="D175" s="49">
        <f>(36.502+2.05+0.75*(2.75+2.75))*10.764</f>
        <v>459.37522799999999</v>
      </c>
      <c r="E175" s="39">
        <v>0</v>
      </c>
      <c r="F175" s="53">
        <v>745</v>
      </c>
      <c r="G175" s="85" t="str">
        <f t="shared" si="14"/>
        <v>2nd Floor For Residential &amp; Meter Room &amp; Voids</v>
      </c>
      <c r="H175" s="86"/>
      <c r="I175" s="34"/>
      <c r="L175" s="96"/>
      <c r="M175" s="96"/>
      <c r="N175" s="34"/>
    </row>
    <row r="176" spans="1:14" s="42" customFormat="1" x14ac:dyDescent="0.35">
      <c r="A176" s="85">
        <f t="shared" si="13"/>
        <v>5</v>
      </c>
      <c r="B176" s="86"/>
      <c r="C176" s="48" t="s">
        <v>186</v>
      </c>
      <c r="D176" s="49">
        <f>(48.863+2.05+0.75*(2.75+2.75+1.7))*10.764</f>
        <v>606.15313199999991</v>
      </c>
      <c r="E176" s="39">
        <v>0</v>
      </c>
      <c r="F176" s="53">
        <v>1000</v>
      </c>
      <c r="G176" s="85" t="str">
        <f t="shared" si="14"/>
        <v>2nd Floor For Residential &amp; Meter Room &amp; Voids</v>
      </c>
      <c r="H176" s="86"/>
      <c r="I176" s="34"/>
      <c r="L176" s="96"/>
      <c r="M176" s="96"/>
      <c r="N176" s="34"/>
    </row>
    <row r="177" spans="1:14" s="42" customFormat="1" x14ac:dyDescent="0.35">
      <c r="A177" s="82" t="s">
        <v>190</v>
      </c>
      <c r="B177" s="83"/>
      <c r="C177" s="83"/>
      <c r="D177" s="83"/>
      <c r="E177" s="83"/>
      <c r="F177" s="83"/>
      <c r="G177" s="83"/>
      <c r="H177" s="84"/>
      <c r="J177" s="34"/>
    </row>
    <row r="178" spans="1:14" s="42" customFormat="1" x14ac:dyDescent="0.35">
      <c r="A178" s="85">
        <v>1</v>
      </c>
      <c r="B178" s="86"/>
      <c r="C178" s="48" t="s">
        <v>185</v>
      </c>
      <c r="D178" s="49">
        <f>(58.275+6.502+0.75*(2.75+3.15))*10.764</f>
        <v>744.89032799999995</v>
      </c>
      <c r="E178" s="39">
        <v>0</v>
      </c>
      <c r="F178" s="53">
        <v>1240</v>
      </c>
      <c r="G178" s="85" t="str">
        <f>A177</f>
        <v xml:space="preserve">3rd to 6th Floor For Residential </v>
      </c>
      <c r="H178" s="86"/>
      <c r="I178" s="34"/>
      <c r="J178" s="42">
        <v>1240</v>
      </c>
      <c r="K178" s="42">
        <f>J178/D178</f>
        <v>1.6646745881764222</v>
      </c>
      <c r="L178" s="96"/>
      <c r="M178" s="96"/>
      <c r="N178" s="34"/>
    </row>
    <row r="179" spans="1:14" s="42" customFormat="1" x14ac:dyDescent="0.35">
      <c r="A179" s="85">
        <f t="shared" ref="A179:A186" si="15">A178+1</f>
        <v>2</v>
      </c>
      <c r="B179" s="86"/>
      <c r="C179" s="48" t="s">
        <v>185</v>
      </c>
      <c r="D179" s="49">
        <f>(55.833+5.65+0.75*(2.75+3.05))*10.764</f>
        <v>708.62641199999996</v>
      </c>
      <c r="E179" s="39">
        <v>0</v>
      </c>
      <c r="F179" s="53">
        <v>1170</v>
      </c>
      <c r="G179" s="85" t="str">
        <f t="shared" ref="G179:G184" si="16">G178</f>
        <v xml:space="preserve">3rd to 6th Floor For Residential </v>
      </c>
      <c r="H179" s="86"/>
      <c r="I179" s="34">
        <f>3*1.2+2.05*1</f>
        <v>5.6499999999999995</v>
      </c>
      <c r="J179" s="42">
        <v>1170</v>
      </c>
      <c r="K179" s="42">
        <f t="shared" ref="K179:K186" si="17">J179/D179</f>
        <v>1.6510815574850461</v>
      </c>
      <c r="L179" s="96"/>
      <c r="M179" s="96"/>
      <c r="N179" s="34"/>
    </row>
    <row r="180" spans="1:14" s="42" customFormat="1" x14ac:dyDescent="0.35">
      <c r="A180" s="85">
        <f t="shared" si="15"/>
        <v>3</v>
      </c>
      <c r="B180" s="86"/>
      <c r="C180" s="48" t="s">
        <v>185</v>
      </c>
      <c r="D180" s="49">
        <f>(56.615+6.753+0.75*(2.75+3.05))*10.764</f>
        <v>728.91655200000002</v>
      </c>
      <c r="E180" s="39">
        <v>0</v>
      </c>
      <c r="F180" s="53">
        <v>1215</v>
      </c>
      <c r="G180" s="85" t="str">
        <f t="shared" si="16"/>
        <v xml:space="preserve">3rd to 6th Floor For Residential </v>
      </c>
      <c r="H180" s="86"/>
      <c r="I180" s="34"/>
      <c r="J180" s="42">
        <v>1215</v>
      </c>
      <c r="K180" s="42">
        <f t="shared" si="17"/>
        <v>1.6668574704008092</v>
      </c>
      <c r="L180" s="96"/>
      <c r="M180" s="96"/>
      <c r="N180" s="34"/>
    </row>
    <row r="181" spans="1:14" s="42" customFormat="1" x14ac:dyDescent="0.35">
      <c r="A181" s="85">
        <f t="shared" si="15"/>
        <v>4</v>
      </c>
      <c r="B181" s="86"/>
      <c r="C181" s="48" t="s">
        <v>186</v>
      </c>
      <c r="D181" s="49">
        <f>(36.502+2.05+0.75*(2.75+2.75))*10.764</f>
        <v>459.37522799999999</v>
      </c>
      <c r="E181" s="39">
        <v>0</v>
      </c>
      <c r="F181" s="53">
        <v>745</v>
      </c>
      <c r="G181" s="85" t="str">
        <f t="shared" si="16"/>
        <v xml:space="preserve">3rd to 6th Floor For Residential </v>
      </c>
      <c r="H181" s="86"/>
      <c r="I181" s="34"/>
      <c r="J181" s="42">
        <v>745</v>
      </c>
      <c r="K181" s="42">
        <f t="shared" si="17"/>
        <v>1.6217679025565568</v>
      </c>
      <c r="L181" s="96"/>
      <c r="M181" s="96"/>
      <c r="N181" s="34"/>
    </row>
    <row r="182" spans="1:14" s="42" customFormat="1" x14ac:dyDescent="0.35">
      <c r="A182" s="85">
        <f t="shared" si="15"/>
        <v>5</v>
      </c>
      <c r="B182" s="86"/>
      <c r="C182" s="48" t="s">
        <v>186</v>
      </c>
      <c r="D182" s="49">
        <f>(36.502+2.05+0.75*(2.75+2.75))*10.764</f>
        <v>459.37522799999999</v>
      </c>
      <c r="E182" s="39">
        <v>0</v>
      </c>
      <c r="F182" s="53">
        <v>745</v>
      </c>
      <c r="G182" s="85" t="str">
        <f t="shared" si="16"/>
        <v xml:space="preserve">3rd to 6th Floor For Residential </v>
      </c>
      <c r="H182" s="86"/>
      <c r="I182" s="34"/>
      <c r="J182" s="42">
        <v>745</v>
      </c>
      <c r="K182" s="42">
        <f t="shared" si="17"/>
        <v>1.6217679025565568</v>
      </c>
      <c r="L182" s="96"/>
      <c r="M182" s="96"/>
      <c r="N182" s="34"/>
    </row>
    <row r="183" spans="1:14" s="42" customFormat="1" x14ac:dyDescent="0.35">
      <c r="A183" s="85">
        <f t="shared" si="15"/>
        <v>6</v>
      </c>
      <c r="B183" s="86"/>
      <c r="C183" s="48" t="s">
        <v>185</v>
      </c>
      <c r="D183" s="49">
        <f>(48.863+2.05+0.75*(2.75+2.75+1.8))*10.764</f>
        <v>606.96043199999997</v>
      </c>
      <c r="E183" s="39">
        <v>0</v>
      </c>
      <c r="F183" s="53">
        <v>1000</v>
      </c>
      <c r="G183" s="85" t="str">
        <f t="shared" si="16"/>
        <v xml:space="preserve">3rd to 6th Floor For Residential </v>
      </c>
      <c r="H183" s="86"/>
      <c r="I183" s="34"/>
      <c r="J183" s="42">
        <v>1000</v>
      </c>
      <c r="K183" s="42">
        <f t="shared" si="17"/>
        <v>1.6475538557017504</v>
      </c>
      <c r="L183" s="96"/>
      <c r="M183" s="96"/>
      <c r="N183" s="34"/>
    </row>
    <row r="184" spans="1:14" s="42" customFormat="1" x14ac:dyDescent="0.35">
      <c r="A184" s="85">
        <f t="shared" si="15"/>
        <v>7</v>
      </c>
      <c r="B184" s="86"/>
      <c r="C184" s="48" t="s">
        <v>185</v>
      </c>
      <c r="D184" s="49">
        <f>(48.863+2.05+0.75*(2.75+2.75+1.8))*10.764</f>
        <v>606.96043199999997</v>
      </c>
      <c r="E184" s="39">
        <v>0</v>
      </c>
      <c r="F184" s="53">
        <v>1000</v>
      </c>
      <c r="G184" s="85" t="str">
        <f t="shared" si="16"/>
        <v xml:space="preserve">3rd to 6th Floor For Residential </v>
      </c>
      <c r="H184" s="86"/>
      <c r="I184" s="34"/>
      <c r="J184" s="42">
        <v>1000</v>
      </c>
      <c r="K184" s="42">
        <f t="shared" si="17"/>
        <v>1.6475538557017504</v>
      </c>
      <c r="L184" s="96"/>
      <c r="M184" s="96"/>
      <c r="N184" s="34"/>
    </row>
    <row r="185" spans="1:14" s="42" customFormat="1" x14ac:dyDescent="0.35">
      <c r="A185" s="85">
        <f t="shared" si="15"/>
        <v>8</v>
      </c>
      <c r="B185" s="86"/>
      <c r="C185" s="48" t="s">
        <v>185</v>
      </c>
      <c r="D185" s="49">
        <f>(50.066+0.75*(2.75+8))*10.764</f>
        <v>625.69517399999995</v>
      </c>
      <c r="E185" s="39">
        <v>0</v>
      </c>
      <c r="F185" s="53">
        <v>1025</v>
      </c>
      <c r="G185" s="85" t="str">
        <f>G183</f>
        <v xml:space="preserve">3rd to 6th Floor For Residential </v>
      </c>
      <c r="H185" s="86"/>
      <c r="I185" s="34"/>
      <c r="J185" s="42">
        <v>1025</v>
      </c>
      <c r="K185" s="42">
        <f t="shared" si="17"/>
        <v>1.6381778901174648</v>
      </c>
      <c r="L185" s="96"/>
      <c r="M185" s="96"/>
      <c r="N185" s="34"/>
    </row>
    <row r="186" spans="1:14" s="42" customFormat="1" x14ac:dyDescent="0.35">
      <c r="A186" s="85">
        <f t="shared" si="15"/>
        <v>9</v>
      </c>
      <c r="B186" s="86"/>
      <c r="C186" s="48" t="s">
        <v>186</v>
      </c>
      <c r="D186" s="49">
        <f>(36.502+2.05+0.75*(2.75+2.75))*10.764</f>
        <v>459.37522799999999</v>
      </c>
      <c r="E186" s="39">
        <v>0</v>
      </c>
      <c r="F186" s="53">
        <v>745</v>
      </c>
      <c r="G186" s="85" t="str">
        <f>G184</f>
        <v xml:space="preserve">3rd to 6th Floor For Residential </v>
      </c>
      <c r="H186" s="86"/>
      <c r="I186" s="34"/>
      <c r="J186" s="42">
        <v>745</v>
      </c>
      <c r="K186" s="42">
        <f t="shared" si="17"/>
        <v>1.6217679025565568</v>
      </c>
      <c r="L186" s="96"/>
      <c r="M186" s="96"/>
      <c r="N186" s="34"/>
    </row>
    <row r="187" spans="1:14" s="42" customFormat="1" x14ac:dyDescent="0.35">
      <c r="A187" s="82" t="s">
        <v>191</v>
      </c>
      <c r="B187" s="83"/>
      <c r="C187" s="83"/>
      <c r="D187" s="83"/>
      <c r="E187" s="83"/>
      <c r="F187" s="83"/>
      <c r="G187" s="83"/>
      <c r="H187" s="84"/>
      <c r="J187" s="34"/>
    </row>
    <row r="188" spans="1:14" s="42" customFormat="1" x14ac:dyDescent="0.35">
      <c r="A188" s="85">
        <v>1</v>
      </c>
      <c r="B188" s="86"/>
      <c r="C188" s="48" t="s">
        <v>185</v>
      </c>
      <c r="D188" s="49">
        <f>(58.275+6.502+0.75*(2.75+3.15))*10.764</f>
        <v>744.89032799999995</v>
      </c>
      <c r="E188" s="39">
        <v>0</v>
      </c>
      <c r="F188" s="53">
        <v>1240</v>
      </c>
      <c r="G188" s="85" t="str">
        <f>A187</f>
        <v>7th Floor (Part Terrace Area)</v>
      </c>
      <c r="H188" s="86"/>
      <c r="I188" s="34"/>
      <c r="L188" s="96"/>
      <c r="M188" s="96"/>
      <c r="N188" s="34"/>
    </row>
    <row r="189" spans="1:14" s="42" customFormat="1" x14ac:dyDescent="0.35">
      <c r="A189" s="85">
        <f t="shared" ref="A189:A190" si="18">A188+1</f>
        <v>2</v>
      </c>
      <c r="B189" s="86"/>
      <c r="C189" s="48" t="s">
        <v>185</v>
      </c>
      <c r="D189" s="49">
        <f>(55.833+5.65+0.75*(2.75+3.05))*10.764</f>
        <v>708.62641199999996</v>
      </c>
      <c r="E189" s="39">
        <v>0</v>
      </c>
      <c r="F189" s="53">
        <v>1170</v>
      </c>
      <c r="G189" s="85" t="str">
        <f t="shared" ref="G189:G190" si="19">G188</f>
        <v>7th Floor (Part Terrace Area)</v>
      </c>
      <c r="H189" s="86"/>
      <c r="I189" s="34">
        <f>3*1.2+2.05*1</f>
        <v>5.6499999999999995</v>
      </c>
      <c r="L189" s="96"/>
      <c r="M189" s="96"/>
      <c r="N189" s="34"/>
    </row>
    <row r="190" spans="1:14" s="42" customFormat="1" x14ac:dyDescent="0.35">
      <c r="A190" s="85">
        <f t="shared" si="18"/>
        <v>3</v>
      </c>
      <c r="B190" s="86"/>
      <c r="C190" s="48" t="s">
        <v>185</v>
      </c>
      <c r="D190" s="49">
        <f>(56.615+6.753+0.75*(2.75+3.05))*10.764</f>
        <v>728.91655200000002</v>
      </c>
      <c r="E190" s="39">
        <v>0</v>
      </c>
      <c r="F190" s="53">
        <v>1215</v>
      </c>
      <c r="G190" s="85" t="str">
        <f t="shared" si="19"/>
        <v>7th Floor (Part Terrace Area)</v>
      </c>
      <c r="H190" s="86"/>
      <c r="I190" s="34"/>
      <c r="L190" s="96"/>
      <c r="M190" s="96"/>
      <c r="N190" s="34"/>
    </row>
    <row r="191" spans="1:14" s="33" customFormat="1" x14ac:dyDescent="0.35">
      <c r="A191" s="87" t="s">
        <v>69</v>
      </c>
      <c r="B191" s="87"/>
      <c r="C191" s="87"/>
      <c r="D191" s="87"/>
      <c r="E191" s="87"/>
      <c r="F191" s="87"/>
      <c r="G191" s="87"/>
      <c r="H191" s="87"/>
    </row>
    <row r="192" spans="1:14" s="33" customFormat="1" x14ac:dyDescent="0.35">
      <c r="A192" s="41" t="s">
        <v>158</v>
      </c>
      <c r="B192" s="175" t="s">
        <v>221</v>
      </c>
      <c r="C192" s="176"/>
      <c r="D192" s="176"/>
      <c r="E192" s="176"/>
      <c r="F192" s="176"/>
      <c r="G192" s="176"/>
      <c r="H192" s="177"/>
    </row>
    <row r="193" spans="1:8" s="33" customFormat="1" x14ac:dyDescent="0.35">
      <c r="A193" s="41" t="s">
        <v>158</v>
      </c>
      <c r="B193" s="175" t="str">
        <f>(IF(F145="Saleable area Loading :","We have considered Saleable area of Flats as per our Calculation.","We considered Saleable area of Flat as per Builder area Sheet."))</f>
        <v>We considered Saleable area of Flat as per Builder area Sheet.</v>
      </c>
      <c r="C193" s="176"/>
      <c r="D193" s="176"/>
      <c r="E193" s="176"/>
      <c r="F193" s="176"/>
      <c r="G193" s="176"/>
      <c r="H193" s="177"/>
    </row>
    <row r="194" spans="1:8" s="33" customFormat="1" x14ac:dyDescent="0.35">
      <c r="A194" s="41" t="s">
        <v>158</v>
      </c>
      <c r="B194" s="175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4" s="176"/>
      <c r="D194" s="176"/>
      <c r="E194" s="176"/>
      <c r="F194" s="176"/>
      <c r="G194" s="176"/>
      <c r="H194" s="177"/>
    </row>
    <row r="195" spans="1:8" s="33" customFormat="1" x14ac:dyDescent="0.35">
      <c r="A195" s="41" t="s">
        <v>158</v>
      </c>
      <c r="B195" s="64" t="s">
        <v>126</v>
      </c>
      <c r="C195" s="65"/>
      <c r="D195" s="65"/>
      <c r="E195" s="65"/>
      <c r="F195" s="65"/>
      <c r="G195" s="65"/>
      <c r="H195" s="66"/>
    </row>
    <row r="196" spans="1:8" s="33" customFormat="1" x14ac:dyDescent="0.35">
      <c r="A196" s="41" t="s">
        <v>158</v>
      </c>
      <c r="B196" s="64" t="s">
        <v>192</v>
      </c>
      <c r="C196" s="65"/>
      <c r="D196" s="65"/>
      <c r="E196" s="65"/>
      <c r="F196" s="65"/>
      <c r="G196" s="65"/>
      <c r="H196" s="66"/>
    </row>
    <row r="197" spans="1:8" s="33" customFormat="1" x14ac:dyDescent="0.35">
      <c r="A197" s="41" t="s">
        <v>158</v>
      </c>
      <c r="B197" s="64" t="s">
        <v>157</v>
      </c>
      <c r="C197" s="65"/>
      <c r="D197" s="65"/>
      <c r="E197" s="65"/>
      <c r="F197" s="65"/>
      <c r="G197" s="65"/>
      <c r="H197" s="66"/>
    </row>
    <row r="198" spans="1:8" s="33" customFormat="1" x14ac:dyDescent="0.35">
      <c r="A198" s="41" t="s">
        <v>158</v>
      </c>
      <c r="B198" s="64" t="s">
        <v>127</v>
      </c>
      <c r="C198" s="65"/>
      <c r="D198" s="65"/>
      <c r="E198" s="65"/>
      <c r="F198" s="65"/>
      <c r="G198" s="65"/>
      <c r="H198" s="66"/>
    </row>
    <row r="199" spans="1:8" s="33" customFormat="1" ht="34.5" customHeight="1" x14ac:dyDescent="0.35">
      <c r="A199" s="41" t="s">
        <v>158</v>
      </c>
      <c r="B199" s="64" t="s">
        <v>159</v>
      </c>
      <c r="C199" s="65"/>
      <c r="D199" s="65"/>
      <c r="E199" s="65"/>
      <c r="F199" s="65"/>
      <c r="G199" s="65"/>
      <c r="H199" s="66"/>
    </row>
    <row r="200" spans="1:8" s="33" customFormat="1" x14ac:dyDescent="0.35">
      <c r="A200" s="41" t="s">
        <v>158</v>
      </c>
      <c r="B200" s="64" t="s">
        <v>128</v>
      </c>
      <c r="C200" s="65"/>
      <c r="D200" s="65"/>
      <c r="E200" s="65"/>
      <c r="F200" s="65"/>
      <c r="G200" s="65"/>
      <c r="H200" s="66"/>
    </row>
    <row r="201" spans="1:8" s="33" customFormat="1" hidden="1" x14ac:dyDescent="0.35">
      <c r="A201" s="41" t="s">
        <v>158</v>
      </c>
      <c r="B201" s="175" t="s">
        <v>220</v>
      </c>
      <c r="C201" s="176"/>
      <c r="D201" s="176"/>
      <c r="E201" s="176"/>
      <c r="F201" s="176"/>
      <c r="G201" s="176"/>
      <c r="H201" s="177"/>
    </row>
    <row r="202" spans="1:8" s="33" customFormat="1" x14ac:dyDescent="0.35">
      <c r="A202" s="41" t="s">
        <v>158</v>
      </c>
      <c r="B202" s="64" t="s">
        <v>216</v>
      </c>
      <c r="C202" s="65"/>
      <c r="D202" s="65"/>
      <c r="E202" s="65"/>
      <c r="F202" s="65"/>
      <c r="G202" s="65"/>
      <c r="H202" s="66"/>
    </row>
    <row r="203" spans="1:8" s="33" customFormat="1" x14ac:dyDescent="0.35">
      <c r="A203" s="41" t="s">
        <v>158</v>
      </c>
      <c r="B203" s="64" t="s">
        <v>219</v>
      </c>
      <c r="C203" s="65"/>
      <c r="D203" s="65"/>
      <c r="E203" s="65"/>
      <c r="F203" s="65"/>
      <c r="G203" s="65"/>
      <c r="H203" s="66"/>
    </row>
    <row r="204" spans="1:8" x14ac:dyDescent="0.35">
      <c r="A204" s="174" t="s">
        <v>62</v>
      </c>
      <c r="B204" s="174"/>
      <c r="C204" s="174"/>
      <c r="D204" s="174"/>
      <c r="E204" s="174"/>
      <c r="F204" s="174"/>
      <c r="G204" s="174"/>
      <c r="H204" s="174"/>
    </row>
    <row r="205" spans="1:8" x14ac:dyDescent="0.35">
      <c r="A205" s="100" t="s">
        <v>63</v>
      </c>
      <c r="B205" s="100"/>
      <c r="C205" s="100"/>
      <c r="D205" s="100"/>
      <c r="E205" s="100"/>
      <c r="F205" s="100"/>
      <c r="G205" s="100"/>
      <c r="H205" s="100"/>
    </row>
    <row r="206" spans="1:8" ht="15.75" customHeight="1" x14ac:dyDescent="0.35">
      <c r="A206" s="179" t="s">
        <v>64</v>
      </c>
      <c r="B206" s="179"/>
      <c r="C206" s="179"/>
      <c r="D206" s="179"/>
      <c r="E206" s="179"/>
      <c r="F206" s="179"/>
      <c r="G206" s="179"/>
      <c r="H206" s="179"/>
    </row>
    <row r="207" spans="1:8" x14ac:dyDescent="0.35">
      <c r="A207" s="100" t="s">
        <v>65</v>
      </c>
      <c r="B207" s="100"/>
      <c r="C207" s="100"/>
      <c r="D207" s="100"/>
      <c r="E207" s="100"/>
      <c r="F207" s="100"/>
      <c r="G207" s="100"/>
      <c r="H207" s="100"/>
    </row>
    <row r="208" spans="1:8" x14ac:dyDescent="0.35">
      <c r="A208" s="100" t="s">
        <v>66</v>
      </c>
      <c r="B208" s="100"/>
      <c r="C208" s="100"/>
      <c r="D208" s="100"/>
      <c r="E208" s="100"/>
      <c r="F208" s="100"/>
      <c r="G208" s="100"/>
      <c r="H208" s="100"/>
    </row>
    <row r="209" spans="1:8" x14ac:dyDescent="0.35">
      <c r="A209" s="100" t="s">
        <v>129</v>
      </c>
      <c r="B209" s="100"/>
      <c r="C209" s="100"/>
      <c r="D209" s="100"/>
      <c r="E209" s="100"/>
      <c r="F209" s="100"/>
      <c r="G209" s="100"/>
      <c r="H209" s="100"/>
    </row>
    <row r="210" spans="1:8" ht="35.25" customHeight="1" x14ac:dyDescent="0.35">
      <c r="A210" s="146" t="s">
        <v>130</v>
      </c>
      <c r="B210" s="146"/>
      <c r="C210" s="146"/>
      <c r="D210" s="146"/>
      <c r="E210" s="146"/>
      <c r="F210" s="146"/>
      <c r="G210" s="146"/>
      <c r="H210" s="146"/>
    </row>
    <row r="211" spans="1:8" x14ac:dyDescent="0.35">
      <c r="A211" s="172" t="s">
        <v>78</v>
      </c>
      <c r="B211" s="172"/>
      <c r="C211" s="172" t="s">
        <v>226</v>
      </c>
      <c r="D211" s="172"/>
      <c r="E211" s="172" t="s">
        <v>107</v>
      </c>
      <c r="F211" s="172"/>
      <c r="G211" s="172" t="s">
        <v>225</v>
      </c>
      <c r="H211" s="172"/>
    </row>
    <row r="212" spans="1:8" x14ac:dyDescent="0.35">
      <c r="A212" s="171" t="s">
        <v>80</v>
      </c>
      <c r="B212" s="171"/>
      <c r="C212" s="171"/>
      <c r="D212" s="171"/>
      <c r="E212" s="171"/>
      <c r="F212" s="171"/>
      <c r="G212" s="171"/>
      <c r="H212" s="171"/>
    </row>
    <row r="213" spans="1:8" x14ac:dyDescent="0.35">
      <c r="A213" s="171"/>
      <c r="B213" s="171"/>
      <c r="C213" s="171"/>
      <c r="D213" s="171"/>
      <c r="E213" s="171"/>
      <c r="F213" s="171"/>
      <c r="G213" s="171"/>
      <c r="H213" s="171"/>
    </row>
    <row r="214" spans="1:8" x14ac:dyDescent="0.35">
      <c r="A214" s="171"/>
      <c r="B214" s="171"/>
      <c r="C214" s="171"/>
      <c r="D214" s="171"/>
      <c r="E214" s="171"/>
      <c r="F214" s="171"/>
      <c r="G214" s="171"/>
      <c r="H214" s="171"/>
    </row>
    <row r="215" spans="1:8" x14ac:dyDescent="0.35">
      <c r="A215" s="171"/>
      <c r="B215" s="171"/>
      <c r="C215" s="171"/>
      <c r="D215" s="171"/>
      <c r="E215" s="171"/>
      <c r="F215" s="171"/>
      <c r="G215" s="171"/>
      <c r="H215" s="171"/>
    </row>
    <row r="216" spans="1:8" x14ac:dyDescent="0.35">
      <c r="A216" s="35" t="s">
        <v>67</v>
      </c>
      <c r="B216" s="36"/>
      <c r="C216" s="36"/>
      <c r="D216" s="35" t="str">
        <f>E8</f>
        <v>Bhagwati Elysia II</v>
      </c>
      <c r="F216" s="36"/>
      <c r="G216" s="36"/>
      <c r="H216" s="36"/>
    </row>
    <row r="217" spans="1:8" x14ac:dyDescent="0.35">
      <c r="A217" s="36"/>
      <c r="B217" s="36"/>
      <c r="C217" s="36"/>
      <c r="D217" s="36"/>
      <c r="E217" s="36"/>
      <c r="F217" s="36"/>
      <c r="G217" s="36"/>
      <c r="H217" s="36"/>
    </row>
    <row r="218" spans="1:8" x14ac:dyDescent="0.35">
      <c r="A218" s="36"/>
      <c r="B218" s="36"/>
      <c r="C218" s="36"/>
      <c r="D218" s="36"/>
      <c r="E218" s="36"/>
      <c r="F218" s="36"/>
      <c r="G218" s="36"/>
      <c r="H218" s="36"/>
    </row>
    <row r="219" spans="1:8" ht="15" customHeight="1" x14ac:dyDescent="0.35"/>
    <row r="257" spans="1:1" ht="26.25" customHeight="1" x14ac:dyDescent="0.35"/>
    <row r="259" spans="1:1" x14ac:dyDescent="0.35">
      <c r="A259" s="38" t="s">
        <v>68</v>
      </c>
    </row>
    <row r="299" hidden="1" x14ac:dyDescent="0.35"/>
    <row r="300" hidden="1" x14ac:dyDescent="0.35"/>
    <row r="301" hidden="1" x14ac:dyDescent="0.35"/>
    <row r="302" hidden="1" x14ac:dyDescent="0.35"/>
  </sheetData>
  <mergeCells count="443">
    <mergeCell ref="A165:H165"/>
    <mergeCell ref="B203:H203"/>
    <mergeCell ref="G188:H188"/>
    <mergeCell ref="L188:M188"/>
    <mergeCell ref="A189:B189"/>
    <mergeCell ref="G189:H189"/>
    <mergeCell ref="L189:M189"/>
    <mergeCell ref="A190:B190"/>
    <mergeCell ref="G190:H190"/>
    <mergeCell ref="L190:M190"/>
    <mergeCell ref="A185:B185"/>
    <mergeCell ref="G185:H185"/>
    <mergeCell ref="L185:M185"/>
    <mergeCell ref="A186:B186"/>
    <mergeCell ref="G186:H186"/>
    <mergeCell ref="L186:M186"/>
    <mergeCell ref="A187:H187"/>
    <mergeCell ref="A166:B166"/>
    <mergeCell ref="G166:H166"/>
    <mergeCell ref="L166:M166"/>
    <mergeCell ref="A167:B167"/>
    <mergeCell ref="G167:H167"/>
    <mergeCell ref="L167:M167"/>
    <mergeCell ref="A168:B168"/>
    <mergeCell ref="L184:M184"/>
    <mergeCell ref="A179:B179"/>
    <mergeCell ref="G179:H179"/>
    <mergeCell ref="L179:M179"/>
    <mergeCell ref="A180:B180"/>
    <mergeCell ref="G180:H180"/>
    <mergeCell ref="L180:M180"/>
    <mergeCell ref="A181:B181"/>
    <mergeCell ref="L181:M181"/>
    <mergeCell ref="G182:H182"/>
    <mergeCell ref="L182:M182"/>
    <mergeCell ref="A183:B183"/>
    <mergeCell ref="G183:H183"/>
    <mergeCell ref="L183:M183"/>
    <mergeCell ref="L162:M162"/>
    <mergeCell ref="A163:B163"/>
    <mergeCell ref="G163:H163"/>
    <mergeCell ref="L163:M163"/>
    <mergeCell ref="A177:H177"/>
    <mergeCell ref="A178:B178"/>
    <mergeCell ref="G178:H178"/>
    <mergeCell ref="L178:M178"/>
    <mergeCell ref="L176:M176"/>
    <mergeCell ref="A164:B164"/>
    <mergeCell ref="G164:H164"/>
    <mergeCell ref="L164:M164"/>
    <mergeCell ref="A162:B162"/>
    <mergeCell ref="L172:M172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68:M168"/>
    <mergeCell ref="L175:M175"/>
    <mergeCell ref="A157:B157"/>
    <mergeCell ref="G157:H157"/>
    <mergeCell ref="L157:M157"/>
    <mergeCell ref="A158:B158"/>
    <mergeCell ref="G158:H158"/>
    <mergeCell ref="L158:M158"/>
    <mergeCell ref="D58:H58"/>
    <mergeCell ref="G51:H51"/>
    <mergeCell ref="A51:B52"/>
    <mergeCell ref="A123:H123"/>
    <mergeCell ref="A134:H134"/>
    <mergeCell ref="A135:H135"/>
    <mergeCell ref="A60:C60"/>
    <mergeCell ref="D59:H59"/>
    <mergeCell ref="E70:F79"/>
    <mergeCell ref="G70:H79"/>
    <mergeCell ref="A78:B78"/>
    <mergeCell ref="A79:B79"/>
    <mergeCell ref="D60:H60"/>
    <mergeCell ref="D63:H63"/>
    <mergeCell ref="A64:C64"/>
    <mergeCell ref="D64:H64"/>
    <mergeCell ref="A70:B70"/>
    <mergeCell ref="G69:H69"/>
    <mergeCell ref="A209:H209"/>
    <mergeCell ref="A206:H206"/>
    <mergeCell ref="A113:B113"/>
    <mergeCell ref="G145:H145"/>
    <mergeCell ref="A75:B75"/>
    <mergeCell ref="F95:H95"/>
    <mergeCell ref="G109:H109"/>
    <mergeCell ref="A47:B47"/>
    <mergeCell ref="C47:E47"/>
    <mergeCell ref="A147:H147"/>
    <mergeCell ref="A146:H146"/>
    <mergeCell ref="A169:H169"/>
    <mergeCell ref="D57:H57"/>
    <mergeCell ref="G181:H181"/>
    <mergeCell ref="A182:B182"/>
    <mergeCell ref="C48:E48"/>
    <mergeCell ref="C51:E51"/>
    <mergeCell ref="A48:B48"/>
    <mergeCell ref="A53:H53"/>
    <mergeCell ref="A54:C54"/>
    <mergeCell ref="A55:C55"/>
    <mergeCell ref="D55:H55"/>
    <mergeCell ref="G47:H47"/>
    <mergeCell ref="G49:H49"/>
    <mergeCell ref="B198:H198"/>
    <mergeCell ref="B194:H194"/>
    <mergeCell ref="A118:H118"/>
    <mergeCell ref="A119:H119"/>
    <mergeCell ref="A116:B116"/>
    <mergeCell ref="A148:H148"/>
    <mergeCell ref="A129:B129"/>
    <mergeCell ref="G129:H129"/>
    <mergeCell ref="A171:H171"/>
    <mergeCell ref="A172:B172"/>
    <mergeCell ref="G172:H172"/>
    <mergeCell ref="B192:H192"/>
    <mergeCell ref="B193:H193"/>
    <mergeCell ref="B195:H195"/>
    <mergeCell ref="A170:H170"/>
    <mergeCell ref="G162:H162"/>
    <mergeCell ref="A184:B184"/>
    <mergeCell ref="G184:H184"/>
    <mergeCell ref="G168:H168"/>
    <mergeCell ref="A188:B188"/>
    <mergeCell ref="A159:B159"/>
    <mergeCell ref="G159:H159"/>
    <mergeCell ref="A160:B160"/>
    <mergeCell ref="G160:H160"/>
    <mergeCell ref="A212:H215"/>
    <mergeCell ref="A211:B211"/>
    <mergeCell ref="E211:F211"/>
    <mergeCell ref="C211:D211"/>
    <mergeCell ref="G211:H211"/>
    <mergeCell ref="A107:H107"/>
    <mergeCell ref="A105:E105"/>
    <mergeCell ref="F105:H105"/>
    <mergeCell ref="A106:E106"/>
    <mergeCell ref="F106:H106"/>
    <mergeCell ref="A114:B114"/>
    <mergeCell ref="A109:B109"/>
    <mergeCell ref="A207:H207"/>
    <mergeCell ref="A112:H112"/>
    <mergeCell ref="A210:H210"/>
    <mergeCell ref="A208:H208"/>
    <mergeCell ref="A144:H144"/>
    <mergeCell ref="A204:H204"/>
    <mergeCell ref="A205:H205"/>
    <mergeCell ref="E113:F113"/>
    <mergeCell ref="B200:H200"/>
    <mergeCell ref="B201:H201"/>
    <mergeCell ref="G127:H127"/>
    <mergeCell ref="C109:D10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A59:C59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D54:H54"/>
    <mergeCell ref="C49:E49"/>
    <mergeCell ref="A57:C58"/>
    <mergeCell ref="C52:H52"/>
    <mergeCell ref="E40:H40"/>
    <mergeCell ref="A40:D40"/>
    <mergeCell ref="A41:D41"/>
    <mergeCell ref="E41:H41"/>
    <mergeCell ref="E42:H42"/>
    <mergeCell ref="E43:H43"/>
    <mergeCell ref="E44:H44"/>
    <mergeCell ref="A42:D4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A176:B176"/>
    <mergeCell ref="G176:H176"/>
    <mergeCell ref="A132:B132"/>
    <mergeCell ref="G132:H132"/>
    <mergeCell ref="G130:H130"/>
    <mergeCell ref="L152:M152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A152:B152"/>
    <mergeCell ref="L159:M159"/>
    <mergeCell ref="L160:M160"/>
    <mergeCell ref="A161:B161"/>
    <mergeCell ref="G161:H161"/>
    <mergeCell ref="L161:M161"/>
    <mergeCell ref="A155:H155"/>
    <mergeCell ref="A156:B156"/>
    <mergeCell ref="G156:H156"/>
    <mergeCell ref="L156:M156"/>
    <mergeCell ref="G152:H152"/>
    <mergeCell ref="A149:B149"/>
    <mergeCell ref="A99:E99"/>
    <mergeCell ref="F99:H99"/>
    <mergeCell ref="A100:E100"/>
    <mergeCell ref="A102:E102"/>
    <mergeCell ref="A101:E101"/>
    <mergeCell ref="A128:B128"/>
    <mergeCell ref="A98:E98"/>
    <mergeCell ref="C120:C121"/>
    <mergeCell ref="A127:B127"/>
    <mergeCell ref="F103:H103"/>
    <mergeCell ref="G115:H115"/>
    <mergeCell ref="C113:D113"/>
    <mergeCell ref="G113:H113"/>
    <mergeCell ref="C108:D108"/>
    <mergeCell ref="F104:H104"/>
    <mergeCell ref="F102:H102"/>
    <mergeCell ref="G108:H108"/>
    <mergeCell ref="A103:E103"/>
    <mergeCell ref="G125:H125"/>
    <mergeCell ref="G126:H126"/>
    <mergeCell ref="G128:H128"/>
    <mergeCell ref="L154:M154"/>
    <mergeCell ref="L138:M138"/>
    <mergeCell ref="L139:M139"/>
    <mergeCell ref="L153:M153"/>
    <mergeCell ref="L143:M143"/>
    <mergeCell ref="J40:M40"/>
    <mergeCell ref="C50:H50"/>
    <mergeCell ref="A140:B140"/>
    <mergeCell ref="G140:H140"/>
    <mergeCell ref="L140:M140"/>
    <mergeCell ref="A141:B141"/>
    <mergeCell ref="G141:H141"/>
    <mergeCell ref="L142:M142"/>
    <mergeCell ref="L136:M136"/>
    <mergeCell ref="A137:B137"/>
    <mergeCell ref="G137:H137"/>
    <mergeCell ref="L137:M137"/>
    <mergeCell ref="L129:M129"/>
    <mergeCell ref="A130:B130"/>
    <mergeCell ref="E109:F109"/>
    <mergeCell ref="B120:B121"/>
    <mergeCell ref="A120:A121"/>
    <mergeCell ref="C116:D116"/>
    <mergeCell ref="E116:F116"/>
    <mergeCell ref="L132:M132"/>
    <mergeCell ref="A15:B15"/>
    <mergeCell ref="C15:H15"/>
    <mergeCell ref="A37:B37"/>
    <mergeCell ref="C37:H37"/>
    <mergeCell ref="A110:B110"/>
    <mergeCell ref="A104:E104"/>
    <mergeCell ref="G116:H116"/>
    <mergeCell ref="C110:D110"/>
    <mergeCell ref="E110:F110"/>
    <mergeCell ref="G110:H110"/>
    <mergeCell ref="A111:B111"/>
    <mergeCell ref="C111:D111"/>
    <mergeCell ref="E111:F111"/>
    <mergeCell ref="G111:H111"/>
    <mergeCell ref="A115:B115"/>
    <mergeCell ref="C115:D115"/>
    <mergeCell ref="E115:F115"/>
    <mergeCell ref="L128:M128"/>
    <mergeCell ref="L127:M127"/>
    <mergeCell ref="L126:M126"/>
    <mergeCell ref="L125:M125"/>
    <mergeCell ref="A94:E94"/>
    <mergeCell ref="F97:H97"/>
    <mergeCell ref="L141:M141"/>
    <mergeCell ref="B199:H199"/>
    <mergeCell ref="A46:B46"/>
    <mergeCell ref="C46:H46"/>
    <mergeCell ref="B197:H197"/>
    <mergeCell ref="F96:H96"/>
    <mergeCell ref="A96:E96"/>
    <mergeCell ref="D120:D121"/>
    <mergeCell ref="A97:E97"/>
    <mergeCell ref="A125:B125"/>
    <mergeCell ref="A126:B126"/>
    <mergeCell ref="A154:B154"/>
    <mergeCell ref="G154:H154"/>
    <mergeCell ref="A138:B138"/>
    <mergeCell ref="G138:H138"/>
    <mergeCell ref="A139:B139"/>
    <mergeCell ref="G139:H139"/>
    <mergeCell ref="A153:B153"/>
    <mergeCell ref="G153:H153"/>
    <mergeCell ref="A143:B143"/>
    <mergeCell ref="G143:H143"/>
    <mergeCell ref="A142:B142"/>
    <mergeCell ref="G142:H142"/>
    <mergeCell ref="A136:B136"/>
    <mergeCell ref="C36:H36"/>
    <mergeCell ref="A117:B117"/>
    <mergeCell ref="C117:D117"/>
    <mergeCell ref="E117:F117"/>
    <mergeCell ref="G117:H117"/>
    <mergeCell ref="L130:M130"/>
    <mergeCell ref="A131:B131"/>
    <mergeCell ref="G131:H131"/>
    <mergeCell ref="L131:M131"/>
    <mergeCell ref="A77:B77"/>
    <mergeCell ref="C114:D114"/>
    <mergeCell ref="E114:F114"/>
    <mergeCell ref="G114:H114"/>
    <mergeCell ref="F100:H100"/>
    <mergeCell ref="A95:E95"/>
    <mergeCell ref="A124:H124"/>
    <mergeCell ref="E120:E121"/>
    <mergeCell ref="G120:H121"/>
    <mergeCell ref="F94:H94"/>
    <mergeCell ref="F98:H98"/>
    <mergeCell ref="A122:H122"/>
    <mergeCell ref="E108:F108"/>
    <mergeCell ref="A108:B108"/>
    <mergeCell ref="F101:H101"/>
    <mergeCell ref="B202:H202"/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33:H133"/>
    <mergeCell ref="G136:H136"/>
    <mergeCell ref="B196:H196"/>
    <mergeCell ref="A191:H191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16383" man="1"/>
    <brk id="215" max="16383" man="1"/>
    <brk id="2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4" t="s">
        <v>108</v>
      </c>
      <c r="C3" s="194"/>
      <c r="D3" s="194"/>
      <c r="E3" s="194"/>
      <c r="F3" s="194"/>
      <c r="G3" s="194"/>
      <c r="H3" s="194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2025-08-13T15:38:28Z</cp:lastPrinted>
  <dcterms:created xsi:type="dcterms:W3CDTF">2019-07-16T09:29:46Z</dcterms:created>
  <dcterms:modified xsi:type="dcterms:W3CDTF">2025-08-13T15:38:29Z</dcterms:modified>
</cp:coreProperties>
</file>