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Dump\Aug 2025\12-08-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Report!$A$1:$H$350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56" i="1" l="1"/>
  <c r="E166" i="1"/>
  <c r="D166" i="1"/>
  <c r="C119" i="1"/>
  <c r="E161" i="1"/>
  <c r="D161" i="1"/>
  <c r="E160" i="1"/>
  <c r="D160" i="1"/>
  <c r="E159" i="1"/>
  <c r="D159" i="1"/>
  <c r="A159" i="1"/>
  <c r="A160" i="1" s="1"/>
  <c r="A161" i="1" s="1"/>
  <c r="E158" i="1"/>
  <c r="D158" i="1"/>
  <c r="E170" i="1"/>
  <c r="D170" i="1"/>
  <c r="E169" i="1"/>
  <c r="D169" i="1"/>
  <c r="F169" i="1" s="1"/>
  <c r="H169" i="1" s="1"/>
  <c r="A169" i="1"/>
  <c r="A170" i="1" s="1"/>
  <c r="A171" i="1" s="1"/>
  <c r="E168" i="1"/>
  <c r="D168" i="1"/>
  <c r="F168" i="1" s="1"/>
  <c r="H168" i="1" s="1"/>
  <c r="E163" i="1"/>
  <c r="D163" i="1"/>
  <c r="E165" i="1"/>
  <c r="D165" i="1"/>
  <c r="E164" i="1"/>
  <c r="D164" i="1"/>
  <c r="A164" i="1"/>
  <c r="A165" i="1" s="1"/>
  <c r="A166" i="1" s="1"/>
  <c r="D188" i="1"/>
  <c r="E189" i="1"/>
  <c r="D189" i="1"/>
  <c r="J188" i="1"/>
  <c r="E188" i="1"/>
  <c r="E187" i="1"/>
  <c r="D187" i="1"/>
  <c r="A187" i="1"/>
  <c r="A188" i="1" s="1"/>
  <c r="A189" i="1" s="1"/>
  <c r="E186" i="1"/>
  <c r="D186" i="1"/>
  <c r="E156" i="1"/>
  <c r="E155" i="1"/>
  <c r="E154" i="1"/>
  <c r="E153" i="1"/>
  <c r="D156" i="1"/>
  <c r="D155" i="1"/>
  <c r="D154" i="1"/>
  <c r="D153" i="1"/>
  <c r="F183" i="1"/>
  <c r="H183" i="1" s="1"/>
  <c r="E184" i="1"/>
  <c r="D184" i="1"/>
  <c r="F182" i="1"/>
  <c r="H182" i="1" s="1"/>
  <c r="E181" i="1"/>
  <c r="D181" i="1"/>
  <c r="E150" i="1"/>
  <c r="D150" i="1"/>
  <c r="F151" i="1"/>
  <c r="H151" i="1" s="1"/>
  <c r="K150" i="1"/>
  <c r="J150" i="1"/>
  <c r="E149" i="1"/>
  <c r="D149" i="1"/>
  <c r="A149" i="1"/>
  <c r="A150" i="1" s="1"/>
  <c r="A151" i="1" s="1"/>
  <c r="E199" i="1"/>
  <c r="D199" i="1"/>
  <c r="E198" i="1"/>
  <c r="E197" i="1"/>
  <c r="E196" i="1"/>
  <c r="D198" i="1"/>
  <c r="D197" i="1"/>
  <c r="D196" i="1"/>
  <c r="D193" i="1"/>
  <c r="J193" i="1"/>
  <c r="E193" i="1"/>
  <c r="E192" i="1"/>
  <c r="D192" i="1"/>
  <c r="E194" i="1"/>
  <c r="E191" i="1"/>
  <c r="D194" i="1"/>
  <c r="D191" i="1"/>
  <c r="A197" i="1"/>
  <c r="A198" i="1" s="1"/>
  <c r="A199" i="1" s="1"/>
  <c r="E179" i="1"/>
  <c r="D179" i="1"/>
  <c r="E176" i="1"/>
  <c r="D176" i="1"/>
  <c r="A192" i="1"/>
  <c r="A193" i="1" s="1"/>
  <c r="A194" i="1" s="1"/>
  <c r="F177" i="1"/>
  <c r="H177" i="1" s="1"/>
  <c r="K179" i="1"/>
  <c r="J179" i="1"/>
  <c r="J145" i="1"/>
  <c r="D145" i="1"/>
  <c r="E145" i="1"/>
  <c r="E144" i="1"/>
  <c r="K145" i="1"/>
  <c r="D144" i="1"/>
  <c r="D132" i="1"/>
  <c r="F198" i="1" l="1"/>
  <c r="H198" i="1" s="1"/>
  <c r="F192" i="1"/>
  <c r="H192" i="1" s="1"/>
  <c r="F193" i="1"/>
  <c r="H193" i="1" s="1"/>
  <c r="F166" i="1"/>
  <c r="H166" i="1" s="1"/>
  <c r="F150" i="1"/>
  <c r="H150" i="1" s="1"/>
  <c r="F196" i="1"/>
  <c r="H196" i="1" s="1"/>
  <c r="F159" i="1"/>
  <c r="H159" i="1" s="1"/>
  <c r="F158" i="1"/>
  <c r="H158" i="1" s="1"/>
  <c r="F194" i="1"/>
  <c r="H194" i="1" s="1"/>
  <c r="F161" i="1"/>
  <c r="H161" i="1" s="1"/>
  <c r="F149" i="1"/>
  <c r="H149" i="1" s="1"/>
  <c r="F187" i="1"/>
  <c r="H187" i="1" s="1"/>
  <c r="L184" i="1" s="1"/>
  <c r="F189" i="1"/>
  <c r="H189" i="1" s="1"/>
  <c r="F188" i="1"/>
  <c r="H188" i="1" s="1"/>
  <c r="F170" i="1"/>
  <c r="H170" i="1" s="1"/>
  <c r="L170" i="1" s="1"/>
  <c r="F186" i="1"/>
  <c r="H186" i="1" s="1"/>
  <c r="F184" i="1"/>
  <c r="H184" i="1" s="1"/>
  <c r="F191" i="1"/>
  <c r="H191" i="1" s="1"/>
  <c r="F164" i="1"/>
  <c r="H164" i="1" s="1"/>
  <c r="L164" i="1" s="1"/>
  <c r="F197" i="1"/>
  <c r="H197" i="1" s="1"/>
  <c r="J197" i="1" s="1"/>
  <c r="F165" i="1"/>
  <c r="H165" i="1" s="1"/>
  <c r="F160" i="1"/>
  <c r="H160" i="1" s="1"/>
  <c r="F163" i="1"/>
  <c r="H163" i="1" s="1"/>
  <c r="L163" i="1" s="1"/>
  <c r="F199" i="1"/>
  <c r="H199" i="1" s="1"/>
  <c r="L150" i="1"/>
  <c r="F181" i="1"/>
  <c r="H181" i="1" s="1"/>
  <c r="F176" i="1"/>
  <c r="F179" i="1"/>
  <c r="H179" i="1" s="1"/>
  <c r="L179" i="1" s="1"/>
  <c r="L145" i="1"/>
  <c r="E11" i="1"/>
  <c r="H176" i="1" l="1"/>
  <c r="G123" i="1" s="1"/>
  <c r="C123" i="1"/>
  <c r="E123" i="1"/>
  <c r="B202" i="1"/>
  <c r="G58" i="1" l="1"/>
  <c r="C58" i="1"/>
  <c r="C54" i="1"/>
  <c r="S33" i="1" l="1"/>
  <c r="F11" i="5" l="1"/>
  <c r="G11" i="5" s="1"/>
  <c r="F10" i="5"/>
  <c r="G10" i="5" s="1"/>
  <c r="F9" i="5"/>
  <c r="G9" i="5" s="1"/>
  <c r="F8" i="5"/>
  <c r="G8" i="5" s="1"/>
  <c r="F7" i="5"/>
  <c r="G7" i="5" s="1"/>
  <c r="F6" i="5"/>
  <c r="G6" i="5" s="1"/>
  <c r="F5" i="5"/>
  <c r="G5" i="5" s="1"/>
  <c r="G12" i="5" s="1"/>
  <c r="D225" i="1"/>
  <c r="B203" i="1"/>
  <c r="F156" i="1"/>
  <c r="H156" i="1" s="1"/>
  <c r="F155" i="1"/>
  <c r="H155" i="1" s="1"/>
  <c r="F154" i="1"/>
  <c r="H154" i="1" s="1"/>
  <c r="F153" i="1"/>
  <c r="H153" i="1" s="1"/>
  <c r="J153" i="1" s="1"/>
  <c r="A154" i="1"/>
  <c r="A155" i="1" s="1"/>
  <c r="A156" i="1" s="1"/>
  <c r="F146" i="1"/>
  <c r="H146" i="1" s="1"/>
  <c r="F145" i="1"/>
  <c r="H145" i="1" s="1"/>
  <c r="F144" i="1"/>
  <c r="A144" i="1"/>
  <c r="A145" i="1" s="1"/>
  <c r="A146" i="1" s="1"/>
  <c r="H135" i="1"/>
  <c r="F135" i="1"/>
  <c r="H134" i="1"/>
  <c r="F134" i="1"/>
  <c r="H133" i="1"/>
  <c r="F133" i="1"/>
  <c r="A133" i="1"/>
  <c r="A134" i="1" s="1"/>
  <c r="A135" i="1" s="1"/>
  <c r="H132" i="1"/>
  <c r="G117" i="1" s="1"/>
  <c r="G119" i="1" s="1"/>
  <c r="F132" i="1"/>
  <c r="E117" i="1" s="1"/>
  <c r="E119" i="1" s="1"/>
  <c r="F114" i="1"/>
  <c r="C88" i="1"/>
  <c r="C74" i="1"/>
  <c r="D68" i="1"/>
  <c r="G51" i="1"/>
  <c r="C51" i="1"/>
  <c r="E44" i="1"/>
  <c r="E45" i="1" s="1"/>
  <c r="E31" i="1"/>
  <c r="E28" i="1"/>
  <c r="E26" i="1"/>
  <c r="C16" i="1"/>
  <c r="I15" i="1"/>
  <c r="Z13" i="1"/>
  <c r="E8" i="1"/>
  <c r="E3" i="1"/>
  <c r="H89" i="1"/>
  <c r="H75" i="1"/>
  <c r="H144" i="1" l="1"/>
  <c r="G122" i="1" s="1"/>
  <c r="G124" i="1" s="1"/>
  <c r="G125" i="1" s="1"/>
  <c r="C122" i="1"/>
  <c r="C124" i="1" s="1"/>
  <c r="C125" i="1" s="1"/>
  <c r="E122" i="1"/>
  <c r="E124" i="1" s="1"/>
  <c r="E125" i="1" s="1"/>
  <c r="K153" i="1"/>
  <c r="J154" i="1"/>
  <c r="K154" i="1"/>
  <c r="J155" i="1"/>
  <c r="K155" i="1"/>
  <c r="J156" i="1"/>
  <c r="J74" i="1"/>
  <c r="J76" i="1" s="1"/>
  <c r="J77" i="1"/>
  <c r="J78" i="1"/>
  <c r="J79" i="1"/>
  <c r="C78" i="1" s="1"/>
  <c r="J93" i="1"/>
  <c r="C92" i="1" s="1"/>
  <c r="D97" i="1"/>
  <c r="D99" i="1"/>
  <c r="J92" i="1"/>
  <c r="D98" i="1"/>
  <c r="J88" i="1"/>
  <c r="J90" i="1" s="1"/>
  <c r="D96" i="1"/>
  <c r="J91" i="1"/>
  <c r="D95" i="1"/>
  <c r="D101" i="1"/>
  <c r="D100" i="1"/>
  <c r="D94" i="1"/>
  <c r="D82" i="1"/>
  <c r="D84" i="1"/>
  <c r="D83" i="1"/>
  <c r="D87" i="1"/>
  <c r="D81" i="1"/>
  <c r="D86" i="1"/>
  <c r="D80" i="1"/>
  <c r="D85" i="1"/>
  <c r="B89" i="1"/>
  <c r="B75" i="1"/>
  <c r="J80" i="1" s="1"/>
  <c r="D92" i="1" l="1"/>
  <c r="D78" i="1"/>
  <c r="J99" i="1"/>
  <c r="J96" i="1"/>
  <c r="J98" i="1"/>
  <c r="J97" i="1"/>
  <c r="J94" i="1"/>
  <c r="J95" i="1" s="1"/>
  <c r="J84" i="1"/>
  <c r="J82" i="1"/>
  <c r="J83" i="1"/>
  <c r="J81" i="1"/>
  <c r="J86" i="1" s="1"/>
  <c r="J87" i="1" s="1"/>
  <c r="C79" i="1" s="1"/>
  <c r="J85" i="1"/>
  <c r="J75" i="1" l="1"/>
  <c r="J100" i="1"/>
  <c r="J101" i="1" s="1"/>
  <c r="E78" i="1"/>
  <c r="D79" i="1"/>
  <c r="I75" i="1" s="1"/>
  <c r="G78" i="1"/>
  <c r="D72" i="1" s="1"/>
  <c r="C93" i="1" l="1"/>
  <c r="J89" i="1" s="1"/>
  <c r="F73" i="1"/>
  <c r="D73" i="1"/>
  <c r="I76" i="1"/>
  <c r="I74" i="1" s="1"/>
  <c r="C76" i="1" s="1"/>
  <c r="E92" i="1" l="1"/>
  <c r="D93" i="1"/>
  <c r="I89" i="1" s="1"/>
  <c r="I90" i="1" s="1"/>
  <c r="G92"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8"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<sst xmlns="http://schemas.openxmlformats.org/spreadsheetml/2006/main" count="620" uniqueCount="363">
  <si>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</si>
  <si>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</si>
  <si>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</si>
  <si>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</si>
  <si>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</si>
  <si>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</si>
  <si>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</si>
  <si>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</si>
  <si>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</si>
  <si>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</si>
  <si>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</si>
  <si>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</si>
  <si>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</si>
  <si>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</si>
  <si>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</si>
  <si>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</si>
  <si>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</si>
  <si>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</si>
  <si>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</si>
  <si>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</si>
  <si>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</si>
  <si>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</si>
  <si>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</si>
  <si>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</si>
  <si>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</si>
  <si>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</si>
  <si>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</si>
  <si>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</si>
  <si>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</si>
  <si>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</si>
  <si>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</si>
  <si>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</si>
  <si>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</si>
  <si>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</si>
  <si>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</si>
  <si>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</si>
  <si>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</si>
  <si>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</si>
  <si>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</si>
  <si>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</si>
  <si>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</si>
  <si>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</si>
  <si>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</si>
  <si>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</si>
  <si>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</si>
  <si>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</si>
  <si>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</si>
  <si>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</si>
  <si>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</si>
  <si>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</si>
  <si>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</si>
  <si>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</si>
  <si>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</si>
  <si>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</si>
  <si>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</si>
  <si>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</si>
  <si>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</si>
  <si>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</si>
  <si>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</si>
  <si>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</si>
  <si>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</si>
  <si>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</si>
  <si>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</si>
  <si>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</si>
  <si>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</si>
  <si>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</si>
  <si>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</si>
  <si>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</si>
  <si>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</si>
  <si>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</si>
  <si>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</si>
  <si>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</si>
  <si>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</si>
  <si>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</si>
  <si>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</si>
  <si>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</si>
  <si>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</si>
  <si>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</si>
  <si>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</si>
  <si>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</si>
  <si>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</si>
  <si>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</si>
  <si>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</si>
  <si>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</si>
  <si>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</si>
  <si>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</si>
  <si>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</si>
  <si>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</si>
  <si>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</si>
  <si>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</si>
  <si>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</si>
  <si>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</si>
  <si>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</si>
  <si>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</si>
  <si>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</si>
  <si>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</si>
  <si>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</si>
  <si>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</si>
  <si>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</si>
  <si>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</si>
  <si>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</si>
  <si>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</si>
  <si>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</si>
  <si>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</si>
  <si>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</si>
  <si>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</si>
  <si>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</si>
  <si>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</si>
  <si>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</si>
  <si>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</si>
  <si>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</si>
  <si>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</si>
  <si>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</si>
  <si>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</si>
  <si>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</si>
  <si>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</si>
  <si>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</si>
  <si>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</si>
  <si>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</si>
  <si>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</si>
  <si>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</si>
  <si>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</si>
  <si>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</si>
  <si>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</si>
  <si>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</si>
  <si>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</si>
  <si>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</si>
  <si>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</si>
  <si>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</si>
  <si>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</si>
  <si>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</si>
  <si>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</si>
  <si>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</si>
  <si>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</si>
  <si>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</si>
  <si>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</si>
  <si>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</si>
  <si>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</si>
  <si>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</si>
  <si>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</si>
  <si>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</si>
  <si>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</si>
  <si>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</si>
  <si>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</si>
  <si>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</si>
  <si>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</si>
  <si>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</si>
  <si>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</si>
  <si>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</si>
  <si>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</si>
  <si>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</si>
  <si>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</si>
  <si>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</si>
  <si>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</si>
  <si>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</si>
  <si>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</si>
  <si>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</si>
  <si>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</si>
  <si>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</si>
  <si>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</si>
  <si>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</si>
  <si>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</si>
  <si>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</si>
  <si>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</si>
  <si>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</si>
  <si>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</si>
  <si>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</si>
  <si>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</si>
  <si>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</si>
  <si>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</si>
  <si>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</si>
  <si>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</si>
  <si>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</si>
  <si>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</si>
  <si>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</si>
  <si>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</si>
  <si>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</si>
  <si>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</si>
  <si>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</si>
  <si>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</si>
  <si>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</si>
  <si>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</si>
  <si>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</si>
  <si>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</si>
  <si>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</si>
  <si>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</si>
  <si>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</si>
  <si>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</si>
  <si>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</si>
  <si>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</si>
  <si>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</si>
  <si>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</si>
  <si>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</si>
  <si>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</si>
  <si>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</si>
  <si>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</si>
  <si>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</si>
  <si>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</si>
  <si>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</si>
  <si>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</si>
  <si>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</si>
  <si>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</si>
  <si>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</si>
  <si>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</si>
  <si>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</si>
  <si>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</si>
  <si>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</si>
  <si>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</si>
  <si>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</si>
  <si>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</si>
  <si>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</si>
  <si>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</si>
  <si>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</si>
  <si>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</si>
  <si>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</si>
  <si>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</si>
  <si>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</si>
  <si>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</si>
  <si>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</si>
  <si>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</si>
  <si>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</si>
  <si>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</si>
  <si>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</si>
  <si>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</si>
  <si>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</si>
  <si>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</si>
  <si>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</si>
  <si>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</si>
  <si>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</si>
  <si>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</si>
  <si>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</si>
  <si>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</si>
  <si>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</si>
  <si>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</si>
  <si>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</si>
  <si>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</si>
  <si>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</si>
  <si>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</si>
  <si>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</si>
  <si>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</si>
  <si>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</si>
  <si>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</si>
  <si>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</si>
  <si>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</si>
  <si>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</si>
  <si>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</si>
  <si>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</si>
  <si>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</si>
  <si>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</si>
  <si>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</si>
  <si>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</si>
  <si>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</si>
  <si>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</si>
  <si>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</si>
  <si>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</si>
  <si>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</si>
  <si>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</si>
  <si>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</si>
  <si>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</si>
  <si>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</si>
  <si>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</si>
  <si>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</si>
  <si>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</si>
  <si>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</si>
  <si>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</si>
  <si>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</si>
  <si>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</si>
  <si>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</si>
  <si>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</si>
  <si>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</si>
  <si>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</si>
  <si>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</si>
  <si>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</si>
  <si>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</si>
  <si>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</si>
  <si>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</si>
  <si>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</si>
  <si>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</si>
  <si>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</si>
  <si>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</si>
  <si>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</si>
  <si>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</si>
  <si>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</si>
  <si>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</si>
  <si>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</si>
  <si>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</si>
  <si>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</si>
  <si>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</si>
  <si>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</si>
  <si>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</si>
  <si>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</si>
  <si>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</si>
  <si>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</si>
  <si>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</si>
  <si>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</si>
  <si>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There are inadequate transportation options to get to the project and the area is not 
developed.</t>
  </si>
  <si>
    <t>We did not consider the terrace area attached to the 1st floor flats because it was not shown in the approved plans. However, it was shown in the sales plan.</t>
  </si>
  <si>
    <t>River located on west side of the project.</t>
  </si>
  <si>
    <t>P51700054437</t>
  </si>
  <si>
    <t>Luxora Realtors Private Limited</t>
  </si>
  <si>
    <t>Crystal Antara</t>
  </si>
  <si>
    <t>As per RERA - 31/12/2028</t>
  </si>
  <si>
    <t>Building T6 &amp; T7</t>
  </si>
  <si>
    <t>https://maps.app.goo.gl/VesrobeS7uB7U84L8</t>
  </si>
  <si>
    <t>Approved Plans, CC, Sale Plans, Cost Sheet</t>
  </si>
  <si>
    <t>Gut No</t>
  </si>
  <si>
    <t>64/1, 64/2, 64/3/1, 64/3/2, 68/1A, 68/1B, 68/2C, 68/3B, 59A/30/2/1, 59A/30/2/2, 59A/30/2/3, 67/1A, 67/1B, 67/2A, 67/2B, 67/3, 69/1, 69/2, 69/3, 69/4</t>
  </si>
  <si>
    <t>Thane West</t>
  </si>
  <si>
    <t>Chitalsar Manpada</t>
  </si>
  <si>
    <t>Crystal Spires Towers</t>
  </si>
  <si>
    <t>8.2 KM from Thane Railway Station</t>
  </si>
  <si>
    <t>Ghodbunder Service Road</t>
  </si>
  <si>
    <t>Bhavani Nagar</t>
  </si>
  <si>
    <t>19.234393, 72.974294</t>
  </si>
  <si>
    <t>Tower No.5</t>
  </si>
  <si>
    <t>Other Plot</t>
  </si>
  <si>
    <t>Nalla</t>
  </si>
  <si>
    <t>Crystal Spires</t>
  </si>
  <si>
    <t>Dev Tirth Co Op Society</t>
  </si>
  <si>
    <t>Row Houses</t>
  </si>
  <si>
    <t>Approved area of building T6 &amp; T7 (Sq.Mt)</t>
  </si>
  <si>
    <t>S04/0086/15-TMC/TD-DP/TPS/0009/23</t>
  </si>
  <si>
    <t>S04/0086/15-TMCB/TDD/0054/P/C/24 /Auto DCR</t>
  </si>
  <si>
    <t>Building No.T6 = G + 1st to 4th P + 1st to 48th Floor</t>
  </si>
  <si>
    <t>Building No.T7 = G + 1st to 4th P + 1st to 48th Floor</t>
  </si>
  <si>
    <t>Building No.T6 = G + 1st to 4th P + 1st to 48th Floor
Building No.T7 = G + 1st to 4th P + 1st to 7th Floor</t>
  </si>
  <si>
    <t>SIA/MH/INFRA2/432238/2023</t>
  </si>
  <si>
    <t>Building No.T6 &amp; T7 = G + 1st to 4th P + 1st to 48th Floor (180.40 Mt)</t>
  </si>
  <si>
    <r>
      <t xml:space="preserve">Proposed Amenities :                                                                                                                                                                                                                         </t>
    </r>
    <r>
      <rPr>
        <b/>
        <sz val="12"/>
        <rFont val="Times New Roman"/>
        <family val="1"/>
      </rPr>
      <t xml:space="preserve">                                               </t>
    </r>
  </si>
  <si>
    <t>Building No. T6</t>
  </si>
  <si>
    <t>Shop</t>
  </si>
  <si>
    <t>Ground Floor for Commercial &amp; Parking</t>
  </si>
  <si>
    <t>1st to 3rd Podium Floor for Parking</t>
  </si>
  <si>
    <t>1st Floor</t>
  </si>
  <si>
    <t>Multipurpose Hall</t>
  </si>
  <si>
    <t>4BHK</t>
  </si>
  <si>
    <t>2BHK</t>
  </si>
  <si>
    <t>Building No. T7</t>
  </si>
  <si>
    <t>3BHK</t>
  </si>
  <si>
    <t>4th, 5th &amp; 7th Floor</t>
  </si>
  <si>
    <t>6th Floor (Part Refuge Area)</t>
  </si>
  <si>
    <t>1BHK</t>
  </si>
  <si>
    <t>Refuge  Area</t>
  </si>
  <si>
    <t>Fitness Center</t>
  </si>
  <si>
    <t>3rd Floor</t>
  </si>
  <si>
    <t>10th, 18th, 22nd, 30th, 34th, 38th &amp; 46th Floor</t>
  </si>
  <si>
    <t>6th, 14th, 26th &amp; 42nd Floor (Part Refuge Area)</t>
  </si>
  <si>
    <t>4th, 5th, 7th to 9th,  11th to 13th, 15th to 17th, 19th to 21st, 23rd to 25th, 27th to 29th, 31st to 33rd, 35th to 37th, 39th to 41st, 43rd to 45th, 47th &amp; 48th Floor</t>
  </si>
  <si>
    <t xml:space="preserve"> 4th Podium Floor for Recreational Activity Floor</t>
  </si>
  <si>
    <t>4th Podium Floor for Recreational Activity Floor</t>
  </si>
  <si>
    <t>We considered Gross carpet area = Net carpet + Balcony + Utility Area + E.P Area.</t>
  </si>
  <si>
    <t>Flats - 208, Shops - 1</t>
  </si>
  <si>
    <t>BCAM Charges for 18 months</t>
  </si>
  <si>
    <t>FCAM Charges for 60 months</t>
  </si>
  <si>
    <t>Other Charges</t>
  </si>
  <si>
    <t>Ajay Songare</t>
  </si>
  <si>
    <t>13000 to 15000 by viraj on 08/11/2024</t>
  </si>
  <si>
    <t>Recommended Rates/Other Charges of the Property have been revised on 08/11/2024.</t>
  </si>
  <si>
    <t>Namrata Maru 9892230344</t>
  </si>
  <si>
    <t>swimming Pool, GYM, Kids Area, Indoor Games Area, Yoga, SPA, CCTV Monitoring, Banquet/Multi-Purpose Hall.</t>
  </si>
  <si>
    <t>02 Buildings</t>
  </si>
  <si>
    <t>Construction work is in process at the time of Visit.</t>
  </si>
  <si>
    <t>Pooja Kawale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</si>
</sst>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0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25" xfId="0" applyFont="1" applyFill="1" applyBorder="1"/>
    <xf numFmtId="0" fontId="26" fillId="0" borderId="26" xfId="0" applyFont="1" applyBorder="1"/>
    <xf numFmtId="0" fontId="26" fillId="0" borderId="1" xfId="0" applyFont="1" applyBorder="1"/>
    <xf numFmtId="0" fontId="26" fillId="0" borderId="4" xfId="0" applyFont="1" applyBorder="1"/>
    <xf numFmtId="0" fontId="12"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2"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0" fillId="0" borderId="1" xfId="0" applyFill="1" applyBorder="1" applyAlignment="1"/>
    <xf numFmtId="0" fontId="25" fillId="0" borderId="4" xfId="0" applyFont="1" applyBorder="1"/>
    <xf numFmtId="0" fontId="25" fillId="0" borderId="0" xfId="0" applyFont="1"/>
    <xf numFmtId="164" fontId="7" fillId="0" borderId="0" xfId="1" applyNumberFormat="1" applyFont="1" applyAlignment="1">
      <alignment horizontal="center" vertical="center"/>
    </xf>
    <xf numFmtId="9" fontId="13" fillId="0" borderId="13" xfId="8" applyFont="1" applyFill="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7"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8" fillId="0" borderId="18"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6"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4"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7" fillId="0" borderId="20"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164" fontId="6" fillId="0" borderId="1" xfId="1" applyNumberFormat="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8" fillId="0" borderId="2"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1" fontId="17" fillId="0" borderId="7" xfId="0" applyNumberFormat="1" applyFont="1" applyBorder="1" applyAlignment="1" applyProtection="1">
      <alignment vertical="top" wrapText="1"/>
      <protection locked="0"/>
    </xf>
    <xf numFmtId="1" fontId="17" fillId="0" borderId="18"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0" fontId="8" fillId="0" borderId="13" xfId="1" applyFont="1" applyBorder="1" applyAlignment="1" applyProtection="1">
      <alignment horizontal="center" vertical="top"/>
      <protection locked="0"/>
    </xf>
    <xf numFmtId="1" fontId="8" fillId="0" borderId="14"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3" xfId="1" applyNumberFormat="1" applyFont="1" applyBorder="1" applyAlignment="1" applyProtection="1">
      <alignment horizontal="center" vertical="top" wrapText="1"/>
      <protection locked="0"/>
    </xf>
    <xf numFmtId="0" fontId="8" fillId="0" borderId="13" xfId="1" applyFont="1" applyBorder="1" applyAlignment="1" applyProtection="1">
      <alignment horizontal="left" vertical="top"/>
      <protection locked="0"/>
    </xf>
    <xf numFmtId="1" fontId="8" fillId="0" borderId="7" xfId="0" applyNumberFormat="1" applyFont="1" applyBorder="1" applyAlignment="1" applyProtection="1">
      <alignment vertical="top" wrapText="1"/>
      <protection locked="0"/>
    </xf>
    <xf numFmtId="1" fontId="8" fillId="0" borderId="18"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13" fillId="0" borderId="7" xfId="0" applyNumberFormat="1" applyFont="1" applyBorder="1" applyAlignment="1" applyProtection="1">
      <alignment vertical="top" wrapText="1"/>
      <protection locked="0"/>
    </xf>
    <xf numFmtId="1" fontId="13" fillId="0" borderId="18"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9" fontId="7" fillId="0" borderId="14" xfId="8" applyFont="1" applyFill="1" applyBorder="1" applyAlignment="1" applyProtection="1">
      <alignment horizontal="center" vertical="center" wrapText="1"/>
      <protection locked="0"/>
    </xf>
    <xf numFmtId="9" fontId="7" fillId="0" borderId="15"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23"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2"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4" xfId="1" applyFont="1" applyBorder="1" applyAlignment="1" applyProtection="1">
      <alignment horizontal="left" vertical="top"/>
      <protection locked="0"/>
    </xf>
    <xf numFmtId="0" fontId="12" fillId="0" borderId="19" xfId="1" applyFont="1" applyBorder="1" applyAlignment="1" applyProtection="1">
      <alignment horizontal="left" vertical="top"/>
      <protection locked="0"/>
    </xf>
    <xf numFmtId="0" fontId="12" fillId="0" borderId="15" xfId="1" applyFont="1" applyBorder="1" applyAlignment="1" applyProtection="1">
      <alignment horizontal="left" vertical="top"/>
      <protection locked="0"/>
    </xf>
    <xf numFmtId="0" fontId="12" fillId="0" borderId="20" xfId="1" applyFont="1" applyBorder="1" applyAlignment="1" applyProtection="1">
      <alignment horizontal="left" vertical="top"/>
      <protection locked="0"/>
    </xf>
    <xf numFmtId="0" fontId="12" fillId="0" borderId="0" xfId="1" applyFont="1" applyAlignment="1" applyProtection="1">
      <alignment horizontal="left" vertical="top"/>
      <protection locked="0"/>
    </xf>
    <xf numFmtId="0" fontId="12" fillId="0" borderId="21" xfId="1" applyFont="1" applyBorder="1" applyAlignment="1" applyProtection="1">
      <alignment horizontal="left" vertical="top"/>
      <protection locked="0"/>
    </xf>
    <xf numFmtId="14" fontId="12" fillId="0" borderId="7" xfId="1" applyNumberFormat="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3" fillId="0" borderId="7" xfId="1" applyFont="1" applyBorder="1" applyAlignment="1" applyProtection="1">
      <alignment horizontal="left" vertical="top"/>
      <protection locked="0"/>
    </xf>
    <xf numFmtId="0" fontId="13" fillId="0" borderId="18"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7" fillId="0" borderId="1" xfId="0" applyFont="1" applyBorder="1" applyAlignment="1" applyProtection="1">
      <alignment horizontal="center" vertical="center"/>
      <protection locked="0"/>
    </xf>
    <xf numFmtId="0" fontId="27" fillId="0" borderId="1" xfId="10" applyFill="1" applyBorder="1" applyAlignment="1" applyProtection="1">
      <alignment horizontal="left" vertical="top" wrapText="1"/>
      <protection locked="0"/>
    </xf>
    <xf numFmtId="0" fontId="6" fillId="0" borderId="7" xfId="1" applyFont="1" applyBorder="1" applyAlignment="1" applyProtection="1">
      <alignment vertical="top" wrapText="1"/>
      <protection locked="0"/>
    </xf>
    <xf numFmtId="0" fontId="6" fillId="0" borderId="18"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1" fontId="6" fillId="0" borderId="1" xfId="0"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top" wrapText="1"/>
      <protection locked="0"/>
    </xf>
    <xf numFmtId="0" fontId="9" fillId="0" borderId="1" xfId="5" applyFont="1" applyBorder="1" applyAlignment="1">
      <alignment horizontal="left"/>
    </xf>
    <xf numFmtId="0" fontId="12" fillId="0" borderId="1" xfId="1" applyFont="1" applyBorder="1" applyAlignment="1" applyProtection="1">
      <alignment horizontal="center" vertical="top"/>
      <protection locked="0"/>
    </xf>
    <xf numFmtId="0" fontId="25" fillId="2" borderId="12" xfId="0" applyFont="1" applyFill="1" applyBorder="1"/>
    <xf numFmtId="0" fontId="25" fillId="0" borderId="8" xfId="0" applyFont="1" applyBorder="1"/>
    <xf numFmtId="0" fontId="26" fillId="0" borderId="8" xfId="0" applyFont="1" applyBorder="1"/>
    <xf numFmtId="0" fontId="8" fillId="0" borderId="27"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28" xfId="1" applyFont="1" applyBorder="1" applyAlignment="1" applyProtection="1">
      <alignment horizontal="left" vertical="top" wrapText="1"/>
      <protection locked="0"/>
    </xf>
    <xf numFmtId="0" fontId="8" fillId="0" borderId="29"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9" fontId="7" fillId="0" borderId="1" xfId="8" applyFont="1" applyFill="1" applyBorder="1" applyAlignment="1" applyProtection="1">
      <alignment horizontal="center" vertical="center" wrapText="1"/>
      <protection locked="0"/>
    </xf>
    <xf numFmtId="1" fontId="8"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8</xdr:col>
      <xdr:colOff>504825</xdr:colOff>
      <xdr:row>15</xdr:row>
      <xdr:rowOff>28575</xdr:rowOff>
    </xdr:from>
    <xdr:to>
      <xdr:col>14</xdr:col>
      <xdr:colOff>657969</xdr:colOff>
      <xdr:row>17</xdr:row>
      <xdr:rowOff>152590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819900" y="3409950"/>
          <a:ext cx="5334744" cy="1362265"/>
        </a:xfrm>
        <a:prstGeom prst="rect">
          <a:avLst/>
        </a:prstGeom>
      </xdr:spPr>
    </xdr:pic>
    <xdr:clientData/>
  </xdr:twoCellAnchor>
  <xdr:twoCellAnchor editAs="oneCell">
    <xdr:from>
      <xdr:col>0</xdr:col>
      <xdr:colOff>257176</xdr:colOff>
      <xdr:row>267</xdr:row>
      <xdr:rowOff>76200</xdr:rowOff>
    </xdr:from>
    <xdr:to>
      <xdr:col>7</xdr:col>
      <xdr:colOff>435526</xdr:colOff>
      <xdr:row>282</xdr:row>
      <xdr:rowOff>121624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rot="16200000">
          <a:off x="1614276" y="56069125"/>
          <a:ext cx="3045799" cy="5760000"/>
        </a:xfrm>
        <a:prstGeom prst="rect">
          <a:avLst/>
        </a:prstGeom>
        <a:ln>
          <a:solidFill>
            <a:schemeClr val="tx1"/>
          </a:solidFill>
        </a:ln>
      </xdr:spPr>
    </xdr:pic>
    <xdr:clientData/>
  </xdr:twoCellAnchor>
  <xdr:twoCellAnchor editAs="oneCell">
    <xdr:from>
      <xdr:col>2</xdr:col>
      <xdr:colOff>219075</xdr:colOff>
      <xdr:row>283</xdr:row>
      <xdr:rowOff>9525</xdr:rowOff>
    </xdr:from>
    <xdr:to>
      <xdr:col>5</xdr:col>
      <xdr:colOff>195900</xdr:colOff>
      <xdr:row>300</xdr:row>
      <xdr:rowOff>69272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rot="16200000">
          <a:off x="1242682" y="62890009"/>
          <a:ext cx="3592656" cy="2522598"/>
        </a:xfrm>
        <a:prstGeom prst="rect">
          <a:avLst/>
        </a:prstGeom>
        <a:ln>
          <a:solidFill>
            <a:schemeClr val="tx1"/>
          </a:solidFill>
        </a:ln>
      </xdr:spPr>
    </xdr:pic>
    <xdr:clientData/>
  </xdr:twoCellAnchor>
  <xdr:twoCellAnchor editAs="oneCell">
    <xdr:from>
      <xdr:col>0</xdr:col>
      <xdr:colOff>675409</xdr:colOff>
      <xdr:row>308</xdr:row>
      <xdr:rowOff>51955</xdr:rowOff>
    </xdr:from>
    <xdr:to>
      <xdr:col>7</xdr:col>
      <xdr:colOff>205793</xdr:colOff>
      <xdr:row>331</xdr:row>
      <xdr:rowOff>102930</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675409" y="68216319"/>
          <a:ext cx="5106839" cy="4830793"/>
        </a:xfrm>
        <a:prstGeom prst="rect">
          <a:avLst/>
        </a:prstGeom>
        <a:ln>
          <a:solidFill>
            <a:schemeClr val="tx1"/>
          </a:solidFill>
        </a:ln>
      </xdr:spPr>
    </xdr:pic>
    <xdr:clientData/>
  </xdr:twoCellAnchor>
  <xdr:twoCellAnchor editAs="oneCell">
    <xdr:from>
      <xdr:col>1</xdr:col>
      <xdr:colOff>367888</xdr:colOff>
      <xdr:row>331</xdr:row>
      <xdr:rowOff>154689</xdr:rowOff>
    </xdr:from>
    <xdr:to>
      <xdr:col>6</xdr:col>
      <xdr:colOff>478676</xdr:colOff>
      <xdr:row>349</xdr:row>
      <xdr:rowOff>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167988" y="66512189"/>
          <a:ext cx="4397038" cy="3388611"/>
        </a:xfrm>
        <a:prstGeom prst="rect">
          <a:avLst/>
        </a:prstGeom>
        <a:ln>
          <a:solidFill>
            <a:schemeClr val="tx1"/>
          </a:solidFill>
        </a:ln>
      </xdr:spPr>
    </xdr:pic>
    <xdr:clientData/>
  </xdr:twoCellAnchor>
  <xdr:twoCellAnchor>
    <xdr:from>
      <xdr:col>2</xdr:col>
      <xdr:colOff>531506</xdr:colOff>
      <xdr:row>338</xdr:row>
      <xdr:rowOff>149199</xdr:rowOff>
    </xdr:from>
    <xdr:to>
      <xdr:col>4</xdr:col>
      <xdr:colOff>76266</xdr:colOff>
      <xdr:row>348</xdr:row>
      <xdr:rowOff>193115</xdr:rowOff>
    </xdr:to>
    <xdr:sp macro="" textlink="">
      <xdr:nvSpPr>
        <xdr:cNvPr id="12" name="TextBox 3">
          <a:extLst>
            <a:ext uri="{FF2B5EF4-FFF2-40B4-BE49-F238E27FC236}">
              <a16:creationId xmlns:a16="http://schemas.microsoft.com/office/drawing/2014/main" id="{00000000-0008-0000-0000-00000C000000}"/>
            </a:ext>
          </a:extLst>
        </xdr:cNvPr>
        <xdr:cNvSpPr txBox="1"/>
      </xdr:nvSpPr>
      <xdr:spPr>
        <a:xfrm>
          <a:off x="2090142" y="74548108"/>
          <a:ext cx="1311215" cy="2122098"/>
        </a:xfrm>
        <a:prstGeom prst="rect">
          <a:avLst/>
        </a:prstGeom>
        <a:noFill/>
        <a:ln w="57150">
          <a:solidFill>
            <a:srgbClr val="FF0000"/>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8</xdr:col>
      <xdr:colOff>628650</xdr:colOff>
      <xdr:row>225</xdr:row>
      <xdr:rowOff>76200</xdr:rowOff>
    </xdr:from>
    <xdr:to>
      <xdr:col>15</xdr:col>
      <xdr:colOff>37425</xdr:colOff>
      <xdr:row>255</xdr:row>
      <xdr:rowOff>164191</xdr:rowOff>
    </xdr:to>
    <xdr:grpSp>
      <xdr:nvGrpSpPr>
        <xdr:cNvPr id="22" name="Group 21">
          <a:extLst>
            <a:ext uri="{FF2B5EF4-FFF2-40B4-BE49-F238E27FC236}">
              <a16:creationId xmlns:a16="http://schemas.microsoft.com/office/drawing/2014/main" id="{AA8D9CC7-094B-44D2-8905-069EC0019412}"/>
            </a:ext>
          </a:extLst>
        </xdr:cNvPr>
        <xdr:cNvGrpSpPr/>
      </xdr:nvGrpSpPr>
      <xdr:grpSpPr>
        <a:xfrm>
          <a:off x="7251700" y="45770800"/>
          <a:ext cx="5682575" cy="5987141"/>
          <a:chOff x="729000" y="758100"/>
          <a:chExt cx="5400000" cy="6079216"/>
        </a:xfrm>
      </xdr:grpSpPr>
      <xdr:pic>
        <xdr:nvPicPr>
          <xdr:cNvPr id="23" name="Picture 22">
            <a:extLst>
              <a:ext uri="{FF2B5EF4-FFF2-40B4-BE49-F238E27FC236}">
                <a16:creationId xmlns:a16="http://schemas.microsoft.com/office/drawing/2014/main" id="{680132CC-D410-4236-BC43-A5ACA88FDB4A}"/>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729000" y="758100"/>
            <a:ext cx="5400000" cy="4053754"/>
          </a:xfrm>
          <a:prstGeom prst="rect">
            <a:avLst/>
          </a:prstGeom>
          <a:ln>
            <a:solidFill>
              <a:schemeClr val="tx1"/>
            </a:solidFill>
          </a:ln>
        </xdr:spPr>
      </xdr:pic>
      <xdr:pic>
        <xdr:nvPicPr>
          <xdr:cNvPr id="24" name="Picture 23">
            <a:extLst>
              <a:ext uri="{FF2B5EF4-FFF2-40B4-BE49-F238E27FC236}">
                <a16:creationId xmlns:a16="http://schemas.microsoft.com/office/drawing/2014/main" id="{384E31DD-14E9-41A5-B6E1-C6ED2621E9D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2214899" y="5037316"/>
            <a:ext cx="2397778" cy="1800000"/>
          </a:xfrm>
          <a:prstGeom prst="rect">
            <a:avLst/>
          </a:prstGeom>
          <a:ln>
            <a:solidFill>
              <a:schemeClr val="tx1"/>
            </a:solidFill>
          </a:ln>
        </xdr:spPr>
      </xdr:pic>
      <xdr:pic>
        <xdr:nvPicPr>
          <xdr:cNvPr id="25" name="Picture 24">
            <a:extLst>
              <a:ext uri="{FF2B5EF4-FFF2-40B4-BE49-F238E27FC236}">
                <a16:creationId xmlns:a16="http://schemas.microsoft.com/office/drawing/2014/main" id="{351E1002-23DA-4D2A-9163-A5362D275B94}"/>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729000" y="5037316"/>
            <a:ext cx="1348593" cy="1800000"/>
          </a:xfrm>
          <a:prstGeom prst="rect">
            <a:avLst/>
          </a:prstGeom>
          <a:ln>
            <a:solidFill>
              <a:schemeClr val="tx1"/>
            </a:solidFill>
          </a:ln>
        </xdr:spPr>
      </xdr:pic>
      <xdr:pic>
        <xdr:nvPicPr>
          <xdr:cNvPr id="26" name="Picture 25">
            <a:extLst>
              <a:ext uri="{FF2B5EF4-FFF2-40B4-BE49-F238E27FC236}">
                <a16:creationId xmlns:a16="http://schemas.microsoft.com/office/drawing/2014/main" id="{D2F83273-B38F-4D57-8795-05F9651D5CC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780406" y="5037316"/>
            <a:ext cx="1348594" cy="1800000"/>
          </a:xfrm>
          <a:prstGeom prst="rect">
            <a:avLst/>
          </a:prstGeom>
          <a:ln>
            <a:solidFill>
              <a:schemeClr val="tx1"/>
            </a:solidFill>
          </a:ln>
        </xdr:spPr>
      </xdr:pic>
    </xdr:grpSp>
    <xdr:clientData/>
  </xdr:twoCellAnchor>
  <xdr:twoCellAnchor editAs="oneCell">
    <xdr:from>
      <xdr:col>8</xdr:col>
      <xdr:colOff>331137</xdr:colOff>
      <xdr:row>342</xdr:row>
      <xdr:rowOff>129480</xdr:rowOff>
    </xdr:from>
    <xdr:to>
      <xdr:col>10</xdr:col>
      <xdr:colOff>25400</xdr:colOff>
      <xdr:row>353</xdr:row>
      <xdr:rowOff>89205</xdr:rowOff>
    </xdr:to>
    <xdr:pic>
      <xdr:nvPicPr>
        <xdr:cNvPr id="13" name="Picture 12" descr="https://vsjcllp.vsjadon.com/upload/insp-233957-851.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6646212" y="7099548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101600</xdr:colOff>
      <xdr:row>225</xdr:row>
      <xdr:rowOff>165100</xdr:rowOff>
    </xdr:from>
    <xdr:to>
      <xdr:col>7</xdr:col>
      <xdr:colOff>663573</xdr:colOff>
      <xdr:row>252</xdr:row>
      <xdr:rowOff>15528</xdr:rowOff>
    </xdr:to>
    <xdr:grpSp>
      <xdr:nvGrpSpPr>
        <xdr:cNvPr id="4" name="Group 3"/>
        <xdr:cNvGrpSpPr/>
      </xdr:nvGrpSpPr>
      <xdr:grpSpPr>
        <a:xfrm>
          <a:off x="101600" y="45859700"/>
          <a:ext cx="6416673" cy="5159028"/>
          <a:chOff x="101600" y="45662850"/>
          <a:chExt cx="6416673" cy="5159028"/>
        </a:xfrm>
      </xdr:grpSpPr>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899960" y="48661878"/>
            <a:ext cx="1618313" cy="2160000"/>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56010" y="45662850"/>
            <a:ext cx="3836444" cy="2880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101600" y="48661878"/>
            <a:ext cx="2877333" cy="2160000"/>
          </a:xfrm>
          <a:prstGeom prst="rect">
            <a:avLst/>
          </a:prstGeom>
          <a:ln>
            <a:solidFill>
              <a:schemeClr val="tx1"/>
            </a:solidFill>
          </a:ln>
        </xdr:spPr>
      </xdr:pic>
      <xdr:pic>
        <xdr:nvPicPr>
          <xdr:cNvPr id="27" name="Picture 2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4255546" y="45662850"/>
            <a:ext cx="2157751" cy="2880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130290" y="48661878"/>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15</xdr:col>
      <xdr:colOff>101974</xdr:colOff>
      <xdr:row>52</xdr:row>
      <xdr:rowOff>76200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82706" y="2678206"/>
          <a:ext cx="13011150" cy="731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VesrobeS7uB7U84L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8"/>
  <sheetViews>
    <sheetView tabSelected="1" view="pageBreakPreview" zoomScaleNormal="100" zoomScaleSheetLayoutView="100" zoomScalePageLayoutView="85" workbookViewId="0">
      <selection activeCell="E11" sqref="E11:H11"/>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8" width="11"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61" t="s">
        <v>159</v>
      </c>
      <c r="B1" s="161"/>
      <c r="C1" s="161"/>
      <c r="D1" s="161"/>
      <c r="E1" s="161"/>
      <c r="F1" s="161"/>
      <c r="G1" s="161"/>
      <c r="H1" s="161"/>
    </row>
    <row r="2" spans="1:26" ht="16.5" customHeight="1" x14ac:dyDescent="0.35">
      <c r="A2" s="162" t="s">
        <v>0</v>
      </c>
      <c r="B2" s="162"/>
      <c r="C2" s="162"/>
      <c r="D2" s="162"/>
      <c r="E2" s="162"/>
      <c r="F2" s="162"/>
      <c r="G2" s="162"/>
      <c r="H2" s="162"/>
    </row>
    <row r="3" spans="1:26" x14ac:dyDescent="0.35">
      <c r="A3" s="112" t="s">
        <v>1</v>
      </c>
      <c r="B3" s="112"/>
      <c r="C3" s="112"/>
      <c r="D3" s="112"/>
      <c r="E3" s="112" t="str">
        <f ca="1">TEXT(TODAY(),"DD/MM/YYYY")</f>
        <v>13/08/2025</v>
      </c>
      <c r="F3" s="112"/>
      <c r="G3" s="112"/>
      <c r="H3" s="112"/>
      <c r="K3" s="60" t="s">
        <v>233</v>
      </c>
      <c r="L3" s="56" t="s">
        <v>231</v>
      </c>
      <c r="M3" s="56" t="s">
        <v>236</v>
      </c>
      <c r="N3" s="56" t="s">
        <v>234</v>
      </c>
      <c r="O3" s="56" t="s">
        <v>235</v>
      </c>
      <c r="P3" s="56" t="s">
        <v>237</v>
      </c>
    </row>
    <row r="4" spans="1:26" ht="15" customHeight="1" x14ac:dyDescent="0.35">
      <c r="A4" s="112" t="s">
        <v>230</v>
      </c>
      <c r="B4" s="112"/>
      <c r="C4" s="112"/>
      <c r="D4" s="112"/>
      <c r="E4" s="112" t="s">
        <v>231</v>
      </c>
      <c r="F4" s="112"/>
      <c r="G4" s="112"/>
      <c r="H4" s="112"/>
      <c r="K4" s="55" t="s">
        <v>232</v>
      </c>
      <c r="L4" s="56" t="s">
        <v>165</v>
      </c>
      <c r="M4" s="56" t="s">
        <v>241</v>
      </c>
      <c r="N4" s="56" t="s">
        <v>243</v>
      </c>
      <c r="O4" s="56" t="s">
        <v>245</v>
      </c>
      <c r="P4" s="56"/>
    </row>
    <row r="5" spans="1:26" ht="15" customHeight="1" x14ac:dyDescent="0.35">
      <c r="A5" s="112" t="s">
        <v>2</v>
      </c>
      <c r="B5" s="112"/>
      <c r="C5" s="112"/>
      <c r="D5" s="112"/>
      <c r="E5" s="112" t="s">
        <v>238</v>
      </c>
      <c r="F5" s="112"/>
      <c r="G5" s="112"/>
      <c r="H5" s="112"/>
      <c r="K5" s="55"/>
      <c r="L5" s="56" t="s">
        <v>238</v>
      </c>
      <c r="M5" s="56" t="s">
        <v>242</v>
      </c>
      <c r="N5" s="56" t="s">
        <v>244</v>
      </c>
      <c r="O5" s="56" t="s">
        <v>246</v>
      </c>
      <c r="P5" s="56"/>
    </row>
    <row r="6" spans="1:26" x14ac:dyDescent="0.35">
      <c r="A6" s="112" t="s">
        <v>3</v>
      </c>
      <c r="B6" s="112"/>
      <c r="C6" s="112"/>
      <c r="D6" s="112"/>
      <c r="E6" s="163">
        <v>45880</v>
      </c>
      <c r="F6" s="112"/>
      <c r="G6" s="112"/>
      <c r="H6" s="112"/>
      <c r="K6" s="55"/>
      <c r="L6" s="56" t="s">
        <v>239</v>
      </c>
      <c r="M6" s="56"/>
      <c r="N6" s="56"/>
      <c r="O6" s="56" t="s">
        <v>247</v>
      </c>
      <c r="P6" s="56"/>
    </row>
    <row r="7" spans="1:26" ht="16.5" customHeight="1" x14ac:dyDescent="0.35">
      <c r="A7" s="112" t="s">
        <v>4</v>
      </c>
      <c r="B7" s="112"/>
      <c r="C7" s="112"/>
      <c r="D7" s="112"/>
      <c r="E7" s="112" t="s">
        <v>299</v>
      </c>
      <c r="F7" s="112"/>
      <c r="G7" s="112"/>
      <c r="H7" s="112"/>
      <c r="K7" s="55"/>
      <c r="L7" s="56" t="s">
        <v>240</v>
      </c>
      <c r="M7" s="56"/>
      <c r="N7" s="56"/>
      <c r="O7" s="56" t="s">
        <v>247</v>
      </c>
      <c r="P7" s="56"/>
    </row>
    <row r="8" spans="1:26" ht="15" customHeight="1" x14ac:dyDescent="0.35">
      <c r="A8" s="112" t="s">
        <v>5</v>
      </c>
      <c r="B8" s="112"/>
      <c r="C8" s="112"/>
      <c r="D8" s="112"/>
      <c r="E8" s="112" t="str">
        <f>E7</f>
        <v>Luxora Realtors Private Limited</v>
      </c>
      <c r="F8" s="112"/>
      <c r="G8" s="112"/>
      <c r="H8" s="112"/>
      <c r="K8" s="55"/>
      <c r="L8" s="56"/>
      <c r="M8" s="56"/>
      <c r="N8" s="56"/>
      <c r="O8" s="56" t="s">
        <v>248</v>
      </c>
      <c r="P8" s="56"/>
    </row>
    <row r="9" spans="1:26" x14ac:dyDescent="0.35">
      <c r="A9" s="112" t="s">
        <v>6</v>
      </c>
      <c r="B9" s="112"/>
      <c r="C9" s="112"/>
      <c r="D9" s="112"/>
      <c r="E9" s="96" t="s">
        <v>300</v>
      </c>
      <c r="F9" s="96"/>
      <c r="G9" s="96"/>
      <c r="H9" s="96"/>
      <c r="K9" s="55"/>
      <c r="L9" s="56"/>
      <c r="M9" s="56"/>
      <c r="N9" s="56"/>
      <c r="O9" s="56" t="s">
        <v>249</v>
      </c>
      <c r="P9" s="56"/>
    </row>
    <row r="10" spans="1:26" x14ac:dyDescent="0.35">
      <c r="A10" s="112" t="s">
        <v>162</v>
      </c>
      <c r="B10" s="112"/>
      <c r="C10" s="112"/>
      <c r="D10" s="112"/>
      <c r="E10" s="112" t="s">
        <v>358</v>
      </c>
      <c r="F10" s="112"/>
      <c r="G10" s="112"/>
      <c r="H10" s="112"/>
      <c r="K10" s="55"/>
      <c r="L10" s="56"/>
      <c r="M10" s="56"/>
      <c r="N10" s="56"/>
      <c r="O10" s="56"/>
      <c r="P10" s="56"/>
    </row>
    <row r="11" spans="1:26" x14ac:dyDescent="0.35">
      <c r="A11" s="112" t="s">
        <v>163</v>
      </c>
      <c r="B11" s="112"/>
      <c r="C11" s="112"/>
      <c r="D11" s="112"/>
      <c r="E11" s="112" t="str">
        <f>E10</f>
        <v>Namrata Maru 9892230344</v>
      </c>
      <c r="F11" s="112"/>
      <c r="G11" s="112"/>
      <c r="H11" s="112"/>
    </row>
    <row r="12" spans="1:26" x14ac:dyDescent="0.35">
      <c r="A12" s="112" t="s">
        <v>7</v>
      </c>
      <c r="B12" s="112"/>
      <c r="C12" s="112"/>
      <c r="D12" s="112"/>
      <c r="E12" s="112" t="s">
        <v>302</v>
      </c>
      <c r="F12" s="112"/>
      <c r="G12" s="112"/>
      <c r="H12" s="112"/>
    </row>
    <row r="13" spans="1:26" hidden="1" x14ac:dyDescent="0.35">
      <c r="A13" s="112" t="s">
        <v>166</v>
      </c>
      <c r="B13" s="112"/>
      <c r="C13" s="112"/>
      <c r="D13" s="112"/>
      <c r="E13" s="112"/>
      <c r="F13" s="112"/>
      <c r="G13" s="112"/>
      <c r="H13" s="112"/>
      <c r="S13" s="56" t="s">
        <v>174</v>
      </c>
      <c r="T13" s="56" t="s">
        <v>184</v>
      </c>
      <c r="U13" s="56" t="s">
        <v>167</v>
      </c>
      <c r="V13" s="56" t="s">
        <v>189</v>
      </c>
      <c r="W13" s="56" t="s">
        <v>207</v>
      </c>
      <c r="X13"/>
      <c r="Y13" t="s">
        <v>189</v>
      </c>
      <c r="Z13" t="e">
        <f ca="1">OFFSET($S$13,1,MATCH($G20,$S$13:$W$13,0)-1,15,1)</f>
        <v>#VALUE!</v>
      </c>
    </row>
    <row r="14" spans="1:26" x14ac:dyDescent="0.35">
      <c r="A14" s="86" t="s">
        <v>276</v>
      </c>
      <c r="B14" s="86"/>
      <c r="C14" s="86"/>
      <c r="D14" s="86"/>
      <c r="E14" s="111" t="s">
        <v>304</v>
      </c>
      <c r="F14" s="111"/>
      <c r="G14" s="111"/>
      <c r="H14" s="111"/>
      <c r="S14" s="56" t="s">
        <v>175</v>
      </c>
      <c r="T14" s="56" t="s">
        <v>182</v>
      </c>
      <c r="U14" s="56" t="s">
        <v>204</v>
      </c>
      <c r="V14" s="56" t="s">
        <v>190</v>
      </c>
      <c r="W14" s="56" t="s">
        <v>208</v>
      </c>
      <c r="X14"/>
      <c r="Y14"/>
      <c r="Z14"/>
    </row>
    <row r="15" spans="1:26" x14ac:dyDescent="0.35">
      <c r="A15" s="86" t="s">
        <v>8</v>
      </c>
      <c r="B15" s="86"/>
      <c r="C15" s="86"/>
      <c r="D15" s="86"/>
      <c r="E15" s="111" t="s">
        <v>298</v>
      </c>
      <c r="F15" s="112"/>
      <c r="G15" s="112"/>
      <c r="H15" s="112"/>
      <c r="I15" s="106" t="e">
        <f ca="1">OFFSET($D$5,1,MATCH($J13,$D$5:$H$5,0)-1,15,1)</f>
        <v>#N/A</v>
      </c>
      <c r="J15" s="107"/>
      <c r="K15" s="107"/>
      <c r="L15" s="107"/>
      <c r="M15" s="107"/>
      <c r="N15" s="107"/>
      <c r="O15" s="107"/>
      <c r="P15" s="107"/>
      <c r="S15" s="56" t="s">
        <v>176</v>
      </c>
      <c r="T15" s="56" t="s">
        <v>183</v>
      </c>
      <c r="U15" s="56" t="s">
        <v>205</v>
      </c>
      <c r="V15" s="56" t="s">
        <v>191</v>
      </c>
      <c r="W15" s="56" t="s">
        <v>221</v>
      </c>
      <c r="X15"/>
      <c r="Y15"/>
      <c r="Z15"/>
    </row>
    <row r="16" spans="1:26" ht="64.5" customHeight="1" x14ac:dyDescent="0.35">
      <c r="A16" s="92" t="s">
        <v>9</v>
      </c>
      <c r="B16" s="92"/>
      <c r="C16" s="92" t="str">
        <f>CONCATENATE((IF(OR(E9="",E9="NA"),"",E9)),", ",(IF(OR(A17="",A17="NA"),"",A17)),".",(IF(OR(C17="",C17="NA"),"",C17)),", near ",(IF(OR(C22="",C22="NA"),"",C22)),", ",(IF(OR(C19="",C19="NA"),"",C19)),", ",(IF(OR(C18="",C18="NA"),"",C18)),", ",(IF(OR(G19="",G19="NA"),"",G19)),", ",(IF(OR(C20="",C20="NA"),"",C20)),", ",(IF(OR(C21="",C21="NA"),"",C21)),", ",(IF(OR(G20="",G20="NA"),"",G20))," - ",(IF(OR(G21="",G21="NA"),"",G21)),".")</f>
        <v>Crystal Antara, Gut No.64/1, 64/2, 64/3/1, 64/3/2, 68/1A, 68/1B, 68/2C, 68/3B, 59A/30/2/1, 59A/30/2/2, 59A/30/2/3, 67/1A, 67/1B, 67/2A, 67/2B, 67/3, 69/1, 69/2, 69/3, 69/4, near Crystal Spires Towers, Ghodbunder Service Road, Bhavani Nagar, Chitalsar Manpada, Thane West, Thane, Thane  - 400607.</v>
      </c>
      <c r="D16" s="92"/>
      <c r="E16" s="92"/>
      <c r="F16" s="92"/>
      <c r="G16" s="92"/>
      <c r="H16" s="92"/>
      <c r="S16" s="56" t="s">
        <v>177</v>
      </c>
      <c r="T16" s="56" t="s">
        <v>185</v>
      </c>
      <c r="U16" s="56" t="s">
        <v>206</v>
      </c>
      <c r="V16" s="56" t="s">
        <v>192</v>
      </c>
      <c r="W16" s="56" t="s">
        <v>209</v>
      </c>
      <c r="X16"/>
      <c r="Y16"/>
      <c r="Z16"/>
    </row>
    <row r="17" spans="1:26" ht="33" customHeight="1" x14ac:dyDescent="0.35">
      <c r="A17" s="111" t="s">
        <v>305</v>
      </c>
      <c r="B17" s="111"/>
      <c r="C17" s="111" t="s">
        <v>306</v>
      </c>
      <c r="D17" s="111"/>
      <c r="E17" s="111"/>
      <c r="F17" s="111"/>
      <c r="G17" s="111"/>
      <c r="H17" s="111"/>
      <c r="S17" s="56" t="s">
        <v>178</v>
      </c>
      <c r="T17" s="56" t="s">
        <v>186</v>
      </c>
      <c r="U17" s="56" t="s">
        <v>167</v>
      </c>
      <c r="V17" s="56" t="s">
        <v>193</v>
      </c>
      <c r="W17" s="56" t="s">
        <v>210</v>
      </c>
      <c r="X17"/>
      <c r="Y17"/>
      <c r="Z17"/>
    </row>
    <row r="18" spans="1:26" ht="15.75" customHeight="1" x14ac:dyDescent="0.35">
      <c r="A18" s="111" t="s">
        <v>157</v>
      </c>
      <c r="B18" s="111"/>
      <c r="C18" s="111" t="s">
        <v>312</v>
      </c>
      <c r="D18" s="111"/>
      <c r="E18" s="111"/>
      <c r="F18" s="111"/>
      <c r="G18" s="111"/>
      <c r="H18" s="111"/>
      <c r="S18" s="56" t="s">
        <v>179</v>
      </c>
      <c r="T18" s="56" t="s">
        <v>184</v>
      </c>
      <c r="U18" s="56"/>
      <c r="V18" s="56" t="s">
        <v>194</v>
      </c>
      <c r="W18" s="56" t="s">
        <v>211</v>
      </c>
      <c r="X18"/>
      <c r="Y18"/>
      <c r="Z18"/>
    </row>
    <row r="19" spans="1:26" ht="15.75" customHeight="1" x14ac:dyDescent="0.35">
      <c r="A19" s="92" t="s">
        <v>10</v>
      </c>
      <c r="B19" s="92"/>
      <c r="C19" s="112" t="s">
        <v>311</v>
      </c>
      <c r="D19" s="112"/>
      <c r="E19" s="92" t="s">
        <v>70</v>
      </c>
      <c r="F19" s="92"/>
      <c r="G19" s="111" t="s">
        <v>308</v>
      </c>
      <c r="H19" s="111"/>
      <c r="S19" s="56" t="s">
        <v>180</v>
      </c>
      <c r="T19" s="56" t="s">
        <v>187</v>
      </c>
      <c r="U19" s="56"/>
      <c r="V19" s="56" t="s">
        <v>195</v>
      </c>
      <c r="W19" s="56" t="s">
        <v>212</v>
      </c>
      <c r="X19"/>
      <c r="Y19"/>
      <c r="Z19"/>
    </row>
    <row r="20" spans="1:26" x14ac:dyDescent="0.35">
      <c r="A20" s="86" t="s">
        <v>12</v>
      </c>
      <c r="B20" s="86"/>
      <c r="C20" s="111" t="s">
        <v>307</v>
      </c>
      <c r="D20" s="111"/>
      <c r="E20" s="92" t="s">
        <v>11</v>
      </c>
      <c r="F20" s="92"/>
      <c r="G20" s="164" t="s">
        <v>174</v>
      </c>
      <c r="H20" s="164"/>
      <c r="S20" s="56" t="s">
        <v>181</v>
      </c>
      <c r="T20" s="56" t="s">
        <v>188</v>
      </c>
      <c r="U20" s="56"/>
      <c r="V20" s="56" t="s">
        <v>196</v>
      </c>
      <c r="W20" s="56" t="s">
        <v>213</v>
      </c>
      <c r="X20"/>
      <c r="Y20"/>
      <c r="Z20"/>
    </row>
    <row r="21" spans="1:26" x14ac:dyDescent="0.35">
      <c r="A21" s="86" t="s">
        <v>71</v>
      </c>
      <c r="B21" s="86"/>
      <c r="C21" s="111" t="s">
        <v>175</v>
      </c>
      <c r="D21" s="111"/>
      <c r="E21" s="92" t="s">
        <v>13</v>
      </c>
      <c r="F21" s="92"/>
      <c r="G21" s="111">
        <v>400607</v>
      </c>
      <c r="H21" s="111"/>
      <c r="S21" s="56"/>
      <c r="T21" s="56"/>
      <c r="U21" s="56"/>
      <c r="V21" s="56" t="s">
        <v>197</v>
      </c>
      <c r="W21" s="56" t="s">
        <v>214</v>
      </c>
      <c r="X21"/>
      <c r="Y21"/>
      <c r="Z21"/>
    </row>
    <row r="22" spans="1:26" ht="32.25" customHeight="1" x14ac:dyDescent="0.35">
      <c r="A22" s="86" t="s">
        <v>116</v>
      </c>
      <c r="B22" s="86"/>
      <c r="C22" s="111" t="s">
        <v>309</v>
      </c>
      <c r="D22" s="111"/>
      <c r="E22" s="92" t="s">
        <v>14</v>
      </c>
      <c r="F22" s="92"/>
      <c r="G22" s="111" t="s">
        <v>310</v>
      </c>
      <c r="H22" s="111"/>
      <c r="S22" s="56"/>
      <c r="T22" s="56"/>
      <c r="U22" s="56"/>
      <c r="V22" s="56" t="s">
        <v>198</v>
      </c>
      <c r="W22" s="56" t="s">
        <v>215</v>
      </c>
      <c r="X22"/>
      <c r="Y22"/>
      <c r="Z22"/>
    </row>
    <row r="23" spans="1:26" ht="15" customHeight="1" x14ac:dyDescent="0.35">
      <c r="A23" s="92" t="s">
        <v>73</v>
      </c>
      <c r="B23" s="92"/>
      <c r="C23" s="92"/>
      <c r="D23" s="92"/>
      <c r="E23" s="112" t="s">
        <v>15</v>
      </c>
      <c r="F23" s="112"/>
      <c r="G23" s="112"/>
      <c r="H23" s="112"/>
      <c r="S23" s="56"/>
      <c r="T23" s="56"/>
      <c r="U23" s="56"/>
      <c r="V23" s="56" t="s">
        <v>199</v>
      </c>
      <c r="W23" s="56" t="s">
        <v>216</v>
      </c>
      <c r="X23"/>
      <c r="Y23"/>
      <c r="Z23"/>
    </row>
    <row r="24" spans="1:26" ht="18.75" customHeight="1" x14ac:dyDescent="0.35">
      <c r="A24" s="92"/>
      <c r="B24" s="92"/>
      <c r="C24" s="92"/>
      <c r="D24" s="92"/>
      <c r="E24" s="112"/>
      <c r="F24" s="112"/>
      <c r="G24" s="112"/>
      <c r="H24" s="112"/>
      <c r="S24" s="56"/>
      <c r="T24" s="56"/>
      <c r="U24" s="56"/>
      <c r="V24" s="56" t="s">
        <v>200</v>
      </c>
      <c r="W24" s="56" t="s">
        <v>217</v>
      </c>
      <c r="X24"/>
      <c r="Y24"/>
      <c r="Z24"/>
    </row>
    <row r="25" spans="1:26" ht="15" customHeight="1" x14ac:dyDescent="0.35">
      <c r="A25" s="92" t="s">
        <v>16</v>
      </c>
      <c r="B25" s="92"/>
      <c r="C25" s="92"/>
      <c r="D25" s="92"/>
      <c r="E25" s="111" t="s">
        <v>17</v>
      </c>
      <c r="F25" s="111"/>
      <c r="G25" s="111"/>
      <c r="H25" s="111"/>
      <c r="S25" s="56"/>
      <c r="T25" s="56"/>
      <c r="U25" s="56"/>
      <c r="V25" s="56" t="s">
        <v>201</v>
      </c>
      <c r="W25" s="56" t="s">
        <v>218</v>
      </c>
      <c r="X25"/>
      <c r="Y25"/>
      <c r="Z25"/>
    </row>
    <row r="26" spans="1:26" ht="15" customHeight="1" x14ac:dyDescent="0.35">
      <c r="A26" s="86" t="s">
        <v>18</v>
      </c>
      <c r="B26" s="86"/>
      <c r="C26" s="86"/>
      <c r="D26" s="86"/>
      <c r="E26" s="111" t="str">
        <f>IF(AND(G20="Mumbai"),"Upper Class","Middle Class")</f>
        <v>Middle Class</v>
      </c>
      <c r="F26" s="111"/>
      <c r="G26" s="111"/>
      <c r="H26" s="111"/>
      <c r="S26" s="56"/>
      <c r="T26" s="56"/>
      <c r="U26" s="56"/>
      <c r="V26" s="56" t="s">
        <v>202</v>
      </c>
      <c r="W26" s="56" t="s">
        <v>219</v>
      </c>
      <c r="X26"/>
      <c r="Y26"/>
      <c r="Z26"/>
    </row>
    <row r="27" spans="1:26" x14ac:dyDescent="0.35">
      <c r="A27" s="86" t="s">
        <v>19</v>
      </c>
      <c r="B27" s="86"/>
      <c r="C27" s="86"/>
      <c r="D27" s="86"/>
      <c r="E27" s="111" t="s">
        <v>20</v>
      </c>
      <c r="F27" s="111"/>
      <c r="G27" s="111"/>
      <c r="H27" s="111"/>
      <c r="S27" s="56"/>
      <c r="T27" s="56"/>
      <c r="U27" s="56"/>
      <c r="V27" s="56" t="s">
        <v>203</v>
      </c>
      <c r="W27" s="56" t="s">
        <v>220</v>
      </c>
      <c r="X27"/>
      <c r="Y27"/>
      <c r="Z27"/>
    </row>
    <row r="28" spans="1:26" ht="15.75" customHeight="1" x14ac:dyDescent="0.35">
      <c r="A28" s="86" t="s">
        <v>21</v>
      </c>
      <c r="B28" s="86"/>
      <c r="C28" s="86"/>
      <c r="D28" s="86"/>
      <c r="E28" s="111" t="str">
        <f>IF(AND(G20="Mumbai"),"Developed","Developing")</f>
        <v>Developing</v>
      </c>
      <c r="F28" s="111"/>
      <c r="G28" s="111"/>
      <c r="H28" s="111"/>
    </row>
    <row r="29" spans="1:26" x14ac:dyDescent="0.35">
      <c r="A29" s="86" t="s">
        <v>22</v>
      </c>
      <c r="B29" s="86"/>
      <c r="C29" s="86"/>
      <c r="D29" s="86"/>
      <c r="E29" s="111" t="s">
        <v>23</v>
      </c>
      <c r="F29" s="111"/>
      <c r="G29" s="111"/>
      <c r="H29" s="111"/>
    </row>
    <row r="30" spans="1:26" ht="15.75" customHeight="1" x14ac:dyDescent="0.35">
      <c r="A30" s="86" t="s">
        <v>78</v>
      </c>
      <c r="B30" s="86"/>
      <c r="C30" s="86"/>
      <c r="D30" s="86"/>
      <c r="E30" s="111" t="s">
        <v>79</v>
      </c>
      <c r="F30" s="111"/>
      <c r="G30" s="111"/>
      <c r="H30" s="111"/>
    </row>
    <row r="31" spans="1:26" ht="15" customHeight="1" x14ac:dyDescent="0.35">
      <c r="A31" s="86" t="s">
        <v>30</v>
      </c>
      <c r="B31" s="86"/>
      <c r="C31" s="86"/>
      <c r="D31" s="86"/>
      <c r="E31" s="11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11"/>
      <c r="G31" s="111"/>
      <c r="H31" s="111"/>
    </row>
    <row r="32" spans="1:26" ht="15.75" customHeight="1" x14ac:dyDescent="0.35">
      <c r="A32" s="86" t="s">
        <v>89</v>
      </c>
      <c r="B32" s="86"/>
      <c r="C32" s="86"/>
      <c r="D32" s="86"/>
      <c r="E32" s="111" t="s">
        <v>31</v>
      </c>
      <c r="F32" s="111"/>
      <c r="G32" s="111"/>
      <c r="H32" s="111"/>
    </row>
    <row r="33" spans="1:19" s="21" customFormat="1" x14ac:dyDescent="0.35">
      <c r="A33" s="166" t="s">
        <v>90</v>
      </c>
      <c r="B33" s="166"/>
      <c r="C33" s="108" t="s">
        <v>168</v>
      </c>
      <c r="D33" s="108"/>
      <c r="E33" s="108"/>
      <c r="F33" s="108" t="s">
        <v>29</v>
      </c>
      <c r="G33" s="108"/>
      <c r="H33" s="108"/>
      <c r="S33" s="21" t="e">
        <f ca="1">OFFSET($S$13,1,MATCH($G20,$S$13:$W$13,0)-1,15,1)</f>
        <v>#VALUE!</v>
      </c>
    </row>
    <row r="34" spans="1:19" s="21" customFormat="1" x14ac:dyDescent="0.35">
      <c r="A34" s="165" t="s">
        <v>24</v>
      </c>
      <c r="B34" s="165" t="s">
        <v>28</v>
      </c>
      <c r="C34" s="194" t="s">
        <v>315</v>
      </c>
      <c r="D34" s="194"/>
      <c r="E34" s="194"/>
      <c r="F34" s="194" t="s">
        <v>318</v>
      </c>
      <c r="G34" s="194"/>
      <c r="H34" s="194"/>
    </row>
    <row r="35" spans="1:19" x14ac:dyDescent="0.35">
      <c r="A35" s="165" t="s">
        <v>25</v>
      </c>
      <c r="B35" s="165" t="s">
        <v>28</v>
      </c>
      <c r="C35" s="194" t="s">
        <v>319</v>
      </c>
      <c r="D35" s="194"/>
      <c r="E35" s="194"/>
      <c r="F35" s="194" t="s">
        <v>319</v>
      </c>
      <c r="G35" s="194"/>
      <c r="H35" s="194"/>
    </row>
    <row r="36" spans="1:19" s="21" customFormat="1" x14ac:dyDescent="0.35">
      <c r="A36" s="165" t="s">
        <v>27</v>
      </c>
      <c r="B36" s="165" t="s">
        <v>28</v>
      </c>
      <c r="C36" s="194" t="s">
        <v>314</v>
      </c>
      <c r="D36" s="194"/>
      <c r="E36" s="194"/>
      <c r="F36" s="194" t="s">
        <v>317</v>
      </c>
      <c r="G36" s="194"/>
      <c r="H36" s="194"/>
    </row>
    <row r="37" spans="1:19" x14ac:dyDescent="0.35">
      <c r="A37" s="165" t="s">
        <v>26</v>
      </c>
      <c r="B37" s="165" t="s">
        <v>28</v>
      </c>
      <c r="C37" s="194" t="s">
        <v>316</v>
      </c>
      <c r="D37" s="194"/>
      <c r="E37" s="194"/>
      <c r="F37" s="194" t="s">
        <v>316</v>
      </c>
      <c r="G37" s="194"/>
      <c r="H37" s="194"/>
    </row>
    <row r="38" spans="1:19" x14ac:dyDescent="0.35">
      <c r="A38" s="86" t="s">
        <v>277</v>
      </c>
      <c r="B38" s="86"/>
      <c r="C38" s="86"/>
      <c r="D38" s="86"/>
      <c r="E38" s="86"/>
      <c r="F38" s="86"/>
      <c r="G38" s="86"/>
      <c r="H38" s="86"/>
    </row>
    <row r="39" spans="1:19" ht="15.75" customHeight="1" x14ac:dyDescent="0.35">
      <c r="A39" s="86" t="s">
        <v>160</v>
      </c>
      <c r="B39" s="86"/>
      <c r="C39" s="160" t="s">
        <v>313</v>
      </c>
      <c r="D39" s="160"/>
      <c r="E39" s="160"/>
      <c r="F39" s="160"/>
      <c r="G39" s="160"/>
      <c r="H39" s="160"/>
    </row>
    <row r="40" spans="1:19" x14ac:dyDescent="0.35">
      <c r="A40" s="86" t="s">
        <v>156</v>
      </c>
      <c r="B40" s="86"/>
      <c r="C40" s="187" t="s">
        <v>303</v>
      </c>
      <c r="D40" s="111"/>
      <c r="E40" s="111"/>
      <c r="F40" s="111"/>
      <c r="G40" s="111"/>
      <c r="H40" s="111"/>
    </row>
    <row r="41" spans="1:19" x14ac:dyDescent="0.35">
      <c r="A41" s="160" t="s">
        <v>32</v>
      </c>
      <c r="B41" s="160"/>
      <c r="C41" s="160"/>
      <c r="D41" s="160"/>
      <c r="E41" s="160"/>
      <c r="F41" s="160"/>
      <c r="G41" s="160"/>
      <c r="H41" s="160"/>
    </row>
    <row r="42" spans="1:19" x14ac:dyDescent="0.35">
      <c r="A42" s="86" t="s">
        <v>33</v>
      </c>
      <c r="B42" s="86"/>
      <c r="C42" s="86"/>
      <c r="D42" s="86"/>
      <c r="E42" s="167">
        <v>54164.4</v>
      </c>
      <c r="F42" s="167"/>
      <c r="G42" s="167"/>
      <c r="H42" s="167"/>
    </row>
    <row r="43" spans="1:19" x14ac:dyDescent="0.35">
      <c r="A43" s="86" t="s">
        <v>34</v>
      </c>
      <c r="B43" s="86"/>
      <c r="C43" s="86"/>
      <c r="D43" s="86"/>
      <c r="E43" s="109">
        <v>1.1000000000000001</v>
      </c>
      <c r="F43" s="109"/>
      <c r="G43" s="109"/>
      <c r="H43" s="109"/>
    </row>
    <row r="44" spans="1:19" x14ac:dyDescent="0.35">
      <c r="A44" s="86" t="s">
        <v>35</v>
      </c>
      <c r="B44" s="86"/>
      <c r="C44" s="86"/>
      <c r="D44" s="86"/>
      <c r="E44" s="109">
        <f>E46/E42-E43</f>
        <v>0.72118125558484891</v>
      </c>
      <c r="F44" s="109"/>
      <c r="G44" s="109"/>
      <c r="H44" s="109"/>
    </row>
    <row r="45" spans="1:19" x14ac:dyDescent="0.35">
      <c r="A45" s="86" t="s">
        <v>36</v>
      </c>
      <c r="B45" s="86"/>
      <c r="C45" s="86"/>
      <c r="D45" s="86"/>
      <c r="E45" s="109">
        <f>E43+E44</f>
        <v>1.821181255584849</v>
      </c>
      <c r="F45" s="109"/>
      <c r="G45" s="109"/>
      <c r="H45" s="109"/>
    </row>
    <row r="46" spans="1:19" x14ac:dyDescent="0.35">
      <c r="A46" s="86" t="s">
        <v>88</v>
      </c>
      <c r="B46" s="86"/>
      <c r="C46" s="86"/>
      <c r="D46" s="86"/>
      <c r="E46" s="169">
        <v>98643.19</v>
      </c>
      <c r="F46" s="169"/>
      <c r="G46" s="169"/>
      <c r="H46" s="169"/>
    </row>
    <row r="47" spans="1:19" x14ac:dyDescent="0.35">
      <c r="A47" s="112" t="s">
        <v>37</v>
      </c>
      <c r="B47" s="112"/>
      <c r="C47" s="112"/>
      <c r="D47" s="112"/>
      <c r="E47" s="112" t="s">
        <v>360</v>
      </c>
      <c r="F47" s="112"/>
      <c r="G47" s="112"/>
      <c r="H47" s="112"/>
    </row>
    <row r="48" spans="1:19" x14ac:dyDescent="0.35">
      <c r="A48" s="160" t="s">
        <v>38</v>
      </c>
      <c r="B48" s="160"/>
      <c r="C48" s="160"/>
      <c r="D48" s="160"/>
      <c r="E48" s="160"/>
      <c r="F48" s="160"/>
      <c r="G48" s="160"/>
      <c r="H48" s="160"/>
    </row>
    <row r="49" spans="1:24" ht="33.75" customHeight="1" x14ac:dyDescent="0.35">
      <c r="A49" s="103" t="s">
        <v>145</v>
      </c>
      <c r="B49" s="105"/>
      <c r="C49" s="181" t="s">
        <v>257</v>
      </c>
      <c r="D49" s="182"/>
      <c r="E49" s="182"/>
      <c r="F49" s="182"/>
      <c r="G49" s="182"/>
      <c r="H49" s="183"/>
      <c r="R49" t="s">
        <v>250</v>
      </c>
      <c r="S49" t="s">
        <v>167</v>
      </c>
      <c r="T49" t="s">
        <v>174</v>
      </c>
      <c r="U49" t="s">
        <v>189</v>
      </c>
      <c r="V49" t="s">
        <v>184</v>
      </c>
    </row>
    <row r="50" spans="1:24" ht="15.75" customHeight="1" x14ac:dyDescent="0.35">
      <c r="A50" s="103" t="s">
        <v>39</v>
      </c>
      <c r="B50" s="105"/>
      <c r="C50" s="103" t="s">
        <v>321</v>
      </c>
      <c r="D50" s="104"/>
      <c r="E50" s="105"/>
      <c r="F50" s="17" t="s">
        <v>40</v>
      </c>
      <c r="G50" s="179">
        <v>45210</v>
      </c>
      <c r="H50" s="180"/>
      <c r="R50"/>
      <c r="S50" t="s">
        <v>251</v>
      </c>
      <c r="T50" t="s">
        <v>256</v>
      </c>
      <c r="U50" t="s">
        <v>267</v>
      </c>
      <c r="V50" t="s">
        <v>272</v>
      </c>
    </row>
    <row r="51" spans="1:24" ht="15.75" customHeight="1" x14ac:dyDescent="0.35">
      <c r="A51" s="103" t="s">
        <v>41</v>
      </c>
      <c r="B51" s="105"/>
      <c r="C51" s="103" t="str">
        <f>C50</f>
        <v>S04/0086/15-TMC/TD-DP/TPS/0009/23</v>
      </c>
      <c r="D51" s="104"/>
      <c r="E51" s="105"/>
      <c r="F51" s="17" t="s">
        <v>40</v>
      </c>
      <c r="G51" s="123">
        <f>G50</f>
        <v>45210</v>
      </c>
      <c r="H51" s="105"/>
      <c r="R51"/>
      <c r="S51" t="s">
        <v>252</v>
      </c>
      <c r="T51" t="s">
        <v>257</v>
      </c>
      <c r="U51" t="s">
        <v>265</v>
      </c>
      <c r="V51" t="s">
        <v>273</v>
      </c>
    </row>
    <row r="52" spans="1:24" s="22" customFormat="1" ht="33" customHeight="1" x14ac:dyDescent="0.35">
      <c r="A52" s="99" t="s">
        <v>149</v>
      </c>
      <c r="B52" s="100"/>
      <c r="C52" s="103" t="s">
        <v>322</v>
      </c>
      <c r="D52" s="104"/>
      <c r="E52" s="105"/>
      <c r="F52" s="17" t="s">
        <v>40</v>
      </c>
      <c r="G52" s="123">
        <v>45292</v>
      </c>
      <c r="H52" s="105"/>
      <c r="R52"/>
      <c r="S52" t="s">
        <v>253</v>
      </c>
      <c r="T52" t="s">
        <v>258</v>
      </c>
      <c r="U52" t="s">
        <v>255</v>
      </c>
      <c r="V52" t="s">
        <v>274</v>
      </c>
    </row>
    <row r="53" spans="1:24" s="22" customFormat="1" ht="33.75" customHeight="1" x14ac:dyDescent="0.35">
      <c r="A53" s="101"/>
      <c r="B53" s="102"/>
      <c r="C53" s="103" t="s">
        <v>325</v>
      </c>
      <c r="D53" s="104"/>
      <c r="E53" s="104"/>
      <c r="F53" s="104"/>
      <c r="G53" s="104"/>
      <c r="H53" s="105"/>
      <c r="R53"/>
      <c r="S53" t="s">
        <v>254</v>
      </c>
      <c r="T53" t="s">
        <v>261</v>
      </c>
      <c r="U53" t="s">
        <v>268</v>
      </c>
    </row>
    <row r="54" spans="1:24" s="22" customFormat="1" hidden="1" x14ac:dyDescent="0.35">
      <c r="A54" s="115" t="s">
        <v>278</v>
      </c>
      <c r="B54" s="116"/>
      <c r="C54" s="103" t="e">
        <f>#REF!</f>
        <v>#REF!</v>
      </c>
      <c r="D54" s="104"/>
      <c r="E54" s="105"/>
      <c r="F54" s="17" t="s">
        <v>40</v>
      </c>
      <c r="G54" s="103"/>
      <c r="H54" s="105"/>
      <c r="R54"/>
      <c r="S54" t="s">
        <v>253</v>
      </c>
      <c r="T54" t="s">
        <v>258</v>
      </c>
      <c r="U54" t="s">
        <v>255</v>
      </c>
      <c r="V54" t="s">
        <v>274</v>
      </c>
    </row>
    <row r="55" spans="1:24" s="22" customFormat="1" ht="32.25" hidden="1" customHeight="1" x14ac:dyDescent="0.35">
      <c r="A55" s="117"/>
      <c r="B55" s="118"/>
      <c r="C55" s="188"/>
      <c r="D55" s="189"/>
      <c r="E55" s="189"/>
      <c r="F55" s="189"/>
      <c r="G55" s="189"/>
      <c r="H55" s="190"/>
      <c r="R55"/>
      <c r="S55" t="s">
        <v>255</v>
      </c>
      <c r="T55" t="s">
        <v>259</v>
      </c>
      <c r="U55" t="s">
        <v>269</v>
      </c>
      <c r="V55" s="20"/>
      <c r="W55" s="20"/>
      <c r="X55" s="20"/>
    </row>
    <row r="56" spans="1:24" s="22" customFormat="1" ht="34.5" customHeight="1" x14ac:dyDescent="0.35">
      <c r="A56" s="119" t="s">
        <v>279</v>
      </c>
      <c r="B56" s="120"/>
      <c r="C56" s="103" t="s">
        <v>326</v>
      </c>
      <c r="D56" s="104"/>
      <c r="E56" s="105"/>
      <c r="F56" s="17" t="s">
        <v>40</v>
      </c>
      <c r="G56" s="123">
        <v>45324</v>
      </c>
      <c r="H56" s="105"/>
      <c r="R56"/>
      <c r="S56" s="20"/>
      <c r="T56" t="s">
        <v>260</v>
      </c>
      <c r="U56" t="s">
        <v>270</v>
      </c>
      <c r="V56" s="20"/>
      <c r="W56" s="20"/>
      <c r="X56" s="20"/>
    </row>
    <row r="57" spans="1:24" s="22" customFormat="1" ht="16.5" customHeight="1" x14ac:dyDescent="0.35">
      <c r="A57" s="121"/>
      <c r="B57" s="122"/>
      <c r="C57" s="103" t="s">
        <v>327</v>
      </c>
      <c r="D57" s="104"/>
      <c r="E57" s="104"/>
      <c r="F57" s="104"/>
      <c r="G57" s="104"/>
      <c r="H57" s="105"/>
      <c r="R57"/>
      <c r="S57" s="20"/>
      <c r="T57" t="s">
        <v>262</v>
      </c>
      <c r="U57" t="s">
        <v>271</v>
      </c>
      <c r="V57" s="20"/>
      <c r="W57" s="20"/>
      <c r="X57" s="20"/>
    </row>
    <row r="58" spans="1:24" s="22" customFormat="1" ht="15.75" hidden="1" customHeight="1" x14ac:dyDescent="0.35">
      <c r="A58" s="115" t="s">
        <v>280</v>
      </c>
      <c r="B58" s="116"/>
      <c r="C58" s="103" t="str">
        <f>C57</f>
        <v>Building No.T6 &amp; T7 = G + 1st to 4th P + 1st to 48th Floor (180.40 Mt)</v>
      </c>
      <c r="D58" s="104"/>
      <c r="E58" s="105"/>
      <c r="F58" s="17" t="s">
        <v>40</v>
      </c>
      <c r="G58" s="103">
        <f>G57</f>
        <v>0</v>
      </c>
      <c r="H58" s="105"/>
      <c r="R58"/>
      <c r="S58" s="20"/>
      <c r="T58" t="s">
        <v>263</v>
      </c>
      <c r="U58" s="20" t="s">
        <v>294</v>
      </c>
      <c r="V58" s="20"/>
      <c r="W58" s="20"/>
      <c r="X58" s="20"/>
    </row>
    <row r="59" spans="1:24" s="22" customFormat="1" ht="33.75" hidden="1" customHeight="1" x14ac:dyDescent="0.35">
      <c r="A59" s="117"/>
      <c r="B59" s="118"/>
      <c r="C59" s="103"/>
      <c r="D59" s="104"/>
      <c r="E59" s="104"/>
      <c r="F59" s="104"/>
      <c r="G59" s="104"/>
      <c r="H59" s="105"/>
      <c r="R59"/>
      <c r="S59" s="20"/>
      <c r="T59" t="s">
        <v>264</v>
      </c>
      <c r="U59" s="20"/>
      <c r="V59" s="20"/>
      <c r="W59" s="20"/>
      <c r="X59" s="20"/>
    </row>
    <row r="60" spans="1:24" x14ac:dyDescent="0.35">
      <c r="A60" s="83" t="s">
        <v>42</v>
      </c>
      <c r="B60" s="84"/>
      <c r="C60" s="83" t="s">
        <v>99</v>
      </c>
      <c r="D60" s="85"/>
      <c r="E60" s="84"/>
      <c r="F60" s="44" t="s">
        <v>40</v>
      </c>
      <c r="G60" s="113" t="s">
        <v>28</v>
      </c>
      <c r="H60" s="114"/>
      <c r="R60"/>
      <c r="T60" t="s">
        <v>266</v>
      </c>
    </row>
    <row r="61" spans="1:24" x14ac:dyDescent="0.35">
      <c r="A61" s="110" t="s">
        <v>44</v>
      </c>
      <c r="B61" s="110"/>
      <c r="C61" s="110"/>
      <c r="D61" s="110"/>
      <c r="E61" s="110"/>
      <c r="F61" s="110"/>
      <c r="G61" s="110"/>
      <c r="H61" s="110"/>
      <c r="T61" t="s">
        <v>275</v>
      </c>
    </row>
    <row r="62" spans="1:24" ht="31.5" customHeight="1" x14ac:dyDescent="0.35">
      <c r="A62" s="92" t="s">
        <v>320</v>
      </c>
      <c r="B62" s="92"/>
      <c r="C62" s="92"/>
      <c r="D62" s="86">
        <v>37513.22</v>
      </c>
      <c r="E62" s="86"/>
      <c r="F62" s="86"/>
      <c r="G62" s="86"/>
      <c r="H62" s="86"/>
      <c r="R62"/>
    </row>
    <row r="63" spans="1:24" x14ac:dyDescent="0.35">
      <c r="A63" s="111" t="s">
        <v>45</v>
      </c>
      <c r="B63" s="112"/>
      <c r="C63" s="112"/>
      <c r="D63" s="112" t="s">
        <v>351</v>
      </c>
      <c r="E63" s="112"/>
      <c r="F63" s="112"/>
      <c r="G63" s="112"/>
      <c r="H63" s="112"/>
      <c r="I63" s="23"/>
      <c r="R63"/>
    </row>
    <row r="64" spans="1:24" ht="32.25" customHeight="1" x14ac:dyDescent="0.35">
      <c r="A64" s="119" t="s">
        <v>46</v>
      </c>
      <c r="B64" s="170"/>
      <c r="C64" s="120"/>
      <c r="D64" s="184" t="s">
        <v>325</v>
      </c>
      <c r="E64" s="185"/>
      <c r="F64" s="185"/>
      <c r="G64" s="185"/>
      <c r="H64" s="185"/>
      <c r="R64"/>
    </row>
    <row r="65" spans="1:19" ht="15.75" customHeight="1" x14ac:dyDescent="0.35">
      <c r="A65" s="119" t="s">
        <v>86</v>
      </c>
      <c r="B65" s="170"/>
      <c r="C65" s="170"/>
      <c r="D65" s="173" t="s">
        <v>323</v>
      </c>
      <c r="E65" s="174"/>
      <c r="F65" s="174"/>
      <c r="G65" s="174"/>
      <c r="H65" s="175"/>
      <c r="R65"/>
    </row>
    <row r="66" spans="1:19" ht="15.75" customHeight="1" x14ac:dyDescent="0.35">
      <c r="A66" s="171"/>
      <c r="B66" s="172"/>
      <c r="C66" s="172"/>
      <c r="D66" s="176" t="s">
        <v>324</v>
      </c>
      <c r="E66" s="177"/>
      <c r="F66" s="177"/>
      <c r="G66" s="177"/>
      <c r="H66" s="178"/>
      <c r="R66"/>
    </row>
    <row r="67" spans="1:19" ht="15.75" customHeight="1" x14ac:dyDescent="0.35">
      <c r="A67" s="86" t="s">
        <v>43</v>
      </c>
      <c r="B67" s="86"/>
      <c r="C67" s="86"/>
      <c r="D67" s="92" t="s">
        <v>301</v>
      </c>
      <c r="E67" s="92"/>
      <c r="F67" s="92"/>
      <c r="G67" s="92"/>
      <c r="H67" s="92"/>
      <c r="J67" s="24"/>
      <c r="K67" s="23"/>
      <c r="N67" s="23"/>
      <c r="S67"/>
    </row>
    <row r="68" spans="1:19" ht="15.75" customHeight="1" x14ac:dyDescent="0.35">
      <c r="A68" s="86" t="s">
        <v>84</v>
      </c>
      <c r="B68" s="86"/>
      <c r="C68" s="86"/>
      <c r="D68" s="168" t="str">
        <f>(IF(G60="NA","60 Years After Completion",IF(G60&lt;&gt;"NA",""&amp;60-ROUNDDOWN((E3-G60)/360,0)&amp;" Years"," ")))</f>
        <v>60 Years After Completion</v>
      </c>
      <c r="E68" s="168"/>
      <c r="F68" s="168"/>
      <c r="G68" s="168"/>
      <c r="H68" s="168"/>
      <c r="N68" s="23"/>
      <c r="S68"/>
    </row>
    <row r="69" spans="1:19" ht="15.75" customHeight="1" x14ac:dyDescent="0.35">
      <c r="A69" s="86" t="s">
        <v>85</v>
      </c>
      <c r="B69" s="86"/>
      <c r="C69" s="86"/>
      <c r="D69" s="92" t="s">
        <v>23</v>
      </c>
      <c r="E69" s="92"/>
      <c r="F69" s="92"/>
      <c r="G69" s="92"/>
      <c r="H69" s="92"/>
      <c r="J69" s="25"/>
      <c r="K69" s="25"/>
      <c r="S69"/>
    </row>
    <row r="70" spans="1:19" ht="36" customHeight="1" x14ac:dyDescent="0.35">
      <c r="A70" s="112" t="s">
        <v>328</v>
      </c>
      <c r="B70" s="112"/>
      <c r="C70" s="112"/>
      <c r="D70" s="111" t="s">
        <v>359</v>
      </c>
      <c r="E70" s="92"/>
      <c r="F70" s="92"/>
      <c r="G70" s="92"/>
      <c r="H70" s="92"/>
      <c r="S70"/>
    </row>
    <row r="71" spans="1:19" x14ac:dyDescent="0.35">
      <c r="A71" s="92" t="s">
        <v>142</v>
      </c>
      <c r="B71" s="92"/>
      <c r="C71" s="92"/>
      <c r="D71" s="92" t="s">
        <v>28</v>
      </c>
      <c r="E71" s="92"/>
      <c r="F71" s="92"/>
      <c r="G71" s="92"/>
      <c r="H71" s="92"/>
      <c r="I71" s="26"/>
      <c r="J71" s="26"/>
      <c r="K71" s="26"/>
      <c r="L71" s="26"/>
      <c r="M71" s="26"/>
      <c r="N71" s="26"/>
    </row>
    <row r="72" spans="1:19" ht="15.75" customHeight="1" x14ac:dyDescent="0.35">
      <c r="A72" s="86" t="s">
        <v>83</v>
      </c>
      <c r="B72" s="86"/>
      <c r="C72" s="86"/>
      <c r="D72" s="111" t="str">
        <f ca="1">(IF(G78&gt;95%,"Nothing",IF(G78&gt;0%,"Cement, Aggregate, Steel, etc",IF(G78=0%,"Work not yet Started"))))</f>
        <v>Cement, Aggregate, Steel, etc</v>
      </c>
      <c r="E72" s="111"/>
      <c r="F72" s="111"/>
      <c r="G72" s="111"/>
      <c r="H72" s="111"/>
      <c r="J72" s="25"/>
      <c r="S72"/>
    </row>
    <row r="73" spans="1:19" ht="33.75" customHeight="1" thickBot="1" x14ac:dyDescent="0.4">
      <c r="A73" s="92" t="s">
        <v>112</v>
      </c>
      <c r="B73" s="92"/>
      <c r="C73" s="92"/>
      <c r="D73" s="111" t="str">
        <f ca="1">(IF(D72="Nothing","Yes",IF(D72="Cement, Aggregate, Steel, etc","Under Construction",IF(D72="Work not yet Started","Work not yet Started"))))</f>
        <v>Under Construction</v>
      </c>
      <c r="E73" s="111"/>
      <c r="F73" s="111" t="str">
        <f ca="1">(IF(D72="Nothing","Yes",IF(D72="Cement, Aggregate, Steel, etc","Under Construction",IF(D72="Work not yet Started","Work not yet Started"))))</f>
        <v>Under Construction</v>
      </c>
      <c r="G73" s="111"/>
      <c r="H73" s="111"/>
      <c r="S73"/>
    </row>
    <row r="74" spans="1:19" ht="15.75" customHeight="1" x14ac:dyDescent="0.35">
      <c r="A74" s="203" t="s">
        <v>134</v>
      </c>
      <c r="B74" s="203"/>
      <c r="C74" s="203" t="str">
        <f>D65</f>
        <v>Building No.T6 = G + 1st to 4th P + 1st to 48th Floor</v>
      </c>
      <c r="D74" s="203"/>
      <c r="E74" s="203"/>
      <c r="F74" s="203"/>
      <c r="G74" s="203"/>
      <c r="H74" s="203"/>
      <c r="I74" s="195" t="str">
        <f ca="1">IF(D87=100%,"All work Completed. Possession granted to the Building.",IF(D86=100%,"All work Completed, Waiting for OC",I75&amp;""&amp;I76&amp;""&amp;J75&amp;""&amp;J74&amp;" "&amp;J76))</f>
        <v>Excavation, Plinth Completed, RCC upto 7 Slab, Brickwork upto 1 Floor Completed</v>
      </c>
      <c r="J74" s="49"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7 Slab, Brickwork upto 1 Floor</v>
      </c>
      <c r="S74"/>
    </row>
    <row r="75" spans="1:19" s="22" customFormat="1" x14ac:dyDescent="0.35">
      <c r="A75" s="52" t="s">
        <v>136</v>
      </c>
      <c r="B75" s="52">
        <f>IF(AND(ISNUMBER(SEARCH("1B",C74))),1,IF(AND(ISNUMBER(SEARCH("2B",C74))),2,IF(AND(ISNUMBER(SEARCH("3B",C74))),3,IF(AND(ISNUMBER(SEARCH("4B",C74))),4,IF(ISNUMBER(SEARCH("5B",C74)),5,0)))))</f>
        <v>0</v>
      </c>
      <c r="C75" s="52" t="s">
        <v>69</v>
      </c>
      <c r="D75" s="52">
        <v>1</v>
      </c>
      <c r="E75" s="52" t="s">
        <v>68</v>
      </c>
      <c r="F75" s="52">
        <v>0</v>
      </c>
      <c r="G75" s="52" t="s">
        <v>77</v>
      </c>
      <c r="H75" s="52">
        <f ca="1">--TRIM(RIGHT(SUBSTITUTE(LEFT(C74,_xlfn.AGGREGATE(16,6,FIND({0,1,2,3,4,5,6,7,8,9},C74,ROW(INDIRECT("1:"&amp;LEN(C74)))),1))," ",REPT(" ",LEN(C74))),LEN(C74)))</f>
        <v>48</v>
      </c>
      <c r="I75" s="196" t="str">
        <f ca="1">IF(D78=100%,"Excavation","")&amp;IF(D79=100%,", Plinth","")&amp;IF(D80=100%,", RCC Slab","")&amp;IF(D81=100%,", Brickwork","")&amp;IF(D82=100%,", Internal Plaster","")&amp;IF(D83=100%,", External Plaster","")&amp;IF(D84=100%,", Flooring","")&amp;IF(D85=100%,", Painting","")&amp;IF(D86=100%,", Building common Amenities","")</f>
        <v>Excavation, Plinth</v>
      </c>
      <c r="J75" s="68"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s="69"/>
    </row>
    <row r="76" spans="1:19" x14ac:dyDescent="0.35">
      <c r="A76" s="96" t="s">
        <v>87</v>
      </c>
      <c r="B76" s="96"/>
      <c r="C76" s="97" t="str">
        <f ca="1">I74</f>
        <v>Excavation, Plinth Completed, RCC upto 7 Slab, Brickwork upto 1 Floor Completed</v>
      </c>
      <c r="D76" s="97"/>
      <c r="E76" s="97"/>
      <c r="F76" s="97"/>
      <c r="G76" s="97"/>
      <c r="H76" s="97"/>
      <c r="I76" s="197" t="str">
        <f ca="1">IF(I75&lt;&gt;""," Completed","")</f>
        <v xml:space="preserve"> Completed</v>
      </c>
      <c r="J76" s="51" t="str">
        <f ca="1">IF(J74&lt;&gt;"","Completed","")</f>
        <v>Completed</v>
      </c>
      <c r="S76"/>
    </row>
    <row r="77" spans="1:19" ht="15.75" customHeight="1" x14ac:dyDescent="0.35">
      <c r="A77" s="94" t="s">
        <v>47</v>
      </c>
      <c r="B77" s="94"/>
      <c r="C77" s="73" t="s">
        <v>133</v>
      </c>
      <c r="D77" s="73" t="s">
        <v>80</v>
      </c>
      <c r="E77" s="94" t="s">
        <v>82</v>
      </c>
      <c r="F77" s="94"/>
      <c r="G77" s="94" t="s">
        <v>81</v>
      </c>
      <c r="H77" s="94"/>
      <c r="I77" s="13" t="s">
        <v>135</v>
      </c>
      <c r="J77" s="27">
        <f ca="1">H75*25%</f>
        <v>12</v>
      </c>
      <c r="S77"/>
    </row>
    <row r="78" spans="1:19" x14ac:dyDescent="0.35">
      <c r="A78" s="94" t="s">
        <v>122</v>
      </c>
      <c r="B78" s="94"/>
      <c r="C78" s="73">
        <f ca="1">J79</f>
        <v>48</v>
      </c>
      <c r="D78" s="18">
        <f ca="1">((100/H75)*C78)/100</f>
        <v>1</v>
      </c>
      <c r="E78" s="204">
        <f ca="1">(((C79/H75*10)+(40/(D75+F75+H75)*C80)+(7.5/(H75)*C81)+(7.5/(H75)*C82)+(10/H75*C83)+(10/H75*C84)+(5/H75*C85)+(5/H75*C86)+(5/H75*C87))/100)</f>
        <v>0.15870535714285716</v>
      </c>
      <c r="F78" s="204"/>
      <c r="G78" s="204">
        <f ca="1">((((C78/H75)*20)+((C79/H75)*25)+(30/(H75+F75+D75)*C80)+(5/H75*C81)+(5/H75*C82)+(5/H75*C83)+(5/H75*C84)+(0/H75*C85)+(0/H75*C86)+(5/H75*C87))/100)</f>
        <v>0.49389880952380949</v>
      </c>
      <c r="H78" s="204"/>
      <c r="I78" s="13" t="s">
        <v>94</v>
      </c>
      <c r="J78" s="28">
        <f ca="1">H75*50%</f>
        <v>24</v>
      </c>
    </row>
    <row r="79" spans="1:19" x14ac:dyDescent="0.35">
      <c r="A79" s="94" t="s">
        <v>48</v>
      </c>
      <c r="B79" s="94"/>
      <c r="C79" s="53">
        <f ca="1">J87</f>
        <v>48</v>
      </c>
      <c r="D79" s="18">
        <f ca="1">((100/H75)*C79)/100</f>
        <v>1</v>
      </c>
      <c r="E79" s="204"/>
      <c r="F79" s="204"/>
      <c r="G79" s="204"/>
      <c r="H79" s="204"/>
      <c r="I79" s="13" t="s">
        <v>95</v>
      </c>
      <c r="J79" s="28">
        <f ca="1">H75</f>
        <v>48</v>
      </c>
      <c r="S79"/>
    </row>
    <row r="80" spans="1:19" ht="15.75" customHeight="1" x14ac:dyDescent="0.35">
      <c r="A80" s="94" t="s">
        <v>123</v>
      </c>
      <c r="B80" s="94"/>
      <c r="C80" s="73">
        <v>7</v>
      </c>
      <c r="D80" s="18">
        <f ca="1">((100/(D75+F75+H75))*C80)/100</f>
        <v>0.14285714285714288</v>
      </c>
      <c r="E80" s="204"/>
      <c r="F80" s="204"/>
      <c r="G80" s="204"/>
      <c r="H80" s="204"/>
      <c r="I80" s="13" t="s">
        <v>96</v>
      </c>
      <c r="J80" s="29">
        <f ca="1">(IF(B75&gt;1,(H75/(B75+2)),H75/4))</f>
        <v>12</v>
      </c>
      <c r="S80"/>
    </row>
    <row r="81" spans="1:10" ht="15.75" customHeight="1" x14ac:dyDescent="0.35">
      <c r="A81" s="94" t="s">
        <v>130</v>
      </c>
      <c r="B81" s="94" t="s">
        <v>124</v>
      </c>
      <c r="C81" s="73">
        <v>1</v>
      </c>
      <c r="D81" s="18">
        <f ca="1">((100/H75)*C81)/100</f>
        <v>2.0833333333333336E-2</v>
      </c>
      <c r="E81" s="204"/>
      <c r="F81" s="204"/>
      <c r="G81" s="204"/>
      <c r="H81" s="204"/>
      <c r="I81" s="13" t="s">
        <v>97</v>
      </c>
      <c r="J81" s="29">
        <f ca="1">(IF(B75&gt;1,(H75/(B75+2)+J80),H75/4+J80))</f>
        <v>24</v>
      </c>
    </row>
    <row r="82" spans="1:10" ht="15.75" customHeight="1" x14ac:dyDescent="0.35">
      <c r="A82" s="94" t="s">
        <v>131</v>
      </c>
      <c r="B82" s="94" t="s">
        <v>124</v>
      </c>
      <c r="C82" s="73">
        <v>0</v>
      </c>
      <c r="D82" s="18">
        <f ca="1">((100/H75)*C82)/100</f>
        <v>0</v>
      </c>
      <c r="E82" s="204"/>
      <c r="F82" s="204"/>
      <c r="G82" s="204"/>
      <c r="H82" s="204"/>
      <c r="I82" s="13" t="s">
        <v>140</v>
      </c>
      <c r="J82" s="29">
        <f>(IF(B75&gt;1,(H75/(B75+2)+J81),0))</f>
        <v>0</v>
      </c>
    </row>
    <row r="83" spans="1:10" ht="15" customHeight="1" x14ac:dyDescent="0.35">
      <c r="A83" s="94" t="s">
        <v>129</v>
      </c>
      <c r="B83" s="94" t="s">
        <v>126</v>
      </c>
      <c r="C83" s="73">
        <v>0</v>
      </c>
      <c r="D83" s="18">
        <f ca="1">((100/(H75))*C83)/100</f>
        <v>0</v>
      </c>
      <c r="E83" s="204"/>
      <c r="F83" s="204"/>
      <c r="G83" s="204"/>
      <c r="H83" s="204"/>
      <c r="I83" s="13" t="s">
        <v>137</v>
      </c>
      <c r="J83" s="29">
        <f>(IF(B75&gt;2,(H75/(B75+2)+J82),0))</f>
        <v>0</v>
      </c>
    </row>
    <row r="84" spans="1:10" ht="15.75" customHeight="1" x14ac:dyDescent="0.35">
      <c r="A84" s="94" t="s">
        <v>125</v>
      </c>
      <c r="B84" s="94" t="s">
        <v>125</v>
      </c>
      <c r="C84" s="73">
        <v>0</v>
      </c>
      <c r="D84" s="18">
        <f ca="1">((100/H75)*C84)/100</f>
        <v>0</v>
      </c>
      <c r="E84" s="204"/>
      <c r="F84" s="204"/>
      <c r="G84" s="204"/>
      <c r="H84" s="204"/>
      <c r="I84" s="13" t="s">
        <v>138</v>
      </c>
      <c r="J84" s="30">
        <f>(IF(B75&gt;3,(H75/(B75+2)+J83),0))</f>
        <v>0</v>
      </c>
    </row>
    <row r="85" spans="1:10" ht="15.75" customHeight="1" x14ac:dyDescent="0.35">
      <c r="A85" s="94" t="s">
        <v>132</v>
      </c>
      <c r="B85" s="94"/>
      <c r="C85" s="73">
        <v>0</v>
      </c>
      <c r="D85" s="18">
        <f ca="1">((100/H75)*C85)/100</f>
        <v>0</v>
      </c>
      <c r="E85" s="204"/>
      <c r="F85" s="204"/>
      <c r="G85" s="204"/>
      <c r="H85" s="204"/>
      <c r="I85" s="13" t="s">
        <v>139</v>
      </c>
      <c r="J85" s="29">
        <f>(IF(B75&gt;4,(H75/(B75+2)+J84),0))</f>
        <v>0</v>
      </c>
    </row>
    <row r="86" spans="1:10" ht="15.75" customHeight="1" x14ac:dyDescent="0.35">
      <c r="A86" s="94" t="s">
        <v>127</v>
      </c>
      <c r="B86" s="94" t="s">
        <v>127</v>
      </c>
      <c r="C86" s="73">
        <v>0</v>
      </c>
      <c r="D86" s="18">
        <f ca="1">((100/(H75))*C86)/100</f>
        <v>0</v>
      </c>
      <c r="E86" s="204"/>
      <c r="F86" s="204"/>
      <c r="G86" s="204"/>
      <c r="H86" s="204"/>
      <c r="I86" s="13" t="s">
        <v>141</v>
      </c>
      <c r="J86" s="29">
        <f ca="1">(IF(B75=1,(H75/(B75+3)+J81),IF(B75=0,(H75/4+J81),IF(B75&gt;1,0))))</f>
        <v>36</v>
      </c>
    </row>
    <row r="87" spans="1:10" ht="16" thickBot="1" x14ac:dyDescent="0.4">
      <c r="A87" s="94" t="s">
        <v>128</v>
      </c>
      <c r="B87" s="94"/>
      <c r="C87" s="73">
        <v>0</v>
      </c>
      <c r="D87" s="18">
        <f ca="1">((100/(H75))*C87)/100</f>
        <v>0</v>
      </c>
      <c r="E87" s="204"/>
      <c r="F87" s="204"/>
      <c r="G87" s="204"/>
      <c r="H87" s="204"/>
      <c r="I87" s="14" t="s">
        <v>98</v>
      </c>
      <c r="J87" s="31">
        <f ca="1">(IF(B75&gt;1.5,(H75/(B75+2)+J81+MAX(0,J82-J81)+MAX(0,J83-J82)+MAX(0,J84-J83)+MAX(0,J85-J84)+MAX(0,J86-J85)),IF(B75=1,(H75/(B75+3)+J86),IF(B75=0,H75/4+J86))))</f>
        <v>48</v>
      </c>
    </row>
    <row r="88" spans="1:10" ht="15.75" customHeight="1" x14ac:dyDescent="0.35">
      <c r="A88" s="198" t="s">
        <v>134</v>
      </c>
      <c r="B88" s="199"/>
      <c r="C88" s="200" t="str">
        <f>D66</f>
        <v>Building No.T7 = G + 1st to 4th P + 1st to 48th Floor</v>
      </c>
      <c r="D88" s="201"/>
      <c r="E88" s="201"/>
      <c r="F88" s="201"/>
      <c r="G88" s="201"/>
      <c r="H88" s="202"/>
      <c r="I88" s="48" t="str">
        <f ca="1">IF(D101=100%,"All work Completed. Possession granted to the Building.",IF(D100=100%,"All work Completed, Waiting for OC",I89&amp;""&amp;I90&amp;""&amp;J89&amp;""&amp;J88&amp;" "&amp;J90))</f>
        <v>Excavation, Plinth Completed, RCC upto 7 Slab, Brickwork upto 1 Floor Completed</v>
      </c>
      <c r="J88" s="49"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7 Slab, Brickwork upto 1 Floor</v>
      </c>
    </row>
    <row r="89" spans="1:10" x14ac:dyDescent="0.35">
      <c r="A89" s="15" t="s">
        <v>136</v>
      </c>
      <c r="B89" s="52">
        <f>IF(AND(ISNUMBER(SEARCH("1B",C88))),1,IF(AND(ISNUMBER(SEARCH("2B",C88))),2,IF(AND(ISNUMBER(SEARCH("3B",C88))),3,IF(AND(ISNUMBER(SEARCH("4B",C88))),4,IF(ISNUMBER(SEARCH("5B",C88)),5,0)))))</f>
        <v>0</v>
      </c>
      <c r="C89" s="46" t="s">
        <v>69</v>
      </c>
      <c r="D89" s="46">
        <v>1</v>
      </c>
      <c r="E89" s="46" t="s">
        <v>68</v>
      </c>
      <c r="F89" s="52">
        <v>0</v>
      </c>
      <c r="G89" s="47" t="s">
        <v>77</v>
      </c>
      <c r="H89" s="16">
        <f ca="1">--TRIM(RIGHT(SUBSTITUTE(LEFT(C88,_xlfn.AGGREGATE(16,6,FIND({0,1,2,3,4,5,6,7,8,9},C88,ROW(INDIRECT("1:"&amp;LEN(C88)))),1))," ",REPT(" ",LEN(C88))),LEN(C88)))</f>
        <v>48</v>
      </c>
      <c r="I89" s="50" t="str">
        <f ca="1">IF(D92=100%,"Excavation","")&amp;IF(D93=100%,", Plinth","")&amp;IF(D94=100%,", RCC Slab","")&amp;IF(D95=100%,", Brickwork","")&amp;IF(D96=100%,", Internal Plaster","")&amp;IF(D97=100%,", External Plaster","")&amp;IF(D98=100%,", Flooring","")&amp;IF(D99=100%,", Painting","")&amp;IF(D100=100%,", Building common Amenities","")</f>
        <v>Excavation, Plinth</v>
      </c>
      <c r="J89" s="51"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x14ac:dyDescent="0.35">
      <c r="A90" s="95" t="s">
        <v>87</v>
      </c>
      <c r="B90" s="96"/>
      <c r="C90" s="97" t="str">
        <f ca="1">(IF($G$60="NA",I88,"All work Completed. OC Received."))</f>
        <v>Excavation, Plinth Completed, RCC upto 7 Slab, Brickwork upto 1 Floor Completed</v>
      </c>
      <c r="D90" s="97"/>
      <c r="E90" s="97"/>
      <c r="F90" s="97"/>
      <c r="G90" s="97"/>
      <c r="H90" s="98"/>
      <c r="I90" s="50" t="str">
        <f ca="1">IF(I89&lt;&gt;""," Completed","")</f>
        <v xml:space="preserve"> Completed</v>
      </c>
      <c r="J90" s="51" t="str">
        <f ca="1">IF(J88&lt;&gt;"","Completed","")</f>
        <v>Completed</v>
      </c>
    </row>
    <row r="91" spans="1:10" ht="15.75" customHeight="1" x14ac:dyDescent="0.35">
      <c r="A91" s="93" t="s">
        <v>47</v>
      </c>
      <c r="B91" s="94"/>
      <c r="C91" s="42" t="s">
        <v>133</v>
      </c>
      <c r="D91" s="42" t="s">
        <v>80</v>
      </c>
      <c r="E91" s="94" t="s">
        <v>82</v>
      </c>
      <c r="F91" s="94"/>
      <c r="G91" s="94" t="s">
        <v>81</v>
      </c>
      <c r="H91" s="145"/>
      <c r="I91" s="13" t="s">
        <v>135</v>
      </c>
      <c r="J91" s="27">
        <f ca="1">H89*25%</f>
        <v>12</v>
      </c>
    </row>
    <row r="92" spans="1:10" x14ac:dyDescent="0.35">
      <c r="A92" s="93" t="s">
        <v>122</v>
      </c>
      <c r="B92" s="94"/>
      <c r="C92" s="42">
        <f ca="1">J93</f>
        <v>48</v>
      </c>
      <c r="D92" s="18">
        <f ca="1">((100/H89)*C92)/100</f>
        <v>1</v>
      </c>
      <c r="E92" s="146">
        <f ca="1">(((C93/H89*10)+(40/(D89+F89+H89)*C94)+(7.5/(H89)*C95)+(7.5/(H89)*C96)+(10/H89*C97)+(10/H89*C98)+(5/H89*C99)+(5/H89*C100)+(5/H89*C101))/100)</f>
        <v>0.15870535714285716</v>
      </c>
      <c r="F92" s="147"/>
      <c r="G92" s="146">
        <f ca="1">((((C92/H89)*20)+((C93/H89)*25)+(30/(H89+F89+D89)*C94)+(5/H89*C95)+(5/H89*C96)+(5/H89*C97)+(5/H89*C98)+(0/H89*C99)+(0/H89*C100)+(5/H89*C101))/100)</f>
        <v>0.49389880952380949</v>
      </c>
      <c r="H92" s="152"/>
      <c r="I92" s="13" t="s">
        <v>94</v>
      </c>
      <c r="J92" s="28">
        <f ca="1">H89*50%</f>
        <v>24</v>
      </c>
    </row>
    <row r="93" spans="1:10" x14ac:dyDescent="0.35">
      <c r="A93" s="93" t="s">
        <v>48</v>
      </c>
      <c r="B93" s="94"/>
      <c r="C93" s="53">
        <f ca="1">J101</f>
        <v>48</v>
      </c>
      <c r="D93" s="18">
        <f ca="1">((100/H89)*C93)/100</f>
        <v>1</v>
      </c>
      <c r="E93" s="148"/>
      <c r="F93" s="149"/>
      <c r="G93" s="148"/>
      <c r="H93" s="153"/>
      <c r="I93" s="13" t="s">
        <v>95</v>
      </c>
      <c r="J93" s="28">
        <f ca="1">H89</f>
        <v>48</v>
      </c>
    </row>
    <row r="94" spans="1:10" ht="15.75" customHeight="1" x14ac:dyDescent="0.35">
      <c r="A94" s="93" t="s">
        <v>123</v>
      </c>
      <c r="B94" s="94"/>
      <c r="C94" s="42">
        <v>7</v>
      </c>
      <c r="D94" s="18">
        <f ca="1">((100/(D89+F89+H89))*C94)/100</f>
        <v>0.14285714285714288</v>
      </c>
      <c r="E94" s="148"/>
      <c r="F94" s="149"/>
      <c r="G94" s="148"/>
      <c r="H94" s="153"/>
      <c r="I94" s="13" t="s">
        <v>96</v>
      </c>
      <c r="J94" s="29">
        <f ca="1">(IF(B89&gt;1,(H89/(B89+2)),H89/4))</f>
        <v>12</v>
      </c>
    </row>
    <row r="95" spans="1:10" ht="15.75" customHeight="1" x14ac:dyDescent="0.35">
      <c r="A95" s="93" t="s">
        <v>130</v>
      </c>
      <c r="B95" s="94" t="s">
        <v>124</v>
      </c>
      <c r="C95" s="42">
        <v>1</v>
      </c>
      <c r="D95" s="18">
        <f ca="1">((100/H89)*C95)/100</f>
        <v>2.0833333333333336E-2</v>
      </c>
      <c r="E95" s="148"/>
      <c r="F95" s="149"/>
      <c r="G95" s="148"/>
      <c r="H95" s="153"/>
      <c r="I95" s="13" t="s">
        <v>97</v>
      </c>
      <c r="J95" s="29">
        <f ca="1">(IF(B89&gt;1,(H89/(B89+2)+J94),H89/4+J94))</f>
        <v>24</v>
      </c>
    </row>
    <row r="96" spans="1:10" ht="15.75" customHeight="1" x14ac:dyDescent="0.35">
      <c r="A96" s="93" t="s">
        <v>131</v>
      </c>
      <c r="B96" s="94" t="s">
        <v>124</v>
      </c>
      <c r="C96" s="42">
        <v>0</v>
      </c>
      <c r="D96" s="18">
        <f ca="1">((100/H89)*C96)/100</f>
        <v>0</v>
      </c>
      <c r="E96" s="148"/>
      <c r="F96" s="149"/>
      <c r="G96" s="148"/>
      <c r="H96" s="153"/>
      <c r="I96" s="13" t="s">
        <v>140</v>
      </c>
      <c r="J96" s="29">
        <f>(IF(B89&gt;1,(H89/(B89+2)+J95),0))</f>
        <v>0</v>
      </c>
    </row>
    <row r="97" spans="1:22" ht="15" customHeight="1" x14ac:dyDescent="0.35">
      <c r="A97" s="93" t="s">
        <v>129</v>
      </c>
      <c r="B97" s="94" t="s">
        <v>126</v>
      </c>
      <c r="C97" s="42">
        <v>0</v>
      </c>
      <c r="D97" s="18">
        <f ca="1">((100/(H89))*C97)/100</f>
        <v>0</v>
      </c>
      <c r="E97" s="148"/>
      <c r="F97" s="149"/>
      <c r="G97" s="148"/>
      <c r="H97" s="153"/>
      <c r="I97" s="13" t="s">
        <v>137</v>
      </c>
      <c r="J97" s="29">
        <f>(IF(B89&gt;2,(H89/(B89+2)+J96),0))</f>
        <v>0</v>
      </c>
    </row>
    <row r="98" spans="1:22" ht="15.75" customHeight="1" x14ac:dyDescent="0.35">
      <c r="A98" s="93" t="s">
        <v>125</v>
      </c>
      <c r="B98" s="94" t="s">
        <v>125</v>
      </c>
      <c r="C98" s="42">
        <v>0</v>
      </c>
      <c r="D98" s="18">
        <f ca="1">((100/H89)*C98)/100</f>
        <v>0</v>
      </c>
      <c r="E98" s="148"/>
      <c r="F98" s="149"/>
      <c r="G98" s="148"/>
      <c r="H98" s="153"/>
      <c r="I98" s="13" t="s">
        <v>138</v>
      </c>
      <c r="J98" s="30">
        <f>(IF(B89&gt;3,(H89/(B89+2)+J97),0))</f>
        <v>0</v>
      </c>
    </row>
    <row r="99" spans="1:22" ht="15.75" customHeight="1" x14ac:dyDescent="0.35">
      <c r="A99" s="93" t="s">
        <v>132</v>
      </c>
      <c r="B99" s="94"/>
      <c r="C99" s="42">
        <v>0</v>
      </c>
      <c r="D99" s="18">
        <f ca="1">((100/H89)*C99)/100</f>
        <v>0</v>
      </c>
      <c r="E99" s="148"/>
      <c r="F99" s="149"/>
      <c r="G99" s="148"/>
      <c r="H99" s="153"/>
      <c r="I99" s="13" t="s">
        <v>139</v>
      </c>
      <c r="J99" s="29">
        <f>(IF(B89&gt;4,(H89/(B89+2)+J98),0))</f>
        <v>0</v>
      </c>
    </row>
    <row r="100" spans="1:22" ht="15.75" customHeight="1" x14ac:dyDescent="0.35">
      <c r="A100" s="93" t="s">
        <v>127</v>
      </c>
      <c r="B100" s="94" t="s">
        <v>127</v>
      </c>
      <c r="C100" s="42">
        <v>0</v>
      </c>
      <c r="D100" s="18">
        <f ca="1">((100/(H89))*C100)/100</f>
        <v>0</v>
      </c>
      <c r="E100" s="148"/>
      <c r="F100" s="149"/>
      <c r="G100" s="148"/>
      <c r="H100" s="153"/>
      <c r="I100" s="13" t="s">
        <v>141</v>
      </c>
      <c r="J100" s="29">
        <f ca="1">(IF(B89=1,(H89/(B89+3)+J95),IF(B89=0,(H89/4+J95),IF(B89&gt;1,0))))</f>
        <v>36</v>
      </c>
    </row>
    <row r="101" spans="1:22" ht="16" thickBot="1" x14ac:dyDescent="0.4">
      <c r="A101" s="155" t="s">
        <v>128</v>
      </c>
      <c r="B101" s="156"/>
      <c r="C101" s="43">
        <v>0</v>
      </c>
      <c r="D101" s="19">
        <f ca="1">((100/(H89))*C101)/100</f>
        <v>0</v>
      </c>
      <c r="E101" s="150"/>
      <c r="F101" s="151"/>
      <c r="G101" s="150"/>
      <c r="H101" s="154"/>
      <c r="I101" s="14" t="s">
        <v>98</v>
      </c>
      <c r="J101" s="31">
        <f ca="1">(IF(B89&gt;1.5,(H89/(B89+2)+J95+MAX(0,J96-J95)+MAX(0,J97-J96)+MAX(0,J98-J97)+MAX(0,J99-J98)+MAX(0,J100-J99)),IF(B89=1,(H89/(B89+3)+J100),IF(B89=0,H89/4+J100))))</f>
        <v>48</v>
      </c>
    </row>
    <row r="102" spans="1:22" x14ac:dyDescent="0.35">
      <c r="A102" s="137" t="s">
        <v>151</v>
      </c>
      <c r="B102" s="137"/>
      <c r="C102" s="137"/>
      <c r="D102" s="137"/>
      <c r="E102" s="137"/>
      <c r="F102" s="132" t="s">
        <v>155</v>
      </c>
      <c r="G102" s="132"/>
      <c r="H102" s="132"/>
      <c r="R102" t="s">
        <v>250</v>
      </c>
      <c r="S102" t="s">
        <v>167</v>
      </c>
      <c r="T102" t="s">
        <v>174</v>
      </c>
      <c r="U102" t="s">
        <v>189</v>
      </c>
      <c r="V102" t="s">
        <v>184</v>
      </c>
    </row>
    <row r="103" spans="1:22" x14ac:dyDescent="0.35">
      <c r="A103" s="86" t="s">
        <v>153</v>
      </c>
      <c r="B103" s="86"/>
      <c r="C103" s="86"/>
      <c r="D103" s="86"/>
      <c r="E103" s="86"/>
      <c r="F103" s="87">
        <v>15000</v>
      </c>
      <c r="G103" s="87"/>
      <c r="H103" s="87"/>
      <c r="I103" s="20" t="s">
        <v>356</v>
      </c>
      <c r="R103"/>
      <c r="S103">
        <v>800000</v>
      </c>
      <c r="T103">
        <v>300000</v>
      </c>
      <c r="U103">
        <v>100000</v>
      </c>
      <c r="V103">
        <v>100000</v>
      </c>
    </row>
    <row r="104" spans="1:22" x14ac:dyDescent="0.35">
      <c r="A104" s="86" t="s">
        <v>152</v>
      </c>
      <c r="B104" s="86"/>
      <c r="C104" s="86"/>
      <c r="D104" s="86"/>
      <c r="E104" s="86"/>
      <c r="F104" s="87">
        <v>24000</v>
      </c>
      <c r="G104" s="87"/>
      <c r="H104" s="87"/>
      <c r="R104"/>
      <c r="S104">
        <v>900000</v>
      </c>
      <c r="T104">
        <v>350000</v>
      </c>
      <c r="U104">
        <v>150000</v>
      </c>
      <c r="V104">
        <v>150000</v>
      </c>
    </row>
    <row r="105" spans="1:22" hidden="1" x14ac:dyDescent="0.35">
      <c r="A105" s="86" t="s">
        <v>154</v>
      </c>
      <c r="B105" s="86"/>
      <c r="C105" s="86"/>
      <c r="D105" s="86"/>
      <c r="E105" s="86"/>
      <c r="F105" s="87"/>
      <c r="G105" s="87"/>
      <c r="H105" s="87"/>
      <c r="R105"/>
      <c r="S105">
        <v>1000000</v>
      </c>
      <c r="T105">
        <v>400000</v>
      </c>
      <c r="U105">
        <v>200000</v>
      </c>
      <c r="V105">
        <v>200000</v>
      </c>
    </row>
    <row r="106" spans="1:22" s="32" customFormat="1" hidden="1" x14ac:dyDescent="0.35">
      <c r="A106" s="86" t="s">
        <v>170</v>
      </c>
      <c r="B106" s="86"/>
      <c r="C106" s="86"/>
      <c r="D106" s="86"/>
      <c r="E106" s="86"/>
      <c r="F106" s="87"/>
      <c r="G106" s="87"/>
      <c r="H106" s="87"/>
      <c r="R106"/>
      <c r="S106">
        <v>1100000</v>
      </c>
      <c r="T106">
        <v>500000</v>
      </c>
      <c r="U106">
        <v>250000</v>
      </c>
      <c r="V106" s="22">
        <v>250000</v>
      </c>
    </row>
    <row r="107" spans="1:22" s="32" customFormat="1" x14ac:dyDescent="0.35">
      <c r="A107" s="86" t="s">
        <v>352</v>
      </c>
      <c r="B107" s="86"/>
      <c r="C107" s="86"/>
      <c r="D107" s="86"/>
      <c r="E107" s="86"/>
      <c r="F107" s="87">
        <v>15000</v>
      </c>
      <c r="G107" s="87"/>
      <c r="H107" s="87"/>
      <c r="R107"/>
      <c r="S107">
        <v>1200000</v>
      </c>
      <c r="T107">
        <v>600000</v>
      </c>
      <c r="U107">
        <v>300000</v>
      </c>
      <c r="V107">
        <v>300000</v>
      </c>
    </row>
    <row r="108" spans="1:22" s="32" customFormat="1" x14ac:dyDescent="0.35">
      <c r="A108" s="86" t="s">
        <v>353</v>
      </c>
      <c r="B108" s="86"/>
      <c r="C108" s="86"/>
      <c r="D108" s="86"/>
      <c r="E108" s="86"/>
      <c r="F108" s="87">
        <v>20000</v>
      </c>
      <c r="G108" s="87"/>
      <c r="H108" s="87"/>
      <c r="R108"/>
      <c r="S108">
        <v>1300000</v>
      </c>
      <c r="T108">
        <v>700000</v>
      </c>
      <c r="U108">
        <v>350000</v>
      </c>
      <c r="V108" s="22">
        <v>400000</v>
      </c>
    </row>
    <row r="109" spans="1:22" s="32" customFormat="1" x14ac:dyDescent="0.35">
      <c r="A109" s="86" t="s">
        <v>354</v>
      </c>
      <c r="B109" s="86"/>
      <c r="C109" s="86"/>
      <c r="D109" s="86"/>
      <c r="E109" s="86"/>
      <c r="F109" s="87">
        <v>50000</v>
      </c>
      <c r="G109" s="87"/>
      <c r="H109" s="87"/>
      <c r="R109"/>
      <c r="S109">
        <v>1400000</v>
      </c>
      <c r="T109">
        <v>800000</v>
      </c>
      <c r="U109">
        <v>400000</v>
      </c>
      <c r="V109"/>
    </row>
    <row r="110" spans="1:22" s="32" customFormat="1" hidden="1" x14ac:dyDescent="0.35">
      <c r="A110" s="86" t="s">
        <v>91</v>
      </c>
      <c r="B110" s="86"/>
      <c r="C110" s="86"/>
      <c r="D110" s="86"/>
      <c r="E110" s="86"/>
      <c r="F110" s="87"/>
      <c r="G110" s="87"/>
      <c r="H110" s="87"/>
      <c r="R110"/>
      <c r="S110">
        <v>1500000</v>
      </c>
      <c r="T110">
        <v>900000</v>
      </c>
      <c r="U110">
        <v>500000</v>
      </c>
      <c r="V110" s="22"/>
    </row>
    <row r="111" spans="1:22" s="32" customFormat="1" hidden="1" x14ac:dyDescent="0.35">
      <c r="A111" s="86" t="s">
        <v>92</v>
      </c>
      <c r="B111" s="86"/>
      <c r="C111" s="86"/>
      <c r="D111" s="86"/>
      <c r="E111" s="86"/>
      <c r="F111" s="87"/>
      <c r="G111" s="87"/>
      <c r="H111" s="87"/>
      <c r="R111"/>
      <c r="S111">
        <v>1600000</v>
      </c>
      <c r="T111">
        <v>1000000</v>
      </c>
      <c r="U111">
        <v>600000</v>
      </c>
      <c r="V111"/>
    </row>
    <row r="112" spans="1:22" s="32" customFormat="1" hidden="1" x14ac:dyDescent="0.35">
      <c r="A112" s="86" t="s">
        <v>93</v>
      </c>
      <c r="B112" s="86"/>
      <c r="C112" s="86"/>
      <c r="D112" s="86"/>
      <c r="E112" s="86"/>
      <c r="F112" s="87"/>
      <c r="G112" s="87"/>
      <c r="H112" s="87"/>
      <c r="R112"/>
      <c r="S112">
        <v>1700000</v>
      </c>
      <c r="T112"/>
      <c r="U112"/>
      <c r="V112" s="22"/>
    </row>
    <row r="113" spans="1:22" x14ac:dyDescent="0.35">
      <c r="A113" s="86" t="s">
        <v>49</v>
      </c>
      <c r="B113" s="86"/>
      <c r="C113" s="86"/>
      <c r="D113" s="86"/>
      <c r="E113" s="86"/>
      <c r="F113" s="87">
        <v>500000</v>
      </c>
      <c r="G113" s="87"/>
      <c r="H113" s="87"/>
      <c r="R113"/>
      <c r="S113">
        <v>1800000</v>
      </c>
      <c r="T113"/>
      <c r="U113"/>
    </row>
    <row r="114" spans="1:22" s="33" customFormat="1" x14ac:dyDescent="0.35">
      <c r="A114" s="160" t="s">
        <v>50</v>
      </c>
      <c r="B114" s="160"/>
      <c r="C114" s="160"/>
      <c r="D114" s="160"/>
      <c r="E114" s="160"/>
      <c r="F114" s="87">
        <f>F103*0.8</f>
        <v>12000</v>
      </c>
      <c r="G114" s="87"/>
      <c r="H114" s="87"/>
      <c r="R114" s="20"/>
      <c r="S114" s="20"/>
      <c r="T114"/>
      <c r="U114"/>
      <c r="V114" s="20"/>
    </row>
    <row r="115" spans="1:22" s="34" customFormat="1" ht="15.75" customHeight="1" x14ac:dyDescent="0.35">
      <c r="A115" s="159" t="s">
        <v>72</v>
      </c>
      <c r="B115" s="159"/>
      <c r="C115" s="159"/>
      <c r="D115" s="159"/>
      <c r="E115" s="159"/>
      <c r="F115" s="159"/>
      <c r="G115" s="159"/>
      <c r="H115" s="159"/>
      <c r="R115"/>
      <c r="S115" s="20"/>
      <c r="T115"/>
      <c r="U115"/>
      <c r="V115" s="20"/>
    </row>
    <row r="116" spans="1:22" s="34" customFormat="1" ht="15.75" customHeight="1" x14ac:dyDescent="0.35">
      <c r="A116" s="89" t="s">
        <v>51</v>
      </c>
      <c r="B116" s="89"/>
      <c r="C116" s="91" t="s">
        <v>75</v>
      </c>
      <c r="D116" s="91"/>
      <c r="E116" s="88" t="s">
        <v>52</v>
      </c>
      <c r="F116" s="88"/>
      <c r="G116" s="89" t="s">
        <v>53</v>
      </c>
      <c r="H116" s="89"/>
      <c r="R116"/>
      <c r="S116" s="20"/>
      <c r="T116"/>
      <c r="U116" s="20"/>
      <c r="V116" s="20"/>
    </row>
    <row r="117" spans="1:22" s="34" customFormat="1" x14ac:dyDescent="0.35">
      <c r="A117" s="90" t="s">
        <v>329</v>
      </c>
      <c r="B117" s="90"/>
      <c r="C117" s="186">
        <v>1</v>
      </c>
      <c r="D117" s="186"/>
      <c r="E117" s="127">
        <f>SUM(F132)</f>
        <v>1400.0734799999998</v>
      </c>
      <c r="F117" s="128"/>
      <c r="G117" s="127">
        <f>SUM(H132)</f>
        <v>2170.1138939999996</v>
      </c>
      <c r="H117" s="128"/>
      <c r="R117"/>
      <c r="S117" s="20"/>
      <c r="T117"/>
      <c r="U117" s="20"/>
      <c r="V117" s="20"/>
    </row>
    <row r="118" spans="1:22" s="34" customFormat="1" hidden="1" x14ac:dyDescent="0.35">
      <c r="A118" s="90"/>
      <c r="B118" s="90"/>
      <c r="C118" s="186"/>
      <c r="D118" s="186"/>
      <c r="E118" s="128"/>
      <c r="F118" s="128"/>
      <c r="G118" s="191"/>
      <c r="H118" s="191"/>
      <c r="R118"/>
      <c r="S118" s="20"/>
      <c r="T118"/>
      <c r="U118" s="20"/>
      <c r="V118" s="20"/>
    </row>
    <row r="119" spans="1:22" s="34" customFormat="1" hidden="1" x14ac:dyDescent="0.35">
      <c r="A119" s="159" t="s">
        <v>144</v>
      </c>
      <c r="B119" s="159"/>
      <c r="C119" s="91">
        <f>C117</f>
        <v>1</v>
      </c>
      <c r="D119" s="91"/>
      <c r="E119" s="192">
        <f>E117</f>
        <v>1400.0734799999998</v>
      </c>
      <c r="F119" s="88"/>
      <c r="G119" s="89">
        <f>G117</f>
        <v>2170.1138939999996</v>
      </c>
      <c r="H119" s="89"/>
      <c r="R119"/>
      <c r="S119" s="20"/>
      <c r="T119"/>
      <c r="U119" s="20"/>
      <c r="V119" s="20"/>
    </row>
    <row r="120" spans="1:22" s="34" customFormat="1" x14ac:dyDescent="0.35">
      <c r="A120" s="159" t="s">
        <v>67</v>
      </c>
      <c r="B120" s="159"/>
      <c r="C120" s="159"/>
      <c r="D120" s="159"/>
      <c r="E120" s="159"/>
      <c r="F120" s="159"/>
      <c r="G120" s="159"/>
      <c r="H120" s="159"/>
      <c r="T120"/>
    </row>
    <row r="121" spans="1:22" s="34" customFormat="1" ht="15.75" customHeight="1" x14ac:dyDescent="0.35">
      <c r="A121" s="89" t="s">
        <v>51</v>
      </c>
      <c r="B121" s="89"/>
      <c r="C121" s="91" t="s">
        <v>75</v>
      </c>
      <c r="D121" s="91"/>
      <c r="E121" s="88" t="s">
        <v>52</v>
      </c>
      <c r="F121" s="88"/>
      <c r="G121" s="89" t="s">
        <v>53</v>
      </c>
      <c r="H121" s="89"/>
      <c r="T121"/>
    </row>
    <row r="122" spans="1:22" s="34" customFormat="1" x14ac:dyDescent="0.35">
      <c r="A122" s="90" t="s">
        <v>329</v>
      </c>
      <c r="B122" s="90"/>
      <c r="C122" s="186">
        <f>COUNT(F144:F145)+COUNT(F149:F150)+COUNT(F153:F156)+COUNT(F158:F161)*34+COUNT(F163:F166)*7+COUNT(F168:F170)*4</f>
        <v>184</v>
      </c>
      <c r="D122" s="186"/>
      <c r="E122" s="127">
        <f>SUM(F144:F145)+SUM(F149:F150)+SUM(F153:F156)+SUM(F158:F161)*34+SUM(F163:F166)*7+SUM(F168:F170)*4</f>
        <v>217625.04504</v>
      </c>
      <c r="F122" s="127"/>
      <c r="G122" s="127">
        <f>SUM(H144:H145)+SUM(H149:H150)+SUM(H153:H156)+SUM(H158:H161)*34+SUM(H163:H166)*7+SUM(H168:H170)*4</f>
        <v>326437.56756</v>
      </c>
      <c r="H122" s="127"/>
      <c r="T122"/>
    </row>
    <row r="123" spans="1:22" s="34" customFormat="1" x14ac:dyDescent="0.35">
      <c r="A123" s="90" t="s">
        <v>337</v>
      </c>
      <c r="B123" s="90"/>
      <c r="C123" s="186">
        <f>COUNT(F176,F179)+COUNT(F181,F184)+COUNT(F186:F189)+COUNT(F191:F194)*3+COUNT(F196:F199)</f>
        <v>24</v>
      </c>
      <c r="D123" s="186"/>
      <c r="E123" s="127">
        <f>SUM(F176,F179)+SUM(F181,F184)+SUM(F186:F189)+SUM(F191:F194)*3+SUM(F196:F199)</f>
        <v>21428.863560000002</v>
      </c>
      <c r="F123" s="127"/>
      <c r="G123" s="127">
        <f>SUM(H176,H179)+SUM(H181,H184)+SUM(H186:H189)+SUM(H191:H194)*3+SUM(H196:H199)</f>
        <v>32143.295339999997</v>
      </c>
      <c r="H123" s="127"/>
    </row>
    <row r="124" spans="1:22" s="34" customFormat="1" x14ac:dyDescent="0.35">
      <c r="A124" s="159" t="s">
        <v>144</v>
      </c>
      <c r="B124" s="159"/>
      <c r="C124" s="91">
        <f>SUM(C122:D123)</f>
        <v>208</v>
      </c>
      <c r="D124" s="91"/>
      <c r="E124" s="192">
        <f>SUM(E122:F123)</f>
        <v>239053.9086</v>
      </c>
      <c r="F124" s="88"/>
      <c r="G124" s="89">
        <f>SUM(G122:H123)</f>
        <v>358580.86290000001</v>
      </c>
      <c r="H124" s="89"/>
    </row>
    <row r="125" spans="1:22" s="34" customFormat="1" x14ac:dyDescent="0.35">
      <c r="A125" s="159" t="s">
        <v>161</v>
      </c>
      <c r="B125" s="159"/>
      <c r="C125" s="91">
        <f>C119+C124</f>
        <v>209</v>
      </c>
      <c r="D125" s="91"/>
      <c r="E125" s="192">
        <f>E119+E124</f>
        <v>240453.98207999999</v>
      </c>
      <c r="F125" s="192"/>
      <c r="G125" s="89">
        <f>G119+G124</f>
        <v>360750.97679400002</v>
      </c>
      <c r="H125" s="89"/>
    </row>
    <row r="126" spans="1:22" s="33" customFormat="1" x14ac:dyDescent="0.35">
      <c r="A126" s="162" t="s">
        <v>54</v>
      </c>
      <c r="B126" s="162"/>
      <c r="C126" s="162"/>
      <c r="D126" s="162"/>
      <c r="E126" s="162"/>
      <c r="F126" s="162"/>
      <c r="G126" s="162"/>
      <c r="H126" s="162"/>
      <c r="T126" s="34"/>
    </row>
    <row r="127" spans="1:22" x14ac:dyDescent="0.35">
      <c r="A127" s="108" t="s">
        <v>169</v>
      </c>
      <c r="B127" s="108"/>
      <c r="C127" s="108"/>
      <c r="D127" s="108"/>
      <c r="E127" s="108"/>
      <c r="F127" s="108"/>
      <c r="G127" s="108"/>
      <c r="H127" s="108"/>
      <c r="T127" s="34"/>
    </row>
    <row r="128" spans="1:22" ht="47.25" customHeight="1" x14ac:dyDescent="0.35">
      <c r="A128" s="205" t="s">
        <v>114</v>
      </c>
      <c r="B128" s="205" t="s">
        <v>171</v>
      </c>
      <c r="C128" s="205" t="s">
        <v>55</v>
      </c>
      <c r="D128" s="205" t="s">
        <v>228</v>
      </c>
      <c r="E128" s="206" t="s">
        <v>150</v>
      </c>
      <c r="F128" s="205" t="s">
        <v>56</v>
      </c>
      <c r="G128" s="206" t="s">
        <v>57</v>
      </c>
      <c r="H128" s="207" t="s">
        <v>143</v>
      </c>
      <c r="T128" s="34"/>
    </row>
    <row r="129" spans="1:20" s="36" customFormat="1" x14ac:dyDescent="0.35">
      <c r="A129" s="205"/>
      <c r="B129" s="205"/>
      <c r="C129" s="205"/>
      <c r="D129" s="205"/>
      <c r="E129" s="206"/>
      <c r="F129" s="205"/>
      <c r="G129" s="206"/>
      <c r="H129" s="208">
        <v>0.55000000000000004</v>
      </c>
      <c r="T129" s="33"/>
    </row>
    <row r="130" spans="1:20" s="66" customFormat="1" ht="15" customHeight="1" x14ac:dyDescent="0.35">
      <c r="A130" s="80" t="s">
        <v>329</v>
      </c>
      <c r="B130" s="81"/>
      <c r="C130" s="81"/>
      <c r="D130" s="81"/>
      <c r="E130" s="81"/>
      <c r="F130" s="81"/>
      <c r="G130" s="81"/>
      <c r="H130" s="82"/>
      <c r="J130" s="35"/>
      <c r="T130" s="20"/>
    </row>
    <row r="131" spans="1:20" s="36" customFormat="1" ht="15" customHeight="1" x14ac:dyDescent="0.35">
      <c r="A131" s="80" t="s">
        <v>331</v>
      </c>
      <c r="B131" s="81"/>
      <c r="C131" s="81"/>
      <c r="D131" s="81"/>
      <c r="E131" s="81"/>
      <c r="F131" s="81"/>
      <c r="G131" s="81"/>
      <c r="H131" s="82"/>
      <c r="J131" s="35"/>
      <c r="T131" s="20"/>
    </row>
    <row r="132" spans="1:20" s="36" customFormat="1" ht="15.75" customHeight="1" x14ac:dyDescent="0.35">
      <c r="A132" s="76">
        <v>1</v>
      </c>
      <c r="B132" s="78"/>
      <c r="C132" s="41" t="s">
        <v>330</v>
      </c>
      <c r="D132" s="41">
        <f>130.07*10.764</f>
        <v>1400.0734799999998</v>
      </c>
      <c r="E132" s="41">
        <v>0</v>
      </c>
      <c r="F132" s="41">
        <f>D132+E132</f>
        <v>1400.0734799999998</v>
      </c>
      <c r="G132" s="57">
        <v>0</v>
      </c>
      <c r="H132" s="57">
        <f>(D132+E132)*(($H$129)+1)</f>
        <v>2170.1138939999996</v>
      </c>
      <c r="I132" s="35"/>
      <c r="L132" s="75"/>
      <c r="M132" s="75"/>
      <c r="N132" s="35"/>
      <c r="T132" s="20"/>
    </row>
    <row r="133" spans="1:20" s="36" customFormat="1" ht="15.75" hidden="1" customHeight="1" x14ac:dyDescent="0.35">
      <c r="A133" s="76">
        <f>A132+1</f>
        <v>2</v>
      </c>
      <c r="B133" s="78"/>
      <c r="C133" s="41"/>
      <c r="D133" s="41"/>
      <c r="E133" s="41">
        <v>0</v>
      </c>
      <c r="F133" s="57">
        <f>D133+E133</f>
        <v>0</v>
      </c>
      <c r="G133" s="57">
        <v>0</v>
      </c>
      <c r="H133" s="57">
        <f>(D133+E133)*(($H$129)+1)</f>
        <v>0</v>
      </c>
      <c r="I133" s="35"/>
      <c r="L133" s="75"/>
      <c r="M133" s="75"/>
      <c r="N133" s="35"/>
    </row>
    <row r="134" spans="1:20" s="36" customFormat="1" ht="15.75" hidden="1" customHeight="1" x14ac:dyDescent="0.35">
      <c r="A134" s="76">
        <f>A133+1</f>
        <v>3</v>
      </c>
      <c r="B134" s="78"/>
      <c r="C134" s="41"/>
      <c r="D134" s="41"/>
      <c r="E134" s="41">
        <v>0</v>
      </c>
      <c r="F134" s="57">
        <f>D134+E134</f>
        <v>0</v>
      </c>
      <c r="G134" s="57">
        <v>0</v>
      </c>
      <c r="H134" s="57">
        <f>(D134+E134)*(($H$129)+1)</f>
        <v>0</v>
      </c>
      <c r="I134" s="35"/>
      <c r="L134" s="75"/>
      <c r="M134" s="75"/>
      <c r="N134" s="35"/>
    </row>
    <row r="135" spans="1:20" s="36" customFormat="1" ht="15.75" hidden="1" customHeight="1" x14ac:dyDescent="0.35">
      <c r="A135" s="76">
        <f>A134+1</f>
        <v>4</v>
      </c>
      <c r="B135" s="78"/>
      <c r="C135" s="41"/>
      <c r="D135" s="41"/>
      <c r="E135" s="41">
        <v>0</v>
      </c>
      <c r="F135" s="57">
        <f>D135+E135</f>
        <v>0</v>
      </c>
      <c r="G135" s="57">
        <v>0</v>
      </c>
      <c r="H135" s="57">
        <f>(D135+E135)*(($H$129)+1)</f>
        <v>0</v>
      </c>
      <c r="I135" s="35"/>
      <c r="L135" s="75"/>
      <c r="M135" s="75"/>
      <c r="N135" s="35"/>
    </row>
    <row r="136" spans="1:20" s="36" customFormat="1" x14ac:dyDescent="0.35">
      <c r="A136" s="76"/>
      <c r="B136" s="77"/>
      <c r="C136" s="77"/>
      <c r="D136" s="77"/>
      <c r="E136" s="77"/>
      <c r="F136" s="77"/>
      <c r="G136" s="77"/>
      <c r="H136" s="78"/>
      <c r="I136" s="35"/>
      <c r="N136" s="35"/>
    </row>
    <row r="137" spans="1:20" ht="47.25" customHeight="1" x14ac:dyDescent="0.35">
      <c r="A137" s="133" t="s">
        <v>115</v>
      </c>
      <c r="B137" s="125" t="s">
        <v>172</v>
      </c>
      <c r="C137" s="125" t="s">
        <v>55</v>
      </c>
      <c r="D137" s="125" t="s">
        <v>228</v>
      </c>
      <c r="E137" s="125" t="s">
        <v>227</v>
      </c>
      <c r="F137" s="125" t="s">
        <v>56</v>
      </c>
      <c r="G137" s="135" t="s">
        <v>57</v>
      </c>
      <c r="H137" s="58" t="s">
        <v>143</v>
      </c>
      <c r="I137" s="35"/>
      <c r="T137" s="36"/>
    </row>
    <row r="138" spans="1:20" s="36" customFormat="1" x14ac:dyDescent="0.35">
      <c r="A138" s="134"/>
      <c r="B138" s="126"/>
      <c r="C138" s="126"/>
      <c r="D138" s="126"/>
      <c r="E138" s="126"/>
      <c r="F138" s="126"/>
      <c r="G138" s="136"/>
      <c r="H138" s="71">
        <v>0.5</v>
      </c>
      <c r="I138" s="35"/>
    </row>
    <row r="139" spans="1:20" s="66" customFormat="1" ht="15" customHeight="1" x14ac:dyDescent="0.35">
      <c r="A139" s="80" t="s">
        <v>329</v>
      </c>
      <c r="B139" s="81"/>
      <c r="C139" s="81"/>
      <c r="D139" s="81"/>
      <c r="E139" s="81"/>
      <c r="F139" s="81"/>
      <c r="G139" s="81"/>
      <c r="H139" s="82"/>
      <c r="J139" s="35"/>
      <c r="T139" s="20"/>
    </row>
    <row r="140" spans="1:20" s="66" customFormat="1" ht="15" customHeight="1" x14ac:dyDescent="0.35">
      <c r="A140" s="80" t="s">
        <v>332</v>
      </c>
      <c r="B140" s="81"/>
      <c r="C140" s="81"/>
      <c r="D140" s="81"/>
      <c r="E140" s="81"/>
      <c r="F140" s="81"/>
      <c r="G140" s="81"/>
      <c r="H140" s="82"/>
      <c r="J140" s="35"/>
      <c r="T140" s="20"/>
    </row>
    <row r="141" spans="1:20" s="66" customFormat="1" ht="15" customHeight="1" x14ac:dyDescent="0.35">
      <c r="A141" s="80" t="s">
        <v>349</v>
      </c>
      <c r="B141" s="81"/>
      <c r="C141" s="81"/>
      <c r="D141" s="81"/>
      <c r="E141" s="81"/>
      <c r="F141" s="81"/>
      <c r="G141" s="81"/>
      <c r="H141" s="82"/>
      <c r="J141" s="35"/>
      <c r="T141" s="20"/>
    </row>
    <row r="142" spans="1:20" s="36" customFormat="1" x14ac:dyDescent="0.35">
      <c r="A142" s="80" t="s">
        <v>333</v>
      </c>
      <c r="B142" s="81"/>
      <c r="C142" s="81"/>
      <c r="D142" s="81"/>
      <c r="E142" s="81"/>
      <c r="F142" s="81"/>
      <c r="G142" s="81"/>
      <c r="H142" s="82"/>
      <c r="J142" s="35"/>
    </row>
    <row r="143" spans="1:20" s="36" customFormat="1" ht="15.75" customHeight="1" x14ac:dyDescent="0.35">
      <c r="A143" s="76">
        <v>1</v>
      </c>
      <c r="B143" s="78"/>
      <c r="C143" s="76" t="s">
        <v>334</v>
      </c>
      <c r="D143" s="77"/>
      <c r="E143" s="77"/>
      <c r="F143" s="77"/>
      <c r="G143" s="77"/>
      <c r="H143" s="78"/>
      <c r="I143" s="35"/>
      <c r="L143" s="75"/>
      <c r="M143" s="75"/>
      <c r="N143" s="35"/>
      <c r="T143" s="20"/>
    </row>
    <row r="144" spans="1:20" s="36" customFormat="1" ht="15.75" customHeight="1" x14ac:dyDescent="0.35">
      <c r="A144" s="76">
        <f>A143+1</f>
        <v>2</v>
      </c>
      <c r="B144" s="78"/>
      <c r="C144" s="41" t="s">
        <v>335</v>
      </c>
      <c r="D144" s="41">
        <f>138.97*10.764</f>
        <v>1495.8730799999998</v>
      </c>
      <c r="E144" s="41">
        <f>17.66*10.764</f>
        <v>190.09224</v>
      </c>
      <c r="F144" s="57">
        <f>D144+E144</f>
        <v>1685.9653199999998</v>
      </c>
      <c r="G144" s="57">
        <v>0</v>
      </c>
      <c r="H144" s="57">
        <f>F144*(($H$138)+1)+(IF(G144&lt;101,G144,IF(G144&lt;201,G144/2,IF(G144&lt;=301,G144/3,G144/4))))</f>
        <v>2528.9479799999999</v>
      </c>
      <c r="I144" s="35"/>
      <c r="L144" s="75"/>
      <c r="M144" s="75"/>
      <c r="N144" s="35"/>
    </row>
    <row r="145" spans="1:20" s="36" customFormat="1" ht="15.75" customHeight="1" x14ac:dyDescent="0.35">
      <c r="A145" s="76">
        <f>A144+1</f>
        <v>3</v>
      </c>
      <c r="B145" s="78"/>
      <c r="C145" s="41" t="s">
        <v>336</v>
      </c>
      <c r="D145" s="41">
        <f>85.14*10.764</f>
        <v>916.44695999999999</v>
      </c>
      <c r="E145" s="41">
        <f>14.1*10.764</f>
        <v>151.77239999999998</v>
      </c>
      <c r="F145" s="57">
        <f>D145+E145</f>
        <v>1068.2193600000001</v>
      </c>
      <c r="G145" s="57">
        <v>0</v>
      </c>
      <c r="H145" s="57">
        <f>F145*(($H$138)+1)+(IF(G145&lt;101,G145,IF(G145&lt;201,G145/2,IF(G145&lt;=301,G145/3,G145/4))))</f>
        <v>1602.3290400000001</v>
      </c>
      <c r="I145" s="35"/>
      <c r="J145" s="70">
        <f>1.45*1.6+2.42*3.07+3.98*3.05+3.15*3.82+2.83*3.23+5*4.3+1.47*2.47+2.4*1.53+0.95*2.83+0.95*0.9+0.75*4.3+0.75*3.35+0.75*2+0.6*0.5</f>
        <v>82.94619999999999</v>
      </c>
      <c r="K145" s="36">
        <f>1.5*7.95+1.55*1.4</f>
        <v>14.095000000000001</v>
      </c>
      <c r="L145" s="75">
        <f>J145+K145</f>
        <v>97.041199999999989</v>
      </c>
      <c r="M145" s="75"/>
      <c r="N145" s="35"/>
    </row>
    <row r="146" spans="1:20" s="36" customFormat="1" ht="15.75" customHeight="1" x14ac:dyDescent="0.35">
      <c r="A146" s="76">
        <f>A145+1</f>
        <v>4</v>
      </c>
      <c r="B146" s="78"/>
      <c r="C146" s="76" t="s">
        <v>334</v>
      </c>
      <c r="D146" s="77"/>
      <c r="E146" s="77">
        <v>0</v>
      </c>
      <c r="F146" s="77">
        <f>D146+E146</f>
        <v>0</v>
      </c>
      <c r="G146" s="77">
        <v>0</v>
      </c>
      <c r="H146" s="78">
        <f>F146*(($H$138)+1)+(IF(G146&lt;101,G146,IF(G146&lt;201,G146/2,IF(G146&lt;=301,G146/3,G146/4))))</f>
        <v>0</v>
      </c>
      <c r="I146" s="35"/>
      <c r="L146" s="75"/>
      <c r="M146" s="75"/>
      <c r="N146" s="35"/>
    </row>
    <row r="147" spans="1:20" s="66" customFormat="1" x14ac:dyDescent="0.35">
      <c r="A147" s="80" t="s">
        <v>113</v>
      </c>
      <c r="B147" s="81"/>
      <c r="C147" s="81"/>
      <c r="D147" s="81"/>
      <c r="E147" s="81"/>
      <c r="F147" s="81"/>
      <c r="G147" s="81"/>
      <c r="H147" s="82"/>
      <c r="J147" s="35"/>
    </row>
    <row r="148" spans="1:20" s="66" customFormat="1" ht="15.75" customHeight="1" x14ac:dyDescent="0.35">
      <c r="A148" s="76">
        <v>1</v>
      </c>
      <c r="B148" s="78"/>
      <c r="C148" s="76" t="s">
        <v>343</v>
      </c>
      <c r="D148" s="77"/>
      <c r="E148" s="77"/>
      <c r="F148" s="77"/>
      <c r="G148" s="77"/>
      <c r="H148" s="78"/>
      <c r="I148" s="35"/>
      <c r="L148" s="75"/>
      <c r="M148" s="75"/>
      <c r="N148" s="35"/>
      <c r="T148" s="20"/>
    </row>
    <row r="149" spans="1:20" s="66" customFormat="1" ht="15.75" customHeight="1" x14ac:dyDescent="0.35">
      <c r="A149" s="76">
        <f>A148+1</f>
        <v>2</v>
      </c>
      <c r="B149" s="78"/>
      <c r="C149" s="65" t="s">
        <v>335</v>
      </c>
      <c r="D149" s="65">
        <f>138.97*10.764</f>
        <v>1495.8730799999998</v>
      </c>
      <c r="E149" s="65">
        <f>17.66*10.764</f>
        <v>190.09224</v>
      </c>
      <c r="F149" s="65">
        <f>D149+E149</f>
        <v>1685.9653199999998</v>
      </c>
      <c r="G149" s="65">
        <v>0</v>
      </c>
      <c r="H149" s="65">
        <f>F149*(($H$138)+1)+(IF(G149&lt;101,G149,IF(G149&lt;201,G149/2,IF(G149&lt;=301,G149/3,G149/4))))</f>
        <v>2528.9479799999999</v>
      </c>
      <c r="I149" s="35"/>
      <c r="L149" s="75"/>
      <c r="M149" s="75"/>
      <c r="N149" s="35"/>
    </row>
    <row r="150" spans="1:20" s="66" customFormat="1" ht="15.75" customHeight="1" x14ac:dyDescent="0.35">
      <c r="A150" s="76">
        <f>A149+1</f>
        <v>3</v>
      </c>
      <c r="B150" s="78"/>
      <c r="C150" s="65" t="s">
        <v>341</v>
      </c>
      <c r="D150" s="65">
        <f>48.57*10.764</f>
        <v>522.80747999999994</v>
      </c>
      <c r="E150" s="65">
        <f>2.17*10.764</f>
        <v>23.357879999999998</v>
      </c>
      <c r="F150" s="65">
        <f>D150+E150</f>
        <v>546.16535999999996</v>
      </c>
      <c r="G150" s="65">
        <v>0</v>
      </c>
      <c r="H150" s="65">
        <f>F150*(($H$138)+1)+(IF(G150&lt;101,G150,IF(G150&lt;201,G150/2,IF(G150&lt;=301,G150/3,G150/4))))</f>
        <v>819.24803999999995</v>
      </c>
      <c r="I150" s="35"/>
      <c r="J150" s="70">
        <f>1.45*1.6+2.42*3.07+3.98*3.05+3.15*3.82+2.83*3.23+5*4.3+1.47*2.47+2.4*1.53+0.95*2.83+0.95*0.9+0.75*4.3+0.75*3.35+0.75*2+0.6*0.5</f>
        <v>82.94619999999999</v>
      </c>
      <c r="K150" s="66">
        <f>1.5*7.95+1.55*1.4</f>
        <v>14.095000000000001</v>
      </c>
      <c r="L150" s="75">
        <f>J150+K150</f>
        <v>97.041199999999989</v>
      </c>
      <c r="M150" s="75"/>
      <c r="N150" s="35"/>
    </row>
    <row r="151" spans="1:20" s="66" customFormat="1" ht="15.75" customHeight="1" x14ac:dyDescent="0.35">
      <c r="A151" s="76">
        <f>A150+1</f>
        <v>4</v>
      </c>
      <c r="B151" s="78"/>
      <c r="C151" s="76" t="s">
        <v>342</v>
      </c>
      <c r="D151" s="77"/>
      <c r="E151" s="77">
        <v>0</v>
      </c>
      <c r="F151" s="77">
        <f>D151+E151</f>
        <v>0</v>
      </c>
      <c r="G151" s="77">
        <v>0</v>
      </c>
      <c r="H151" s="78">
        <f>F151*(($H$138)+1)+(IF(G151&lt;101,G151,IF(G151&lt;201,G151/2,IF(G151&lt;=301,G151/3,G151/4))))</f>
        <v>0</v>
      </c>
      <c r="I151" s="35"/>
      <c r="L151" s="75"/>
      <c r="M151" s="75"/>
      <c r="N151" s="35"/>
    </row>
    <row r="152" spans="1:20" s="36" customFormat="1" x14ac:dyDescent="0.35">
      <c r="A152" s="79" t="s">
        <v>344</v>
      </c>
      <c r="B152" s="79"/>
      <c r="C152" s="79"/>
      <c r="D152" s="79"/>
      <c r="E152" s="79"/>
      <c r="F152" s="79"/>
      <c r="G152" s="79"/>
      <c r="H152" s="79"/>
      <c r="I152" s="35"/>
      <c r="L152" s="75"/>
      <c r="M152" s="75"/>
    </row>
    <row r="153" spans="1:20" s="36" customFormat="1" x14ac:dyDescent="0.35">
      <c r="A153" s="74">
        <v>1</v>
      </c>
      <c r="B153" s="74"/>
      <c r="C153" s="41" t="s">
        <v>338</v>
      </c>
      <c r="D153" s="41">
        <f>103.07*10.764</f>
        <v>1109.4454799999999</v>
      </c>
      <c r="E153" s="57">
        <f>25.2*10.764</f>
        <v>271.25279999999998</v>
      </c>
      <c r="F153" s="57">
        <f>D153+E153</f>
        <v>1380.6982799999998</v>
      </c>
      <c r="G153" s="57">
        <v>0</v>
      </c>
      <c r="H153" s="57">
        <f>F153*(($H$138)+1)+(IF(G153&lt;101,G153,IF(G153&lt;201,G153/2,IF(G153&lt;=301,G153/3,G153/4))))</f>
        <v>2071.0474199999999</v>
      </c>
      <c r="I153" s="35"/>
      <c r="J153" s="36">
        <f>6*H153</f>
        <v>12426.284519999999</v>
      </c>
      <c r="K153" s="36">
        <f>6.5*H154</f>
        <v>16438.16187</v>
      </c>
      <c r="N153" s="35"/>
    </row>
    <row r="154" spans="1:20" s="36" customFormat="1" x14ac:dyDescent="0.35">
      <c r="A154" s="74">
        <f>A153+1</f>
        <v>2</v>
      </c>
      <c r="B154" s="74"/>
      <c r="C154" s="41" t="s">
        <v>335</v>
      </c>
      <c r="D154" s="41">
        <f>138.97*10.764</f>
        <v>1495.8730799999998</v>
      </c>
      <c r="E154" s="65">
        <f>17.66*10.764</f>
        <v>190.09224</v>
      </c>
      <c r="F154" s="57">
        <f>D154+E154</f>
        <v>1685.9653199999998</v>
      </c>
      <c r="G154" s="57">
        <v>0</v>
      </c>
      <c r="H154" s="57">
        <f>F154*(($H$138)+1)+(IF(G154&lt;101,G154,IF(G154&lt;201,G154/2,IF(G154&lt;=301,G154/3,G154/4))))</f>
        <v>2528.9479799999999</v>
      </c>
      <c r="I154" s="35"/>
      <c r="J154" s="66">
        <f t="shared" ref="J154:J156" si="0">6*H154</f>
        <v>15173.687879999999</v>
      </c>
      <c r="K154" s="66">
        <f t="shared" ref="K154:K156" si="1">6.5*H155</f>
        <v>10415.13876</v>
      </c>
      <c r="N154" s="35"/>
    </row>
    <row r="155" spans="1:20" s="36" customFormat="1" x14ac:dyDescent="0.35">
      <c r="A155" s="74">
        <f>A154+1</f>
        <v>3</v>
      </c>
      <c r="B155" s="74"/>
      <c r="C155" s="41" t="s">
        <v>338</v>
      </c>
      <c r="D155" s="41">
        <f>85.14*10.764</f>
        <v>916.44695999999999</v>
      </c>
      <c r="E155" s="65">
        <f>14.1*10.764</f>
        <v>151.77239999999998</v>
      </c>
      <c r="F155" s="57">
        <f>D155+E155</f>
        <v>1068.2193600000001</v>
      </c>
      <c r="G155" s="57">
        <v>0</v>
      </c>
      <c r="H155" s="57">
        <f>F155*(($H$138)+1)+(IF(G155&lt;101,G155,IF(G155&lt;201,G155/2,IF(G155&lt;=301,G155/3,G155/4))))</f>
        <v>1602.3290400000001</v>
      </c>
      <c r="I155" s="35"/>
      <c r="J155" s="66">
        <f t="shared" si="0"/>
        <v>9613.9742399999996</v>
      </c>
      <c r="K155" s="66">
        <f t="shared" si="1"/>
        <v>8638.3521899999978</v>
      </c>
      <c r="N155" s="35"/>
    </row>
    <row r="156" spans="1:20" s="36" customFormat="1" x14ac:dyDescent="0.35">
      <c r="A156" s="74">
        <f>A155+1</f>
        <v>4</v>
      </c>
      <c r="B156" s="74"/>
      <c r="C156" s="41" t="s">
        <v>336</v>
      </c>
      <c r="D156" s="41">
        <f>68.42*10.764</f>
        <v>736.47287999999992</v>
      </c>
      <c r="E156" s="57">
        <f>13.89*10.764</f>
        <v>149.51195999999999</v>
      </c>
      <c r="F156" s="57">
        <f>D156+E156</f>
        <v>885.98483999999985</v>
      </c>
      <c r="G156" s="57">
        <v>0</v>
      </c>
      <c r="H156" s="57">
        <f>F156*(($H$138)+1)+(IF(G156&lt;101,G156,IF(G156&lt;201,G156/2,IF(G156&lt;=301,G156/3,G156/4))))</f>
        <v>1328.9772599999997</v>
      </c>
      <c r="I156" s="35"/>
      <c r="J156" s="66">
        <f t="shared" si="0"/>
        <v>7973.863559999998</v>
      </c>
      <c r="K156" s="66">
        <f t="shared" si="1"/>
        <v>0</v>
      </c>
      <c r="N156" s="35"/>
    </row>
    <row r="157" spans="1:20" s="66" customFormat="1" ht="33" customHeight="1" x14ac:dyDescent="0.35">
      <c r="A157" s="79" t="s">
        <v>347</v>
      </c>
      <c r="B157" s="79"/>
      <c r="C157" s="79"/>
      <c r="D157" s="79"/>
      <c r="E157" s="79"/>
      <c r="F157" s="79"/>
      <c r="G157" s="79"/>
      <c r="H157" s="79"/>
      <c r="I157" s="35"/>
      <c r="L157" s="75"/>
      <c r="M157" s="75"/>
    </row>
    <row r="158" spans="1:20" s="66" customFormat="1" x14ac:dyDescent="0.35">
      <c r="A158" s="74">
        <v>1</v>
      </c>
      <c r="B158" s="74"/>
      <c r="C158" s="65" t="s">
        <v>338</v>
      </c>
      <c r="D158" s="65">
        <f>103*10.764</f>
        <v>1108.692</v>
      </c>
      <c r="E158" s="65">
        <f>15.83*10.764</f>
        <v>170.39411999999999</v>
      </c>
      <c r="F158" s="65">
        <f>D158+E158</f>
        <v>1279.0861199999999</v>
      </c>
      <c r="G158" s="65">
        <v>0</v>
      </c>
      <c r="H158" s="65">
        <f>F158*(($H$138)+1)+(IF(G158&lt;101,G158,IF(G158&lt;201,G158/2,IF(G158&lt;=301,G158/3,G158/4))))</f>
        <v>1918.6291799999999</v>
      </c>
      <c r="I158" s="35"/>
      <c r="N158" s="35"/>
    </row>
    <row r="159" spans="1:20" s="66" customFormat="1" x14ac:dyDescent="0.35">
      <c r="A159" s="74">
        <f>A158+1</f>
        <v>2</v>
      </c>
      <c r="B159" s="74"/>
      <c r="C159" s="65" t="s">
        <v>335</v>
      </c>
      <c r="D159" s="65">
        <f>138.97*10.764</f>
        <v>1495.8730799999998</v>
      </c>
      <c r="E159" s="65">
        <f>17.66*10.764</f>
        <v>190.09224</v>
      </c>
      <c r="F159" s="65">
        <f>D159+E159</f>
        <v>1685.9653199999998</v>
      </c>
      <c r="G159" s="65">
        <v>0</v>
      </c>
      <c r="H159" s="65">
        <f>F159*(($H$138)+1)+(IF(G159&lt;101,G159,IF(G159&lt;201,G159/2,IF(G159&lt;=301,G159/3,G159/4))))</f>
        <v>2528.9479799999999</v>
      </c>
      <c r="I159" s="35"/>
      <c r="N159" s="35"/>
    </row>
    <row r="160" spans="1:20" s="66" customFormat="1" x14ac:dyDescent="0.35">
      <c r="A160" s="74">
        <f>A159+1</f>
        <v>3</v>
      </c>
      <c r="B160" s="74"/>
      <c r="C160" s="65" t="s">
        <v>338</v>
      </c>
      <c r="D160" s="65">
        <f>85.14*10.764</f>
        <v>916.44695999999999</v>
      </c>
      <c r="E160" s="65">
        <f>14.1*10.764</f>
        <v>151.77239999999998</v>
      </c>
      <c r="F160" s="65">
        <f>D160+E160</f>
        <v>1068.2193600000001</v>
      </c>
      <c r="G160" s="65">
        <v>0</v>
      </c>
      <c r="H160" s="65">
        <f>F160*(($H$138)+1)+(IF(G160&lt;101,G160,IF(G160&lt;201,G160/2,IF(G160&lt;=301,G160/3,G160/4))))</f>
        <v>1602.3290400000001</v>
      </c>
      <c r="I160" s="35"/>
      <c r="N160" s="35"/>
    </row>
    <row r="161" spans="1:20" s="66" customFormat="1" x14ac:dyDescent="0.35">
      <c r="A161" s="74">
        <f>A160+1</f>
        <v>4</v>
      </c>
      <c r="B161" s="74"/>
      <c r="C161" s="65" t="s">
        <v>341</v>
      </c>
      <c r="D161" s="65">
        <f>48.74*10.764</f>
        <v>524.63735999999994</v>
      </c>
      <c r="E161" s="65">
        <f>2.17*10.764</f>
        <v>23.357879999999998</v>
      </c>
      <c r="F161" s="65">
        <f>D161+E161</f>
        <v>547.99523999999997</v>
      </c>
      <c r="G161" s="65">
        <v>0</v>
      </c>
      <c r="H161" s="65">
        <f>F161*(($H$138)+1)+(IF(G161&lt;101,G161,IF(G161&lt;201,G161/2,IF(G161&lt;=301,G161/3,G161/4))))</f>
        <v>821.99285999999995</v>
      </c>
      <c r="I161" s="35"/>
      <c r="N161" s="35"/>
    </row>
    <row r="162" spans="1:20" s="66" customFormat="1" x14ac:dyDescent="0.35">
      <c r="A162" s="79" t="s">
        <v>345</v>
      </c>
      <c r="B162" s="79"/>
      <c r="C162" s="79"/>
      <c r="D162" s="79"/>
      <c r="E162" s="79"/>
      <c r="F162" s="79"/>
      <c r="G162" s="79"/>
      <c r="H162" s="79"/>
      <c r="I162" s="35"/>
      <c r="L162" s="75"/>
      <c r="M162" s="75"/>
    </row>
    <row r="163" spans="1:20" s="66" customFormat="1" x14ac:dyDescent="0.35">
      <c r="A163" s="74">
        <v>1</v>
      </c>
      <c r="B163" s="74"/>
      <c r="C163" s="65" t="s">
        <v>338</v>
      </c>
      <c r="D163" s="65">
        <f>103*10.764</f>
        <v>1108.692</v>
      </c>
      <c r="E163" s="65">
        <f>15.83*10.764</f>
        <v>170.39411999999999</v>
      </c>
      <c r="F163" s="65">
        <f>D163+E163</f>
        <v>1279.0861199999999</v>
      </c>
      <c r="G163" s="65">
        <v>0</v>
      </c>
      <c r="H163" s="65">
        <f>F163*(($H$138)+1)+(IF(G163&lt;101,G163,IF(G163&lt;201,G163/2,IF(G163&lt;=301,G163/3,G163/4))))</f>
        <v>1918.6291799999999</v>
      </c>
      <c r="I163" s="35"/>
      <c r="L163" s="66">
        <f>19900224/H163</f>
        <v>10372.105359098105</v>
      </c>
      <c r="N163" s="35"/>
    </row>
    <row r="164" spans="1:20" s="66" customFormat="1" x14ac:dyDescent="0.35">
      <c r="A164" s="74">
        <f>A163+1</f>
        <v>2</v>
      </c>
      <c r="B164" s="74"/>
      <c r="C164" s="65" t="s">
        <v>335</v>
      </c>
      <c r="D164" s="65">
        <f>138.97*10.764</f>
        <v>1495.8730799999998</v>
      </c>
      <c r="E164" s="65">
        <f>17.66*10.764</f>
        <v>190.09224</v>
      </c>
      <c r="F164" s="65">
        <f>D164+E164</f>
        <v>1685.9653199999998</v>
      </c>
      <c r="G164" s="65">
        <v>0</v>
      </c>
      <c r="H164" s="65">
        <f>F164*(($H$138)+1)+(IF(G164&lt;101,G164,IF(G164&lt;201,G164/2,IF(G164&lt;=301,G164/3,G164/4))))</f>
        <v>2528.9479799999999</v>
      </c>
      <c r="I164" s="35"/>
      <c r="L164" s="66">
        <f>33000163/H164</f>
        <v>13048.968686180726</v>
      </c>
      <c r="N164" s="35"/>
    </row>
    <row r="165" spans="1:20" s="66" customFormat="1" x14ac:dyDescent="0.35">
      <c r="A165" s="74">
        <f>A164+1</f>
        <v>3</v>
      </c>
      <c r="B165" s="74"/>
      <c r="C165" s="65" t="s">
        <v>338</v>
      </c>
      <c r="D165" s="65">
        <f>85.14*10.764</f>
        <v>916.44695999999999</v>
      </c>
      <c r="E165" s="65">
        <f>14.1*10.764</f>
        <v>151.77239999999998</v>
      </c>
      <c r="F165" s="65">
        <f>D165+E165</f>
        <v>1068.2193600000001</v>
      </c>
      <c r="G165" s="65">
        <v>0</v>
      </c>
      <c r="H165" s="65">
        <f>F165*(($H$138)+1)+(IF(G165&lt;101,G165,IF(G165&lt;201,G165/2,IF(G165&lt;=301,G165/3,G165/4))))</f>
        <v>1602.3290400000001</v>
      </c>
      <c r="I165" s="35"/>
      <c r="N165" s="35"/>
    </row>
    <row r="166" spans="1:20" s="66" customFormat="1" x14ac:dyDescent="0.35">
      <c r="A166" s="74">
        <f>A165+1</f>
        <v>4</v>
      </c>
      <c r="B166" s="74"/>
      <c r="C166" s="65" t="s">
        <v>338</v>
      </c>
      <c r="D166" s="65">
        <f>85.3*10.764</f>
        <v>918.16919999999993</v>
      </c>
      <c r="E166" s="65">
        <f>14.09*10.764</f>
        <v>151.66476</v>
      </c>
      <c r="F166" s="65">
        <f>D166+E166</f>
        <v>1069.8339599999999</v>
      </c>
      <c r="G166" s="65">
        <v>0</v>
      </c>
      <c r="H166" s="65">
        <f>F166*(($H$138)+1)+(IF(G166&lt;101,G166,IF(G166&lt;201,G166/2,IF(G166&lt;=301,G166/3,G166/4))))</f>
        <v>1604.7509399999999</v>
      </c>
      <c r="I166" s="35"/>
      <c r="N166" s="35"/>
    </row>
    <row r="167" spans="1:20" s="66" customFormat="1" x14ac:dyDescent="0.35">
      <c r="A167" s="79" t="s">
        <v>346</v>
      </c>
      <c r="B167" s="79"/>
      <c r="C167" s="79"/>
      <c r="D167" s="79"/>
      <c r="E167" s="79"/>
      <c r="F167" s="79"/>
      <c r="G167" s="79"/>
      <c r="H167" s="79"/>
      <c r="I167" s="35"/>
      <c r="L167" s="75"/>
      <c r="M167" s="75"/>
    </row>
    <row r="168" spans="1:20" s="66" customFormat="1" x14ac:dyDescent="0.35">
      <c r="A168" s="74">
        <v>1</v>
      </c>
      <c r="B168" s="74"/>
      <c r="C168" s="65" t="s">
        <v>338</v>
      </c>
      <c r="D168" s="65">
        <f>103*10.764</f>
        <v>1108.692</v>
      </c>
      <c r="E168" s="65">
        <f>15.83*10.764</f>
        <v>170.39411999999999</v>
      </c>
      <c r="F168" s="65">
        <f>D168+E168</f>
        <v>1279.0861199999999</v>
      </c>
      <c r="G168" s="65">
        <v>0</v>
      </c>
      <c r="H168" s="65">
        <f>F168*(($H$138)+1)+(IF(G168&lt;101,G168,IF(G168&lt;201,G168/2,IF(G168&lt;=301,G168/3,G168/4))))</f>
        <v>1918.6291799999999</v>
      </c>
      <c r="I168" s="35"/>
      <c r="N168" s="35"/>
    </row>
    <row r="169" spans="1:20" s="66" customFormat="1" x14ac:dyDescent="0.35">
      <c r="A169" s="74">
        <f>A168+1</f>
        <v>2</v>
      </c>
      <c r="B169" s="74"/>
      <c r="C169" s="65" t="s">
        <v>335</v>
      </c>
      <c r="D169" s="65">
        <f>138.97*10.764</f>
        <v>1495.8730799999998</v>
      </c>
      <c r="E169" s="65">
        <f>17.66*10.764</f>
        <v>190.09224</v>
      </c>
      <c r="F169" s="65">
        <f>D169+E169</f>
        <v>1685.9653199999998</v>
      </c>
      <c r="G169" s="65">
        <v>0</v>
      </c>
      <c r="H169" s="65">
        <f>F169*(($H$138)+1)+(IF(G169&lt;101,G169,IF(G169&lt;201,G169/2,IF(G169&lt;=301,G169/3,G169/4))))</f>
        <v>2528.9479799999999</v>
      </c>
      <c r="I169" s="35"/>
      <c r="N169" s="35"/>
    </row>
    <row r="170" spans="1:20" s="66" customFormat="1" x14ac:dyDescent="0.35">
      <c r="A170" s="74">
        <f>A169+1</f>
        <v>3</v>
      </c>
      <c r="B170" s="74"/>
      <c r="C170" s="65" t="s">
        <v>338</v>
      </c>
      <c r="D170" s="65">
        <f>85.14*10.764</f>
        <v>916.44695999999999</v>
      </c>
      <c r="E170" s="65">
        <f>14.1*10.764</f>
        <v>151.77239999999998</v>
      </c>
      <c r="F170" s="65">
        <f>D170+E170</f>
        <v>1068.2193600000001</v>
      </c>
      <c r="G170" s="65">
        <v>0</v>
      </c>
      <c r="H170" s="65">
        <f>F170*(($H$138)+1)+(IF(G170&lt;101,G170,IF(G170&lt;201,G170/2,IF(G170&lt;=301,G170/3,G170/4))))</f>
        <v>1602.3290400000001</v>
      </c>
      <c r="I170" s="35"/>
      <c r="L170" s="66">
        <f>22500000/H170</f>
        <v>14042.059675832874</v>
      </c>
      <c r="N170" s="35"/>
    </row>
    <row r="171" spans="1:20" s="66" customFormat="1" x14ac:dyDescent="0.35">
      <c r="A171" s="74">
        <f>A170+1</f>
        <v>4</v>
      </c>
      <c r="B171" s="74"/>
      <c r="C171" s="76" t="s">
        <v>342</v>
      </c>
      <c r="D171" s="77"/>
      <c r="E171" s="77"/>
      <c r="F171" s="77"/>
      <c r="G171" s="77"/>
      <c r="H171" s="78"/>
      <c r="I171" s="35"/>
      <c r="N171" s="35"/>
    </row>
    <row r="172" spans="1:20" s="66" customFormat="1" ht="15" customHeight="1" x14ac:dyDescent="0.35">
      <c r="A172" s="80" t="s">
        <v>337</v>
      </c>
      <c r="B172" s="81"/>
      <c r="C172" s="81"/>
      <c r="D172" s="81"/>
      <c r="E172" s="81"/>
      <c r="F172" s="81"/>
      <c r="G172" s="81"/>
      <c r="H172" s="82"/>
      <c r="J172" s="35"/>
      <c r="T172" s="20"/>
    </row>
    <row r="173" spans="1:20" s="66" customFormat="1" ht="15" customHeight="1" x14ac:dyDescent="0.35">
      <c r="A173" s="80" t="s">
        <v>332</v>
      </c>
      <c r="B173" s="81"/>
      <c r="C173" s="81"/>
      <c r="D173" s="81"/>
      <c r="E173" s="81"/>
      <c r="F173" s="81"/>
      <c r="G173" s="81"/>
      <c r="H173" s="82"/>
      <c r="J173" s="35"/>
      <c r="T173" s="20"/>
    </row>
    <row r="174" spans="1:20" s="66" customFormat="1" ht="15" customHeight="1" x14ac:dyDescent="0.35">
      <c r="A174" s="80" t="s">
        <v>348</v>
      </c>
      <c r="B174" s="81"/>
      <c r="C174" s="81"/>
      <c r="D174" s="81"/>
      <c r="E174" s="81"/>
      <c r="F174" s="81"/>
      <c r="G174" s="81"/>
      <c r="H174" s="82"/>
      <c r="J174" s="35"/>
      <c r="T174" s="20"/>
    </row>
    <row r="175" spans="1:20" s="66" customFormat="1" x14ac:dyDescent="0.35">
      <c r="A175" s="80" t="s">
        <v>333</v>
      </c>
      <c r="B175" s="81"/>
      <c r="C175" s="81"/>
      <c r="D175" s="81"/>
      <c r="E175" s="81"/>
      <c r="F175" s="81"/>
      <c r="G175" s="81"/>
      <c r="H175" s="82"/>
      <c r="J175" s="35"/>
    </row>
    <row r="176" spans="1:20" s="66" customFormat="1" ht="15.75" customHeight="1" x14ac:dyDescent="0.35">
      <c r="A176" s="76">
        <v>1</v>
      </c>
      <c r="B176" s="78"/>
      <c r="C176" s="65" t="s">
        <v>338</v>
      </c>
      <c r="D176" s="65">
        <f>83.31*10.764</f>
        <v>896.74883999999997</v>
      </c>
      <c r="E176" s="65">
        <f>12.08*10.764</f>
        <v>130.02912000000001</v>
      </c>
      <c r="F176" s="65">
        <f>D176+E176</f>
        <v>1026.7779599999999</v>
      </c>
      <c r="G176" s="65">
        <v>0</v>
      </c>
      <c r="H176" s="65">
        <f>F176*(($H$138)+1)+(IF(G176&lt;101,G176,IF(G176&lt;201,G176/2,IF(G176&lt;=301,G176/3,G176/4))))</f>
        <v>1540.1669399999998</v>
      </c>
      <c r="I176" s="35"/>
      <c r="L176" s="75"/>
      <c r="M176" s="75"/>
      <c r="N176" s="35"/>
    </row>
    <row r="177" spans="1:20" s="66" customFormat="1" ht="15.75" customHeight="1" x14ac:dyDescent="0.35">
      <c r="A177" s="76">
        <v>2</v>
      </c>
      <c r="B177" s="78"/>
      <c r="C177" s="76" t="s">
        <v>334</v>
      </c>
      <c r="D177" s="77"/>
      <c r="E177" s="77">
        <v>0</v>
      </c>
      <c r="F177" s="77">
        <f>D177+E177</f>
        <v>0</v>
      </c>
      <c r="G177" s="77">
        <v>0</v>
      </c>
      <c r="H177" s="78">
        <f>F177*(($H$138)+1)+(IF(G177&lt;101,G177,IF(G177&lt;201,G177/2,IF(G177&lt;=301,G177/3,G177/4))))</f>
        <v>0</v>
      </c>
      <c r="I177" s="35"/>
      <c r="L177" s="75"/>
      <c r="M177" s="75"/>
      <c r="N177" s="35"/>
    </row>
    <row r="178" spans="1:20" s="66" customFormat="1" ht="15.75" customHeight="1" x14ac:dyDescent="0.35">
      <c r="A178" s="76">
        <v>3</v>
      </c>
      <c r="B178" s="78"/>
      <c r="C178" s="76" t="s">
        <v>334</v>
      </c>
      <c r="D178" s="77"/>
      <c r="E178" s="77"/>
      <c r="F178" s="77"/>
      <c r="G178" s="77"/>
      <c r="H178" s="78"/>
      <c r="I178" s="35"/>
      <c r="L178" s="75"/>
      <c r="M178" s="75"/>
      <c r="N178" s="35"/>
      <c r="T178" s="20"/>
    </row>
    <row r="179" spans="1:20" s="66" customFormat="1" ht="15.75" customHeight="1" x14ac:dyDescent="0.35">
      <c r="A179" s="76">
        <v>4</v>
      </c>
      <c r="B179" s="78"/>
      <c r="C179" s="65" t="s">
        <v>338</v>
      </c>
      <c r="D179" s="65">
        <f>83.22*10.764</f>
        <v>895.78007999999988</v>
      </c>
      <c r="E179" s="65">
        <f>12.09*10.764</f>
        <v>130.13675999999998</v>
      </c>
      <c r="F179" s="65">
        <f>D179+E179</f>
        <v>1025.9168399999999</v>
      </c>
      <c r="G179" s="65">
        <v>0</v>
      </c>
      <c r="H179" s="65">
        <f>F179*(($H$138)+1)+(IF(G179&lt;101,G179,IF(G179&lt;201,G179/2,IF(G179&lt;=301,G179/3,G179/4))))</f>
        <v>1538.8752599999998</v>
      </c>
      <c r="I179" s="35"/>
      <c r="J179" s="70">
        <f>1.45*1.6+2.42*3.07+3.98*3.05+3.15*3.82+2.83*3.23+5*4.3+1.47*2.47+2.4*1.53+0.95*2.83+0.95*0.9+0.75*4.3+0.75*3.35+0.75*2+0.6*0.5</f>
        <v>82.94619999999999</v>
      </c>
      <c r="K179" s="66">
        <f>1.5*7.95+1.55*1.4</f>
        <v>14.095000000000001</v>
      </c>
      <c r="L179" s="75">
        <f>15900563/H179</f>
        <v>10332.587320950239</v>
      </c>
      <c r="M179" s="75"/>
      <c r="N179" s="35"/>
    </row>
    <row r="180" spans="1:20" s="66" customFormat="1" x14ac:dyDescent="0.35">
      <c r="A180" s="80" t="s">
        <v>113</v>
      </c>
      <c r="B180" s="81"/>
      <c r="C180" s="81"/>
      <c r="D180" s="81"/>
      <c r="E180" s="81"/>
      <c r="F180" s="81"/>
      <c r="G180" s="81"/>
      <c r="H180" s="82"/>
      <c r="J180" s="35"/>
    </row>
    <row r="181" spans="1:20" s="66" customFormat="1" ht="15.75" customHeight="1" x14ac:dyDescent="0.35">
      <c r="A181" s="76">
        <v>1</v>
      </c>
      <c r="B181" s="78"/>
      <c r="C181" s="65" t="s">
        <v>338</v>
      </c>
      <c r="D181" s="65">
        <f>83.31*10.764</f>
        <v>896.74883999999997</v>
      </c>
      <c r="E181" s="65">
        <f>12.08*10.764</f>
        <v>130.02912000000001</v>
      </c>
      <c r="F181" s="65">
        <f>D181+E181</f>
        <v>1026.7779599999999</v>
      </c>
      <c r="G181" s="65">
        <v>0</v>
      </c>
      <c r="H181" s="65">
        <f>F181*(($H$138)+1)+(IF(G181&lt;101,G181,IF(G181&lt;201,G181/2,IF(G181&lt;=301,G181/3,G181/4))))</f>
        <v>1540.1669399999998</v>
      </c>
      <c r="I181" s="35"/>
      <c r="L181" s="75"/>
      <c r="M181" s="75"/>
      <c r="N181" s="35"/>
    </row>
    <row r="182" spans="1:20" s="66" customFormat="1" ht="15.75" customHeight="1" x14ac:dyDescent="0.35">
      <c r="A182" s="76">
        <v>2</v>
      </c>
      <c r="B182" s="78"/>
      <c r="C182" s="76" t="s">
        <v>343</v>
      </c>
      <c r="D182" s="77"/>
      <c r="E182" s="77">
        <v>0</v>
      </c>
      <c r="F182" s="77">
        <f>D182+E182</f>
        <v>0</v>
      </c>
      <c r="G182" s="77">
        <v>0</v>
      </c>
      <c r="H182" s="78">
        <f>F182*(($H$138)+1)+(IF(G182&lt;101,G182,IF(G182&lt;201,G182/2,IF(G182&lt;=301,G182/3,G182/4))))</f>
        <v>0</v>
      </c>
      <c r="I182" s="35"/>
      <c r="L182" s="75"/>
      <c r="M182" s="75"/>
      <c r="N182" s="35"/>
    </row>
    <row r="183" spans="1:20" s="66" customFormat="1" ht="15.75" customHeight="1" x14ac:dyDescent="0.35">
      <c r="A183" s="76">
        <v>3</v>
      </c>
      <c r="B183" s="78"/>
      <c r="C183" s="76" t="s">
        <v>343</v>
      </c>
      <c r="D183" s="77"/>
      <c r="E183" s="77">
        <v>1</v>
      </c>
      <c r="F183" s="77">
        <f>D183+E183</f>
        <v>1</v>
      </c>
      <c r="G183" s="77">
        <v>1</v>
      </c>
      <c r="H183" s="78">
        <f>F183*(($H$138)+1)+(IF(G183&lt;101,G183,IF(G183&lt;201,G183/2,IF(G183&lt;=301,G183/3,G183/4))))</f>
        <v>2.5</v>
      </c>
      <c r="I183" s="35"/>
      <c r="L183" s="75"/>
      <c r="M183" s="75"/>
      <c r="N183" s="35"/>
      <c r="T183" s="20"/>
    </row>
    <row r="184" spans="1:20" s="66" customFormat="1" ht="15.75" customHeight="1" x14ac:dyDescent="0.35">
      <c r="A184" s="76">
        <v>4</v>
      </c>
      <c r="B184" s="78"/>
      <c r="C184" s="65" t="s">
        <v>336</v>
      </c>
      <c r="D184" s="65">
        <f>59.37*10.764</f>
        <v>639.05867999999998</v>
      </c>
      <c r="E184" s="65">
        <f>5.88*10.764</f>
        <v>63.292319999999997</v>
      </c>
      <c r="F184" s="65">
        <f>D184+E184</f>
        <v>702.351</v>
      </c>
      <c r="G184" s="65">
        <v>0</v>
      </c>
      <c r="H184" s="65">
        <f>F184*(($H$138)+1)+(IF(G184&lt;101,G184,IF(G184&lt;201,G184/2,IF(G184&lt;=301,G184/3,G184/4))))</f>
        <v>1053.5264999999999</v>
      </c>
      <c r="I184" s="35"/>
      <c r="J184" s="70"/>
      <c r="L184" s="75">
        <f>13400105/H187</f>
        <v>11350.292943683204</v>
      </c>
      <c r="M184" s="75"/>
      <c r="N184" s="35"/>
    </row>
    <row r="185" spans="1:20" s="66" customFormat="1" x14ac:dyDescent="0.35">
      <c r="A185" s="79" t="s">
        <v>344</v>
      </c>
      <c r="B185" s="79"/>
      <c r="C185" s="79"/>
      <c r="D185" s="79"/>
      <c r="E185" s="79"/>
      <c r="F185" s="79"/>
      <c r="G185" s="79"/>
      <c r="H185" s="79"/>
      <c r="I185" s="35"/>
      <c r="L185" s="75"/>
      <c r="M185" s="75"/>
    </row>
    <row r="186" spans="1:20" s="66" customFormat="1" x14ac:dyDescent="0.35">
      <c r="A186" s="74">
        <v>1</v>
      </c>
      <c r="B186" s="74"/>
      <c r="C186" s="65" t="s">
        <v>338</v>
      </c>
      <c r="D186" s="65">
        <f>83.31*10.764</f>
        <v>896.74883999999997</v>
      </c>
      <c r="E186" s="65">
        <f>12.08*10.764</f>
        <v>130.02912000000001</v>
      </c>
      <c r="F186" s="65">
        <f>D186+E186</f>
        <v>1026.7779599999999</v>
      </c>
      <c r="G186" s="65">
        <v>0</v>
      </c>
      <c r="H186" s="65">
        <f>F186*(($H$138)+1)+(IF(G186&lt;101,G186,IF(G186&lt;201,G186/2,IF(G186&lt;=301,G186/3,G186/4))))</f>
        <v>1540.1669399999998</v>
      </c>
      <c r="I186" s="35"/>
      <c r="N186" s="35"/>
    </row>
    <row r="187" spans="1:20" s="66" customFormat="1" x14ac:dyDescent="0.35">
      <c r="A187" s="74">
        <f>A186+1</f>
        <v>2</v>
      </c>
      <c r="B187" s="74"/>
      <c r="C187" s="65" t="s">
        <v>336</v>
      </c>
      <c r="D187" s="65">
        <f>65.47*10.764</f>
        <v>704.71907999999996</v>
      </c>
      <c r="E187" s="65">
        <f>7.65*10.764</f>
        <v>82.3446</v>
      </c>
      <c r="F187" s="65">
        <f>D187+E187</f>
        <v>787.06367999999998</v>
      </c>
      <c r="G187" s="65">
        <v>0</v>
      </c>
      <c r="H187" s="65">
        <f>F187*(($H$138)+1)+(IF(G187&lt;101,G187,IF(G187&lt;201,G187/2,IF(G187&lt;=301,G187/3,G187/4))))</f>
        <v>1180.5955199999999</v>
      </c>
      <c r="I187" s="35"/>
      <c r="N187" s="35"/>
    </row>
    <row r="188" spans="1:20" s="66" customFormat="1" x14ac:dyDescent="0.35">
      <c r="A188" s="74">
        <f>A187+1</f>
        <v>3</v>
      </c>
      <c r="B188" s="74"/>
      <c r="C188" s="65" t="s">
        <v>336</v>
      </c>
      <c r="D188" s="65">
        <f>66.02*10.764</f>
        <v>710.63927999999987</v>
      </c>
      <c r="E188" s="65">
        <f>7.65*10.764</f>
        <v>82.3446</v>
      </c>
      <c r="F188" s="65">
        <f>D188+E188</f>
        <v>792.98387999999989</v>
      </c>
      <c r="G188" s="65">
        <v>0</v>
      </c>
      <c r="H188" s="65">
        <f>F188*(($H$138)+1)+(IF(G188&lt;101,G188,IF(G188&lt;201,G188/2,IF(G188&lt;=301,G188/3,G188/4))))</f>
        <v>1189.4758199999999</v>
      </c>
      <c r="I188" s="35"/>
      <c r="J188" s="66">
        <f>1.55*1.6+2.83*3.13+1.5*2.45+3.03*3.68+4.97*3.65+3.05*3.65+1.53*2.45+0.75*3.05+0.75*3.03+2.5*0.75+1.3*0.75</f>
        <v>66.594799999999992</v>
      </c>
      <c r="N188" s="35"/>
    </row>
    <row r="189" spans="1:20" s="66" customFormat="1" x14ac:dyDescent="0.35">
      <c r="A189" s="74">
        <f>A188+1</f>
        <v>4</v>
      </c>
      <c r="B189" s="74"/>
      <c r="C189" s="65" t="s">
        <v>338</v>
      </c>
      <c r="D189" s="65">
        <f>83.22*10.764</f>
        <v>895.78007999999988</v>
      </c>
      <c r="E189" s="65">
        <f>12.09*10.764</f>
        <v>130.13675999999998</v>
      </c>
      <c r="F189" s="65">
        <f>D189+E189</f>
        <v>1025.9168399999999</v>
      </c>
      <c r="G189" s="65">
        <v>0</v>
      </c>
      <c r="H189" s="65">
        <f>F189*(($H$138)+1)+(IF(G189&lt;101,G189,IF(G189&lt;201,G189/2,IF(G189&lt;=301,G189/3,G189/4))))</f>
        <v>1538.8752599999998</v>
      </c>
      <c r="I189" s="35"/>
      <c r="N189" s="35"/>
    </row>
    <row r="190" spans="1:20" s="66" customFormat="1" x14ac:dyDescent="0.35">
      <c r="A190" s="79" t="s">
        <v>339</v>
      </c>
      <c r="B190" s="79"/>
      <c r="C190" s="79"/>
      <c r="D190" s="79"/>
      <c r="E190" s="79"/>
      <c r="F190" s="79"/>
      <c r="G190" s="79"/>
      <c r="H190" s="79"/>
      <c r="I190" s="35"/>
      <c r="L190" s="75"/>
      <c r="M190" s="75"/>
    </row>
    <row r="191" spans="1:20" s="66" customFormat="1" x14ac:dyDescent="0.35">
      <c r="A191" s="74">
        <v>1</v>
      </c>
      <c r="B191" s="74"/>
      <c r="C191" s="65" t="s">
        <v>338</v>
      </c>
      <c r="D191" s="65">
        <f>83.31*10.764</f>
        <v>896.74883999999997</v>
      </c>
      <c r="E191" s="65">
        <f>12.08*10.764</f>
        <v>130.02912000000001</v>
      </c>
      <c r="F191" s="65">
        <f>D191+E191</f>
        <v>1026.7779599999999</v>
      </c>
      <c r="G191" s="65">
        <v>0</v>
      </c>
      <c r="H191" s="65">
        <f>F191*(($H$138)+1)+(IF(G191&lt;101,G191,IF(G191&lt;201,G191/2,IF(G191&lt;=301,G191/3,G191/4))))</f>
        <v>1540.1669399999998</v>
      </c>
      <c r="I191" s="35"/>
      <c r="N191" s="35"/>
    </row>
    <row r="192" spans="1:20" s="66" customFormat="1" x14ac:dyDescent="0.35">
      <c r="A192" s="74">
        <f>A191+1</f>
        <v>2</v>
      </c>
      <c r="B192" s="74"/>
      <c r="C192" s="65" t="s">
        <v>336</v>
      </c>
      <c r="D192" s="65">
        <f>65.47*10.764</f>
        <v>704.71907999999996</v>
      </c>
      <c r="E192" s="65">
        <f>7.65*10.764</f>
        <v>82.3446</v>
      </c>
      <c r="F192" s="65">
        <f>D192+E192</f>
        <v>787.06367999999998</v>
      </c>
      <c r="G192" s="65">
        <v>0</v>
      </c>
      <c r="H192" s="65">
        <f>F192*(($H$138)+1)+(IF(G192&lt;101,G192,IF(G192&lt;201,G192/2,IF(G192&lt;=301,G192/3,G192/4))))</f>
        <v>1180.5955199999999</v>
      </c>
      <c r="I192" s="35"/>
      <c r="N192" s="35"/>
    </row>
    <row r="193" spans="1:20" s="66" customFormat="1" x14ac:dyDescent="0.35">
      <c r="A193" s="74">
        <f>A192+1</f>
        <v>3</v>
      </c>
      <c r="B193" s="74"/>
      <c r="C193" s="65" t="s">
        <v>336</v>
      </c>
      <c r="D193" s="65">
        <f>65.54*10.764</f>
        <v>705.47256000000004</v>
      </c>
      <c r="E193" s="65">
        <f>7.65*10.764</f>
        <v>82.3446</v>
      </c>
      <c r="F193" s="65">
        <f>D193+E193</f>
        <v>787.81716000000006</v>
      </c>
      <c r="G193" s="65">
        <v>0</v>
      </c>
      <c r="H193" s="65">
        <f>F193*(($H$138)+1)+(IF(G193&lt;101,G193,IF(G193&lt;201,G193/2,IF(G193&lt;=301,G193/3,G193/4))))</f>
        <v>1181.7257400000001</v>
      </c>
      <c r="I193" s="35"/>
      <c r="J193" s="66">
        <f>1.55*1.6+2.83*3.13+1.5*2.45+3.03*3.68+4.97*3.65+3.05*3.65+1.53*2.45+0.75*3.05+0.75*3.03+2.5*0.75+1.3*0.75</f>
        <v>66.594799999999992</v>
      </c>
      <c r="N193" s="35"/>
    </row>
    <row r="194" spans="1:20" s="66" customFormat="1" x14ac:dyDescent="0.35">
      <c r="A194" s="74">
        <f>A193+1</f>
        <v>4</v>
      </c>
      <c r="B194" s="74"/>
      <c r="C194" s="65" t="s">
        <v>338</v>
      </c>
      <c r="D194" s="65">
        <f>83.22*10.764</f>
        <v>895.78007999999988</v>
      </c>
      <c r="E194" s="65">
        <f>12.09*10.764</f>
        <v>130.13675999999998</v>
      </c>
      <c r="F194" s="65">
        <f>D194+E194</f>
        <v>1025.9168399999999</v>
      </c>
      <c r="G194" s="65">
        <v>0</v>
      </c>
      <c r="H194" s="65">
        <f>F194*(($H$138)+1)+(IF(G194&lt;101,G194,IF(G194&lt;201,G194/2,IF(G194&lt;=301,G194/3,G194/4))))</f>
        <v>1538.8752599999998</v>
      </c>
      <c r="I194" s="35"/>
      <c r="N194" s="35"/>
    </row>
    <row r="195" spans="1:20" s="66" customFormat="1" x14ac:dyDescent="0.35">
      <c r="A195" s="79" t="s">
        <v>340</v>
      </c>
      <c r="B195" s="79"/>
      <c r="C195" s="79"/>
      <c r="D195" s="79"/>
      <c r="E195" s="79"/>
      <c r="F195" s="79"/>
      <c r="G195" s="79"/>
      <c r="H195" s="79"/>
      <c r="I195" s="35"/>
      <c r="L195" s="75"/>
      <c r="M195" s="75"/>
    </row>
    <row r="196" spans="1:20" s="66" customFormat="1" x14ac:dyDescent="0.35">
      <c r="A196" s="74">
        <v>1</v>
      </c>
      <c r="B196" s="74"/>
      <c r="C196" s="65" t="s">
        <v>338</v>
      </c>
      <c r="D196" s="65">
        <f>83.31*10.764</f>
        <v>896.74883999999997</v>
      </c>
      <c r="E196" s="65">
        <f>12.08*10.764</f>
        <v>130.02912000000001</v>
      </c>
      <c r="F196" s="65">
        <f>D196+E196</f>
        <v>1026.7779599999999</v>
      </c>
      <c r="G196" s="65">
        <v>0</v>
      </c>
      <c r="H196" s="65">
        <f>F196*(($H$138)+1)+(IF(G196&lt;101,G196,IF(G196&lt;201,G196/2,IF(G196&lt;=301,G196/3,G196/4))))</f>
        <v>1540.1669399999998</v>
      </c>
      <c r="I196" s="35"/>
      <c r="N196" s="35"/>
    </row>
    <row r="197" spans="1:20" s="66" customFormat="1" x14ac:dyDescent="0.35">
      <c r="A197" s="74">
        <f>A196+1</f>
        <v>2</v>
      </c>
      <c r="B197" s="74"/>
      <c r="C197" s="65" t="s">
        <v>336</v>
      </c>
      <c r="D197" s="65">
        <f>65.47*10.764</f>
        <v>704.71907999999996</v>
      </c>
      <c r="E197" s="65">
        <f>7.65*10.764</f>
        <v>82.3446</v>
      </c>
      <c r="F197" s="65">
        <f>D197+E197</f>
        <v>787.06367999999998</v>
      </c>
      <c r="G197" s="65">
        <v>0</v>
      </c>
      <c r="H197" s="65">
        <f>F197*(($H$138)+1)+(IF(G197&lt;101,G197,IF(G197&lt;201,G197/2,IF(G197&lt;=301,G197/3,G197/4))))</f>
        <v>1180.5955199999999</v>
      </c>
      <c r="I197" s="35"/>
      <c r="J197" s="66">
        <f>17000000/H197</f>
        <v>14399.512544313231</v>
      </c>
      <c r="N197" s="35"/>
    </row>
    <row r="198" spans="1:20" s="66" customFormat="1" x14ac:dyDescent="0.35">
      <c r="A198" s="74">
        <f>A197+1</f>
        <v>3</v>
      </c>
      <c r="B198" s="74"/>
      <c r="C198" s="65" t="s">
        <v>336</v>
      </c>
      <c r="D198" s="65">
        <f>65.54*10.764</f>
        <v>705.47256000000004</v>
      </c>
      <c r="E198" s="65">
        <f>7.65*10.764</f>
        <v>82.3446</v>
      </c>
      <c r="F198" s="65">
        <f>D198+E198</f>
        <v>787.81716000000006</v>
      </c>
      <c r="G198" s="65">
        <v>0</v>
      </c>
      <c r="H198" s="65">
        <f>F198*(($H$138)+1)+(IF(G198&lt;101,G198,IF(G198&lt;201,G198/2,IF(G198&lt;=301,G198/3,G198/4))))</f>
        <v>1181.7257400000001</v>
      </c>
      <c r="I198" s="35"/>
      <c r="N198" s="35"/>
    </row>
    <row r="199" spans="1:20" s="66" customFormat="1" x14ac:dyDescent="0.35">
      <c r="A199" s="74">
        <f>A198+1</f>
        <v>4</v>
      </c>
      <c r="B199" s="74"/>
      <c r="C199" s="65" t="s">
        <v>341</v>
      </c>
      <c r="D199" s="65">
        <f>45.53*10.764</f>
        <v>490.08491999999995</v>
      </c>
      <c r="E199" s="65">
        <f>3.7*10.764</f>
        <v>39.826799999999999</v>
      </c>
      <c r="F199" s="65">
        <f>D199+E199</f>
        <v>529.91171999999995</v>
      </c>
      <c r="G199" s="65">
        <v>0</v>
      </c>
      <c r="H199" s="65">
        <f>F199*(($H$138)+1)+(IF(G199&lt;101,G199,IF(G199&lt;201,G199/2,IF(G199&lt;=301,G199/3,G199/4))))</f>
        <v>794.86757999999986</v>
      </c>
      <c r="I199" s="35"/>
      <c r="N199" s="35"/>
    </row>
    <row r="200" spans="1:20" s="34" customFormat="1" x14ac:dyDescent="0.35">
      <c r="A200" s="144" t="s">
        <v>65</v>
      </c>
      <c r="B200" s="144"/>
      <c r="C200" s="144"/>
      <c r="D200" s="144"/>
      <c r="E200" s="144"/>
      <c r="F200" s="144"/>
      <c r="G200" s="144"/>
      <c r="H200" s="144"/>
      <c r="T200" s="36"/>
    </row>
    <row r="201" spans="1:20" s="34" customFormat="1" x14ac:dyDescent="0.35">
      <c r="A201" s="45" t="s">
        <v>147</v>
      </c>
      <c r="B201" s="141" t="s">
        <v>361</v>
      </c>
      <c r="C201" s="142"/>
      <c r="D201" s="142"/>
      <c r="E201" s="142"/>
      <c r="F201" s="142"/>
      <c r="G201" s="142"/>
      <c r="H201" s="143"/>
      <c r="T201" s="36"/>
    </row>
    <row r="202" spans="1:20" s="34" customFormat="1" x14ac:dyDescent="0.35">
      <c r="A202" s="45" t="s">
        <v>147</v>
      </c>
      <c r="B202" s="141" t="str">
        <f>(IF(H137="Saleable area Loading :","We have considered Saleable area of Flats as per our Calculation.","We considered Saleable area of Flat as per Builder area Sheet."))</f>
        <v>We have considered Saleable area of Flats as per our Calculation.</v>
      </c>
      <c r="C202" s="142"/>
      <c r="D202" s="142"/>
      <c r="E202" s="142"/>
      <c r="F202" s="142"/>
      <c r="G202" s="142"/>
      <c r="H202" s="143"/>
      <c r="T202" s="36"/>
    </row>
    <row r="203" spans="1:20" s="34" customFormat="1" x14ac:dyDescent="0.35">
      <c r="A203" s="45" t="s">
        <v>147</v>
      </c>
      <c r="B203" s="141" t="str">
        <f>(IF(H128="Saleable area Loading :","We have considered Saleable area of Commercial as per our Calculation.","We considered Saleable area of Commercial as per Builder area Sheet."))</f>
        <v>We have considered Saleable area of Commercial as per our Calculation.</v>
      </c>
      <c r="C203" s="142"/>
      <c r="D203" s="142"/>
      <c r="E203" s="142"/>
      <c r="F203" s="142"/>
      <c r="G203" s="142"/>
      <c r="H203" s="143"/>
    </row>
    <row r="204" spans="1:20" s="34" customFormat="1" x14ac:dyDescent="0.35">
      <c r="A204" s="45" t="s">
        <v>147</v>
      </c>
      <c r="B204" s="138" t="s">
        <v>117</v>
      </c>
      <c r="C204" s="139"/>
      <c r="D204" s="139"/>
      <c r="E204" s="139"/>
      <c r="F204" s="139"/>
      <c r="G204" s="139"/>
      <c r="H204" s="140"/>
    </row>
    <row r="205" spans="1:20" s="34" customFormat="1" x14ac:dyDescent="0.35">
      <c r="A205" s="45" t="s">
        <v>147</v>
      </c>
      <c r="B205" s="138" t="s">
        <v>350</v>
      </c>
      <c r="C205" s="139"/>
      <c r="D205" s="139"/>
      <c r="E205" s="139"/>
      <c r="F205" s="139"/>
      <c r="G205" s="139"/>
      <c r="H205" s="140"/>
    </row>
    <row r="206" spans="1:20" s="34" customFormat="1" x14ac:dyDescent="0.35">
      <c r="A206" s="45" t="s">
        <v>147</v>
      </c>
      <c r="B206" s="138" t="s">
        <v>146</v>
      </c>
      <c r="C206" s="139"/>
      <c r="D206" s="139"/>
      <c r="E206" s="139"/>
      <c r="F206" s="139"/>
      <c r="G206" s="139"/>
      <c r="H206" s="140"/>
    </row>
    <row r="207" spans="1:20" s="34" customFormat="1" x14ac:dyDescent="0.35">
      <c r="A207" s="45" t="s">
        <v>147</v>
      </c>
      <c r="B207" s="138" t="s">
        <v>118</v>
      </c>
      <c r="C207" s="139"/>
      <c r="D207" s="139"/>
      <c r="E207" s="139"/>
      <c r="F207" s="139"/>
      <c r="G207" s="139"/>
      <c r="H207" s="140"/>
    </row>
    <row r="208" spans="1:20" s="34" customFormat="1" ht="34.5" customHeight="1" x14ac:dyDescent="0.35">
      <c r="A208" s="45" t="s">
        <v>147</v>
      </c>
      <c r="B208" s="138" t="s">
        <v>148</v>
      </c>
      <c r="C208" s="139"/>
      <c r="D208" s="139"/>
      <c r="E208" s="139"/>
      <c r="F208" s="139"/>
      <c r="G208" s="139"/>
      <c r="H208" s="140"/>
    </row>
    <row r="209" spans="1:20" s="34" customFormat="1" x14ac:dyDescent="0.35">
      <c r="A209" s="72" t="s">
        <v>147</v>
      </c>
      <c r="B209" s="138" t="s">
        <v>119</v>
      </c>
      <c r="C209" s="139"/>
      <c r="D209" s="139"/>
      <c r="E209" s="139"/>
      <c r="F209" s="139"/>
      <c r="G209" s="139"/>
      <c r="H209" s="140"/>
    </row>
    <row r="210" spans="1:20" s="34" customFormat="1" x14ac:dyDescent="0.35">
      <c r="A210" s="45" t="s">
        <v>147</v>
      </c>
      <c r="B210" s="138" t="s">
        <v>357</v>
      </c>
      <c r="C210" s="139"/>
      <c r="D210" s="139"/>
      <c r="E210" s="139"/>
      <c r="F210" s="139"/>
      <c r="G210" s="139"/>
      <c r="H210" s="140"/>
    </row>
    <row r="211" spans="1:20" s="34" customFormat="1" ht="32.25" hidden="1" customHeight="1" x14ac:dyDescent="0.35">
      <c r="A211" s="54" t="s">
        <v>147</v>
      </c>
      <c r="B211" s="129" t="s">
        <v>173</v>
      </c>
      <c r="C211" s="130"/>
      <c r="D211" s="130"/>
      <c r="E211" s="130"/>
      <c r="F211" s="130"/>
      <c r="G211" s="130"/>
      <c r="H211" s="131"/>
    </row>
    <row r="212" spans="1:20" s="34" customFormat="1" hidden="1" x14ac:dyDescent="0.35">
      <c r="A212" s="59" t="s">
        <v>147</v>
      </c>
      <c r="B212" s="129" t="s">
        <v>229</v>
      </c>
      <c r="C212" s="130"/>
      <c r="D212" s="130"/>
      <c r="E212" s="130"/>
      <c r="F212" s="130"/>
      <c r="G212" s="130"/>
      <c r="H212" s="131"/>
    </row>
    <row r="213" spans="1:20" x14ac:dyDescent="0.35">
      <c r="A213" s="110" t="s">
        <v>58</v>
      </c>
      <c r="B213" s="110"/>
      <c r="C213" s="110"/>
      <c r="D213" s="110"/>
      <c r="E213" s="110"/>
      <c r="F213" s="110"/>
      <c r="G213" s="110"/>
      <c r="H213" s="110"/>
      <c r="T213" s="34"/>
    </row>
    <row r="214" spans="1:20" x14ac:dyDescent="0.35">
      <c r="A214" s="86" t="s">
        <v>59</v>
      </c>
      <c r="B214" s="86"/>
      <c r="C214" s="86"/>
      <c r="D214" s="86"/>
      <c r="E214" s="86"/>
      <c r="F214" s="86"/>
      <c r="G214" s="86"/>
      <c r="H214" s="86"/>
      <c r="T214" s="34"/>
    </row>
    <row r="215" spans="1:20" ht="15.75" customHeight="1" x14ac:dyDescent="0.35">
      <c r="A215" s="124" t="s">
        <v>60</v>
      </c>
      <c r="B215" s="124"/>
      <c r="C215" s="124"/>
      <c r="D215" s="124"/>
      <c r="E215" s="124"/>
      <c r="F215" s="124"/>
      <c r="G215" s="124"/>
      <c r="H215" s="124"/>
      <c r="T215" s="34"/>
    </row>
    <row r="216" spans="1:20" x14ac:dyDescent="0.35">
      <c r="A216" s="86" t="s">
        <v>61</v>
      </c>
      <c r="B216" s="86"/>
      <c r="C216" s="86"/>
      <c r="D216" s="86"/>
      <c r="E216" s="86"/>
      <c r="F216" s="86"/>
      <c r="G216" s="86"/>
      <c r="H216" s="86"/>
    </row>
    <row r="217" spans="1:20" x14ac:dyDescent="0.35">
      <c r="A217" s="86" t="s">
        <v>62</v>
      </c>
      <c r="B217" s="86"/>
      <c r="C217" s="86"/>
      <c r="D217" s="86"/>
      <c r="E217" s="86"/>
      <c r="F217" s="86"/>
      <c r="G217" s="86"/>
      <c r="H217" s="86"/>
    </row>
    <row r="218" spans="1:20" x14ac:dyDescent="0.35">
      <c r="A218" s="86" t="s">
        <v>120</v>
      </c>
      <c r="B218" s="86"/>
      <c r="C218" s="86"/>
      <c r="D218" s="86"/>
      <c r="E218" s="86"/>
      <c r="F218" s="86"/>
      <c r="G218" s="86"/>
      <c r="H218" s="86"/>
    </row>
    <row r="219" spans="1:20" ht="34" customHeight="1" x14ac:dyDescent="0.35">
      <c r="A219" s="92" t="s">
        <v>121</v>
      </c>
      <c r="B219" s="92"/>
      <c r="C219" s="92"/>
      <c r="D219" s="92"/>
      <c r="E219" s="92"/>
      <c r="F219" s="92"/>
      <c r="G219" s="92"/>
      <c r="H219" s="92"/>
    </row>
    <row r="220" spans="1:20" x14ac:dyDescent="0.35">
      <c r="A220" s="158" t="s">
        <v>74</v>
      </c>
      <c r="B220" s="158"/>
      <c r="C220" s="158" t="s">
        <v>355</v>
      </c>
      <c r="D220" s="158"/>
      <c r="E220" s="158" t="s">
        <v>100</v>
      </c>
      <c r="F220" s="158"/>
      <c r="G220" s="158" t="s">
        <v>362</v>
      </c>
      <c r="H220" s="158"/>
    </row>
    <row r="221" spans="1:20" x14ac:dyDescent="0.35">
      <c r="A221" s="157" t="s">
        <v>76</v>
      </c>
      <c r="B221" s="157"/>
      <c r="C221" s="157"/>
      <c r="D221" s="157"/>
      <c r="E221" s="157"/>
      <c r="F221" s="157"/>
      <c r="G221" s="157"/>
      <c r="H221" s="157"/>
    </row>
    <row r="222" spans="1:20" x14ac:dyDescent="0.35">
      <c r="A222" s="157"/>
      <c r="B222" s="157"/>
      <c r="C222" s="157"/>
      <c r="D222" s="157"/>
      <c r="E222" s="157"/>
      <c r="F222" s="157"/>
      <c r="G222" s="157"/>
      <c r="H222" s="157"/>
    </row>
    <row r="223" spans="1:20" x14ac:dyDescent="0.35">
      <c r="A223" s="157"/>
      <c r="B223" s="157"/>
      <c r="C223" s="157"/>
      <c r="D223" s="157"/>
      <c r="E223" s="157"/>
      <c r="F223" s="157"/>
      <c r="G223" s="157"/>
      <c r="H223" s="157"/>
    </row>
    <row r="224" spans="1:20" x14ac:dyDescent="0.35">
      <c r="A224" s="157"/>
      <c r="B224" s="157"/>
      <c r="C224" s="157"/>
      <c r="D224" s="157"/>
      <c r="E224" s="157"/>
      <c r="F224" s="157"/>
      <c r="G224" s="157"/>
      <c r="H224" s="157"/>
    </row>
    <row r="225" spans="1:8" x14ac:dyDescent="0.35">
      <c r="A225" s="37" t="s">
        <v>63</v>
      </c>
      <c r="B225" s="38"/>
      <c r="C225" s="38"/>
      <c r="D225" s="37" t="str">
        <f>E9</f>
        <v>Crystal Antara</v>
      </c>
      <c r="F225" s="38"/>
      <c r="G225" s="38"/>
      <c r="H225" s="38"/>
    </row>
    <row r="226" spans="1:8" x14ac:dyDescent="0.35">
      <c r="A226" s="38"/>
      <c r="B226" s="38"/>
      <c r="C226" s="38"/>
      <c r="D226" s="38"/>
      <c r="E226" s="38"/>
      <c r="F226" s="38"/>
      <c r="G226" s="38"/>
      <c r="H226" s="38"/>
    </row>
    <row r="227" spans="1:8" x14ac:dyDescent="0.35">
      <c r="A227" s="38"/>
      <c r="B227" s="38"/>
      <c r="C227" s="38"/>
      <c r="D227" s="38"/>
      <c r="E227" s="38"/>
      <c r="F227" s="38"/>
      <c r="G227" s="38"/>
      <c r="H227" s="38"/>
    </row>
    <row r="228" spans="1:8" ht="15" customHeight="1" x14ac:dyDescent="0.35"/>
    <row r="267" spans="1:1" x14ac:dyDescent="0.35">
      <c r="A267" s="40" t="s">
        <v>158</v>
      </c>
    </row>
    <row r="308" spans="1:1" x14ac:dyDescent="0.35">
      <c r="A308" s="40" t="s">
        <v>64</v>
      </c>
    </row>
  </sheetData>
  <mergeCells count="401">
    <mergeCell ref="B209:H209"/>
    <mergeCell ref="B212:H212"/>
    <mergeCell ref="A107:E107"/>
    <mergeCell ref="A101:B101"/>
    <mergeCell ref="A124:B124"/>
    <mergeCell ref="E124:F124"/>
    <mergeCell ref="A112:E112"/>
    <mergeCell ref="G124:H124"/>
    <mergeCell ref="C118:D118"/>
    <mergeCell ref="E118:F118"/>
    <mergeCell ref="G118:H118"/>
    <mergeCell ref="A119:B119"/>
    <mergeCell ref="C119:D119"/>
    <mergeCell ref="E119:F119"/>
    <mergeCell ref="G119:H119"/>
    <mergeCell ref="A123:B123"/>
    <mergeCell ref="C123:D123"/>
    <mergeCell ref="E123:F123"/>
    <mergeCell ref="G123:H123"/>
    <mergeCell ref="B208:H208"/>
    <mergeCell ref="A156:B156"/>
    <mergeCell ref="B210:H210"/>
    <mergeCell ref="B207:H207"/>
    <mergeCell ref="B203:H203"/>
    <mergeCell ref="B201:H201"/>
    <mergeCell ref="L152:M152"/>
    <mergeCell ref="A154:B154"/>
    <mergeCell ref="A155:B155"/>
    <mergeCell ref="A40:B40"/>
    <mergeCell ref="C40:H40"/>
    <mergeCell ref="F128:F129"/>
    <mergeCell ref="C117:D117"/>
    <mergeCell ref="E117:F117"/>
    <mergeCell ref="B128:B129"/>
    <mergeCell ref="A128:A129"/>
    <mergeCell ref="C137:C138"/>
    <mergeCell ref="G137:G138"/>
    <mergeCell ref="L146:M146"/>
    <mergeCell ref="L143:M143"/>
    <mergeCell ref="A144:B144"/>
    <mergeCell ref="G125:H125"/>
    <mergeCell ref="L144:M144"/>
    <mergeCell ref="A145:B145"/>
    <mergeCell ref="L145:M145"/>
    <mergeCell ref="C55:H55"/>
    <mergeCell ref="A146:B146"/>
    <mergeCell ref="A77:B77"/>
    <mergeCell ref="A49:B49"/>
    <mergeCell ref="L135:M135"/>
    <mergeCell ref="L134:M134"/>
    <mergeCell ref="L133:M133"/>
    <mergeCell ref="L132:M132"/>
    <mergeCell ref="A85:B85"/>
    <mergeCell ref="C122:D122"/>
    <mergeCell ref="E122:F122"/>
    <mergeCell ref="G122:H122"/>
    <mergeCell ref="A103:E103"/>
    <mergeCell ref="A131:H131"/>
    <mergeCell ref="E128:E129"/>
    <mergeCell ref="A92:B92"/>
    <mergeCell ref="C90:H90"/>
    <mergeCell ref="E91:F91"/>
    <mergeCell ref="G91:H91"/>
    <mergeCell ref="A108:E108"/>
    <mergeCell ref="F108:H108"/>
    <mergeCell ref="A110:E110"/>
    <mergeCell ref="F105:H105"/>
    <mergeCell ref="A109:E109"/>
    <mergeCell ref="E92:F101"/>
    <mergeCell ref="A99:B99"/>
    <mergeCell ref="A100:B100"/>
    <mergeCell ref="A91:B91"/>
    <mergeCell ref="C59:H59"/>
    <mergeCell ref="F37:H37"/>
    <mergeCell ref="A65:C66"/>
    <mergeCell ref="D65:H65"/>
    <mergeCell ref="D66:H66"/>
    <mergeCell ref="C51:E51"/>
    <mergeCell ref="G50:H50"/>
    <mergeCell ref="C49:H49"/>
    <mergeCell ref="A90:B90"/>
    <mergeCell ref="A39:B39"/>
    <mergeCell ref="C39:H39"/>
    <mergeCell ref="A46:D46"/>
    <mergeCell ref="A47:D47"/>
    <mergeCell ref="A48:H48"/>
    <mergeCell ref="D64:H64"/>
    <mergeCell ref="A64:C64"/>
    <mergeCell ref="A84:B84"/>
    <mergeCell ref="A45:D45"/>
    <mergeCell ref="A70:C70"/>
    <mergeCell ref="D70:H70"/>
    <mergeCell ref="A73:C73"/>
    <mergeCell ref="D73:H73"/>
    <mergeCell ref="A71:C71"/>
    <mergeCell ref="D72:H72"/>
    <mergeCell ref="C34:E34"/>
    <mergeCell ref="A35:B35"/>
    <mergeCell ref="C35:E35"/>
    <mergeCell ref="F34:H34"/>
    <mergeCell ref="F35:H35"/>
    <mergeCell ref="A51:B51"/>
    <mergeCell ref="G51:H51"/>
    <mergeCell ref="G92:H101"/>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E47:H47"/>
    <mergeCell ref="C57:H57"/>
    <mergeCell ref="E27:H27"/>
    <mergeCell ref="A29:D29"/>
    <mergeCell ref="E29:H29"/>
    <mergeCell ref="A26:D26"/>
    <mergeCell ref="E26:H26"/>
    <mergeCell ref="A25:D25"/>
    <mergeCell ref="E25:H25"/>
    <mergeCell ref="G52:H52"/>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8:B78"/>
    <mergeCell ref="G77:H77"/>
    <mergeCell ref="E78:F87"/>
    <mergeCell ref="G78:H87"/>
    <mergeCell ref="A86:B86"/>
    <mergeCell ref="A87:B87"/>
    <mergeCell ref="A80:B80"/>
    <mergeCell ref="A221:H224"/>
    <mergeCell ref="A220:B220"/>
    <mergeCell ref="E220:F220"/>
    <mergeCell ref="C220:D220"/>
    <mergeCell ref="G220:H220"/>
    <mergeCell ref="A115:H115"/>
    <mergeCell ref="A113:E113"/>
    <mergeCell ref="F113:H113"/>
    <mergeCell ref="A114:E114"/>
    <mergeCell ref="F114:H114"/>
    <mergeCell ref="A152:H152"/>
    <mergeCell ref="A122:B122"/>
    <mergeCell ref="A117:B117"/>
    <mergeCell ref="A216:H216"/>
    <mergeCell ref="A120:H120"/>
    <mergeCell ref="A219:H219"/>
    <mergeCell ref="A217:H217"/>
    <mergeCell ref="A213:H213"/>
    <mergeCell ref="G121:H121"/>
    <mergeCell ref="C128:C129"/>
    <mergeCell ref="B137:B138"/>
    <mergeCell ref="A214:H214"/>
    <mergeCell ref="B206:H206"/>
    <mergeCell ref="D128:D129"/>
    <mergeCell ref="A190:H190"/>
    <mergeCell ref="A196:B196"/>
    <mergeCell ref="A197:B197"/>
    <mergeCell ref="A139:H139"/>
    <mergeCell ref="A140:H140"/>
    <mergeCell ref="A141:H141"/>
    <mergeCell ref="B202:H202"/>
    <mergeCell ref="B204:H204"/>
    <mergeCell ref="B205:H205"/>
    <mergeCell ref="A200:H200"/>
    <mergeCell ref="C146:H146"/>
    <mergeCell ref="A172:H172"/>
    <mergeCell ref="A173:H173"/>
    <mergeCell ref="A174:H174"/>
    <mergeCell ref="A157:H157"/>
    <mergeCell ref="A198:B198"/>
    <mergeCell ref="A199:B199"/>
    <mergeCell ref="A93:B93"/>
    <mergeCell ref="A94:B94"/>
    <mergeCell ref="A95:B95"/>
    <mergeCell ref="F104:H104"/>
    <mergeCell ref="A104:E104"/>
    <mergeCell ref="A106:E106"/>
    <mergeCell ref="A105:E105"/>
    <mergeCell ref="A102:E102"/>
    <mergeCell ref="F106:H106"/>
    <mergeCell ref="F102:H102"/>
    <mergeCell ref="A143:B143"/>
    <mergeCell ref="A135:B135"/>
    <mergeCell ref="A134:B134"/>
    <mergeCell ref="A136:H136"/>
    <mergeCell ref="E121:F121"/>
    <mergeCell ref="A126:H126"/>
    <mergeCell ref="A137:A138"/>
    <mergeCell ref="F137:F138"/>
    <mergeCell ref="G128:G129"/>
    <mergeCell ref="C143:H143"/>
    <mergeCell ref="A133:B133"/>
    <mergeCell ref="A58:B59"/>
    <mergeCell ref="C58:E58"/>
    <mergeCell ref="G58:H58"/>
    <mergeCell ref="A218:H218"/>
    <mergeCell ref="A215:H215"/>
    <mergeCell ref="A153:B153"/>
    <mergeCell ref="A121:B121"/>
    <mergeCell ref="D137:D138"/>
    <mergeCell ref="E137:E138"/>
    <mergeCell ref="A96:B96"/>
    <mergeCell ref="A97:B97"/>
    <mergeCell ref="A98:B98"/>
    <mergeCell ref="F103:H103"/>
    <mergeCell ref="G117:H117"/>
    <mergeCell ref="F109:H109"/>
    <mergeCell ref="C116:D116"/>
    <mergeCell ref="C124:D124"/>
    <mergeCell ref="A142:H142"/>
    <mergeCell ref="A132:B132"/>
    <mergeCell ref="B211:H211"/>
    <mergeCell ref="A125:B125"/>
    <mergeCell ref="C125:D125"/>
    <mergeCell ref="E125:F125"/>
    <mergeCell ref="A130:H130"/>
    <mergeCell ref="A52:B53"/>
    <mergeCell ref="C53:H53"/>
    <mergeCell ref="C52:E52"/>
    <mergeCell ref="I15:P15"/>
    <mergeCell ref="F112:H112"/>
    <mergeCell ref="F110:H110"/>
    <mergeCell ref="A127:H127"/>
    <mergeCell ref="G116:H116"/>
    <mergeCell ref="A111:E111"/>
    <mergeCell ref="E43:H43"/>
    <mergeCell ref="A43:D43"/>
    <mergeCell ref="A50:B50"/>
    <mergeCell ref="C50:E50"/>
    <mergeCell ref="A61:H61"/>
    <mergeCell ref="A62:C62"/>
    <mergeCell ref="A63:C63"/>
    <mergeCell ref="D63:H63"/>
    <mergeCell ref="G60:H60"/>
    <mergeCell ref="A54:B55"/>
    <mergeCell ref="C54:E54"/>
    <mergeCell ref="G54:H54"/>
    <mergeCell ref="A56:B57"/>
    <mergeCell ref="C56:E56"/>
    <mergeCell ref="G56:H56"/>
    <mergeCell ref="A60:B60"/>
    <mergeCell ref="C60:E60"/>
    <mergeCell ref="D62:H62"/>
    <mergeCell ref="F111:H111"/>
    <mergeCell ref="E116:F116"/>
    <mergeCell ref="A116:B116"/>
    <mergeCell ref="A118:B118"/>
    <mergeCell ref="C121:D121"/>
    <mergeCell ref="D71:H71"/>
    <mergeCell ref="A72:C72"/>
    <mergeCell ref="A88:B88"/>
    <mergeCell ref="C88:H88"/>
    <mergeCell ref="A83:B83"/>
    <mergeCell ref="A76:B76"/>
    <mergeCell ref="A74:B74"/>
    <mergeCell ref="C74:H74"/>
    <mergeCell ref="A82:B82"/>
    <mergeCell ref="A69:C69"/>
    <mergeCell ref="D69:H69"/>
    <mergeCell ref="C76:H76"/>
    <mergeCell ref="A79:B79"/>
    <mergeCell ref="A81:B81"/>
    <mergeCell ref="E77:F77"/>
    <mergeCell ref="F107:H107"/>
    <mergeCell ref="L190:M190"/>
    <mergeCell ref="A191:B191"/>
    <mergeCell ref="A192:B192"/>
    <mergeCell ref="A193:B193"/>
    <mergeCell ref="A194:B194"/>
    <mergeCell ref="A195:H195"/>
    <mergeCell ref="L195:M195"/>
    <mergeCell ref="A175:H175"/>
    <mergeCell ref="A178:B178"/>
    <mergeCell ref="C178:H178"/>
    <mergeCell ref="L178:M178"/>
    <mergeCell ref="A176:B176"/>
    <mergeCell ref="L176:M176"/>
    <mergeCell ref="A179:B179"/>
    <mergeCell ref="L179:M179"/>
    <mergeCell ref="A177:B177"/>
    <mergeCell ref="C177:H177"/>
    <mergeCell ref="L177:M177"/>
    <mergeCell ref="A188:B188"/>
    <mergeCell ref="A189:B189"/>
    <mergeCell ref="A184:B184"/>
    <mergeCell ref="L184:M184"/>
    <mergeCell ref="A185:H185"/>
    <mergeCell ref="L185:M185"/>
    <mergeCell ref="C182:H182"/>
    <mergeCell ref="L182:M182"/>
    <mergeCell ref="A183:B183"/>
    <mergeCell ref="C183:H183"/>
    <mergeCell ref="L183:M183"/>
    <mergeCell ref="A147:H147"/>
    <mergeCell ref="A148:B148"/>
    <mergeCell ref="C148:H148"/>
    <mergeCell ref="L148:M148"/>
    <mergeCell ref="A149:B149"/>
    <mergeCell ref="L149:M149"/>
    <mergeCell ref="A150:B150"/>
    <mergeCell ref="L150:M150"/>
    <mergeCell ref="A151:B151"/>
    <mergeCell ref="C151:H151"/>
    <mergeCell ref="L151:M151"/>
    <mergeCell ref="A186:B186"/>
    <mergeCell ref="A187:B187"/>
    <mergeCell ref="A169:B169"/>
    <mergeCell ref="A170:B170"/>
    <mergeCell ref="A171:B171"/>
    <mergeCell ref="L157:M157"/>
    <mergeCell ref="A158:B158"/>
    <mergeCell ref="A159:B159"/>
    <mergeCell ref="A160:B160"/>
    <mergeCell ref="A161:B161"/>
    <mergeCell ref="C171:H171"/>
    <mergeCell ref="A162:H162"/>
    <mergeCell ref="L162:M162"/>
    <mergeCell ref="A163:B163"/>
    <mergeCell ref="A164:B164"/>
    <mergeCell ref="A165:B165"/>
    <mergeCell ref="A166:B166"/>
    <mergeCell ref="A167:H167"/>
    <mergeCell ref="L167:M167"/>
    <mergeCell ref="A168:B168"/>
    <mergeCell ref="A180:H180"/>
    <mergeCell ref="A181:B181"/>
    <mergeCell ref="L181:M181"/>
    <mergeCell ref="A182:B182"/>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20:H220">
      <formula1>"Gaurav Panchal,Kunal Kadam,Shruti Tathare,Pranita Mhatre,Shruti Fule,Pooja Kawale,Mansee Mohite,Anjali Kamble,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8:B129">
      <formula1>"Shop No. (Sale Plan),Sale / Rehab,Sale / Mhada"</formula1>
    </dataValidation>
    <dataValidation type="list" allowBlank="1" showInputMessage="1" showErrorMessage="1" sqref="B137:B138">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7:E138">
      <formula1>"Fungible area,Balcony Area,Chajja Area,Cornice Area,AP Area,WS Area"</formula1>
    </dataValidation>
    <dataValidation type="list" allowBlank="1" showInputMessage="1" showErrorMessage="1" sqref="H129 H138">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16383" man="1"/>
    <brk id="224" max="16383" man="1"/>
    <brk id="266" max="16383" man="1"/>
    <brk id="30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B15" sqref="B15"/>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3" t="s">
        <v>101</v>
      </c>
      <c r="C3" s="193"/>
      <c r="D3" s="193"/>
      <c r="E3" s="193"/>
      <c r="F3" s="193"/>
      <c r="G3" s="193"/>
      <c r="H3" s="193"/>
    </row>
    <row r="4" spans="1:9" x14ac:dyDescent="0.35">
      <c r="A4" s="2"/>
      <c r="B4" s="3" t="s">
        <v>102</v>
      </c>
      <c r="C4" s="3" t="s">
        <v>103</v>
      </c>
      <c r="D4" s="3" t="s">
        <v>66</v>
      </c>
      <c r="E4" s="3" t="s">
        <v>104</v>
      </c>
      <c r="F4" s="3" t="s">
        <v>110</v>
      </c>
      <c r="G4" s="3" t="s">
        <v>111</v>
      </c>
      <c r="H4" s="3" t="s">
        <v>105</v>
      </c>
    </row>
    <row r="5" spans="1:9" ht="15" customHeight="1" x14ac:dyDescent="0.35">
      <c r="A5" s="2"/>
      <c r="B5" s="5" t="s">
        <v>106</v>
      </c>
      <c r="C5" s="6"/>
      <c r="D5" s="5"/>
      <c r="E5" s="5"/>
      <c r="F5" s="7">
        <f>E5*1.6</f>
        <v>0</v>
      </c>
      <c r="G5" s="7" t="e">
        <f>H5/F5</f>
        <v>#DIV/0!</v>
      </c>
      <c r="H5" s="8"/>
    </row>
    <row r="6" spans="1:9" x14ac:dyDescent="0.35">
      <c r="A6" s="2"/>
      <c r="B6" s="5" t="s">
        <v>106</v>
      </c>
      <c r="C6" s="9"/>
      <c r="D6" s="5"/>
      <c r="E6" s="5"/>
      <c r="F6" s="7">
        <f t="shared" ref="F6:F11" si="0">E6*1.6</f>
        <v>0</v>
      </c>
      <c r="G6" s="7" t="e">
        <f t="shared" ref="G6:G11" si="1">H6/F6</f>
        <v>#DIV/0!</v>
      </c>
      <c r="H6" s="8"/>
    </row>
    <row r="7" spans="1:9" ht="15" customHeight="1" x14ac:dyDescent="0.35">
      <c r="A7" s="2"/>
      <c r="B7" s="5" t="s">
        <v>106</v>
      </c>
      <c r="C7" s="6"/>
      <c r="D7" s="5"/>
      <c r="E7" s="5"/>
      <c r="F7" s="7">
        <f t="shared" si="0"/>
        <v>0</v>
      </c>
      <c r="G7" s="7" t="e">
        <f t="shared" si="1"/>
        <v>#DIV/0!</v>
      </c>
      <c r="H7" s="8"/>
    </row>
    <row r="8" spans="1:9" x14ac:dyDescent="0.35">
      <c r="A8" s="2"/>
      <c r="B8" s="5" t="s">
        <v>106</v>
      </c>
      <c r="C8" s="9"/>
      <c r="D8" s="5"/>
      <c r="E8" s="5"/>
      <c r="F8" s="7">
        <f t="shared" si="0"/>
        <v>0</v>
      </c>
      <c r="G8" s="7" t="e">
        <f t="shared" si="1"/>
        <v>#DIV/0!</v>
      </c>
      <c r="H8" s="8"/>
    </row>
    <row r="9" spans="1:9" ht="15" customHeight="1" x14ac:dyDescent="0.35">
      <c r="A9" s="2"/>
      <c r="B9" s="5" t="s">
        <v>106</v>
      </c>
      <c r="C9" s="9"/>
      <c r="D9" s="5"/>
      <c r="E9" s="5"/>
      <c r="F9" s="7">
        <f t="shared" si="0"/>
        <v>0</v>
      </c>
      <c r="G9" s="7" t="e">
        <f t="shared" si="1"/>
        <v>#DIV/0!</v>
      </c>
      <c r="H9" s="8"/>
    </row>
    <row r="10" spans="1:9" ht="15" customHeight="1" x14ac:dyDescent="0.35">
      <c r="A10" s="2"/>
      <c r="B10" s="5" t="s">
        <v>107</v>
      </c>
      <c r="C10" s="6"/>
      <c r="D10" s="5"/>
      <c r="E10" s="5"/>
      <c r="F10" s="7">
        <f t="shared" si="0"/>
        <v>0</v>
      </c>
      <c r="G10" s="7" t="e">
        <f t="shared" si="1"/>
        <v>#DIV/0!</v>
      </c>
      <c r="H10" s="8"/>
    </row>
    <row r="11" spans="1:9" ht="15" customHeight="1" x14ac:dyDescent="0.35">
      <c r="A11" s="2"/>
      <c r="B11" s="5" t="s">
        <v>107</v>
      </c>
      <c r="C11" s="6"/>
      <c r="D11" s="5"/>
      <c r="E11" s="5"/>
      <c r="F11" s="7">
        <f t="shared" si="0"/>
        <v>0</v>
      </c>
      <c r="G11" s="7" t="e">
        <f t="shared" si="1"/>
        <v>#DIV/0!</v>
      </c>
      <c r="H11" s="8"/>
    </row>
    <row r="12" spans="1:9" ht="15" customHeight="1" x14ac:dyDescent="0.35">
      <c r="A12" s="2"/>
      <c r="B12" s="10" t="s">
        <v>108</v>
      </c>
      <c r="C12" s="5"/>
      <c r="D12" s="5"/>
      <c r="E12" s="5"/>
      <c r="F12" s="5"/>
      <c r="G12" s="11" t="e">
        <f>AVERAGE(G5:G11)</f>
        <v>#DIV/0!</v>
      </c>
      <c r="H12" s="5"/>
    </row>
    <row r="13" spans="1:9" ht="15" customHeight="1" x14ac:dyDescent="0.35">
      <c r="B13" s="10" t="s">
        <v>109</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174</v>
      </c>
      <c r="E4" s="56" t="s">
        <v>184</v>
      </c>
      <c r="F4" s="56" t="s">
        <v>167</v>
      </c>
      <c r="G4" s="56" t="s">
        <v>189</v>
      </c>
      <c r="H4" s="56" t="s">
        <v>207</v>
      </c>
      <c r="J4" t="s">
        <v>189</v>
      </c>
      <c r="K4" t="s">
        <v>205</v>
      </c>
    </row>
    <row r="5" spans="2:11" x14ac:dyDescent="0.35">
      <c r="B5" s="55"/>
      <c r="C5" s="55"/>
      <c r="D5" s="56" t="s">
        <v>175</v>
      </c>
      <c r="E5" s="56" t="s">
        <v>182</v>
      </c>
      <c r="F5" s="56" t="s">
        <v>204</v>
      </c>
      <c r="G5" s="56" t="s">
        <v>190</v>
      </c>
      <c r="H5" s="56" t="s">
        <v>208</v>
      </c>
    </row>
    <row r="6" spans="2:11" x14ac:dyDescent="0.35">
      <c r="B6" s="55"/>
      <c r="C6" s="55"/>
      <c r="D6" s="56" t="s">
        <v>176</v>
      </c>
      <c r="E6" s="56" t="s">
        <v>183</v>
      </c>
      <c r="F6" s="56" t="s">
        <v>205</v>
      </c>
      <c r="G6" s="56" t="s">
        <v>191</v>
      </c>
      <c r="H6" s="56" t="s">
        <v>221</v>
      </c>
    </row>
    <row r="7" spans="2:11" x14ac:dyDescent="0.35">
      <c r="B7" s="55"/>
      <c r="C7" s="55"/>
      <c r="D7" s="56" t="s">
        <v>177</v>
      </c>
      <c r="E7" s="56" t="s">
        <v>185</v>
      </c>
      <c r="F7" s="56" t="s">
        <v>206</v>
      </c>
      <c r="G7" s="56" t="s">
        <v>192</v>
      </c>
      <c r="H7" s="56" t="s">
        <v>209</v>
      </c>
    </row>
    <row r="8" spans="2:11" x14ac:dyDescent="0.35">
      <c r="B8" s="55"/>
      <c r="C8" s="55"/>
      <c r="D8" s="56" t="s">
        <v>178</v>
      </c>
      <c r="E8" s="56" t="s">
        <v>186</v>
      </c>
      <c r="F8" s="56"/>
      <c r="G8" s="56" t="s">
        <v>193</v>
      </c>
      <c r="H8" s="56" t="s">
        <v>210</v>
      </c>
    </row>
    <row r="9" spans="2:11" x14ac:dyDescent="0.35">
      <c r="B9" s="55"/>
      <c r="C9" s="55"/>
      <c r="D9" s="56" t="s">
        <v>179</v>
      </c>
      <c r="E9" s="56" t="s">
        <v>184</v>
      </c>
      <c r="F9" s="56"/>
      <c r="G9" s="56" t="s">
        <v>194</v>
      </c>
      <c r="H9" s="56" t="s">
        <v>211</v>
      </c>
    </row>
    <row r="10" spans="2:11" x14ac:dyDescent="0.35">
      <c r="B10" s="55"/>
      <c r="C10" s="55"/>
      <c r="D10" s="56" t="s">
        <v>180</v>
      </c>
      <c r="E10" s="56" t="s">
        <v>187</v>
      </c>
      <c r="F10" s="56"/>
      <c r="G10" s="56" t="s">
        <v>195</v>
      </c>
      <c r="H10" s="56" t="s">
        <v>212</v>
      </c>
    </row>
    <row r="11" spans="2:11" x14ac:dyDescent="0.35">
      <c r="B11" s="55"/>
      <c r="C11" s="55"/>
      <c r="D11" s="56" t="s">
        <v>181</v>
      </c>
      <c r="E11" s="56" t="s">
        <v>188</v>
      </c>
      <c r="F11" s="56"/>
      <c r="G11" s="56" t="s">
        <v>196</v>
      </c>
      <c r="H11" s="56" t="s">
        <v>213</v>
      </c>
    </row>
    <row r="12" spans="2:11" x14ac:dyDescent="0.35">
      <c r="B12" s="55"/>
      <c r="C12" s="55"/>
      <c r="D12" s="56"/>
      <c r="E12" s="56"/>
      <c r="F12" s="56"/>
      <c r="G12" s="56" t="s">
        <v>197</v>
      </c>
      <c r="H12" s="56" t="s">
        <v>214</v>
      </c>
    </row>
    <row r="13" spans="2:11" x14ac:dyDescent="0.35">
      <c r="B13" s="55"/>
      <c r="C13" s="55"/>
      <c r="D13" s="56"/>
      <c r="E13" s="56"/>
      <c r="F13" s="56"/>
      <c r="G13" s="56" t="s">
        <v>198</v>
      </c>
      <c r="H13" s="56" t="s">
        <v>215</v>
      </c>
    </row>
    <row r="14" spans="2:11" x14ac:dyDescent="0.35">
      <c r="B14" s="55"/>
      <c r="C14" s="55"/>
      <c r="D14" s="56"/>
      <c r="E14" s="56"/>
      <c r="F14" s="56"/>
      <c r="G14" s="56" t="s">
        <v>199</v>
      </c>
      <c r="H14" s="56" t="s">
        <v>216</v>
      </c>
    </row>
    <row r="15" spans="2:11" x14ac:dyDescent="0.35">
      <c r="B15" s="55"/>
      <c r="C15" s="55"/>
      <c r="D15" s="56"/>
      <c r="E15" s="56"/>
      <c r="F15" s="56"/>
      <c r="G15" s="56" t="s">
        <v>200</v>
      </c>
      <c r="H15" s="56" t="s">
        <v>217</v>
      </c>
    </row>
    <row r="16" spans="2:11" x14ac:dyDescent="0.35">
      <c r="B16" s="55"/>
      <c r="C16" s="55"/>
      <c r="D16" s="56"/>
      <c r="E16" s="56"/>
      <c r="F16" s="56"/>
      <c r="G16" s="56" t="s">
        <v>201</v>
      </c>
      <c r="H16" s="56" t="s">
        <v>218</v>
      </c>
    </row>
    <row r="17" spans="2:8" x14ac:dyDescent="0.35">
      <c r="B17" s="55"/>
      <c r="C17" s="55"/>
      <c r="D17" s="56"/>
      <c r="E17" s="56"/>
      <c r="F17" s="56"/>
      <c r="G17" s="56" t="s">
        <v>202</v>
      </c>
      <c r="H17" s="56" t="s">
        <v>219</v>
      </c>
    </row>
    <row r="18" spans="2:8" x14ac:dyDescent="0.35">
      <c r="B18" s="55"/>
      <c r="C18" s="55"/>
      <c r="D18" s="56"/>
      <c r="E18" s="56"/>
      <c r="F18" s="56"/>
      <c r="G18" s="56" t="s">
        <v>203</v>
      </c>
      <c r="H18" s="56" t="s">
        <v>220</v>
      </c>
    </row>
    <row r="24" spans="2:8" x14ac:dyDescent="0.35">
      <c r="C24" t="s">
        <v>164</v>
      </c>
    </row>
    <row r="25" spans="2:8" x14ac:dyDescent="0.35">
      <c r="C25" t="s">
        <v>222</v>
      </c>
    </row>
    <row r="26" spans="2:8" x14ac:dyDescent="0.35">
      <c r="C26" t="s">
        <v>223</v>
      </c>
    </row>
    <row r="27" spans="2:8" x14ac:dyDescent="0.35">
      <c r="C27" t="s">
        <v>224</v>
      </c>
    </row>
    <row r="28" spans="2:8" x14ac:dyDescent="0.35">
      <c r="C28" t="s">
        <v>225</v>
      </c>
    </row>
    <row r="29" spans="2:8" x14ac:dyDescent="0.35">
      <c r="C29" t="s">
        <v>226</v>
      </c>
    </row>
    <row r="30" spans="2:8" x14ac:dyDescent="0.35">
      <c r="C30" t="s">
        <v>164</v>
      </c>
    </row>
    <row r="33" spans="3:11" x14ac:dyDescent="0.35">
      <c r="J33">
        <v>1</v>
      </c>
      <c r="K33">
        <v>2</v>
      </c>
    </row>
    <row r="34" spans="3:11" x14ac:dyDescent="0.35">
      <c r="C34" s="60" t="s">
        <v>233</v>
      </c>
      <c r="D34" s="56" t="s">
        <v>231</v>
      </c>
      <c r="E34" s="56" t="s">
        <v>236</v>
      </c>
      <c r="F34" s="56" t="s">
        <v>234</v>
      </c>
      <c r="G34" s="56" t="s">
        <v>235</v>
      </c>
      <c r="H34" s="56" t="s">
        <v>237</v>
      </c>
      <c r="J34" t="s">
        <v>189</v>
      </c>
      <c r="K34" t="s">
        <v>205</v>
      </c>
    </row>
    <row r="35" spans="3:11" x14ac:dyDescent="0.35">
      <c r="C35" s="55" t="s">
        <v>232</v>
      </c>
      <c r="D35" s="56" t="s">
        <v>165</v>
      </c>
      <c r="E35" s="56" t="s">
        <v>241</v>
      </c>
      <c r="F35" s="56" t="s">
        <v>243</v>
      </c>
      <c r="G35" s="56" t="s">
        <v>245</v>
      </c>
      <c r="H35" s="56"/>
    </row>
    <row r="36" spans="3:11" x14ac:dyDescent="0.35">
      <c r="C36" s="55"/>
      <c r="D36" s="56" t="s">
        <v>238</v>
      </c>
      <c r="E36" s="56" t="s">
        <v>242</v>
      </c>
      <c r="F36" s="56" t="s">
        <v>244</v>
      </c>
      <c r="G36" s="56" t="s">
        <v>246</v>
      </c>
      <c r="H36" s="56"/>
    </row>
    <row r="37" spans="3:11" x14ac:dyDescent="0.35">
      <c r="C37" s="55"/>
      <c r="D37" s="56" t="s">
        <v>239</v>
      </c>
      <c r="E37" s="56"/>
      <c r="F37" s="56"/>
      <c r="G37" s="56" t="s">
        <v>247</v>
      </c>
      <c r="H37" s="56"/>
    </row>
    <row r="38" spans="3:11" x14ac:dyDescent="0.35">
      <c r="C38" s="55"/>
      <c r="D38" s="56" t="s">
        <v>240</v>
      </c>
      <c r="E38" s="56"/>
      <c r="F38" s="56"/>
      <c r="G38" s="56" t="s">
        <v>247</v>
      </c>
      <c r="H38" s="56"/>
    </row>
    <row r="39" spans="3:11" x14ac:dyDescent="0.35">
      <c r="C39" s="55"/>
      <c r="D39" s="56"/>
      <c r="E39" s="56"/>
      <c r="F39" s="56"/>
      <c r="G39" s="56" t="s">
        <v>248</v>
      </c>
      <c r="H39" s="56"/>
    </row>
    <row r="40" spans="3:11" x14ac:dyDescent="0.35">
      <c r="C40" s="55"/>
      <c r="D40" s="56"/>
      <c r="E40" s="56"/>
      <c r="F40" s="56"/>
      <c r="G40" s="56" t="s">
        <v>249</v>
      </c>
      <c r="H40" s="56"/>
    </row>
    <row r="41" spans="3:11" x14ac:dyDescent="0.35">
      <c r="C41" s="55"/>
      <c r="D41" s="56"/>
      <c r="E41" s="56"/>
      <c r="F41" s="56"/>
      <c r="G41" s="56"/>
      <c r="H41" s="56"/>
    </row>
    <row r="43" spans="3:11" x14ac:dyDescent="0.35">
      <c r="C43" t="s">
        <v>250</v>
      </c>
    </row>
    <row r="44" spans="3:11" x14ac:dyDescent="0.35">
      <c r="C44" t="s">
        <v>167</v>
      </c>
      <c r="D44" t="s">
        <v>251</v>
      </c>
    </row>
    <row r="45" spans="3:11" x14ac:dyDescent="0.35">
      <c r="D45" t="s">
        <v>252</v>
      </c>
    </row>
    <row r="46" spans="3:11" x14ac:dyDescent="0.35">
      <c r="D46" t="s">
        <v>253</v>
      </c>
    </row>
    <row r="47" spans="3:11" x14ac:dyDescent="0.35">
      <c r="D47" t="s">
        <v>254</v>
      </c>
    </row>
    <row r="48" spans="3:11" x14ac:dyDescent="0.35">
      <c r="D48" t="s">
        <v>255</v>
      </c>
    </row>
    <row r="49" spans="3:4" x14ac:dyDescent="0.35">
      <c r="C49" t="s">
        <v>174</v>
      </c>
      <c r="D49" t="s">
        <v>256</v>
      </c>
    </row>
    <row r="50" spans="3:4" x14ac:dyDescent="0.35">
      <c r="D50" t="s">
        <v>257</v>
      </c>
    </row>
    <row r="51" spans="3:4" x14ac:dyDescent="0.35">
      <c r="D51" t="s">
        <v>258</v>
      </c>
    </row>
    <row r="52" spans="3:4" x14ac:dyDescent="0.35">
      <c r="D52" t="s">
        <v>261</v>
      </c>
    </row>
    <row r="53" spans="3:4" x14ac:dyDescent="0.35">
      <c r="D53" t="s">
        <v>259</v>
      </c>
    </row>
    <row r="54" spans="3:4" x14ac:dyDescent="0.35">
      <c r="D54" t="s">
        <v>260</v>
      </c>
    </row>
    <row r="55" spans="3:4" x14ac:dyDescent="0.35">
      <c r="D55" t="s">
        <v>262</v>
      </c>
    </row>
    <row r="56" spans="3:4" x14ac:dyDescent="0.35">
      <c r="D56" t="s">
        <v>263</v>
      </c>
    </row>
    <row r="57" spans="3:4" x14ac:dyDescent="0.35">
      <c r="D57" t="s">
        <v>264</v>
      </c>
    </row>
    <row r="58" spans="3:4" x14ac:dyDescent="0.35">
      <c r="D58" t="s">
        <v>266</v>
      </c>
    </row>
    <row r="59" spans="3:4" x14ac:dyDescent="0.35">
      <c r="D59" t="s">
        <v>275</v>
      </c>
    </row>
    <row r="60" spans="3:4" x14ac:dyDescent="0.35">
      <c r="C60" t="s">
        <v>189</v>
      </c>
      <c r="D60" t="s">
        <v>267</v>
      </c>
    </row>
    <row r="61" spans="3:4" x14ac:dyDescent="0.35">
      <c r="D61" t="s">
        <v>265</v>
      </c>
    </row>
    <row r="62" spans="3:4" x14ac:dyDescent="0.35">
      <c r="D62" t="s">
        <v>255</v>
      </c>
    </row>
    <row r="63" spans="3:4" x14ac:dyDescent="0.35">
      <c r="D63" t="s">
        <v>268</v>
      </c>
    </row>
    <row r="64" spans="3:4" x14ac:dyDescent="0.35">
      <c r="D64" t="s">
        <v>269</v>
      </c>
    </row>
    <row r="65" spans="3:4" x14ac:dyDescent="0.35">
      <c r="D65" t="s">
        <v>270</v>
      </c>
    </row>
    <row r="66" spans="3:4" x14ac:dyDescent="0.35">
      <c r="D66" t="s">
        <v>271</v>
      </c>
    </row>
    <row r="67" spans="3:4" x14ac:dyDescent="0.35">
      <c r="C67" t="s">
        <v>184</v>
      </c>
      <c r="D67" t="s">
        <v>272</v>
      </c>
    </row>
    <row r="68" spans="3:4" x14ac:dyDescent="0.35">
      <c r="D68" t="s">
        <v>273</v>
      </c>
    </row>
    <row r="69" spans="3:4" x14ac:dyDescent="0.3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8"/>
  <sheetViews>
    <sheetView topLeftCell="A4" workbookViewId="0">
      <selection activeCell="C16" sqref="C16"/>
    </sheetView>
  </sheetViews>
  <sheetFormatPr defaultRowHeight="14.5" x14ac:dyDescent="0.35"/>
  <cols>
    <col min="2" max="2" width="3" bestFit="1" customWidth="1"/>
    <col min="3" max="3" width="167.1796875" customWidth="1"/>
  </cols>
  <sheetData>
    <row r="2" spans="2:3" ht="15" customHeight="1" x14ac:dyDescent="0.35">
      <c r="B2" s="61">
        <v>1</v>
      </c>
      <c r="C2" s="64" t="s">
        <v>281</v>
      </c>
    </row>
    <row r="3" spans="2:3" x14ac:dyDescent="0.35">
      <c r="B3" s="61">
        <v>2</v>
      </c>
      <c r="C3" s="62" t="s">
        <v>282</v>
      </c>
    </row>
    <row r="4" spans="2:3" x14ac:dyDescent="0.35">
      <c r="B4" s="61">
        <v>3</v>
      </c>
      <c r="C4" s="63" t="s">
        <v>283</v>
      </c>
    </row>
    <row r="5" spans="2:3" x14ac:dyDescent="0.35">
      <c r="B5" s="61">
        <v>4</v>
      </c>
      <c r="C5" s="62" t="s">
        <v>284</v>
      </c>
    </row>
    <row r="6" spans="2:3" x14ac:dyDescent="0.35">
      <c r="B6" s="61">
        <v>5</v>
      </c>
      <c r="C6" s="63" t="s">
        <v>285</v>
      </c>
    </row>
    <row r="7" spans="2:3" x14ac:dyDescent="0.35">
      <c r="B7" s="61">
        <v>6</v>
      </c>
      <c r="C7" s="62" t="s">
        <v>286</v>
      </c>
    </row>
    <row r="8" spans="2:3" ht="72.5" x14ac:dyDescent="0.35">
      <c r="B8" s="61">
        <v>7</v>
      </c>
      <c r="C8" s="62" t="s">
        <v>287</v>
      </c>
    </row>
    <row r="9" spans="2:3" x14ac:dyDescent="0.35">
      <c r="B9" s="61">
        <v>8</v>
      </c>
      <c r="C9" s="63" t="s">
        <v>288</v>
      </c>
    </row>
    <row r="10" spans="2:3" x14ac:dyDescent="0.35">
      <c r="B10" s="61">
        <v>9</v>
      </c>
      <c r="C10" s="63" t="s">
        <v>289</v>
      </c>
    </row>
    <row r="11" spans="2:3" x14ac:dyDescent="0.35">
      <c r="B11" s="61">
        <v>10</v>
      </c>
      <c r="C11" s="63" t="s">
        <v>290</v>
      </c>
    </row>
    <row r="12" spans="2:3" x14ac:dyDescent="0.35">
      <c r="B12" s="61">
        <v>11</v>
      </c>
      <c r="C12" s="63" t="s">
        <v>291</v>
      </c>
    </row>
    <row r="13" spans="2:3" x14ac:dyDescent="0.35">
      <c r="B13" s="61">
        <v>12</v>
      </c>
      <c r="C13" s="63" t="s">
        <v>292</v>
      </c>
    </row>
    <row r="14" spans="2:3" x14ac:dyDescent="0.35">
      <c r="B14" s="61">
        <v>13</v>
      </c>
      <c r="C14" s="63" t="s">
        <v>293</v>
      </c>
    </row>
    <row r="15" spans="2:3" x14ac:dyDescent="0.35">
      <c r="B15" s="61">
        <v>14</v>
      </c>
      <c r="C15" s="63" t="s">
        <v>295</v>
      </c>
    </row>
    <row r="16" spans="2:3" x14ac:dyDescent="0.35">
      <c r="B16" s="61">
        <v>15</v>
      </c>
      <c r="C16" s="63" t="s">
        <v>296</v>
      </c>
    </row>
    <row r="17" spans="2:3" x14ac:dyDescent="0.35">
      <c r="B17" s="61">
        <v>16</v>
      </c>
      <c r="C17" s="67" t="s">
        <v>297</v>
      </c>
    </row>
    <row r="18" spans="2:3" x14ac:dyDescent="0.35">
      <c r="B18" s="61">
        <v>15</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2025-08-13T16:01:01Z</cp:lastPrinted>
  <dcterms:created xsi:type="dcterms:W3CDTF">2019-07-16T09:29:46Z</dcterms:created>
  <dcterms:modified xsi:type="dcterms:W3CDTF">2025-08-13T16:01:07Z</dcterms:modified>
</cp:coreProperties>
</file>