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2-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Report!$A$1:$H$343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0" i="1" l="1"/>
  <c r="D169" i="1"/>
  <c r="A162" i="1"/>
  <c r="A163" i="1" s="1"/>
  <c r="A164" i="1" s="1"/>
  <c r="A165" i="1" s="1"/>
  <c r="A166" i="1" s="1"/>
  <c r="A167" i="1" s="1"/>
  <c r="A168" i="1" s="1"/>
  <c r="A169" i="1" s="1"/>
  <c r="G145" i="1"/>
  <c r="L144" i="1"/>
  <c r="K144" i="1"/>
  <c r="J144" i="1"/>
  <c r="D145" i="1"/>
  <c r="E143" i="1"/>
  <c r="D143" i="1"/>
  <c r="E142" i="1"/>
  <c r="D142" i="1"/>
  <c r="G133" i="1"/>
  <c r="G132" i="1"/>
  <c r="G131" i="1"/>
  <c r="G130" i="1"/>
  <c r="G128" i="1"/>
  <c r="E136" i="1" l="1"/>
  <c r="D136" i="1"/>
  <c r="E135" i="1"/>
  <c r="D135" i="1"/>
  <c r="E134" i="1"/>
  <c r="D134" i="1"/>
  <c r="E133" i="1"/>
  <c r="D133" i="1"/>
  <c r="E132" i="1"/>
  <c r="D132" i="1"/>
  <c r="E131" i="1"/>
  <c r="D131" i="1"/>
  <c r="F131" i="1" s="1"/>
  <c r="H131" i="1" s="1"/>
  <c r="E130" i="1"/>
  <c r="D130" i="1"/>
  <c r="E129" i="1"/>
  <c r="D129" i="1"/>
  <c r="E128" i="1"/>
  <c r="D128" i="1"/>
  <c r="D126" i="1"/>
  <c r="D125" i="1"/>
  <c r="D124" i="1"/>
  <c r="F124" i="1" s="1"/>
  <c r="H124" i="1" s="1"/>
  <c r="D123" i="1"/>
  <c r="D122" i="1"/>
  <c r="D121" i="1"/>
  <c r="D120" i="1"/>
  <c r="D119" i="1"/>
  <c r="D118" i="1"/>
  <c r="D117" i="1"/>
  <c r="D116" i="1"/>
  <c r="E115" i="1"/>
  <c r="D115" i="1"/>
  <c r="G151" i="1"/>
  <c r="G149" i="1"/>
  <c r="G148" i="1"/>
  <c r="G147" i="1"/>
  <c r="G146" i="1"/>
  <c r="G142" i="1"/>
  <c r="E185" i="1"/>
  <c r="D185" i="1"/>
  <c r="E184" i="1"/>
  <c r="D184" i="1"/>
  <c r="E183" i="1"/>
  <c r="D183" i="1"/>
  <c r="E182" i="1"/>
  <c r="D182" i="1"/>
  <c r="E181" i="1"/>
  <c r="D181" i="1"/>
  <c r="E179" i="1"/>
  <c r="D179" i="1"/>
  <c r="E178" i="1"/>
  <c r="D178" i="1"/>
  <c r="E177" i="1"/>
  <c r="D177" i="1"/>
  <c r="E176" i="1"/>
  <c r="D176" i="1"/>
  <c r="E175" i="1"/>
  <c r="D175" i="1"/>
  <c r="E173" i="1"/>
  <c r="D173" i="1"/>
  <c r="F173" i="1" s="1"/>
  <c r="H173" i="1" s="1"/>
  <c r="E172" i="1"/>
  <c r="D172" i="1"/>
  <c r="E171" i="1"/>
  <c r="D171" i="1"/>
  <c r="E169" i="1"/>
  <c r="E168" i="1"/>
  <c r="D168" i="1"/>
  <c r="E167" i="1"/>
  <c r="D167" i="1"/>
  <c r="E166" i="1"/>
  <c r="D166" i="1"/>
  <c r="E165" i="1"/>
  <c r="D165" i="1"/>
  <c r="E164" i="1"/>
  <c r="D164" i="1"/>
  <c r="E163" i="1"/>
  <c r="D163" i="1"/>
  <c r="F163" i="1" s="1"/>
  <c r="H163" i="1" s="1"/>
  <c r="J163" i="1" s="1"/>
  <c r="E162" i="1"/>
  <c r="D162" i="1"/>
  <c r="E161" i="1"/>
  <c r="D161" i="1"/>
  <c r="E159" i="1"/>
  <c r="D159" i="1"/>
  <c r="E158" i="1"/>
  <c r="D158" i="1"/>
  <c r="E157" i="1"/>
  <c r="D157" i="1"/>
  <c r="E156" i="1"/>
  <c r="D156" i="1"/>
  <c r="E155" i="1"/>
  <c r="D155" i="1"/>
  <c r="E154" i="1"/>
  <c r="D154" i="1"/>
  <c r="E153" i="1"/>
  <c r="D153" i="1"/>
  <c r="E152" i="1"/>
  <c r="D152" i="1"/>
  <c r="E151" i="1"/>
  <c r="D151" i="1"/>
  <c r="E149" i="1"/>
  <c r="D149" i="1"/>
  <c r="E148" i="1"/>
  <c r="D148" i="1"/>
  <c r="E147" i="1"/>
  <c r="D147" i="1"/>
  <c r="E146" i="1"/>
  <c r="D146" i="1"/>
  <c r="E145" i="1"/>
  <c r="E144" i="1"/>
  <c r="D144" i="1"/>
  <c r="J140" i="1"/>
  <c r="A182" i="1"/>
  <c r="A183" i="1" s="1"/>
  <c r="A184" i="1" s="1"/>
  <c r="A185" i="1" s="1"/>
  <c r="A186" i="1" s="1"/>
  <c r="A187" i="1" s="1"/>
  <c r="A188" i="1" s="1"/>
  <c r="A189" i="1" s="1"/>
  <c r="A152" i="1"/>
  <c r="A153" i="1" s="1"/>
  <c r="A154" i="1" s="1"/>
  <c r="A155" i="1" s="1"/>
  <c r="A156" i="1" s="1"/>
  <c r="A157" i="1" s="1"/>
  <c r="A158" i="1" s="1"/>
  <c r="A159" i="1" s="1"/>
  <c r="A142" i="1"/>
  <c r="A143" i="1" s="1"/>
  <c r="A144" i="1" s="1"/>
  <c r="A145" i="1" s="1"/>
  <c r="A146" i="1" s="1"/>
  <c r="A147" i="1" s="1"/>
  <c r="A148" i="1" s="1"/>
  <c r="A149" i="1" s="1"/>
  <c r="I132" i="1"/>
  <c r="I129" i="1"/>
  <c r="F130" i="1"/>
  <c r="H130" i="1" s="1"/>
  <c r="A129" i="1"/>
  <c r="A130" i="1" s="1"/>
  <c r="A131" i="1" s="1"/>
  <c r="A132" i="1" s="1"/>
  <c r="A133" i="1" s="1"/>
  <c r="A134" i="1" s="1"/>
  <c r="A135" i="1" s="1"/>
  <c r="A136" i="1" s="1"/>
  <c r="I117" i="1"/>
  <c r="I115" i="1"/>
  <c r="F133" i="1" l="1"/>
  <c r="H133" i="1" s="1"/>
  <c r="F135" i="1"/>
  <c r="H135" i="1" s="1"/>
  <c r="F185" i="1"/>
  <c r="H185" i="1" s="1"/>
  <c r="C107" i="1"/>
  <c r="C108" i="1" s="1"/>
  <c r="F129" i="1"/>
  <c r="H129" i="1" s="1"/>
  <c r="F153" i="1"/>
  <c r="H153" i="1" s="1"/>
  <c r="J153" i="1" s="1"/>
  <c r="F144" i="1"/>
  <c r="H144" i="1" s="1"/>
  <c r="F155" i="1"/>
  <c r="H155" i="1" s="1"/>
  <c r="F159" i="1"/>
  <c r="H159" i="1" s="1"/>
  <c r="F164" i="1"/>
  <c r="H164" i="1" s="1"/>
  <c r="J164" i="1" s="1"/>
  <c r="C102" i="1"/>
  <c r="F183" i="1"/>
  <c r="H183" i="1" s="1"/>
  <c r="C103" i="1"/>
  <c r="F175" i="1"/>
  <c r="H175" i="1" s="1"/>
  <c r="F128" i="1"/>
  <c r="H128" i="1" s="1"/>
  <c r="F161" i="1"/>
  <c r="H161" i="1" s="1"/>
  <c r="J161" i="1" s="1"/>
  <c r="F158" i="1"/>
  <c r="H158" i="1" s="1"/>
  <c r="F165" i="1"/>
  <c r="H165" i="1" s="1"/>
  <c r="J165" i="1" s="1"/>
  <c r="F169" i="1"/>
  <c r="H169" i="1" s="1"/>
  <c r="J169" i="1" s="1"/>
  <c r="F179" i="1"/>
  <c r="H179" i="1" s="1"/>
  <c r="F123" i="1"/>
  <c r="H123" i="1" s="1"/>
  <c r="F125" i="1"/>
  <c r="H125" i="1" s="1"/>
  <c r="F132" i="1"/>
  <c r="H132" i="1" s="1"/>
  <c r="F134" i="1"/>
  <c r="H134" i="1" s="1"/>
  <c r="F136" i="1"/>
  <c r="H136" i="1" s="1"/>
  <c r="F142" i="1"/>
  <c r="H142" i="1" s="1"/>
  <c r="F146" i="1"/>
  <c r="H146" i="1" s="1"/>
  <c r="F151" i="1"/>
  <c r="H151" i="1" s="1"/>
  <c r="F152" i="1"/>
  <c r="H152" i="1" s="1"/>
  <c r="F156" i="1"/>
  <c r="H156" i="1" s="1"/>
  <c r="F157" i="1"/>
  <c r="H157" i="1" s="1"/>
  <c r="F162" i="1"/>
  <c r="H162" i="1" s="1"/>
  <c r="J162" i="1" s="1"/>
  <c r="F166" i="1"/>
  <c r="H166" i="1" s="1"/>
  <c r="J166" i="1" s="1"/>
  <c r="F167" i="1"/>
  <c r="H167" i="1" s="1"/>
  <c r="J167" i="1" s="1"/>
  <c r="F171" i="1"/>
  <c r="H171" i="1" s="1"/>
  <c r="F172" i="1"/>
  <c r="H172" i="1" s="1"/>
  <c r="F176" i="1"/>
  <c r="H176" i="1" s="1"/>
  <c r="F177" i="1"/>
  <c r="H177" i="1" s="1"/>
  <c r="F181" i="1"/>
  <c r="H181" i="1" s="1"/>
  <c r="F184" i="1"/>
  <c r="H184" i="1" s="1"/>
  <c r="F168" i="1"/>
  <c r="H168" i="1" s="1"/>
  <c r="J168" i="1" s="1"/>
  <c r="F148" i="1"/>
  <c r="H148" i="1" s="1"/>
  <c r="F182" i="1"/>
  <c r="H182" i="1" s="1"/>
  <c r="F178" i="1"/>
  <c r="H178" i="1" s="1"/>
  <c r="F120" i="1"/>
  <c r="H120" i="1" s="1"/>
  <c r="F143" i="1"/>
  <c r="H143" i="1" s="1"/>
  <c r="F145" i="1"/>
  <c r="H145" i="1" s="1"/>
  <c r="F147" i="1"/>
  <c r="H147" i="1" s="1"/>
  <c r="F149" i="1"/>
  <c r="H149" i="1" s="1"/>
  <c r="F119" i="1"/>
  <c r="H119" i="1" s="1"/>
  <c r="F121" i="1"/>
  <c r="H121" i="1" s="1"/>
  <c r="F122" i="1"/>
  <c r="H122" i="1" s="1"/>
  <c r="F126" i="1"/>
  <c r="H126" i="1" s="1"/>
  <c r="F154" i="1"/>
  <c r="H154" i="1" s="1"/>
  <c r="B192" i="1"/>
  <c r="C104" i="1" l="1"/>
  <c r="G103" i="1"/>
  <c r="E103" i="1"/>
  <c r="G107" i="1"/>
  <c r="G108" i="1" s="1"/>
  <c r="E107" i="1"/>
  <c r="E108" i="1" s="1"/>
  <c r="F116" i="1"/>
  <c r="H116" i="1" s="1"/>
  <c r="F117" i="1"/>
  <c r="H117" i="1" s="1"/>
  <c r="F118" i="1"/>
  <c r="H118" i="1" s="1"/>
  <c r="F115" i="1"/>
  <c r="H115" i="1" l="1"/>
  <c r="G102" i="1" s="1"/>
  <c r="G104" i="1" s="1"/>
  <c r="E102" i="1"/>
  <c r="E104" i="1" s="1"/>
  <c r="G58" i="1"/>
  <c r="C58" i="1"/>
  <c r="G56" i="1"/>
  <c r="C56" i="1"/>
  <c r="S33" i="1" l="1"/>
  <c r="F11" i="5" l="1"/>
  <c r="G11" i="5" s="1"/>
  <c r="F10" i="5"/>
  <c r="G10" i="5" s="1"/>
  <c r="F9" i="5"/>
  <c r="G9" i="5" s="1"/>
  <c r="F8" i="5"/>
  <c r="G8" i="5" s="1"/>
  <c r="F7" i="5"/>
  <c r="G7" i="5" s="1"/>
  <c r="F6" i="5"/>
  <c r="G6" i="5" s="1"/>
  <c r="F5" i="5"/>
  <c r="G5" i="5" s="1"/>
  <c r="G12" i="5" s="1"/>
  <c r="D215" i="1"/>
  <c r="B193" i="1"/>
  <c r="A116" i="1"/>
  <c r="A117" i="1" s="1"/>
  <c r="A118" i="1" s="1"/>
  <c r="A119" i="1" s="1"/>
  <c r="A120" i="1" s="1"/>
  <c r="A121" i="1" s="1"/>
  <c r="A122" i="1" s="1"/>
  <c r="A123" i="1" s="1"/>
  <c r="A124" i="1" s="1"/>
  <c r="A125" i="1" s="1"/>
  <c r="A126" i="1" s="1"/>
  <c r="G109" i="1"/>
  <c r="E109" i="1"/>
  <c r="C109" i="1"/>
  <c r="F99" i="1"/>
  <c r="C73" i="1"/>
  <c r="D67" i="1"/>
  <c r="D62" i="1"/>
  <c r="C51" i="1"/>
  <c r="E44" i="1"/>
  <c r="E45" i="1" s="1"/>
  <c r="E31" i="1"/>
  <c r="E28" i="1"/>
  <c r="E26" i="1"/>
  <c r="C16" i="1"/>
  <c r="I15" i="1"/>
  <c r="Z13" i="1"/>
  <c r="E3" i="1"/>
  <c r="H74" i="1"/>
  <c r="J73" i="1" l="1"/>
  <c r="J75" i="1" s="1"/>
  <c r="J76" i="1"/>
  <c r="J77" i="1"/>
  <c r="J78" i="1"/>
  <c r="C77" i="1" s="1"/>
  <c r="D81" i="1"/>
  <c r="D83" i="1"/>
  <c r="D82" i="1"/>
  <c r="D86" i="1"/>
  <c r="D80" i="1"/>
  <c r="D85" i="1"/>
  <c r="D79" i="1"/>
  <c r="D84" i="1"/>
  <c r="B74" i="1"/>
  <c r="J79" i="1" s="1"/>
  <c r="D77" i="1" l="1"/>
  <c r="J83" i="1"/>
  <c r="J81" i="1"/>
  <c r="J82" i="1"/>
  <c r="J80" i="1"/>
  <c r="J85" i="1" s="1"/>
  <c r="J84" i="1"/>
  <c r="J86" i="1" l="1"/>
  <c r="C78" i="1" s="1"/>
  <c r="E77" i="1" s="1"/>
  <c r="D78" i="1" l="1"/>
  <c r="I74" i="1" s="1"/>
  <c r="I75" i="1" s="1"/>
  <c r="J74" i="1"/>
  <c r="G77" i="1"/>
  <c r="D71" i="1" s="1"/>
  <c r="F72" i="1" s="1"/>
  <c r="I73" i="1" l="1"/>
  <c r="C75" i="1" s="1"/>
  <c r="D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<sst xmlns="http://schemas.openxmlformats.org/spreadsheetml/2006/main" count="592" uniqueCount="356">
  <si>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</si>
  <si>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</si>
  <si>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</si>
  <si>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</si>
  <si>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</si>
  <si>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</si>
  <si>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</si>
  <si>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</si>
  <si>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</si>
  <si>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</si>
  <si>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</si>
  <si>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</si>
  <si>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</si>
  <si>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</si>
  <si>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</si>
  <si>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</si>
  <si>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</si>
  <si>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</si>
  <si>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</si>
  <si>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</si>
  <si>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</si>
  <si>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</si>
  <si>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</si>
  <si>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</si>
  <si>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</si>
  <si>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</si>
  <si>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</si>
  <si>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</si>
  <si>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</si>
  <si>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</si>
  <si>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</si>
  <si>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</si>
  <si>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</si>
  <si>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</si>
  <si>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</si>
  <si>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</si>
  <si>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</si>
  <si>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</si>
  <si>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</si>
  <si>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</si>
  <si>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</si>
  <si>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</si>
  <si>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</si>
  <si>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</si>
  <si>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</si>
  <si>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</si>
  <si>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</si>
  <si>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</si>
  <si>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</si>
  <si>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</si>
  <si>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</si>
  <si>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</si>
  <si>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</si>
  <si>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</si>
  <si>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</si>
  <si>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</si>
  <si>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</si>
  <si>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</si>
  <si>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</si>
  <si>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</si>
  <si>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</si>
  <si>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</si>
  <si>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</si>
  <si>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</si>
  <si>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</si>
  <si>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</si>
  <si>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</si>
  <si>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</si>
  <si>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</si>
  <si>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</si>
  <si>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</si>
  <si>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</si>
  <si>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</si>
  <si>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</si>
  <si>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</si>
  <si>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</si>
  <si>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</si>
  <si>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</si>
  <si>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</si>
  <si>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</si>
  <si>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</si>
  <si>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</si>
  <si>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</si>
  <si>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</si>
  <si>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</si>
  <si>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</si>
  <si>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</si>
  <si>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</si>
  <si>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</si>
  <si>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</si>
  <si>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</si>
  <si>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</si>
  <si>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</si>
  <si>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</si>
  <si>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</si>
  <si>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</si>
  <si>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</si>
  <si>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</si>
  <si>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</si>
  <si>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</si>
  <si>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</si>
  <si>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</si>
  <si>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</si>
  <si>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</si>
  <si>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</si>
  <si>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</si>
  <si>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</si>
  <si>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</si>
  <si>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</si>
  <si>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</si>
  <si>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</si>
  <si>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</si>
  <si>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</si>
  <si>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</si>
  <si>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</si>
  <si>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</si>
  <si>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</si>
  <si>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</si>
  <si>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</si>
  <si>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</si>
  <si>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</si>
  <si>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</si>
  <si>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</si>
  <si>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</si>
  <si>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</si>
  <si>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</si>
  <si>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</si>
  <si>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</si>
  <si>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</si>
  <si>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</si>
  <si>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</si>
  <si>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</si>
  <si>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</si>
  <si>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</si>
  <si>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</si>
  <si>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</si>
  <si>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</si>
  <si>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</si>
  <si>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</si>
  <si>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</si>
  <si>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</si>
  <si>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</si>
  <si>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</si>
  <si>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</si>
  <si>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</si>
  <si>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</si>
  <si>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</si>
  <si>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</si>
  <si>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</si>
  <si>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</si>
  <si>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</si>
  <si>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</si>
  <si>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</si>
  <si>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</si>
  <si>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</si>
  <si>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</si>
  <si>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</si>
  <si>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</si>
  <si>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</si>
  <si>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</si>
  <si>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</si>
  <si>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</si>
  <si>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</si>
  <si>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</si>
  <si>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</si>
  <si>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</si>
  <si>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</si>
  <si>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</si>
  <si>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</si>
  <si>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</si>
  <si>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</si>
  <si>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</si>
  <si>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</si>
  <si>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</si>
  <si>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</si>
  <si>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</si>
  <si>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</si>
  <si>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</si>
  <si>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</si>
  <si>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</si>
  <si>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</si>
  <si>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</si>
  <si>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</si>
  <si>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</si>
  <si>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</si>
  <si>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</si>
  <si>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</si>
  <si>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</si>
  <si>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</si>
  <si>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</si>
  <si>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</si>
  <si>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</si>
  <si>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</si>
  <si>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</si>
  <si>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</si>
  <si>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</si>
  <si>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</si>
  <si>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</si>
  <si>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</si>
  <si>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</si>
  <si>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</si>
  <si>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</si>
  <si>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</si>
  <si>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</si>
  <si>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</si>
  <si>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</si>
  <si>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</si>
  <si>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</si>
  <si>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</si>
  <si>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</si>
  <si>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</si>
  <si>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</si>
  <si>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</si>
  <si>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</si>
  <si>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</si>
  <si>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</si>
  <si>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</si>
  <si>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</si>
  <si>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</si>
  <si>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</si>
  <si>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</si>
  <si>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</si>
  <si>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</si>
  <si>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</si>
  <si>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</si>
  <si>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</si>
  <si>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</si>
  <si>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</si>
  <si>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</si>
  <si>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</si>
  <si>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</si>
  <si>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</si>
  <si>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</si>
  <si>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</si>
  <si>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</si>
  <si>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</si>
  <si>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</si>
  <si>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</si>
  <si>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</si>
  <si>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</si>
  <si>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</si>
  <si>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</si>
  <si>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</si>
  <si>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</si>
  <si>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</si>
  <si>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</si>
  <si>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</si>
  <si>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</si>
  <si>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</si>
  <si>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</si>
  <si>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</si>
  <si>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</si>
  <si>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</si>
  <si>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</si>
  <si>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</si>
  <si>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</si>
  <si>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</si>
  <si>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</si>
  <si>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</si>
  <si>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</si>
  <si>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</si>
  <si>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</si>
  <si>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</si>
  <si>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</si>
  <si>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</si>
  <si>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</si>
  <si>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</si>
  <si>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</si>
  <si>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</si>
  <si>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</si>
  <si>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</si>
  <si>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</si>
  <si>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</si>
  <si>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</si>
  <si>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</si>
  <si>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</si>
  <si>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</si>
  <si>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</si>
  <si>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</si>
  <si>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</si>
  <si>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</si>
  <si>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</si>
  <si>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</si>
  <si>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</si>
  <si>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</si>
  <si>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</si>
  <si>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</si>
  <si>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</si>
  <si>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</si>
  <si>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</si>
  <si>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</si>
  <si>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</si>
  <si>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</si>
  <si>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</si>
  <si>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</si>
  <si>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</si>
  <si>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</si>
  <si>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</si>
  <si>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</si>
  <si>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 xml:space="preserve">Jagdish Manohar Mhatre
</t>
  </si>
  <si>
    <t>Name of the builder</t>
  </si>
  <si>
    <t>Om Sai Om Construction</t>
  </si>
  <si>
    <t>Dattachhaya</t>
  </si>
  <si>
    <t>P99000054805</t>
  </si>
  <si>
    <t>Survey No</t>
  </si>
  <si>
    <t>379 A/B/2, Plot No.1 &amp; Survey No. 531, Plot No. 2 &amp; 3</t>
  </si>
  <si>
    <t>Virar</t>
  </si>
  <si>
    <t>VVCMC/TP/AMEND/VP/5920/54/2023-24</t>
  </si>
  <si>
    <t>VVCMC/TP/RDP/VP-5920/54/2023-24</t>
  </si>
  <si>
    <t>Stilt + 1st to 18th Floor (Total Built up Area = 10336.42)</t>
  </si>
  <si>
    <t>As per RERA - 30/09/2025</t>
  </si>
  <si>
    <t xml:space="preserve">Stilt + 1st to 18th Floor
</t>
  </si>
  <si>
    <t>Stilt + 1st to 18th Floor</t>
  </si>
  <si>
    <t>Shop</t>
  </si>
  <si>
    <t>Ground Floor For Commercial, Meter Room, Parking &amp; Lobby</t>
  </si>
  <si>
    <t>Attached Otla area</t>
  </si>
  <si>
    <t>Office</t>
  </si>
  <si>
    <t>1st Floor For Commercial, School &amp; Meter Room</t>
  </si>
  <si>
    <t>2BHK</t>
  </si>
  <si>
    <t>1BHK</t>
  </si>
  <si>
    <t>2nd Floor For Residential, Fitness Center, Society Office &amp; Drivers Room</t>
  </si>
  <si>
    <t>Fitness Center /Society Office /Drivers Room</t>
  </si>
  <si>
    <t>3rd Floor For Residential</t>
  </si>
  <si>
    <t>4th to 7th, 9th to 12th &amp; 14th to 17th Floor For Residential</t>
  </si>
  <si>
    <t>Sheetal Nagar</t>
  </si>
  <si>
    <t>Datta Mandir Road</t>
  </si>
  <si>
    <t>650 M from Virar  Railway Station</t>
  </si>
  <si>
    <t>Virar West</t>
  </si>
  <si>
    <t>Other Plot</t>
  </si>
  <si>
    <t>New Swastik Apartment</t>
  </si>
  <si>
    <t>Daftari Complex</t>
  </si>
  <si>
    <t>Suman CHSL</t>
  </si>
  <si>
    <t>19.4529718,72.8066126</t>
  </si>
  <si>
    <t>https://maps.app.goo.gl/VPP88c1hE74E9Ha96</t>
  </si>
  <si>
    <t>Mr. Navnath Bhatkar</t>
  </si>
  <si>
    <t>Fitness Center, Landscaping &amp; Tree, CCTV, Power Backup, etc.</t>
  </si>
  <si>
    <t>Dattachhaya CHSL</t>
  </si>
  <si>
    <t>8th &amp; 13th Floor ( Part Refuge Area)</t>
  </si>
  <si>
    <t>Refuge Area</t>
  </si>
  <si>
    <t>18th Floor For Residential ( Part Terrace Area)</t>
  </si>
  <si>
    <t>Terrace Area</t>
  </si>
  <si>
    <t xml:space="preserve">Enclose Balcony Area + AP </t>
  </si>
  <si>
    <t>Shops</t>
  </si>
  <si>
    <t>Offices</t>
  </si>
  <si>
    <t>Flats</t>
  </si>
  <si>
    <t>Mr. Mihir Chaudhary 7798887778</t>
  </si>
  <si>
    <t>Flats - 146, Shops - 12, Offices - 9</t>
  </si>
  <si>
    <r>
      <t xml:space="preserve">Proposed Amenities :                                                                                                                                                                                                                         </t>
    </r>
    <r>
      <rPr>
        <b/>
        <sz val="12"/>
        <rFont val="Times New Roman"/>
        <family val="1"/>
      </rPr>
      <t xml:space="preserve">                                               </t>
    </r>
  </si>
  <si>
    <t xml:space="preserve">Parking tower is beside the building.
</t>
  </si>
  <si>
    <t>Construction work is in process at the time of Visit. Internal visit was not allowed.</t>
  </si>
  <si>
    <t>We considered Gross carpet area = Net carpet + Enclose balcony + AP Area.</t>
  </si>
  <si>
    <t>Stilt + 1st to 18th Floor (Height 60.75 mtrs)</t>
  </si>
  <si>
    <t>VVCMC/FIRE/HQ/2765/2024-25</t>
  </si>
  <si>
    <t>We have updated Fire Noc on 31/05/2025</t>
  </si>
  <si>
    <t>Approved Plans, CC &amp; Fire Noc</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</si>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</sst>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0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8"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7" xfId="1" applyFont="1" applyBorder="1"/>
    <xf numFmtId="0" fontId="17"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0" borderId="20" xfId="0" applyFont="1" applyBorder="1"/>
    <xf numFmtId="0" fontId="25"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Fill="1" applyBorder="1" applyAlignment="1" applyProtection="1">
      <alignment horizontal="center" vertical="center" wrapText="1"/>
      <protection locked="0"/>
    </xf>
    <xf numFmtId="0" fontId="0" fillId="0" borderId="18" xfId="0" applyFill="1" applyBorder="1"/>
    <xf numFmtId="0" fontId="0" fillId="0" borderId="5"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 fontId="6" fillId="0" borderId="5"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1" fontId="7" fillId="0" borderId="0" xfId="1" applyNumberFormat="1" applyFont="1"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9" fontId="13" fillId="0" borderId="11"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24" fillId="2" borderId="10" xfId="0" applyFont="1" applyFill="1" applyBorder="1"/>
    <xf numFmtId="0" fontId="25" fillId="0" borderId="6" xfId="0" applyFont="1" applyBorder="1"/>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1" fontId="6" fillId="0" borderId="12"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13"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0"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14"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6" fillId="0" borderId="6" xfId="1" applyNumberFormat="1" applyFont="1" applyBorder="1" applyAlignment="1" applyProtection="1">
      <alignment horizontal="center" vertical="center" wrapText="1"/>
      <protection locked="0"/>
    </xf>
    <xf numFmtId="1" fontId="8" fillId="0" borderId="5" xfId="1" applyNumberFormat="1" applyFont="1" applyBorder="1" applyAlignment="1" applyProtection="1">
      <alignment horizontal="center" vertical="center" wrapText="1"/>
      <protection locked="0"/>
    </xf>
    <xf numFmtId="1" fontId="8" fillId="0" borderId="16" xfId="1" applyNumberFormat="1" applyFont="1" applyBorder="1" applyAlignment="1" applyProtection="1">
      <alignment horizontal="center" vertical="center" wrapText="1"/>
      <protection locked="0"/>
    </xf>
    <xf numFmtId="1" fontId="8" fillId="0" borderId="6"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0" fontId="6" fillId="0" borderId="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6" xfId="1" applyFont="1" applyBorder="1" applyAlignment="1" applyProtection="1">
      <alignment horizontal="left" vertical="top" wrapText="1"/>
      <protection locked="0"/>
    </xf>
    <xf numFmtId="14" fontId="6" fillId="0" borderId="5" xfId="1" applyNumberFormat="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6" xfId="1" applyFont="1" applyBorder="1" applyAlignment="1" applyProtection="1">
      <alignment horizontal="left" vertical="top" wrapText="1"/>
      <protection locked="0"/>
    </xf>
    <xf numFmtId="0" fontId="7" fillId="0" borderId="18"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5" xfId="1" applyFont="1" applyBorder="1" applyAlignment="1" applyProtection="1">
      <alignment horizontal="left" vertical="top" wrapText="1"/>
      <protection locked="0"/>
    </xf>
    <xf numFmtId="0" fontId="8" fillId="0" borderId="6"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5" xfId="1" applyFont="1" applyBorder="1" applyAlignment="1" applyProtection="1">
      <alignment horizontal="left" vertical="top"/>
      <protection locked="0"/>
    </xf>
    <xf numFmtId="0" fontId="8" fillId="0" borderId="6" xfId="1" applyFont="1" applyBorder="1" applyAlignment="1" applyProtection="1">
      <alignment horizontal="left" vertical="top"/>
      <protection locked="0"/>
    </xf>
    <xf numFmtId="14" fontId="12" fillId="0" borderId="5" xfId="1" applyNumberFormat="1" applyFont="1" applyBorder="1" applyAlignment="1" applyProtection="1">
      <alignment horizontal="left" vertical="top" wrapText="1"/>
      <protection locked="0"/>
    </xf>
    <xf numFmtId="0" fontId="15" fillId="0" borderId="12" xfId="1" applyFont="1" applyBorder="1" applyAlignment="1" applyProtection="1">
      <alignment horizontal="left" vertical="top" wrapText="1"/>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5"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1"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1"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3" fillId="0" borderId="1" xfId="0" applyNumberFormat="1" applyFont="1" applyBorder="1" applyAlignment="1" applyProtection="1">
      <alignment vertical="top" wrapText="1"/>
      <protection locked="0"/>
    </xf>
    <xf numFmtId="1" fontId="8" fillId="0" borderId="21" xfId="0" applyNumberFormat="1" applyFont="1" applyBorder="1" applyAlignment="1" applyProtection="1">
      <alignment horizontal="center" vertical="center" wrapText="1"/>
      <protection locked="0"/>
    </xf>
    <xf numFmtId="1" fontId="8" fillId="0" borderId="22" xfId="0" applyNumberFormat="1" applyFont="1" applyBorder="1" applyAlignment="1" applyProtection="1">
      <alignment horizontal="center" vertical="center" wrapText="1"/>
      <protection locked="0"/>
    </xf>
    <xf numFmtId="1" fontId="10" fillId="0" borderId="22" xfId="0" applyNumberFormat="1" applyFont="1" applyBorder="1" applyAlignment="1" applyProtection="1">
      <alignment horizontal="center" vertical="center"/>
      <protection locked="0"/>
    </xf>
    <xf numFmtId="1" fontId="10" fillId="0" borderId="22" xfId="0" applyNumberFormat="1" applyFont="1" applyBorder="1" applyAlignment="1" applyProtection="1">
      <alignment horizontal="center" vertical="top" wrapText="1"/>
      <protection locked="0"/>
    </xf>
    <xf numFmtId="1" fontId="8" fillId="0" borderId="5" xfId="0" applyNumberFormat="1" applyFont="1" applyBorder="1" applyAlignment="1" applyProtection="1">
      <alignment vertical="top" wrapText="1"/>
      <protection locked="0"/>
    </xf>
    <xf numFmtId="1" fontId="8" fillId="0" borderId="16" xfId="0" applyNumberFormat="1" applyFont="1" applyBorder="1" applyAlignment="1" applyProtection="1">
      <alignment vertical="top" wrapText="1"/>
      <protection locked="0"/>
    </xf>
    <xf numFmtId="1" fontId="8" fillId="0" borderId="6"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13" fillId="0" borderId="16"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0" fontId="8" fillId="0" borderId="1" xfId="1" applyFont="1" applyBorder="1" applyAlignment="1" applyProtection="1">
      <alignmen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9" fontId="7" fillId="0" borderId="1" xfId="8" applyFont="1" applyFill="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Fill="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1" fontId="4" fillId="0" borderId="3" xfId="1" applyNumberFormat="1" applyFont="1" applyBorder="1" applyAlignment="1" applyProtection="1">
      <alignment horizontal="center" vertical="top" wrapText="1"/>
      <protection locked="0"/>
    </xf>
    <xf numFmtId="1" fontId="4" fillId="0" borderId="11" xfId="1" applyNumberFormat="1" applyFont="1" applyBorder="1" applyAlignment="1" applyProtection="1">
      <alignment horizontal="center" vertical="top" wrapText="1"/>
      <protection locked="0"/>
    </xf>
    <xf numFmtId="0" fontId="8" fillId="0" borderId="11" xfId="1" applyFont="1" applyBorder="1" applyAlignment="1" applyProtection="1">
      <alignment horizontal="center" vertical="top"/>
      <protection locked="0"/>
    </xf>
    <xf numFmtId="0" fontId="26" fillId="0" borderId="1" xfId="10" applyFill="1" applyBorder="1" applyAlignment="1" applyProtection="1">
      <alignment horizontal="left" vertical="top" wrapText="1"/>
      <protection locked="0"/>
    </xf>
    <xf numFmtId="1" fontId="8" fillId="0" borderId="22" xfId="0" applyNumberFormat="1" applyFont="1" applyBorder="1" applyAlignment="1" applyProtection="1">
      <alignment horizontal="center" vertical="top" wrapText="1"/>
      <protection locked="0"/>
    </xf>
    <xf numFmtId="1" fontId="8" fillId="0" borderId="23" xfId="0" applyNumberFormat="1" applyFont="1" applyBorder="1" applyAlignment="1" applyProtection="1">
      <alignment horizontal="center" vertical="top" wrapText="1"/>
      <protection locked="0"/>
    </xf>
    <xf numFmtId="0" fontId="12" fillId="0" borderId="5" xfId="1" applyFont="1" applyBorder="1" applyAlignment="1" applyProtection="1">
      <alignment vertical="top" wrapText="1"/>
      <protection locked="0"/>
    </xf>
    <xf numFmtId="0" fontId="12" fillId="0" borderId="16" xfId="1" applyFont="1" applyBorder="1" applyAlignment="1" applyProtection="1">
      <alignment vertical="top" wrapText="1"/>
      <protection locked="0"/>
    </xf>
    <xf numFmtId="0" fontId="12" fillId="0" borderId="6" xfId="1" applyFont="1" applyBorder="1" applyAlignment="1" applyProtection="1">
      <alignment vertical="top" wrapText="1"/>
      <protection locked="0"/>
    </xf>
    <xf numFmtId="0" fontId="13" fillId="0" borderId="5" xfId="1" applyFont="1" applyBorder="1" applyAlignment="1" applyProtection="1">
      <alignment horizontal="left" vertical="top"/>
      <protection locked="0"/>
    </xf>
    <xf numFmtId="0" fontId="13" fillId="0" borderId="16" xfId="1" applyFont="1" applyBorder="1" applyAlignment="1" applyProtection="1">
      <alignment horizontal="left" vertical="top"/>
      <protection locked="0"/>
    </xf>
    <xf numFmtId="0" fontId="13" fillId="0" borderId="6" xfId="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8" fillId="0" borderId="11" xfId="1" applyFont="1" applyBorder="1" applyAlignment="1" applyProtection="1">
      <alignment horizontal="left" vertical="top"/>
      <protection locked="0"/>
    </xf>
    <xf numFmtId="1" fontId="10" fillId="0" borderId="1" xfId="0" applyNumberFormat="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1" fontId="8" fillId="0" borderId="12"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0" fontId="9" fillId="0" borderId="1" xfId="5" applyFont="1" applyBorder="1" applyAlignment="1">
      <alignment horizontal="left"/>
    </xf>
    <xf numFmtId="1" fontId="8"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431629</xdr:colOff>
      <xdr:row>301</xdr:row>
      <xdr:rowOff>123825</xdr:rowOff>
    </xdr:from>
    <xdr:to>
      <xdr:col>7</xdr:col>
      <xdr:colOff>307804</xdr:colOff>
      <xdr:row>317</xdr:row>
      <xdr:rowOff>123826</xdr:rowOff>
    </xdr:to>
    <xdr:pic>
      <xdr:nvPicPr>
        <xdr:cNvPr id="6" name="Picture 5"/>
        <xdr:cNvPicPr>
          <a:picLocks noChangeAspect="1"/>
        </xdr:cNvPicPr>
      </xdr:nvPicPr>
      <xdr:blipFill>
        <a:blip xmlns:r="http://schemas.openxmlformats.org/officeDocument/2006/relationships" r:embed="rId1"/>
        <a:stretch>
          <a:fillRect/>
        </a:stretch>
      </xdr:blipFill>
      <xdr:spPr>
        <a:xfrm>
          <a:off x="431629" y="67056000"/>
          <a:ext cx="5457825" cy="3200400"/>
        </a:xfrm>
        <a:prstGeom prst="rect">
          <a:avLst/>
        </a:prstGeom>
        <a:ln>
          <a:solidFill>
            <a:schemeClr val="tx1"/>
          </a:solidFill>
        </a:ln>
      </xdr:spPr>
    </xdr:pic>
    <xdr:clientData/>
  </xdr:twoCellAnchor>
  <xdr:twoCellAnchor>
    <xdr:from>
      <xdr:col>0</xdr:col>
      <xdr:colOff>504825</xdr:colOff>
      <xdr:row>318</xdr:row>
      <xdr:rowOff>37746</xdr:rowOff>
    </xdr:from>
    <xdr:to>
      <xdr:col>7</xdr:col>
      <xdr:colOff>361950</xdr:colOff>
      <xdr:row>336</xdr:row>
      <xdr:rowOff>152046</xdr:rowOff>
    </xdr:to>
    <xdr:grpSp>
      <xdr:nvGrpSpPr>
        <xdr:cNvPr id="7" name="Group 6"/>
        <xdr:cNvGrpSpPr/>
      </xdr:nvGrpSpPr>
      <xdr:grpSpPr>
        <a:xfrm>
          <a:off x="504825" y="64318796"/>
          <a:ext cx="5711825" cy="3657600"/>
          <a:chOff x="416096" y="52787550"/>
          <a:chExt cx="5438775" cy="3714750"/>
        </a:xfrm>
      </xdr:grpSpPr>
      <xdr:pic>
        <xdr:nvPicPr>
          <xdr:cNvPr id="8" name="Picture 7"/>
          <xdr:cNvPicPr>
            <a:picLocks noChangeAspect="1"/>
          </xdr:cNvPicPr>
        </xdr:nvPicPr>
        <xdr:blipFill>
          <a:blip xmlns:r="http://schemas.openxmlformats.org/officeDocument/2006/relationships" r:embed="rId2"/>
          <a:stretch>
            <a:fillRect/>
          </a:stretch>
        </xdr:blipFill>
        <xdr:spPr>
          <a:xfrm>
            <a:off x="416096" y="52787550"/>
            <a:ext cx="5438775" cy="3714750"/>
          </a:xfrm>
          <a:prstGeom prst="rect">
            <a:avLst/>
          </a:prstGeom>
          <a:ln>
            <a:solidFill>
              <a:schemeClr val="tx1"/>
            </a:solidFill>
          </a:ln>
        </xdr:spPr>
      </xdr:pic>
      <xdr:sp macro="" textlink="">
        <xdr:nvSpPr>
          <xdr:cNvPr id="9" name="Rectangle 8"/>
          <xdr:cNvSpPr/>
        </xdr:nvSpPr>
        <xdr:spPr>
          <a:xfrm rot="698608">
            <a:off x="2686049" y="54073425"/>
            <a:ext cx="1066800" cy="96202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542925</xdr:colOff>
      <xdr:row>11</xdr:row>
      <xdr:rowOff>190500</xdr:rowOff>
    </xdr:from>
    <xdr:to>
      <xdr:col>12</xdr:col>
      <xdr:colOff>171052</xdr:colOff>
      <xdr:row>15</xdr:row>
      <xdr:rowOff>152305</xdr:rowOff>
    </xdr:to>
    <xdr:pic>
      <xdr:nvPicPr>
        <xdr:cNvPr id="17" name="Picture 16"/>
        <xdr:cNvPicPr>
          <a:picLocks noChangeAspect="1"/>
        </xdr:cNvPicPr>
      </xdr:nvPicPr>
      <xdr:blipFill>
        <a:blip xmlns:r="http://schemas.openxmlformats.org/officeDocument/2006/relationships" r:embed="rId3"/>
        <a:stretch>
          <a:fillRect/>
        </a:stretch>
      </xdr:blipFill>
      <xdr:spPr>
        <a:xfrm>
          <a:off x="6858000" y="2771775"/>
          <a:ext cx="3180952" cy="761905"/>
        </a:xfrm>
        <a:prstGeom prst="rect">
          <a:avLst/>
        </a:prstGeom>
      </xdr:spPr>
    </xdr:pic>
    <xdr:clientData/>
  </xdr:twoCellAnchor>
  <xdr:twoCellAnchor>
    <xdr:from>
      <xdr:col>1</xdr:col>
      <xdr:colOff>734231</xdr:colOff>
      <xdr:row>257</xdr:row>
      <xdr:rowOff>152399</xdr:rowOff>
    </xdr:from>
    <xdr:to>
      <xdr:col>6</xdr:col>
      <xdr:colOff>137613</xdr:colOff>
      <xdr:row>278</xdr:row>
      <xdr:rowOff>172095</xdr:rowOff>
    </xdr:to>
    <xdr:grpSp>
      <xdr:nvGrpSpPr>
        <xdr:cNvPr id="21" name="Group 20"/>
        <xdr:cNvGrpSpPr/>
      </xdr:nvGrpSpPr>
      <xdr:grpSpPr>
        <a:xfrm>
          <a:off x="1534331" y="52425599"/>
          <a:ext cx="3689632" cy="4153546"/>
          <a:chOff x="1496231" y="52806599"/>
          <a:chExt cx="3489607" cy="4220221"/>
        </a:xfrm>
      </xdr:grpSpPr>
      <xdr:pic>
        <xdr:nvPicPr>
          <xdr:cNvPr id="15" name="Picture 14"/>
          <xdr:cNvPicPr>
            <a:picLocks noChangeAspect="1"/>
          </xdr:cNvPicPr>
        </xdr:nvPicPr>
        <xdr:blipFill>
          <a:blip xmlns:r="http://schemas.openxmlformats.org/officeDocument/2006/relationships" r:embed="rId4"/>
          <a:stretch>
            <a:fillRect/>
          </a:stretch>
        </xdr:blipFill>
        <xdr:spPr>
          <a:xfrm>
            <a:off x="1496231" y="52886820"/>
            <a:ext cx="3489607" cy="4140000"/>
          </a:xfrm>
          <a:prstGeom prst="rect">
            <a:avLst/>
          </a:prstGeom>
          <a:ln>
            <a:solidFill>
              <a:schemeClr val="tx1"/>
            </a:solidFill>
          </a:ln>
        </xdr:spPr>
      </xdr:pic>
      <xdr:cxnSp macro="">
        <xdr:nvCxnSpPr>
          <xdr:cNvPr id="19" name="Straight Arrow Connector 18"/>
          <xdr:cNvCxnSpPr/>
        </xdr:nvCxnSpPr>
        <xdr:spPr>
          <a:xfrm flipV="1">
            <a:off x="4705350" y="53235225"/>
            <a:ext cx="9525" cy="7048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0" name="TextBox 19"/>
          <xdr:cNvSpPr txBox="1"/>
        </xdr:nvSpPr>
        <xdr:spPr>
          <a:xfrm>
            <a:off x="4505325" y="52806599"/>
            <a:ext cx="42862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clientData/>
  </xdr:twoCellAnchor>
  <xdr:twoCellAnchor>
    <xdr:from>
      <xdr:col>1</xdr:col>
      <xdr:colOff>19050</xdr:colOff>
      <xdr:row>279</xdr:row>
      <xdr:rowOff>95250</xdr:rowOff>
    </xdr:from>
    <xdr:to>
      <xdr:col>7</xdr:col>
      <xdr:colOff>92163</xdr:colOff>
      <xdr:row>299</xdr:row>
      <xdr:rowOff>54750</xdr:rowOff>
    </xdr:to>
    <xdr:grpSp>
      <xdr:nvGrpSpPr>
        <xdr:cNvPr id="24" name="Group 23"/>
        <xdr:cNvGrpSpPr/>
      </xdr:nvGrpSpPr>
      <xdr:grpSpPr>
        <a:xfrm>
          <a:off x="819150" y="56699150"/>
          <a:ext cx="5127713" cy="3896500"/>
          <a:chOff x="781050" y="57150000"/>
          <a:chExt cx="4892763" cy="3960000"/>
        </a:xfrm>
      </xdr:grpSpPr>
      <xdr:pic>
        <xdr:nvPicPr>
          <xdr:cNvPr id="16" name="Picture 15"/>
          <xdr:cNvPicPr>
            <a:picLocks noChangeAspect="1"/>
          </xdr:cNvPicPr>
        </xdr:nvPicPr>
        <xdr:blipFill>
          <a:blip xmlns:r="http://schemas.openxmlformats.org/officeDocument/2006/relationships" r:embed="rId5"/>
          <a:stretch>
            <a:fillRect/>
          </a:stretch>
        </xdr:blipFill>
        <xdr:spPr>
          <a:xfrm>
            <a:off x="781050" y="57150000"/>
            <a:ext cx="4892763" cy="3960000"/>
          </a:xfrm>
          <a:prstGeom prst="rect">
            <a:avLst/>
          </a:prstGeom>
          <a:ln>
            <a:solidFill>
              <a:schemeClr val="tx1"/>
            </a:solidFill>
          </a:ln>
        </xdr:spPr>
      </xdr:pic>
      <xdr:cxnSp macro="">
        <xdr:nvCxnSpPr>
          <xdr:cNvPr id="22" name="Straight Arrow Connector 21"/>
          <xdr:cNvCxnSpPr/>
        </xdr:nvCxnSpPr>
        <xdr:spPr>
          <a:xfrm flipV="1">
            <a:off x="5400675" y="57912001"/>
            <a:ext cx="9525" cy="7048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xdr:cNvSpPr txBox="1"/>
        </xdr:nvSpPr>
        <xdr:spPr>
          <a:xfrm>
            <a:off x="5200650" y="57483375"/>
            <a:ext cx="42862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800" b="1">
                <a:solidFill>
                  <a:srgbClr val="FF0000"/>
                </a:solidFill>
              </a:rPr>
              <a:t>N</a:t>
            </a:r>
          </a:p>
        </xdr:txBody>
      </xdr:sp>
    </xdr:grpSp>
    <xdr:clientData/>
  </xdr:twoCellAnchor>
  <xdr:twoCellAnchor editAs="oneCell">
    <xdr:from>
      <xdr:col>8</xdr:col>
      <xdr:colOff>676275</xdr:colOff>
      <xdr:row>15</xdr:row>
      <xdr:rowOff>190500</xdr:rowOff>
    </xdr:from>
    <xdr:to>
      <xdr:col>13</xdr:col>
      <xdr:colOff>113827</xdr:colOff>
      <xdr:row>19</xdr:row>
      <xdr:rowOff>5661</xdr:rowOff>
    </xdr:to>
    <xdr:pic>
      <xdr:nvPicPr>
        <xdr:cNvPr id="25" name="Picture 24"/>
        <xdr:cNvPicPr>
          <a:picLocks noChangeAspect="1"/>
        </xdr:cNvPicPr>
      </xdr:nvPicPr>
      <xdr:blipFill>
        <a:blip xmlns:r="http://schemas.openxmlformats.org/officeDocument/2006/relationships" r:embed="rId6"/>
        <a:stretch>
          <a:fillRect/>
        </a:stretch>
      </xdr:blipFill>
      <xdr:spPr>
        <a:xfrm>
          <a:off x="6991350" y="3571875"/>
          <a:ext cx="3780952" cy="1028571"/>
        </a:xfrm>
        <a:prstGeom prst="rect">
          <a:avLst/>
        </a:prstGeom>
      </xdr:spPr>
    </xdr:pic>
    <xdr:clientData/>
  </xdr:twoCellAnchor>
  <xdr:twoCellAnchor editAs="oneCell">
    <xdr:from>
      <xdr:col>8</xdr:col>
      <xdr:colOff>171450</xdr:colOff>
      <xdr:row>54</xdr:row>
      <xdr:rowOff>28575</xdr:rowOff>
    </xdr:from>
    <xdr:to>
      <xdr:col>14</xdr:col>
      <xdr:colOff>94612</xdr:colOff>
      <xdr:row>70</xdr:row>
      <xdr:rowOff>25095</xdr:rowOff>
    </xdr:to>
    <xdr:pic>
      <xdr:nvPicPr>
        <xdr:cNvPr id="26" name="Picture 25"/>
        <xdr:cNvPicPr>
          <a:picLocks noChangeAspect="1"/>
        </xdr:cNvPicPr>
      </xdr:nvPicPr>
      <xdr:blipFill>
        <a:blip xmlns:r="http://schemas.openxmlformats.org/officeDocument/2006/relationships" r:embed="rId7"/>
        <a:stretch>
          <a:fillRect/>
        </a:stretch>
      </xdr:blipFill>
      <xdr:spPr>
        <a:xfrm>
          <a:off x="6486525" y="12887325"/>
          <a:ext cx="5104762" cy="2438095"/>
        </a:xfrm>
        <a:prstGeom prst="rect">
          <a:avLst/>
        </a:prstGeom>
      </xdr:spPr>
    </xdr:pic>
    <xdr:clientData/>
  </xdr:twoCellAnchor>
  <xdr:twoCellAnchor>
    <xdr:from>
      <xdr:col>0</xdr:col>
      <xdr:colOff>76200</xdr:colOff>
      <xdr:row>215</xdr:row>
      <xdr:rowOff>57150</xdr:rowOff>
    </xdr:from>
    <xdr:to>
      <xdr:col>7</xdr:col>
      <xdr:colOff>708192</xdr:colOff>
      <xdr:row>255</xdr:row>
      <xdr:rowOff>96725</xdr:rowOff>
    </xdr:to>
    <xdr:grpSp>
      <xdr:nvGrpSpPr>
        <xdr:cNvPr id="2" name="Group 1"/>
        <xdr:cNvGrpSpPr/>
      </xdr:nvGrpSpPr>
      <xdr:grpSpPr>
        <a:xfrm>
          <a:off x="76200" y="44069000"/>
          <a:ext cx="6486692" cy="7907225"/>
          <a:chOff x="76200" y="44069000"/>
          <a:chExt cx="6486692" cy="7907225"/>
        </a:xfrm>
      </xdr:grpSpPr>
      <xdr:pic>
        <xdr:nvPicPr>
          <xdr:cNvPr id="29" name="Picture 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434484" y="49816225"/>
            <a:ext cx="1618313" cy="216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76200" y="46942983"/>
            <a:ext cx="2049863" cy="2736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76201" y="44069000"/>
            <a:ext cx="2049863" cy="2736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294615" y="46942983"/>
            <a:ext cx="2049863" cy="2736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513029" y="44069741"/>
            <a:ext cx="2049863" cy="2736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94615" y="44069000"/>
            <a:ext cx="2049863" cy="2736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647619" y="49816225"/>
            <a:ext cx="1618313"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513029" y="46942983"/>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1</xdr:colOff>
      <xdr:row>14</xdr:row>
      <xdr:rowOff>0</xdr:rowOff>
    </xdr:from>
    <xdr:to>
      <xdr:col>6</xdr:col>
      <xdr:colOff>4567</xdr:colOff>
      <xdr:row>32</xdr:row>
      <xdr:rowOff>171000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7" y="2678206"/>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PP88c1hE74E9Ha9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1"/>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6" customWidth="1"/>
    <col min="2" max="2" width="12" style="36" customWidth="1"/>
    <col min="3" max="3" width="12.7265625" style="36" customWidth="1"/>
    <col min="4" max="4" width="13.7265625" style="36" customWidth="1"/>
    <col min="5" max="5" width="11.7265625" style="36" customWidth="1"/>
    <col min="6" max="6" width="11.1796875" style="36" customWidth="1"/>
    <col min="7" max="8" width="11" style="36" customWidth="1"/>
    <col min="9" max="9" width="17.453125" style="17" customWidth="1"/>
    <col min="10" max="10" width="11.453125" style="17" customWidth="1"/>
    <col min="11" max="11" width="10.54296875" style="17" bestFit="1" customWidth="1"/>
    <col min="12" max="12" width="13.81640625" style="17" bestFit="1" customWidth="1"/>
    <col min="13" max="13" width="11.81640625" style="17" customWidth="1"/>
    <col min="14" max="14" width="12.54296875" style="17" customWidth="1"/>
    <col min="15" max="15" width="12.1796875" style="17" customWidth="1"/>
    <col min="16" max="16" width="11.7265625" style="17" customWidth="1"/>
    <col min="17" max="18" width="9.1796875" style="17"/>
    <col min="19" max="19" width="10.81640625" style="17" bestFit="1" customWidth="1"/>
    <col min="20" max="20" width="10.7265625" style="17" customWidth="1"/>
    <col min="21" max="247" width="9.1796875" style="17"/>
    <col min="248" max="248" width="8.7265625" style="17" customWidth="1"/>
    <col min="249" max="249" width="9.81640625" style="17" customWidth="1"/>
    <col min="250" max="250" width="14.453125" style="17" customWidth="1"/>
    <col min="251" max="251" width="7.26953125" style="17" customWidth="1"/>
    <col min="252" max="252" width="5.54296875" style="17" customWidth="1"/>
    <col min="253" max="253" width="9" style="17" customWidth="1"/>
    <col min="254" max="255" width="9.81640625" style="17" customWidth="1"/>
    <col min="256" max="256" width="11.1796875" style="17" customWidth="1"/>
    <col min="257" max="257" width="2.81640625" style="17" customWidth="1"/>
    <col min="258" max="258" width="3.54296875" style="17" customWidth="1"/>
    <col min="259" max="503" width="9.1796875" style="17"/>
    <col min="504" max="504" width="8.7265625" style="17" customWidth="1"/>
    <col min="505" max="505" width="9.81640625" style="17" customWidth="1"/>
    <col min="506" max="506" width="14.453125" style="17" customWidth="1"/>
    <col min="507" max="507" width="7.26953125" style="17" customWidth="1"/>
    <col min="508" max="508" width="5.54296875" style="17" customWidth="1"/>
    <col min="509" max="509" width="9" style="17" customWidth="1"/>
    <col min="510" max="511" width="9.81640625" style="17" customWidth="1"/>
    <col min="512" max="512" width="11.1796875" style="17" customWidth="1"/>
    <col min="513" max="513" width="2.81640625" style="17" customWidth="1"/>
    <col min="514" max="514" width="3.54296875" style="17" customWidth="1"/>
    <col min="515" max="759" width="9.1796875" style="17"/>
    <col min="760" max="760" width="8.7265625" style="17" customWidth="1"/>
    <col min="761" max="761" width="9.81640625" style="17" customWidth="1"/>
    <col min="762" max="762" width="14.453125" style="17" customWidth="1"/>
    <col min="763" max="763" width="7.26953125" style="17" customWidth="1"/>
    <col min="764" max="764" width="5.54296875" style="17" customWidth="1"/>
    <col min="765" max="765" width="9" style="17" customWidth="1"/>
    <col min="766" max="767" width="9.81640625" style="17" customWidth="1"/>
    <col min="768" max="768" width="11.1796875" style="17" customWidth="1"/>
    <col min="769" max="769" width="2.81640625" style="17" customWidth="1"/>
    <col min="770" max="770" width="3.54296875" style="17" customWidth="1"/>
    <col min="771" max="1015" width="9.1796875" style="17"/>
    <col min="1016" max="1016" width="8.7265625" style="17" customWidth="1"/>
    <col min="1017" max="1017" width="9.81640625" style="17" customWidth="1"/>
    <col min="1018" max="1018" width="14.453125" style="17" customWidth="1"/>
    <col min="1019" max="1019" width="7.26953125" style="17" customWidth="1"/>
    <col min="1020" max="1020" width="5.54296875" style="17" customWidth="1"/>
    <col min="1021" max="1021" width="9" style="17" customWidth="1"/>
    <col min="1022" max="1023" width="9.81640625" style="17" customWidth="1"/>
    <col min="1024" max="1024" width="11.1796875" style="17" customWidth="1"/>
    <col min="1025" max="1025" width="2.81640625" style="17" customWidth="1"/>
    <col min="1026" max="1026" width="3.54296875" style="17" customWidth="1"/>
    <col min="1027" max="1271" width="9.1796875" style="17"/>
    <col min="1272" max="1272" width="8.7265625" style="17" customWidth="1"/>
    <col min="1273" max="1273" width="9.81640625" style="17" customWidth="1"/>
    <col min="1274" max="1274" width="14.453125" style="17" customWidth="1"/>
    <col min="1275" max="1275" width="7.26953125" style="17" customWidth="1"/>
    <col min="1276" max="1276" width="5.54296875" style="17" customWidth="1"/>
    <col min="1277" max="1277" width="9" style="17" customWidth="1"/>
    <col min="1278" max="1279" width="9.81640625" style="17" customWidth="1"/>
    <col min="1280" max="1280" width="11.1796875" style="17" customWidth="1"/>
    <col min="1281" max="1281" width="2.81640625" style="17" customWidth="1"/>
    <col min="1282" max="1282" width="3.54296875" style="17" customWidth="1"/>
    <col min="1283" max="1527" width="9.1796875" style="17"/>
    <col min="1528" max="1528" width="8.7265625" style="17" customWidth="1"/>
    <col min="1529" max="1529" width="9.81640625" style="17" customWidth="1"/>
    <col min="1530" max="1530" width="14.453125" style="17" customWidth="1"/>
    <col min="1531" max="1531" width="7.26953125" style="17" customWidth="1"/>
    <col min="1532" max="1532" width="5.54296875" style="17" customWidth="1"/>
    <col min="1533" max="1533" width="9" style="17" customWidth="1"/>
    <col min="1534" max="1535" width="9.81640625" style="17" customWidth="1"/>
    <col min="1536" max="1536" width="11.1796875" style="17" customWidth="1"/>
    <col min="1537" max="1537" width="2.81640625" style="17" customWidth="1"/>
    <col min="1538" max="1538" width="3.54296875" style="17" customWidth="1"/>
    <col min="1539" max="1783" width="9.1796875" style="17"/>
    <col min="1784" max="1784" width="8.7265625" style="17" customWidth="1"/>
    <col min="1785" max="1785" width="9.81640625" style="17" customWidth="1"/>
    <col min="1786" max="1786" width="14.453125" style="17" customWidth="1"/>
    <col min="1787" max="1787" width="7.26953125" style="17" customWidth="1"/>
    <col min="1788" max="1788" width="5.54296875" style="17" customWidth="1"/>
    <col min="1789" max="1789" width="9" style="17" customWidth="1"/>
    <col min="1790" max="1791" width="9.81640625" style="17" customWidth="1"/>
    <col min="1792" max="1792" width="11.1796875" style="17" customWidth="1"/>
    <col min="1793" max="1793" width="2.81640625" style="17" customWidth="1"/>
    <col min="1794" max="1794" width="3.54296875" style="17" customWidth="1"/>
    <col min="1795" max="2039" width="9.1796875" style="17"/>
    <col min="2040" max="2040" width="8.7265625" style="17" customWidth="1"/>
    <col min="2041" max="2041" width="9.81640625" style="17" customWidth="1"/>
    <col min="2042" max="2042" width="14.453125" style="17" customWidth="1"/>
    <col min="2043" max="2043" width="7.26953125" style="17" customWidth="1"/>
    <col min="2044" max="2044" width="5.54296875" style="17" customWidth="1"/>
    <col min="2045" max="2045" width="9" style="17" customWidth="1"/>
    <col min="2046" max="2047" width="9.81640625" style="17" customWidth="1"/>
    <col min="2048" max="2048" width="11.1796875" style="17" customWidth="1"/>
    <col min="2049" max="2049" width="2.81640625" style="17" customWidth="1"/>
    <col min="2050" max="2050" width="3.54296875" style="17" customWidth="1"/>
    <col min="2051" max="2295" width="9.1796875" style="17"/>
    <col min="2296" max="2296" width="8.7265625" style="17" customWidth="1"/>
    <col min="2297" max="2297" width="9.81640625" style="17" customWidth="1"/>
    <col min="2298" max="2298" width="14.453125" style="17" customWidth="1"/>
    <col min="2299" max="2299" width="7.26953125" style="17" customWidth="1"/>
    <col min="2300" max="2300" width="5.54296875" style="17" customWidth="1"/>
    <col min="2301" max="2301" width="9" style="17" customWidth="1"/>
    <col min="2302" max="2303" width="9.81640625" style="17" customWidth="1"/>
    <col min="2304" max="2304" width="11.1796875" style="17" customWidth="1"/>
    <col min="2305" max="2305" width="2.81640625" style="17" customWidth="1"/>
    <col min="2306" max="2306" width="3.54296875" style="17" customWidth="1"/>
    <col min="2307" max="2551" width="9.1796875" style="17"/>
    <col min="2552" max="2552" width="8.7265625" style="17" customWidth="1"/>
    <col min="2553" max="2553" width="9.81640625" style="17" customWidth="1"/>
    <col min="2554" max="2554" width="14.453125" style="17" customWidth="1"/>
    <col min="2555" max="2555" width="7.26953125" style="17" customWidth="1"/>
    <col min="2556" max="2556" width="5.54296875" style="17" customWidth="1"/>
    <col min="2557" max="2557" width="9" style="17" customWidth="1"/>
    <col min="2558" max="2559" width="9.81640625" style="17" customWidth="1"/>
    <col min="2560" max="2560" width="11.1796875" style="17" customWidth="1"/>
    <col min="2561" max="2561" width="2.81640625" style="17" customWidth="1"/>
    <col min="2562" max="2562" width="3.54296875" style="17" customWidth="1"/>
    <col min="2563" max="2807" width="9.1796875" style="17"/>
    <col min="2808" max="2808" width="8.7265625" style="17" customWidth="1"/>
    <col min="2809" max="2809" width="9.81640625" style="17" customWidth="1"/>
    <col min="2810" max="2810" width="14.453125" style="17" customWidth="1"/>
    <col min="2811" max="2811" width="7.26953125" style="17" customWidth="1"/>
    <col min="2812" max="2812" width="5.54296875" style="17" customWidth="1"/>
    <col min="2813" max="2813" width="9" style="17" customWidth="1"/>
    <col min="2814" max="2815" width="9.81640625" style="17" customWidth="1"/>
    <col min="2816" max="2816" width="11.1796875" style="17" customWidth="1"/>
    <col min="2817" max="2817" width="2.81640625" style="17" customWidth="1"/>
    <col min="2818" max="2818" width="3.54296875" style="17" customWidth="1"/>
    <col min="2819" max="3063" width="9.1796875" style="17"/>
    <col min="3064" max="3064" width="8.7265625" style="17" customWidth="1"/>
    <col min="3065" max="3065" width="9.81640625" style="17" customWidth="1"/>
    <col min="3066" max="3066" width="14.453125" style="17" customWidth="1"/>
    <col min="3067" max="3067" width="7.26953125" style="17" customWidth="1"/>
    <col min="3068" max="3068" width="5.54296875" style="17" customWidth="1"/>
    <col min="3069" max="3069" width="9" style="17" customWidth="1"/>
    <col min="3070" max="3071" width="9.81640625" style="17" customWidth="1"/>
    <col min="3072" max="3072" width="11.1796875" style="17" customWidth="1"/>
    <col min="3073" max="3073" width="2.81640625" style="17" customWidth="1"/>
    <col min="3074" max="3074" width="3.54296875" style="17" customWidth="1"/>
    <col min="3075" max="3319" width="9.1796875" style="17"/>
    <col min="3320" max="3320" width="8.7265625" style="17" customWidth="1"/>
    <col min="3321" max="3321" width="9.81640625" style="17" customWidth="1"/>
    <col min="3322" max="3322" width="14.453125" style="17" customWidth="1"/>
    <col min="3323" max="3323" width="7.26953125" style="17" customWidth="1"/>
    <col min="3324" max="3324" width="5.54296875" style="17" customWidth="1"/>
    <col min="3325" max="3325" width="9" style="17" customWidth="1"/>
    <col min="3326" max="3327" width="9.81640625" style="17" customWidth="1"/>
    <col min="3328" max="3328" width="11.1796875" style="17" customWidth="1"/>
    <col min="3329" max="3329" width="2.81640625" style="17" customWidth="1"/>
    <col min="3330" max="3330" width="3.54296875" style="17" customWidth="1"/>
    <col min="3331" max="3575" width="9.1796875" style="17"/>
    <col min="3576" max="3576" width="8.7265625" style="17" customWidth="1"/>
    <col min="3577" max="3577" width="9.81640625" style="17" customWidth="1"/>
    <col min="3578" max="3578" width="14.453125" style="17" customWidth="1"/>
    <col min="3579" max="3579" width="7.26953125" style="17" customWidth="1"/>
    <col min="3580" max="3580" width="5.54296875" style="17" customWidth="1"/>
    <col min="3581" max="3581" width="9" style="17" customWidth="1"/>
    <col min="3582" max="3583" width="9.81640625" style="17" customWidth="1"/>
    <col min="3584" max="3584" width="11.1796875" style="17" customWidth="1"/>
    <col min="3585" max="3585" width="2.81640625" style="17" customWidth="1"/>
    <col min="3586" max="3586" width="3.54296875" style="17" customWidth="1"/>
    <col min="3587" max="3831" width="9.1796875" style="17"/>
    <col min="3832" max="3832" width="8.7265625" style="17" customWidth="1"/>
    <col min="3833" max="3833" width="9.81640625" style="17" customWidth="1"/>
    <col min="3834" max="3834" width="14.453125" style="17" customWidth="1"/>
    <col min="3835" max="3835" width="7.26953125" style="17" customWidth="1"/>
    <col min="3836" max="3836" width="5.54296875" style="17" customWidth="1"/>
    <col min="3837" max="3837" width="9" style="17" customWidth="1"/>
    <col min="3838" max="3839" width="9.81640625" style="17" customWidth="1"/>
    <col min="3840" max="3840" width="11.1796875" style="17" customWidth="1"/>
    <col min="3841" max="3841" width="2.81640625" style="17" customWidth="1"/>
    <col min="3842" max="3842" width="3.54296875" style="17" customWidth="1"/>
    <col min="3843" max="4087" width="9.1796875" style="17"/>
    <col min="4088" max="4088" width="8.7265625" style="17" customWidth="1"/>
    <col min="4089" max="4089" width="9.81640625" style="17" customWidth="1"/>
    <col min="4090" max="4090" width="14.453125" style="17" customWidth="1"/>
    <col min="4091" max="4091" width="7.26953125" style="17" customWidth="1"/>
    <col min="4092" max="4092" width="5.54296875" style="17" customWidth="1"/>
    <col min="4093" max="4093" width="9" style="17" customWidth="1"/>
    <col min="4094" max="4095" width="9.81640625" style="17" customWidth="1"/>
    <col min="4096" max="4096" width="11.1796875" style="17" customWidth="1"/>
    <col min="4097" max="4097" width="2.81640625" style="17" customWidth="1"/>
    <col min="4098" max="4098" width="3.54296875" style="17" customWidth="1"/>
    <col min="4099" max="4343" width="9.1796875" style="17"/>
    <col min="4344" max="4344" width="8.7265625" style="17" customWidth="1"/>
    <col min="4345" max="4345" width="9.81640625" style="17" customWidth="1"/>
    <col min="4346" max="4346" width="14.453125" style="17" customWidth="1"/>
    <col min="4347" max="4347" width="7.26953125" style="17" customWidth="1"/>
    <col min="4348" max="4348" width="5.54296875" style="17" customWidth="1"/>
    <col min="4349" max="4349" width="9" style="17" customWidth="1"/>
    <col min="4350" max="4351" width="9.81640625" style="17" customWidth="1"/>
    <col min="4352" max="4352" width="11.1796875" style="17" customWidth="1"/>
    <col min="4353" max="4353" width="2.81640625" style="17" customWidth="1"/>
    <col min="4354" max="4354" width="3.54296875" style="17" customWidth="1"/>
    <col min="4355" max="4599" width="9.1796875" style="17"/>
    <col min="4600" max="4600" width="8.7265625" style="17" customWidth="1"/>
    <col min="4601" max="4601" width="9.81640625" style="17" customWidth="1"/>
    <col min="4602" max="4602" width="14.453125" style="17" customWidth="1"/>
    <col min="4603" max="4603" width="7.26953125" style="17" customWidth="1"/>
    <col min="4604" max="4604" width="5.54296875" style="17" customWidth="1"/>
    <col min="4605" max="4605" width="9" style="17" customWidth="1"/>
    <col min="4606" max="4607" width="9.81640625" style="17" customWidth="1"/>
    <col min="4608" max="4608" width="11.1796875" style="17" customWidth="1"/>
    <col min="4609" max="4609" width="2.81640625" style="17" customWidth="1"/>
    <col min="4610" max="4610" width="3.54296875" style="17" customWidth="1"/>
    <col min="4611" max="4855" width="9.1796875" style="17"/>
    <col min="4856" max="4856" width="8.7265625" style="17" customWidth="1"/>
    <col min="4857" max="4857" width="9.81640625" style="17" customWidth="1"/>
    <col min="4858" max="4858" width="14.453125" style="17" customWidth="1"/>
    <col min="4859" max="4859" width="7.26953125" style="17" customWidth="1"/>
    <col min="4860" max="4860" width="5.54296875" style="17" customWidth="1"/>
    <col min="4861" max="4861" width="9" style="17" customWidth="1"/>
    <col min="4862" max="4863" width="9.81640625" style="17" customWidth="1"/>
    <col min="4864" max="4864" width="11.1796875" style="17" customWidth="1"/>
    <col min="4865" max="4865" width="2.81640625" style="17" customWidth="1"/>
    <col min="4866" max="4866" width="3.54296875" style="17" customWidth="1"/>
    <col min="4867" max="5111" width="9.1796875" style="17"/>
    <col min="5112" max="5112" width="8.7265625" style="17" customWidth="1"/>
    <col min="5113" max="5113" width="9.81640625" style="17" customWidth="1"/>
    <col min="5114" max="5114" width="14.453125" style="17" customWidth="1"/>
    <col min="5115" max="5115" width="7.26953125" style="17" customWidth="1"/>
    <col min="5116" max="5116" width="5.54296875" style="17" customWidth="1"/>
    <col min="5117" max="5117" width="9" style="17" customWidth="1"/>
    <col min="5118" max="5119" width="9.81640625" style="17" customWidth="1"/>
    <col min="5120" max="5120" width="11.1796875" style="17" customWidth="1"/>
    <col min="5121" max="5121" width="2.81640625" style="17" customWidth="1"/>
    <col min="5122" max="5122" width="3.54296875" style="17" customWidth="1"/>
    <col min="5123" max="5367" width="9.1796875" style="17"/>
    <col min="5368" max="5368" width="8.7265625" style="17" customWidth="1"/>
    <col min="5369" max="5369" width="9.81640625" style="17" customWidth="1"/>
    <col min="5370" max="5370" width="14.453125" style="17" customWidth="1"/>
    <col min="5371" max="5371" width="7.26953125" style="17" customWidth="1"/>
    <col min="5372" max="5372" width="5.54296875" style="17" customWidth="1"/>
    <col min="5373" max="5373" width="9" style="17" customWidth="1"/>
    <col min="5374" max="5375" width="9.81640625" style="17" customWidth="1"/>
    <col min="5376" max="5376" width="11.1796875" style="17" customWidth="1"/>
    <col min="5377" max="5377" width="2.81640625" style="17" customWidth="1"/>
    <col min="5378" max="5378" width="3.54296875" style="17" customWidth="1"/>
    <col min="5379" max="5623" width="9.1796875" style="17"/>
    <col min="5624" max="5624" width="8.7265625" style="17" customWidth="1"/>
    <col min="5625" max="5625" width="9.81640625" style="17" customWidth="1"/>
    <col min="5626" max="5626" width="14.453125" style="17" customWidth="1"/>
    <col min="5627" max="5627" width="7.26953125" style="17" customWidth="1"/>
    <col min="5628" max="5628" width="5.54296875" style="17" customWidth="1"/>
    <col min="5629" max="5629" width="9" style="17" customWidth="1"/>
    <col min="5630" max="5631" width="9.81640625" style="17" customWidth="1"/>
    <col min="5632" max="5632" width="11.1796875" style="17" customWidth="1"/>
    <col min="5633" max="5633" width="2.81640625" style="17" customWidth="1"/>
    <col min="5634" max="5634" width="3.54296875" style="17" customWidth="1"/>
    <col min="5635" max="5879" width="9.1796875" style="17"/>
    <col min="5880" max="5880" width="8.7265625" style="17" customWidth="1"/>
    <col min="5881" max="5881" width="9.81640625" style="17" customWidth="1"/>
    <col min="5882" max="5882" width="14.453125" style="17" customWidth="1"/>
    <col min="5883" max="5883" width="7.26953125" style="17" customWidth="1"/>
    <col min="5884" max="5884" width="5.54296875" style="17" customWidth="1"/>
    <col min="5885" max="5885" width="9" style="17" customWidth="1"/>
    <col min="5886" max="5887" width="9.81640625" style="17" customWidth="1"/>
    <col min="5888" max="5888" width="11.1796875" style="17" customWidth="1"/>
    <col min="5889" max="5889" width="2.81640625" style="17" customWidth="1"/>
    <col min="5890" max="5890" width="3.54296875" style="17" customWidth="1"/>
    <col min="5891" max="6135" width="9.1796875" style="17"/>
    <col min="6136" max="6136" width="8.7265625" style="17" customWidth="1"/>
    <col min="6137" max="6137" width="9.81640625" style="17" customWidth="1"/>
    <col min="6138" max="6138" width="14.453125" style="17" customWidth="1"/>
    <col min="6139" max="6139" width="7.26953125" style="17" customWidth="1"/>
    <col min="6140" max="6140" width="5.54296875" style="17" customWidth="1"/>
    <col min="6141" max="6141" width="9" style="17" customWidth="1"/>
    <col min="6142" max="6143" width="9.81640625" style="17" customWidth="1"/>
    <col min="6144" max="6144" width="11.1796875" style="17" customWidth="1"/>
    <col min="6145" max="6145" width="2.81640625" style="17" customWidth="1"/>
    <col min="6146" max="6146" width="3.54296875" style="17" customWidth="1"/>
    <col min="6147" max="6391" width="9.1796875" style="17"/>
    <col min="6392" max="6392" width="8.7265625" style="17" customWidth="1"/>
    <col min="6393" max="6393" width="9.81640625" style="17" customWidth="1"/>
    <col min="6394" max="6394" width="14.453125" style="17" customWidth="1"/>
    <col min="6395" max="6395" width="7.26953125" style="17" customWidth="1"/>
    <col min="6396" max="6396" width="5.54296875" style="17" customWidth="1"/>
    <col min="6397" max="6397" width="9" style="17" customWidth="1"/>
    <col min="6398" max="6399" width="9.81640625" style="17" customWidth="1"/>
    <col min="6400" max="6400" width="11.1796875" style="17" customWidth="1"/>
    <col min="6401" max="6401" width="2.81640625" style="17" customWidth="1"/>
    <col min="6402" max="6402" width="3.54296875" style="17" customWidth="1"/>
    <col min="6403" max="6647" width="9.1796875" style="17"/>
    <col min="6648" max="6648" width="8.7265625" style="17" customWidth="1"/>
    <col min="6649" max="6649" width="9.81640625" style="17" customWidth="1"/>
    <col min="6650" max="6650" width="14.453125" style="17" customWidth="1"/>
    <col min="6651" max="6651" width="7.26953125" style="17" customWidth="1"/>
    <col min="6652" max="6652" width="5.54296875" style="17" customWidth="1"/>
    <col min="6653" max="6653" width="9" style="17" customWidth="1"/>
    <col min="6654" max="6655" width="9.81640625" style="17" customWidth="1"/>
    <col min="6656" max="6656" width="11.1796875" style="17" customWidth="1"/>
    <col min="6657" max="6657" width="2.81640625" style="17" customWidth="1"/>
    <col min="6658" max="6658" width="3.54296875" style="17" customWidth="1"/>
    <col min="6659" max="6903" width="9.1796875" style="17"/>
    <col min="6904" max="6904" width="8.7265625" style="17" customWidth="1"/>
    <col min="6905" max="6905" width="9.81640625" style="17" customWidth="1"/>
    <col min="6906" max="6906" width="14.453125" style="17" customWidth="1"/>
    <col min="6907" max="6907" width="7.26953125" style="17" customWidth="1"/>
    <col min="6908" max="6908" width="5.54296875" style="17" customWidth="1"/>
    <col min="6909" max="6909" width="9" style="17" customWidth="1"/>
    <col min="6910" max="6911" width="9.81640625" style="17" customWidth="1"/>
    <col min="6912" max="6912" width="11.1796875" style="17" customWidth="1"/>
    <col min="6913" max="6913" width="2.81640625" style="17" customWidth="1"/>
    <col min="6914" max="6914" width="3.54296875" style="17" customWidth="1"/>
    <col min="6915" max="7159" width="9.1796875" style="17"/>
    <col min="7160" max="7160" width="8.7265625" style="17" customWidth="1"/>
    <col min="7161" max="7161" width="9.81640625" style="17" customWidth="1"/>
    <col min="7162" max="7162" width="14.453125" style="17" customWidth="1"/>
    <col min="7163" max="7163" width="7.26953125" style="17" customWidth="1"/>
    <col min="7164" max="7164" width="5.54296875" style="17" customWidth="1"/>
    <col min="7165" max="7165" width="9" style="17" customWidth="1"/>
    <col min="7166" max="7167" width="9.81640625" style="17" customWidth="1"/>
    <col min="7168" max="7168" width="11.1796875" style="17" customWidth="1"/>
    <col min="7169" max="7169" width="2.81640625" style="17" customWidth="1"/>
    <col min="7170" max="7170" width="3.54296875" style="17" customWidth="1"/>
    <col min="7171" max="7415" width="9.1796875" style="17"/>
    <col min="7416" max="7416" width="8.7265625" style="17" customWidth="1"/>
    <col min="7417" max="7417" width="9.81640625" style="17" customWidth="1"/>
    <col min="7418" max="7418" width="14.453125" style="17" customWidth="1"/>
    <col min="7419" max="7419" width="7.26953125" style="17" customWidth="1"/>
    <col min="7420" max="7420" width="5.54296875" style="17" customWidth="1"/>
    <col min="7421" max="7421" width="9" style="17" customWidth="1"/>
    <col min="7422" max="7423" width="9.81640625" style="17" customWidth="1"/>
    <col min="7424" max="7424" width="11.1796875" style="17" customWidth="1"/>
    <col min="7425" max="7425" width="2.81640625" style="17" customWidth="1"/>
    <col min="7426" max="7426" width="3.54296875" style="17" customWidth="1"/>
    <col min="7427" max="7671" width="9.1796875" style="17"/>
    <col min="7672" max="7672" width="8.7265625" style="17" customWidth="1"/>
    <col min="7673" max="7673" width="9.81640625" style="17" customWidth="1"/>
    <col min="7674" max="7674" width="14.453125" style="17" customWidth="1"/>
    <col min="7675" max="7675" width="7.26953125" style="17" customWidth="1"/>
    <col min="7676" max="7676" width="5.54296875" style="17" customWidth="1"/>
    <col min="7677" max="7677" width="9" style="17" customWidth="1"/>
    <col min="7678" max="7679" width="9.81640625" style="17" customWidth="1"/>
    <col min="7680" max="7680" width="11.1796875" style="17" customWidth="1"/>
    <col min="7681" max="7681" width="2.81640625" style="17" customWidth="1"/>
    <col min="7682" max="7682" width="3.54296875" style="17" customWidth="1"/>
    <col min="7683" max="7927" width="9.1796875" style="17"/>
    <col min="7928" max="7928" width="8.7265625" style="17" customWidth="1"/>
    <col min="7929" max="7929" width="9.81640625" style="17" customWidth="1"/>
    <col min="7930" max="7930" width="14.453125" style="17" customWidth="1"/>
    <col min="7931" max="7931" width="7.26953125" style="17" customWidth="1"/>
    <col min="7932" max="7932" width="5.54296875" style="17" customWidth="1"/>
    <col min="7933" max="7933" width="9" style="17" customWidth="1"/>
    <col min="7934" max="7935" width="9.81640625" style="17" customWidth="1"/>
    <col min="7936" max="7936" width="11.1796875" style="17" customWidth="1"/>
    <col min="7937" max="7937" width="2.81640625" style="17" customWidth="1"/>
    <col min="7938" max="7938" width="3.54296875" style="17" customWidth="1"/>
    <col min="7939" max="8183" width="9.1796875" style="17"/>
    <col min="8184" max="8184" width="8.7265625" style="17" customWidth="1"/>
    <col min="8185" max="8185" width="9.81640625" style="17" customWidth="1"/>
    <col min="8186" max="8186" width="14.453125" style="17" customWidth="1"/>
    <col min="8187" max="8187" width="7.26953125" style="17" customWidth="1"/>
    <col min="8188" max="8188" width="5.54296875" style="17" customWidth="1"/>
    <col min="8189" max="8189" width="9" style="17" customWidth="1"/>
    <col min="8190" max="8191" width="9.81640625" style="17" customWidth="1"/>
    <col min="8192" max="8192" width="11.1796875" style="17" customWidth="1"/>
    <col min="8193" max="8193" width="2.81640625" style="17" customWidth="1"/>
    <col min="8194" max="8194" width="3.54296875" style="17" customWidth="1"/>
    <col min="8195" max="8439" width="9.1796875" style="17"/>
    <col min="8440" max="8440" width="8.7265625" style="17" customWidth="1"/>
    <col min="8441" max="8441" width="9.81640625" style="17" customWidth="1"/>
    <col min="8442" max="8442" width="14.453125" style="17" customWidth="1"/>
    <col min="8443" max="8443" width="7.26953125" style="17" customWidth="1"/>
    <col min="8444" max="8444" width="5.54296875" style="17" customWidth="1"/>
    <col min="8445" max="8445" width="9" style="17" customWidth="1"/>
    <col min="8446" max="8447" width="9.81640625" style="17" customWidth="1"/>
    <col min="8448" max="8448" width="11.1796875" style="17" customWidth="1"/>
    <col min="8449" max="8449" width="2.81640625" style="17" customWidth="1"/>
    <col min="8450" max="8450" width="3.54296875" style="17" customWidth="1"/>
    <col min="8451" max="8695" width="9.1796875" style="17"/>
    <col min="8696" max="8696" width="8.7265625" style="17" customWidth="1"/>
    <col min="8697" max="8697" width="9.81640625" style="17" customWidth="1"/>
    <col min="8698" max="8698" width="14.453125" style="17" customWidth="1"/>
    <col min="8699" max="8699" width="7.26953125" style="17" customWidth="1"/>
    <col min="8700" max="8700" width="5.54296875" style="17" customWidth="1"/>
    <col min="8701" max="8701" width="9" style="17" customWidth="1"/>
    <col min="8702" max="8703" width="9.81640625" style="17" customWidth="1"/>
    <col min="8704" max="8704" width="11.1796875" style="17" customWidth="1"/>
    <col min="8705" max="8705" width="2.81640625" style="17" customWidth="1"/>
    <col min="8706" max="8706" width="3.54296875" style="17" customWidth="1"/>
    <col min="8707" max="8951" width="9.1796875" style="17"/>
    <col min="8952" max="8952" width="8.7265625" style="17" customWidth="1"/>
    <col min="8953" max="8953" width="9.81640625" style="17" customWidth="1"/>
    <col min="8954" max="8954" width="14.453125" style="17" customWidth="1"/>
    <col min="8955" max="8955" width="7.26953125" style="17" customWidth="1"/>
    <col min="8956" max="8956" width="5.54296875" style="17" customWidth="1"/>
    <col min="8957" max="8957" width="9" style="17" customWidth="1"/>
    <col min="8958" max="8959" width="9.81640625" style="17" customWidth="1"/>
    <col min="8960" max="8960" width="11.1796875" style="17" customWidth="1"/>
    <col min="8961" max="8961" width="2.81640625" style="17" customWidth="1"/>
    <col min="8962" max="8962" width="3.54296875" style="17" customWidth="1"/>
    <col min="8963" max="9207" width="9.1796875" style="17"/>
    <col min="9208" max="9208" width="8.7265625" style="17" customWidth="1"/>
    <col min="9209" max="9209" width="9.81640625" style="17" customWidth="1"/>
    <col min="9210" max="9210" width="14.453125" style="17" customWidth="1"/>
    <col min="9211" max="9211" width="7.26953125" style="17" customWidth="1"/>
    <col min="9212" max="9212" width="5.54296875" style="17" customWidth="1"/>
    <col min="9213" max="9213" width="9" style="17" customWidth="1"/>
    <col min="9214" max="9215" width="9.81640625" style="17" customWidth="1"/>
    <col min="9216" max="9216" width="11.1796875" style="17" customWidth="1"/>
    <col min="9217" max="9217" width="2.81640625" style="17" customWidth="1"/>
    <col min="9218" max="9218" width="3.54296875" style="17" customWidth="1"/>
    <col min="9219" max="9463" width="9.1796875" style="17"/>
    <col min="9464" max="9464" width="8.7265625" style="17" customWidth="1"/>
    <col min="9465" max="9465" width="9.81640625" style="17" customWidth="1"/>
    <col min="9466" max="9466" width="14.453125" style="17" customWidth="1"/>
    <col min="9467" max="9467" width="7.26953125" style="17" customWidth="1"/>
    <col min="9468" max="9468" width="5.54296875" style="17" customWidth="1"/>
    <col min="9469" max="9469" width="9" style="17" customWidth="1"/>
    <col min="9470" max="9471" width="9.81640625" style="17" customWidth="1"/>
    <col min="9472" max="9472" width="11.1796875" style="17" customWidth="1"/>
    <col min="9473" max="9473" width="2.81640625" style="17" customWidth="1"/>
    <col min="9474" max="9474" width="3.54296875" style="17" customWidth="1"/>
    <col min="9475" max="9719" width="9.1796875" style="17"/>
    <col min="9720" max="9720" width="8.7265625" style="17" customWidth="1"/>
    <col min="9721" max="9721" width="9.81640625" style="17" customWidth="1"/>
    <col min="9722" max="9722" width="14.453125" style="17" customWidth="1"/>
    <col min="9723" max="9723" width="7.26953125" style="17" customWidth="1"/>
    <col min="9724" max="9724" width="5.54296875" style="17" customWidth="1"/>
    <col min="9725" max="9725" width="9" style="17" customWidth="1"/>
    <col min="9726" max="9727" width="9.81640625" style="17" customWidth="1"/>
    <col min="9728" max="9728" width="11.1796875" style="17" customWidth="1"/>
    <col min="9729" max="9729" width="2.81640625" style="17" customWidth="1"/>
    <col min="9730" max="9730" width="3.54296875" style="17" customWidth="1"/>
    <col min="9731" max="9975" width="9.1796875" style="17"/>
    <col min="9976" max="9976" width="8.7265625" style="17" customWidth="1"/>
    <col min="9977" max="9977" width="9.81640625" style="17" customWidth="1"/>
    <col min="9978" max="9978" width="14.453125" style="17" customWidth="1"/>
    <col min="9979" max="9979" width="7.26953125" style="17" customWidth="1"/>
    <col min="9980" max="9980" width="5.54296875" style="17" customWidth="1"/>
    <col min="9981" max="9981" width="9" style="17" customWidth="1"/>
    <col min="9982" max="9983" width="9.81640625" style="17" customWidth="1"/>
    <col min="9984" max="9984" width="11.1796875" style="17" customWidth="1"/>
    <col min="9985" max="9985" width="2.81640625" style="17" customWidth="1"/>
    <col min="9986" max="9986" width="3.54296875" style="17" customWidth="1"/>
    <col min="9987" max="10231" width="9.1796875" style="17"/>
    <col min="10232" max="10232" width="8.7265625" style="17" customWidth="1"/>
    <col min="10233" max="10233" width="9.81640625" style="17" customWidth="1"/>
    <col min="10234" max="10234" width="14.453125" style="17" customWidth="1"/>
    <col min="10235" max="10235" width="7.26953125" style="17" customWidth="1"/>
    <col min="10236" max="10236" width="5.54296875" style="17" customWidth="1"/>
    <col min="10237" max="10237" width="9" style="17" customWidth="1"/>
    <col min="10238" max="10239" width="9.81640625" style="17" customWidth="1"/>
    <col min="10240" max="10240" width="11.1796875" style="17" customWidth="1"/>
    <col min="10241" max="10241" width="2.81640625" style="17" customWidth="1"/>
    <col min="10242" max="10242" width="3.54296875" style="17" customWidth="1"/>
    <col min="10243" max="10487" width="9.1796875" style="17"/>
    <col min="10488" max="10488" width="8.7265625" style="17" customWidth="1"/>
    <col min="10489" max="10489" width="9.81640625" style="17" customWidth="1"/>
    <col min="10490" max="10490" width="14.453125" style="17" customWidth="1"/>
    <col min="10491" max="10491" width="7.26953125" style="17" customWidth="1"/>
    <col min="10492" max="10492" width="5.54296875" style="17" customWidth="1"/>
    <col min="10493" max="10493" width="9" style="17" customWidth="1"/>
    <col min="10494" max="10495" width="9.81640625" style="17" customWidth="1"/>
    <col min="10496" max="10496" width="11.1796875" style="17" customWidth="1"/>
    <col min="10497" max="10497" width="2.81640625" style="17" customWidth="1"/>
    <col min="10498" max="10498" width="3.54296875" style="17" customWidth="1"/>
    <col min="10499" max="10743" width="9.1796875" style="17"/>
    <col min="10744" max="10744" width="8.7265625" style="17" customWidth="1"/>
    <col min="10745" max="10745" width="9.81640625" style="17" customWidth="1"/>
    <col min="10746" max="10746" width="14.453125" style="17" customWidth="1"/>
    <col min="10747" max="10747" width="7.26953125" style="17" customWidth="1"/>
    <col min="10748" max="10748" width="5.54296875" style="17" customWidth="1"/>
    <col min="10749" max="10749" width="9" style="17" customWidth="1"/>
    <col min="10750" max="10751" width="9.81640625" style="17" customWidth="1"/>
    <col min="10752" max="10752" width="11.1796875" style="17" customWidth="1"/>
    <col min="10753" max="10753" width="2.81640625" style="17" customWidth="1"/>
    <col min="10754" max="10754" width="3.54296875" style="17" customWidth="1"/>
    <col min="10755" max="10999" width="9.1796875" style="17"/>
    <col min="11000" max="11000" width="8.7265625" style="17" customWidth="1"/>
    <col min="11001" max="11001" width="9.81640625" style="17" customWidth="1"/>
    <col min="11002" max="11002" width="14.453125" style="17" customWidth="1"/>
    <col min="11003" max="11003" width="7.26953125" style="17" customWidth="1"/>
    <col min="11004" max="11004" width="5.54296875" style="17" customWidth="1"/>
    <col min="11005" max="11005" width="9" style="17" customWidth="1"/>
    <col min="11006" max="11007" width="9.81640625" style="17" customWidth="1"/>
    <col min="11008" max="11008" width="11.1796875" style="17" customWidth="1"/>
    <col min="11009" max="11009" width="2.81640625" style="17" customWidth="1"/>
    <col min="11010" max="11010" width="3.54296875" style="17" customWidth="1"/>
    <col min="11011" max="11255" width="9.1796875" style="17"/>
    <col min="11256" max="11256" width="8.7265625" style="17" customWidth="1"/>
    <col min="11257" max="11257" width="9.81640625" style="17" customWidth="1"/>
    <col min="11258" max="11258" width="14.453125" style="17" customWidth="1"/>
    <col min="11259" max="11259" width="7.26953125" style="17" customWidth="1"/>
    <col min="11260" max="11260" width="5.54296875" style="17" customWidth="1"/>
    <col min="11261" max="11261" width="9" style="17" customWidth="1"/>
    <col min="11262" max="11263" width="9.81640625" style="17" customWidth="1"/>
    <col min="11264" max="11264" width="11.1796875" style="17" customWidth="1"/>
    <col min="11265" max="11265" width="2.81640625" style="17" customWidth="1"/>
    <col min="11266" max="11266" width="3.54296875" style="17" customWidth="1"/>
    <col min="11267" max="11511" width="9.1796875" style="17"/>
    <col min="11512" max="11512" width="8.7265625" style="17" customWidth="1"/>
    <col min="11513" max="11513" width="9.81640625" style="17" customWidth="1"/>
    <col min="11514" max="11514" width="14.453125" style="17" customWidth="1"/>
    <col min="11515" max="11515" width="7.26953125" style="17" customWidth="1"/>
    <col min="11516" max="11516" width="5.54296875" style="17" customWidth="1"/>
    <col min="11517" max="11517" width="9" style="17" customWidth="1"/>
    <col min="11518" max="11519" width="9.81640625" style="17" customWidth="1"/>
    <col min="11520" max="11520" width="11.1796875" style="17" customWidth="1"/>
    <col min="11521" max="11521" width="2.81640625" style="17" customWidth="1"/>
    <col min="11522" max="11522" width="3.54296875" style="17" customWidth="1"/>
    <col min="11523" max="11767" width="9.1796875" style="17"/>
    <col min="11768" max="11768" width="8.7265625" style="17" customWidth="1"/>
    <col min="11769" max="11769" width="9.81640625" style="17" customWidth="1"/>
    <col min="11770" max="11770" width="14.453125" style="17" customWidth="1"/>
    <col min="11771" max="11771" width="7.26953125" style="17" customWidth="1"/>
    <col min="11772" max="11772" width="5.54296875" style="17" customWidth="1"/>
    <col min="11773" max="11773" width="9" style="17" customWidth="1"/>
    <col min="11774" max="11775" width="9.81640625" style="17" customWidth="1"/>
    <col min="11776" max="11776" width="11.1796875" style="17" customWidth="1"/>
    <col min="11777" max="11777" width="2.81640625" style="17" customWidth="1"/>
    <col min="11778" max="11778" width="3.54296875" style="17" customWidth="1"/>
    <col min="11779" max="12023" width="9.1796875" style="17"/>
    <col min="12024" max="12024" width="8.7265625" style="17" customWidth="1"/>
    <col min="12025" max="12025" width="9.81640625" style="17" customWidth="1"/>
    <col min="12026" max="12026" width="14.453125" style="17" customWidth="1"/>
    <col min="12027" max="12027" width="7.26953125" style="17" customWidth="1"/>
    <col min="12028" max="12028" width="5.54296875" style="17" customWidth="1"/>
    <col min="12029" max="12029" width="9" style="17" customWidth="1"/>
    <col min="12030" max="12031" width="9.81640625" style="17" customWidth="1"/>
    <col min="12032" max="12032" width="11.1796875" style="17" customWidth="1"/>
    <col min="12033" max="12033" width="2.81640625" style="17" customWidth="1"/>
    <col min="12034" max="12034" width="3.54296875" style="17" customWidth="1"/>
    <col min="12035" max="12279" width="9.1796875" style="17"/>
    <col min="12280" max="12280" width="8.7265625" style="17" customWidth="1"/>
    <col min="12281" max="12281" width="9.81640625" style="17" customWidth="1"/>
    <col min="12282" max="12282" width="14.453125" style="17" customWidth="1"/>
    <col min="12283" max="12283" width="7.26953125" style="17" customWidth="1"/>
    <col min="12284" max="12284" width="5.54296875" style="17" customWidth="1"/>
    <col min="12285" max="12285" width="9" style="17" customWidth="1"/>
    <col min="12286" max="12287" width="9.81640625" style="17" customWidth="1"/>
    <col min="12288" max="12288" width="11.1796875" style="17" customWidth="1"/>
    <col min="12289" max="12289" width="2.81640625" style="17" customWidth="1"/>
    <col min="12290" max="12290" width="3.54296875" style="17" customWidth="1"/>
    <col min="12291" max="12535" width="9.1796875" style="17"/>
    <col min="12536" max="12536" width="8.7265625" style="17" customWidth="1"/>
    <col min="12537" max="12537" width="9.81640625" style="17" customWidth="1"/>
    <col min="12538" max="12538" width="14.453125" style="17" customWidth="1"/>
    <col min="12539" max="12539" width="7.26953125" style="17" customWidth="1"/>
    <col min="12540" max="12540" width="5.54296875" style="17" customWidth="1"/>
    <col min="12541" max="12541" width="9" style="17" customWidth="1"/>
    <col min="12542" max="12543" width="9.81640625" style="17" customWidth="1"/>
    <col min="12544" max="12544" width="11.1796875" style="17" customWidth="1"/>
    <col min="12545" max="12545" width="2.81640625" style="17" customWidth="1"/>
    <col min="12546" max="12546" width="3.54296875" style="17" customWidth="1"/>
    <col min="12547" max="12791" width="9.1796875" style="17"/>
    <col min="12792" max="12792" width="8.7265625" style="17" customWidth="1"/>
    <col min="12793" max="12793" width="9.81640625" style="17" customWidth="1"/>
    <col min="12794" max="12794" width="14.453125" style="17" customWidth="1"/>
    <col min="12795" max="12795" width="7.26953125" style="17" customWidth="1"/>
    <col min="12796" max="12796" width="5.54296875" style="17" customWidth="1"/>
    <col min="12797" max="12797" width="9" style="17" customWidth="1"/>
    <col min="12798" max="12799" width="9.81640625" style="17" customWidth="1"/>
    <col min="12800" max="12800" width="11.1796875" style="17" customWidth="1"/>
    <col min="12801" max="12801" width="2.81640625" style="17" customWidth="1"/>
    <col min="12802" max="12802" width="3.54296875" style="17" customWidth="1"/>
    <col min="12803" max="13047" width="9.1796875" style="17"/>
    <col min="13048" max="13048" width="8.7265625" style="17" customWidth="1"/>
    <col min="13049" max="13049" width="9.81640625" style="17" customWidth="1"/>
    <col min="13050" max="13050" width="14.453125" style="17" customWidth="1"/>
    <col min="13051" max="13051" width="7.26953125" style="17" customWidth="1"/>
    <col min="13052" max="13052" width="5.54296875" style="17" customWidth="1"/>
    <col min="13053" max="13053" width="9" style="17" customWidth="1"/>
    <col min="13054" max="13055" width="9.81640625" style="17" customWidth="1"/>
    <col min="13056" max="13056" width="11.1796875" style="17" customWidth="1"/>
    <col min="13057" max="13057" width="2.81640625" style="17" customWidth="1"/>
    <col min="13058" max="13058" width="3.54296875" style="17" customWidth="1"/>
    <col min="13059" max="13303" width="9.1796875" style="17"/>
    <col min="13304" max="13304" width="8.7265625" style="17" customWidth="1"/>
    <col min="13305" max="13305" width="9.81640625" style="17" customWidth="1"/>
    <col min="13306" max="13306" width="14.453125" style="17" customWidth="1"/>
    <col min="13307" max="13307" width="7.26953125" style="17" customWidth="1"/>
    <col min="13308" max="13308" width="5.54296875" style="17" customWidth="1"/>
    <col min="13309" max="13309" width="9" style="17" customWidth="1"/>
    <col min="13310" max="13311" width="9.81640625" style="17" customWidth="1"/>
    <col min="13312" max="13312" width="11.1796875" style="17" customWidth="1"/>
    <col min="13313" max="13313" width="2.81640625" style="17" customWidth="1"/>
    <col min="13314" max="13314" width="3.54296875" style="17" customWidth="1"/>
    <col min="13315" max="13559" width="9.1796875" style="17"/>
    <col min="13560" max="13560" width="8.7265625" style="17" customWidth="1"/>
    <col min="13561" max="13561" width="9.81640625" style="17" customWidth="1"/>
    <col min="13562" max="13562" width="14.453125" style="17" customWidth="1"/>
    <col min="13563" max="13563" width="7.26953125" style="17" customWidth="1"/>
    <col min="13564" max="13564" width="5.54296875" style="17" customWidth="1"/>
    <col min="13565" max="13565" width="9" style="17" customWidth="1"/>
    <col min="13566" max="13567" width="9.81640625" style="17" customWidth="1"/>
    <col min="13568" max="13568" width="11.1796875" style="17" customWidth="1"/>
    <col min="13569" max="13569" width="2.81640625" style="17" customWidth="1"/>
    <col min="13570" max="13570" width="3.54296875" style="17" customWidth="1"/>
    <col min="13571" max="13815" width="9.1796875" style="17"/>
    <col min="13816" max="13816" width="8.7265625" style="17" customWidth="1"/>
    <col min="13817" max="13817" width="9.81640625" style="17" customWidth="1"/>
    <col min="13818" max="13818" width="14.453125" style="17" customWidth="1"/>
    <col min="13819" max="13819" width="7.26953125" style="17" customWidth="1"/>
    <col min="13820" max="13820" width="5.54296875" style="17" customWidth="1"/>
    <col min="13821" max="13821" width="9" style="17" customWidth="1"/>
    <col min="13822" max="13823" width="9.81640625" style="17" customWidth="1"/>
    <col min="13824" max="13824" width="11.1796875" style="17" customWidth="1"/>
    <col min="13825" max="13825" width="2.81640625" style="17" customWidth="1"/>
    <col min="13826" max="13826" width="3.54296875" style="17" customWidth="1"/>
    <col min="13827" max="14071" width="9.1796875" style="17"/>
    <col min="14072" max="14072" width="8.7265625" style="17" customWidth="1"/>
    <col min="14073" max="14073" width="9.81640625" style="17" customWidth="1"/>
    <col min="14074" max="14074" width="14.453125" style="17" customWidth="1"/>
    <col min="14075" max="14075" width="7.26953125" style="17" customWidth="1"/>
    <col min="14076" max="14076" width="5.54296875" style="17" customWidth="1"/>
    <col min="14077" max="14077" width="9" style="17" customWidth="1"/>
    <col min="14078" max="14079" width="9.81640625" style="17" customWidth="1"/>
    <col min="14080" max="14080" width="11.1796875" style="17" customWidth="1"/>
    <col min="14081" max="14081" width="2.81640625" style="17" customWidth="1"/>
    <col min="14082" max="14082" width="3.54296875" style="17" customWidth="1"/>
    <col min="14083" max="14327" width="9.1796875" style="17"/>
    <col min="14328" max="14328" width="8.7265625" style="17" customWidth="1"/>
    <col min="14329" max="14329" width="9.81640625" style="17" customWidth="1"/>
    <col min="14330" max="14330" width="14.453125" style="17" customWidth="1"/>
    <col min="14331" max="14331" width="7.26953125" style="17" customWidth="1"/>
    <col min="14332" max="14332" width="5.54296875" style="17" customWidth="1"/>
    <col min="14333" max="14333" width="9" style="17" customWidth="1"/>
    <col min="14334" max="14335" width="9.81640625" style="17" customWidth="1"/>
    <col min="14336" max="14336" width="11.1796875" style="17" customWidth="1"/>
    <col min="14337" max="14337" width="2.81640625" style="17" customWidth="1"/>
    <col min="14338" max="14338" width="3.54296875" style="17" customWidth="1"/>
    <col min="14339" max="14583" width="9.1796875" style="17"/>
    <col min="14584" max="14584" width="8.7265625" style="17" customWidth="1"/>
    <col min="14585" max="14585" width="9.81640625" style="17" customWidth="1"/>
    <col min="14586" max="14586" width="14.453125" style="17" customWidth="1"/>
    <col min="14587" max="14587" width="7.26953125" style="17" customWidth="1"/>
    <col min="14588" max="14588" width="5.54296875" style="17" customWidth="1"/>
    <col min="14589" max="14589" width="9" style="17" customWidth="1"/>
    <col min="14590" max="14591" width="9.81640625" style="17" customWidth="1"/>
    <col min="14592" max="14592" width="11.1796875" style="17" customWidth="1"/>
    <col min="14593" max="14593" width="2.81640625" style="17" customWidth="1"/>
    <col min="14594" max="14594" width="3.54296875" style="17" customWidth="1"/>
    <col min="14595" max="14839" width="9.1796875" style="17"/>
    <col min="14840" max="14840" width="8.7265625" style="17" customWidth="1"/>
    <col min="14841" max="14841" width="9.81640625" style="17" customWidth="1"/>
    <col min="14842" max="14842" width="14.453125" style="17" customWidth="1"/>
    <col min="14843" max="14843" width="7.26953125" style="17" customWidth="1"/>
    <col min="14844" max="14844" width="5.54296875" style="17" customWidth="1"/>
    <col min="14845" max="14845" width="9" style="17" customWidth="1"/>
    <col min="14846" max="14847" width="9.81640625" style="17" customWidth="1"/>
    <col min="14848" max="14848" width="11.1796875" style="17" customWidth="1"/>
    <col min="14849" max="14849" width="2.81640625" style="17" customWidth="1"/>
    <col min="14850" max="14850" width="3.54296875" style="17" customWidth="1"/>
    <col min="14851" max="15095" width="9.1796875" style="17"/>
    <col min="15096" max="15096" width="8.7265625" style="17" customWidth="1"/>
    <col min="15097" max="15097" width="9.81640625" style="17" customWidth="1"/>
    <col min="15098" max="15098" width="14.453125" style="17" customWidth="1"/>
    <col min="15099" max="15099" width="7.26953125" style="17" customWidth="1"/>
    <col min="15100" max="15100" width="5.54296875" style="17" customWidth="1"/>
    <col min="15101" max="15101" width="9" style="17" customWidth="1"/>
    <col min="15102" max="15103" width="9.81640625" style="17" customWidth="1"/>
    <col min="15104" max="15104" width="11.1796875" style="17" customWidth="1"/>
    <col min="15105" max="15105" width="2.81640625" style="17" customWidth="1"/>
    <col min="15106" max="15106" width="3.54296875" style="17" customWidth="1"/>
    <col min="15107" max="15351" width="9.1796875" style="17"/>
    <col min="15352" max="15352" width="8.7265625" style="17" customWidth="1"/>
    <col min="15353" max="15353" width="9.81640625" style="17" customWidth="1"/>
    <col min="15354" max="15354" width="14.453125" style="17" customWidth="1"/>
    <col min="15355" max="15355" width="7.26953125" style="17" customWidth="1"/>
    <col min="15356" max="15356" width="5.54296875" style="17" customWidth="1"/>
    <col min="15357" max="15357" width="9" style="17" customWidth="1"/>
    <col min="15358" max="15359" width="9.81640625" style="17" customWidth="1"/>
    <col min="15360" max="15360" width="11.1796875" style="17" customWidth="1"/>
    <col min="15361" max="15361" width="2.81640625" style="17" customWidth="1"/>
    <col min="15362" max="15362" width="3.54296875" style="17" customWidth="1"/>
    <col min="15363" max="15607" width="9.1796875" style="17"/>
    <col min="15608" max="15608" width="8.7265625" style="17" customWidth="1"/>
    <col min="15609" max="15609" width="9.81640625" style="17" customWidth="1"/>
    <col min="15610" max="15610" width="14.453125" style="17" customWidth="1"/>
    <col min="15611" max="15611" width="7.26953125" style="17" customWidth="1"/>
    <col min="15612" max="15612" width="5.54296875" style="17" customWidth="1"/>
    <col min="15613" max="15613" width="9" style="17" customWidth="1"/>
    <col min="15614" max="15615" width="9.81640625" style="17" customWidth="1"/>
    <col min="15616" max="15616" width="11.1796875" style="17" customWidth="1"/>
    <col min="15617" max="15617" width="2.81640625" style="17" customWidth="1"/>
    <col min="15618" max="15618" width="3.54296875" style="17" customWidth="1"/>
    <col min="15619" max="15863" width="9.1796875" style="17"/>
    <col min="15864" max="15864" width="8.7265625" style="17" customWidth="1"/>
    <col min="15865" max="15865" width="9.81640625" style="17" customWidth="1"/>
    <col min="15866" max="15866" width="14.453125" style="17" customWidth="1"/>
    <col min="15867" max="15867" width="7.26953125" style="17" customWidth="1"/>
    <col min="15868" max="15868" width="5.54296875" style="17" customWidth="1"/>
    <col min="15869" max="15869" width="9" style="17" customWidth="1"/>
    <col min="15870" max="15871" width="9.81640625" style="17" customWidth="1"/>
    <col min="15872" max="15872" width="11.1796875" style="17" customWidth="1"/>
    <col min="15873" max="15873" width="2.81640625" style="17" customWidth="1"/>
    <col min="15874" max="15874" width="3.54296875" style="17" customWidth="1"/>
    <col min="15875" max="16119" width="9.1796875" style="17"/>
    <col min="16120" max="16120" width="8.7265625" style="17" customWidth="1"/>
    <col min="16121" max="16121" width="9.81640625" style="17" customWidth="1"/>
    <col min="16122" max="16122" width="14.453125" style="17" customWidth="1"/>
    <col min="16123" max="16123" width="7.26953125" style="17" customWidth="1"/>
    <col min="16124" max="16124" width="5.54296875" style="17" customWidth="1"/>
    <col min="16125" max="16125" width="9" style="17" customWidth="1"/>
    <col min="16126" max="16127" width="9.81640625" style="17" customWidth="1"/>
    <col min="16128" max="16128" width="11.1796875" style="17" customWidth="1"/>
    <col min="16129" max="16129" width="2.81640625" style="17" customWidth="1"/>
    <col min="16130" max="16130" width="3.54296875" style="17" customWidth="1"/>
    <col min="16131" max="16384" width="9.1796875" style="17"/>
  </cols>
  <sheetData>
    <row r="1" spans="1:26" ht="46.5" customHeight="1" x14ac:dyDescent="0.35">
      <c r="A1" s="165" t="s">
        <v>161</v>
      </c>
      <c r="B1" s="165"/>
      <c r="C1" s="165"/>
      <c r="D1" s="165"/>
      <c r="E1" s="165"/>
      <c r="F1" s="165"/>
      <c r="G1" s="165"/>
      <c r="H1" s="165"/>
    </row>
    <row r="2" spans="1:26" ht="16.5" customHeight="1" x14ac:dyDescent="0.35">
      <c r="A2" s="166" t="s">
        <v>0</v>
      </c>
      <c r="B2" s="166"/>
      <c r="C2" s="166"/>
      <c r="D2" s="166"/>
      <c r="E2" s="166"/>
      <c r="F2" s="166"/>
      <c r="G2" s="166"/>
      <c r="H2" s="166"/>
    </row>
    <row r="3" spans="1:26" x14ac:dyDescent="0.35">
      <c r="A3" s="126" t="s">
        <v>1</v>
      </c>
      <c r="B3" s="126"/>
      <c r="C3" s="126"/>
      <c r="D3" s="126"/>
      <c r="E3" s="126" t="str">
        <f ca="1">TEXT(TODAY(),"DD/MM/YYYY")</f>
        <v>13/08/2025</v>
      </c>
      <c r="F3" s="126"/>
      <c r="G3" s="126"/>
      <c r="H3" s="126"/>
      <c r="K3" s="45" t="s">
        <v>233</v>
      </c>
      <c r="L3" s="44" t="s">
        <v>231</v>
      </c>
      <c r="M3" s="44" t="s">
        <v>236</v>
      </c>
      <c r="N3" s="44" t="s">
        <v>234</v>
      </c>
      <c r="O3" s="44" t="s">
        <v>235</v>
      </c>
      <c r="P3" s="44" t="s">
        <v>237</v>
      </c>
    </row>
    <row r="4" spans="1:26" ht="15" customHeight="1" x14ac:dyDescent="0.35">
      <c r="A4" s="126" t="s">
        <v>230</v>
      </c>
      <c r="B4" s="126"/>
      <c r="C4" s="126"/>
      <c r="D4" s="126"/>
      <c r="E4" s="126" t="s">
        <v>231</v>
      </c>
      <c r="F4" s="126"/>
      <c r="G4" s="126"/>
      <c r="H4" s="126"/>
      <c r="K4" s="43" t="s">
        <v>232</v>
      </c>
      <c r="L4" s="44" t="s">
        <v>167</v>
      </c>
      <c r="M4" s="44" t="s">
        <v>241</v>
      </c>
      <c r="N4" s="44" t="s">
        <v>243</v>
      </c>
      <c r="O4" s="44" t="s">
        <v>245</v>
      </c>
      <c r="P4" s="44"/>
    </row>
    <row r="5" spans="1:26" ht="15" customHeight="1" x14ac:dyDescent="0.35">
      <c r="A5" s="126" t="s">
        <v>2</v>
      </c>
      <c r="B5" s="126"/>
      <c r="C5" s="126"/>
      <c r="D5" s="126"/>
      <c r="E5" s="126" t="s">
        <v>167</v>
      </c>
      <c r="F5" s="126"/>
      <c r="G5" s="126"/>
      <c r="H5" s="126"/>
      <c r="K5" s="43"/>
      <c r="L5" s="44" t="s">
        <v>238</v>
      </c>
      <c r="M5" s="44" t="s">
        <v>242</v>
      </c>
      <c r="N5" s="44" t="s">
        <v>244</v>
      </c>
      <c r="O5" s="44" t="s">
        <v>246</v>
      </c>
      <c r="P5" s="44"/>
    </row>
    <row r="6" spans="1:26" x14ac:dyDescent="0.35">
      <c r="A6" s="126" t="s">
        <v>3</v>
      </c>
      <c r="B6" s="126"/>
      <c r="C6" s="126"/>
      <c r="D6" s="126"/>
      <c r="E6" s="169">
        <v>45879</v>
      </c>
      <c r="F6" s="126"/>
      <c r="G6" s="126"/>
      <c r="H6" s="126"/>
      <c r="K6" s="43"/>
      <c r="L6" s="44" t="s">
        <v>239</v>
      </c>
      <c r="M6" s="44"/>
      <c r="N6" s="44"/>
      <c r="O6" s="44" t="s">
        <v>247</v>
      </c>
      <c r="P6" s="44"/>
    </row>
    <row r="7" spans="1:26" ht="16.5" customHeight="1" x14ac:dyDescent="0.35">
      <c r="A7" s="126" t="s">
        <v>300</v>
      </c>
      <c r="B7" s="126"/>
      <c r="C7" s="126"/>
      <c r="D7" s="126"/>
      <c r="E7" s="125" t="s">
        <v>299</v>
      </c>
      <c r="F7" s="126"/>
      <c r="G7" s="126"/>
      <c r="H7" s="126"/>
      <c r="K7" s="43"/>
      <c r="L7" s="44" t="s">
        <v>240</v>
      </c>
      <c r="M7" s="44"/>
      <c r="N7" s="44"/>
      <c r="O7" s="44" t="s">
        <v>247</v>
      </c>
      <c r="P7" s="44"/>
    </row>
    <row r="8" spans="1:26" ht="15" customHeight="1" x14ac:dyDescent="0.35">
      <c r="A8" s="126" t="s">
        <v>4</v>
      </c>
      <c r="B8" s="126"/>
      <c r="C8" s="126"/>
      <c r="D8" s="126"/>
      <c r="E8" s="125" t="s">
        <v>301</v>
      </c>
      <c r="F8" s="126"/>
      <c r="G8" s="126"/>
      <c r="H8" s="126"/>
      <c r="K8" s="43"/>
      <c r="L8" s="44"/>
      <c r="M8" s="44"/>
      <c r="N8" s="44"/>
      <c r="O8" s="44" t="s">
        <v>248</v>
      </c>
      <c r="P8" s="44"/>
    </row>
    <row r="9" spans="1:26" x14ac:dyDescent="0.35">
      <c r="A9" s="126" t="s">
        <v>5</v>
      </c>
      <c r="B9" s="126"/>
      <c r="C9" s="126"/>
      <c r="D9" s="126"/>
      <c r="E9" s="167" t="s">
        <v>302</v>
      </c>
      <c r="F9" s="168"/>
      <c r="G9" s="168"/>
      <c r="H9" s="168"/>
      <c r="K9" s="43"/>
      <c r="L9" s="44"/>
      <c r="M9" s="44"/>
      <c r="N9" s="44"/>
      <c r="O9" s="44" t="s">
        <v>249</v>
      </c>
      <c r="P9" s="44"/>
    </row>
    <row r="10" spans="1:26" x14ac:dyDescent="0.35">
      <c r="A10" s="126" t="s">
        <v>164</v>
      </c>
      <c r="B10" s="126"/>
      <c r="C10" s="126"/>
      <c r="D10" s="126"/>
      <c r="E10" s="126" t="s">
        <v>345</v>
      </c>
      <c r="F10" s="126"/>
      <c r="G10" s="126"/>
      <c r="H10" s="126"/>
      <c r="K10" s="43"/>
      <c r="L10" s="44"/>
      <c r="M10" s="44"/>
      <c r="N10" s="44"/>
      <c r="O10" s="44"/>
      <c r="P10" s="44"/>
    </row>
    <row r="11" spans="1:26" x14ac:dyDescent="0.35">
      <c r="A11" s="126" t="s">
        <v>165</v>
      </c>
      <c r="B11" s="126"/>
      <c r="C11" s="126"/>
      <c r="D11" s="126"/>
      <c r="E11" s="126" t="s">
        <v>345</v>
      </c>
      <c r="F11" s="126"/>
      <c r="G11" s="126"/>
      <c r="H11" s="126"/>
    </row>
    <row r="12" spans="1:26" x14ac:dyDescent="0.35">
      <c r="A12" s="126" t="s">
        <v>6</v>
      </c>
      <c r="B12" s="126"/>
      <c r="C12" s="126"/>
      <c r="D12" s="126"/>
      <c r="E12" s="126" t="s">
        <v>118</v>
      </c>
      <c r="F12" s="126"/>
      <c r="G12" s="126"/>
      <c r="H12" s="126"/>
    </row>
    <row r="13" spans="1:26" x14ac:dyDescent="0.35">
      <c r="A13" s="126" t="s">
        <v>168</v>
      </c>
      <c r="B13" s="126"/>
      <c r="C13" s="126"/>
      <c r="D13" s="126"/>
      <c r="E13" s="126" t="s">
        <v>336</v>
      </c>
      <c r="F13" s="126"/>
      <c r="G13" s="126"/>
      <c r="H13" s="126"/>
      <c r="I13" s="18"/>
      <c r="S13" s="44" t="s">
        <v>176</v>
      </c>
      <c r="T13" s="44" t="s">
        <v>186</v>
      </c>
      <c r="U13" s="44" t="s">
        <v>169</v>
      </c>
      <c r="V13" s="44" t="s">
        <v>191</v>
      </c>
      <c r="W13" s="44" t="s">
        <v>209</v>
      </c>
      <c r="X13"/>
      <c r="Y13" t="s">
        <v>191</v>
      </c>
      <c r="Z13" t="e">
        <f ca="1">OFFSET($S$13,1,MATCH($G20,$S$13:$W$13,0)-1,15,1)</f>
        <v>#VALUE!</v>
      </c>
    </row>
    <row r="14" spans="1:26" x14ac:dyDescent="0.35">
      <c r="A14" s="115" t="s">
        <v>276</v>
      </c>
      <c r="B14" s="115"/>
      <c r="C14" s="115"/>
      <c r="D14" s="115"/>
      <c r="E14" s="170" t="s">
        <v>354</v>
      </c>
      <c r="F14" s="170"/>
      <c r="G14" s="170"/>
      <c r="H14" s="170"/>
      <c r="S14" s="44" t="s">
        <v>177</v>
      </c>
      <c r="T14" s="44" t="s">
        <v>184</v>
      </c>
      <c r="U14" s="44" t="s">
        <v>206</v>
      </c>
      <c r="V14" s="44" t="s">
        <v>192</v>
      </c>
      <c r="W14" s="44" t="s">
        <v>210</v>
      </c>
      <c r="X14"/>
      <c r="Y14"/>
      <c r="Z14"/>
    </row>
    <row r="15" spans="1:26" x14ac:dyDescent="0.35">
      <c r="A15" s="115" t="s">
        <v>7</v>
      </c>
      <c r="B15" s="115"/>
      <c r="C15" s="115"/>
      <c r="D15" s="115"/>
      <c r="E15" s="125" t="s">
        <v>303</v>
      </c>
      <c r="F15" s="126"/>
      <c r="G15" s="126"/>
      <c r="H15" s="126"/>
      <c r="I15" s="110" t="e">
        <f ca="1">OFFSET($D$5,1,MATCH($J13,$D$5:$H$5,0)-1,15,1)</f>
        <v>#N/A</v>
      </c>
      <c r="J15" s="111"/>
      <c r="K15" s="111"/>
      <c r="L15" s="111"/>
      <c r="M15" s="111"/>
      <c r="N15" s="111"/>
      <c r="O15" s="111"/>
      <c r="P15" s="111"/>
      <c r="S15" s="44" t="s">
        <v>178</v>
      </c>
      <c r="T15" s="44" t="s">
        <v>185</v>
      </c>
      <c r="U15" s="44" t="s">
        <v>207</v>
      </c>
      <c r="V15" s="44" t="s">
        <v>193</v>
      </c>
      <c r="W15" s="44" t="s">
        <v>223</v>
      </c>
      <c r="X15"/>
      <c r="Y15"/>
      <c r="Z15"/>
    </row>
    <row r="16" spans="1:26" ht="48.75" customHeight="1" x14ac:dyDescent="0.35">
      <c r="A16" s="122" t="s">
        <v>8</v>
      </c>
      <c r="B16" s="122"/>
      <c r="C16" s="122" t="str">
        <f>CONCATENATE((IF(OR(E9="",E9="NA"),"",E9)),", ",(IF(OR(A17="",A17="NA"),"",A17)),".",(IF(OR(C17="",C17="NA"),"",C17)),", near ",(IF(OR(C22="",C22="NA"),"",C22)),", ",(IF(OR(C19="",C19="NA"),"",C19)),", ",(IF(OR(C18="",C18="NA"),"",C18)),", ",(IF(OR(G19="",G19="NA"),"",G19)),", ",(IF(OR(C20="",C20="NA"),"",C20)),", ",(IF(OR(C21="",C21="NA"),"",C21)),", ",(IF(OR(G20="",G20="NA"),"",G20))," - ",(IF(OR(G21="",G21="NA"),"",G21)),".")</f>
        <v>Dattachhaya, Survey No.379 A/B/2, Plot No.1 &amp; Survey No. 531, Plot No. 2 &amp; 3, near New Swastik Apartment, Datta Mandir Road, Sheetal Nagar, Virar, Virar West, Vasai, Palghar - 401303.</v>
      </c>
      <c r="D16" s="122"/>
      <c r="E16" s="122"/>
      <c r="F16" s="122"/>
      <c r="G16" s="122"/>
      <c r="H16" s="122"/>
      <c r="S16" s="44" t="s">
        <v>179</v>
      </c>
      <c r="T16" s="44" t="s">
        <v>187</v>
      </c>
      <c r="U16" s="44" t="s">
        <v>208</v>
      </c>
      <c r="V16" s="44" t="s">
        <v>194</v>
      </c>
      <c r="W16" s="44" t="s">
        <v>211</v>
      </c>
      <c r="X16"/>
      <c r="Y16"/>
      <c r="Z16"/>
    </row>
    <row r="17" spans="1:26" x14ac:dyDescent="0.35">
      <c r="A17" s="125" t="s">
        <v>304</v>
      </c>
      <c r="B17" s="125"/>
      <c r="C17" s="125" t="s">
        <v>305</v>
      </c>
      <c r="D17" s="125"/>
      <c r="E17" s="125"/>
      <c r="F17" s="125"/>
      <c r="G17" s="125"/>
      <c r="H17" s="125"/>
      <c r="S17" s="44" t="s">
        <v>180</v>
      </c>
      <c r="T17" s="44" t="s">
        <v>188</v>
      </c>
      <c r="U17" s="44" t="s">
        <v>169</v>
      </c>
      <c r="V17" s="44" t="s">
        <v>195</v>
      </c>
      <c r="W17" s="44" t="s">
        <v>212</v>
      </c>
      <c r="X17"/>
      <c r="Y17"/>
      <c r="Z17"/>
    </row>
    <row r="18" spans="1:26" ht="15.75" customHeight="1" x14ac:dyDescent="0.35">
      <c r="A18" s="125" t="s">
        <v>159</v>
      </c>
      <c r="B18" s="125"/>
      <c r="C18" s="125" t="s">
        <v>324</v>
      </c>
      <c r="D18" s="125"/>
      <c r="E18" s="125"/>
      <c r="F18" s="125"/>
      <c r="G18" s="125"/>
      <c r="H18" s="125"/>
      <c r="S18" s="44" t="s">
        <v>181</v>
      </c>
      <c r="T18" s="44" t="s">
        <v>186</v>
      </c>
      <c r="U18" s="44"/>
      <c r="V18" s="44" t="s">
        <v>196</v>
      </c>
      <c r="W18" s="44" t="s">
        <v>213</v>
      </c>
      <c r="X18"/>
      <c r="Y18"/>
      <c r="Z18"/>
    </row>
    <row r="19" spans="1:26" ht="15.75" customHeight="1" x14ac:dyDescent="0.35">
      <c r="A19" s="122" t="s">
        <v>9</v>
      </c>
      <c r="B19" s="122"/>
      <c r="C19" s="126" t="s">
        <v>325</v>
      </c>
      <c r="D19" s="126"/>
      <c r="E19" s="122" t="s">
        <v>69</v>
      </c>
      <c r="F19" s="122"/>
      <c r="G19" s="125" t="s">
        <v>306</v>
      </c>
      <c r="H19" s="125"/>
      <c r="S19" s="44" t="s">
        <v>182</v>
      </c>
      <c r="T19" s="44" t="s">
        <v>189</v>
      </c>
      <c r="U19" s="44"/>
      <c r="V19" s="44" t="s">
        <v>197</v>
      </c>
      <c r="W19" s="44" t="s">
        <v>214</v>
      </c>
      <c r="X19"/>
      <c r="Y19"/>
      <c r="Z19"/>
    </row>
    <row r="20" spans="1:26" x14ac:dyDescent="0.35">
      <c r="A20" s="115" t="s">
        <v>11</v>
      </c>
      <c r="B20" s="115"/>
      <c r="C20" s="125" t="s">
        <v>327</v>
      </c>
      <c r="D20" s="125"/>
      <c r="E20" s="122" t="s">
        <v>10</v>
      </c>
      <c r="F20" s="122"/>
      <c r="G20" s="172" t="s">
        <v>186</v>
      </c>
      <c r="H20" s="172"/>
      <c r="S20" s="44" t="s">
        <v>183</v>
      </c>
      <c r="T20" s="44" t="s">
        <v>190</v>
      </c>
      <c r="U20" s="44"/>
      <c r="V20" s="44" t="s">
        <v>198</v>
      </c>
      <c r="W20" s="44" t="s">
        <v>215</v>
      </c>
      <c r="X20"/>
      <c r="Y20"/>
      <c r="Z20"/>
    </row>
    <row r="21" spans="1:26" x14ac:dyDescent="0.35">
      <c r="A21" s="115" t="s">
        <v>70</v>
      </c>
      <c r="B21" s="115"/>
      <c r="C21" s="125" t="s">
        <v>187</v>
      </c>
      <c r="D21" s="125"/>
      <c r="E21" s="122" t="s">
        <v>12</v>
      </c>
      <c r="F21" s="122"/>
      <c r="G21" s="125">
        <v>401303</v>
      </c>
      <c r="H21" s="125"/>
      <c r="S21" s="44"/>
      <c r="T21" s="44"/>
      <c r="U21" s="44"/>
      <c r="V21" s="44" t="s">
        <v>199</v>
      </c>
      <c r="W21" s="44" t="s">
        <v>216</v>
      </c>
      <c r="X21"/>
      <c r="Y21"/>
      <c r="Z21"/>
    </row>
    <row r="22" spans="1:26" ht="32.25" customHeight="1" x14ac:dyDescent="0.35">
      <c r="A22" s="115" t="s">
        <v>119</v>
      </c>
      <c r="B22" s="115"/>
      <c r="C22" s="125" t="s">
        <v>329</v>
      </c>
      <c r="D22" s="125"/>
      <c r="E22" s="122" t="s">
        <v>13</v>
      </c>
      <c r="F22" s="122"/>
      <c r="G22" s="125" t="s">
        <v>326</v>
      </c>
      <c r="H22" s="125"/>
      <c r="S22" s="44"/>
      <c r="T22" s="44"/>
      <c r="U22" s="44"/>
      <c r="V22" s="44" t="s">
        <v>200</v>
      </c>
      <c r="W22" s="44" t="s">
        <v>217</v>
      </c>
      <c r="X22"/>
      <c r="Y22"/>
      <c r="Z22"/>
    </row>
    <row r="23" spans="1:26" ht="15" customHeight="1" x14ac:dyDescent="0.35">
      <c r="A23" s="122" t="s">
        <v>72</v>
      </c>
      <c r="B23" s="122"/>
      <c r="C23" s="122"/>
      <c r="D23" s="122"/>
      <c r="E23" s="126" t="s">
        <v>14</v>
      </c>
      <c r="F23" s="126"/>
      <c r="G23" s="126"/>
      <c r="H23" s="126"/>
      <c r="S23" s="44"/>
      <c r="T23" s="44"/>
      <c r="U23" s="44"/>
      <c r="V23" s="44" t="s">
        <v>201</v>
      </c>
      <c r="W23" s="44" t="s">
        <v>218</v>
      </c>
      <c r="X23"/>
      <c r="Y23"/>
      <c r="Z23"/>
    </row>
    <row r="24" spans="1:26" ht="18.75" customHeight="1" x14ac:dyDescent="0.35">
      <c r="A24" s="122"/>
      <c r="B24" s="122"/>
      <c r="C24" s="122"/>
      <c r="D24" s="122"/>
      <c r="E24" s="126"/>
      <c r="F24" s="126"/>
      <c r="G24" s="126"/>
      <c r="H24" s="126"/>
      <c r="S24" s="44"/>
      <c r="T24" s="44"/>
      <c r="U24" s="44"/>
      <c r="V24" s="44" t="s">
        <v>202</v>
      </c>
      <c r="W24" s="44" t="s">
        <v>219</v>
      </c>
      <c r="X24"/>
      <c r="Y24"/>
      <c r="Z24"/>
    </row>
    <row r="25" spans="1:26" ht="15" customHeight="1" x14ac:dyDescent="0.35">
      <c r="A25" s="122" t="s">
        <v>15</v>
      </c>
      <c r="B25" s="122"/>
      <c r="C25" s="122"/>
      <c r="D25" s="122"/>
      <c r="E25" s="125" t="s">
        <v>16</v>
      </c>
      <c r="F25" s="125"/>
      <c r="G25" s="125"/>
      <c r="H25" s="125"/>
      <c r="S25" s="44"/>
      <c r="T25" s="44"/>
      <c r="U25" s="44"/>
      <c r="V25" s="44" t="s">
        <v>203</v>
      </c>
      <c r="W25" s="44" t="s">
        <v>220</v>
      </c>
      <c r="X25"/>
      <c r="Y25"/>
      <c r="Z25"/>
    </row>
    <row r="26" spans="1:26" ht="15" customHeight="1" x14ac:dyDescent="0.35">
      <c r="A26" s="115" t="s">
        <v>17</v>
      </c>
      <c r="B26" s="115"/>
      <c r="C26" s="115"/>
      <c r="D26" s="115"/>
      <c r="E26" s="125" t="str">
        <f>IF(AND(G20="Mumbai"),"Upper Class","Middle Class")</f>
        <v>Middle Class</v>
      </c>
      <c r="F26" s="125"/>
      <c r="G26" s="125"/>
      <c r="H26" s="125"/>
      <c r="S26" s="44"/>
      <c r="T26" s="44"/>
      <c r="U26" s="44"/>
      <c r="V26" s="44" t="s">
        <v>204</v>
      </c>
      <c r="W26" s="44" t="s">
        <v>221</v>
      </c>
      <c r="X26"/>
      <c r="Y26"/>
      <c r="Z26"/>
    </row>
    <row r="27" spans="1:26" x14ac:dyDescent="0.35">
      <c r="A27" s="115" t="s">
        <v>18</v>
      </c>
      <c r="B27" s="115"/>
      <c r="C27" s="115"/>
      <c r="D27" s="115"/>
      <c r="E27" s="125" t="s">
        <v>19</v>
      </c>
      <c r="F27" s="125"/>
      <c r="G27" s="125"/>
      <c r="H27" s="125"/>
      <c r="S27" s="44"/>
      <c r="T27" s="44"/>
      <c r="U27" s="44"/>
      <c r="V27" s="44" t="s">
        <v>205</v>
      </c>
      <c r="W27" s="44" t="s">
        <v>222</v>
      </c>
      <c r="X27"/>
      <c r="Y27"/>
      <c r="Z27"/>
    </row>
    <row r="28" spans="1:26" ht="15.75" customHeight="1" x14ac:dyDescent="0.35">
      <c r="A28" s="115" t="s">
        <v>20</v>
      </c>
      <c r="B28" s="115"/>
      <c r="C28" s="115"/>
      <c r="D28" s="115"/>
      <c r="E28" s="125" t="str">
        <f>IF(AND(G20="Mumbai"),"Developed","Developing")</f>
        <v>Developing</v>
      </c>
      <c r="F28" s="125"/>
      <c r="G28" s="125"/>
      <c r="H28" s="125"/>
    </row>
    <row r="29" spans="1:26" x14ac:dyDescent="0.35">
      <c r="A29" s="115" t="s">
        <v>21</v>
      </c>
      <c r="B29" s="115"/>
      <c r="C29" s="115"/>
      <c r="D29" s="115"/>
      <c r="E29" s="125" t="s">
        <v>22</v>
      </c>
      <c r="F29" s="125"/>
      <c r="G29" s="125"/>
      <c r="H29" s="125"/>
    </row>
    <row r="30" spans="1:26" ht="15.75" customHeight="1" x14ac:dyDescent="0.35">
      <c r="A30" s="115" t="s">
        <v>77</v>
      </c>
      <c r="B30" s="115"/>
      <c r="C30" s="115"/>
      <c r="D30" s="115"/>
      <c r="E30" s="125" t="s">
        <v>78</v>
      </c>
      <c r="F30" s="125"/>
      <c r="G30" s="125"/>
      <c r="H30" s="125"/>
    </row>
    <row r="31" spans="1:26" ht="15" customHeight="1" x14ac:dyDescent="0.35">
      <c r="A31" s="115" t="s">
        <v>29</v>
      </c>
      <c r="B31" s="115"/>
      <c r="C31" s="115"/>
      <c r="D31" s="115"/>
      <c r="E31" s="12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5"/>
      <c r="G31" s="125"/>
      <c r="H31" s="125"/>
    </row>
    <row r="32" spans="1:26" ht="15.75" customHeight="1" x14ac:dyDescent="0.35">
      <c r="A32" s="115" t="s">
        <v>89</v>
      </c>
      <c r="B32" s="115"/>
      <c r="C32" s="115"/>
      <c r="D32" s="115"/>
      <c r="E32" s="125" t="s">
        <v>30</v>
      </c>
      <c r="F32" s="125"/>
      <c r="G32" s="125"/>
      <c r="H32" s="125"/>
    </row>
    <row r="33" spans="1:19" s="18" customFormat="1" x14ac:dyDescent="0.35">
      <c r="A33" s="174" t="s">
        <v>90</v>
      </c>
      <c r="B33" s="174"/>
      <c r="C33" s="113" t="s">
        <v>170</v>
      </c>
      <c r="D33" s="113"/>
      <c r="E33" s="113"/>
      <c r="F33" s="113" t="s">
        <v>28</v>
      </c>
      <c r="G33" s="113"/>
      <c r="H33" s="113"/>
      <c r="S33" s="18" t="e">
        <f ca="1">OFFSET($S$13,1,MATCH($G20,$S$13:$W$13,0)-1,15,1)</f>
        <v>#VALUE!</v>
      </c>
    </row>
    <row r="34" spans="1:19" s="18" customFormat="1" x14ac:dyDescent="0.35">
      <c r="A34" s="173" t="s">
        <v>23</v>
      </c>
      <c r="B34" s="173" t="s">
        <v>27</v>
      </c>
      <c r="C34" s="171" t="s">
        <v>9</v>
      </c>
      <c r="D34" s="171"/>
      <c r="E34" s="171"/>
      <c r="F34" s="171" t="s">
        <v>9</v>
      </c>
      <c r="G34" s="171"/>
      <c r="H34" s="171"/>
    </row>
    <row r="35" spans="1:19" x14ac:dyDescent="0.35">
      <c r="A35" s="173" t="s">
        <v>24</v>
      </c>
      <c r="B35" s="173" t="s">
        <v>27</v>
      </c>
      <c r="C35" s="171" t="s">
        <v>328</v>
      </c>
      <c r="D35" s="171"/>
      <c r="E35" s="171"/>
      <c r="F35" s="171" t="s">
        <v>331</v>
      </c>
      <c r="G35" s="171"/>
      <c r="H35" s="171"/>
    </row>
    <row r="36" spans="1:19" s="18" customFormat="1" x14ac:dyDescent="0.35">
      <c r="A36" s="173" t="s">
        <v>26</v>
      </c>
      <c r="B36" s="173" t="s">
        <v>27</v>
      </c>
      <c r="C36" s="171" t="s">
        <v>328</v>
      </c>
      <c r="D36" s="171"/>
      <c r="E36" s="171"/>
      <c r="F36" s="171" t="s">
        <v>330</v>
      </c>
      <c r="G36" s="171"/>
      <c r="H36" s="171"/>
    </row>
    <row r="37" spans="1:19" x14ac:dyDescent="0.35">
      <c r="A37" s="173" t="s">
        <v>25</v>
      </c>
      <c r="B37" s="173" t="s">
        <v>27</v>
      </c>
      <c r="C37" s="171" t="s">
        <v>328</v>
      </c>
      <c r="D37" s="171"/>
      <c r="E37" s="171"/>
      <c r="F37" s="171" t="s">
        <v>331</v>
      </c>
      <c r="G37" s="171"/>
      <c r="H37" s="171"/>
    </row>
    <row r="38" spans="1:19" x14ac:dyDescent="0.35">
      <c r="A38" s="115" t="s">
        <v>277</v>
      </c>
      <c r="B38" s="115"/>
      <c r="C38" s="115"/>
      <c r="D38" s="115"/>
      <c r="E38" s="115"/>
      <c r="F38" s="115"/>
      <c r="G38" s="115"/>
      <c r="H38" s="115"/>
    </row>
    <row r="39" spans="1:19" ht="15.75" customHeight="1" x14ac:dyDescent="0.35">
      <c r="A39" s="115" t="s">
        <v>162</v>
      </c>
      <c r="B39" s="115"/>
      <c r="C39" s="162" t="s">
        <v>332</v>
      </c>
      <c r="D39" s="162"/>
      <c r="E39" s="162"/>
      <c r="F39" s="162"/>
      <c r="G39" s="162"/>
      <c r="H39" s="162"/>
    </row>
    <row r="40" spans="1:19" x14ac:dyDescent="0.35">
      <c r="A40" s="115" t="s">
        <v>158</v>
      </c>
      <c r="B40" s="115"/>
      <c r="C40" s="183" t="s">
        <v>333</v>
      </c>
      <c r="D40" s="125"/>
      <c r="E40" s="125"/>
      <c r="F40" s="125"/>
      <c r="G40" s="125"/>
      <c r="H40" s="125"/>
    </row>
    <row r="41" spans="1:19" x14ac:dyDescent="0.35">
      <c r="A41" s="162" t="s">
        <v>31</v>
      </c>
      <c r="B41" s="162"/>
      <c r="C41" s="162"/>
      <c r="D41" s="162"/>
      <c r="E41" s="162"/>
      <c r="F41" s="162"/>
      <c r="G41" s="162"/>
      <c r="H41" s="162"/>
    </row>
    <row r="42" spans="1:19" x14ac:dyDescent="0.35">
      <c r="A42" s="115" t="s">
        <v>32</v>
      </c>
      <c r="B42" s="115"/>
      <c r="C42" s="115"/>
      <c r="D42" s="115"/>
      <c r="E42" s="175">
        <v>2319.31</v>
      </c>
      <c r="F42" s="175"/>
      <c r="G42" s="175"/>
      <c r="H42" s="175"/>
    </row>
    <row r="43" spans="1:19" x14ac:dyDescent="0.35">
      <c r="A43" s="115" t="s">
        <v>33</v>
      </c>
      <c r="B43" s="115"/>
      <c r="C43" s="115"/>
      <c r="D43" s="115"/>
      <c r="E43" s="123">
        <v>1</v>
      </c>
      <c r="F43" s="123"/>
      <c r="G43" s="123"/>
      <c r="H43" s="123"/>
    </row>
    <row r="44" spans="1:19" x14ac:dyDescent="0.35">
      <c r="A44" s="115" t="s">
        <v>34</v>
      </c>
      <c r="B44" s="115"/>
      <c r="C44" s="115"/>
      <c r="D44" s="115"/>
      <c r="E44" s="123">
        <f>E46/E42-E43</f>
        <v>3.4566789260599062</v>
      </c>
      <c r="F44" s="123"/>
      <c r="G44" s="123"/>
      <c r="H44" s="123"/>
    </row>
    <row r="45" spans="1:19" x14ac:dyDescent="0.35">
      <c r="A45" s="115" t="s">
        <v>35</v>
      </c>
      <c r="B45" s="115"/>
      <c r="C45" s="115"/>
      <c r="D45" s="115"/>
      <c r="E45" s="123">
        <f>E43+E44</f>
        <v>4.4566789260599062</v>
      </c>
      <c r="F45" s="123"/>
      <c r="G45" s="123"/>
      <c r="H45" s="123"/>
    </row>
    <row r="46" spans="1:19" x14ac:dyDescent="0.35">
      <c r="A46" s="115" t="s">
        <v>88</v>
      </c>
      <c r="B46" s="115"/>
      <c r="C46" s="115"/>
      <c r="D46" s="115"/>
      <c r="E46" s="177">
        <v>10336.42</v>
      </c>
      <c r="F46" s="177"/>
      <c r="G46" s="177"/>
      <c r="H46" s="177"/>
    </row>
    <row r="47" spans="1:19" x14ac:dyDescent="0.35">
      <c r="A47" s="126" t="s">
        <v>36</v>
      </c>
      <c r="B47" s="126"/>
      <c r="C47" s="126"/>
      <c r="D47" s="126"/>
      <c r="E47" s="126" t="s">
        <v>118</v>
      </c>
      <c r="F47" s="126"/>
      <c r="G47" s="126"/>
      <c r="H47" s="126"/>
    </row>
    <row r="48" spans="1:19" x14ac:dyDescent="0.35">
      <c r="A48" s="162" t="s">
        <v>37</v>
      </c>
      <c r="B48" s="162"/>
      <c r="C48" s="162"/>
      <c r="D48" s="162"/>
      <c r="E48" s="162"/>
      <c r="F48" s="162"/>
      <c r="G48" s="162"/>
      <c r="H48" s="162"/>
    </row>
    <row r="49" spans="1:24" ht="33.75" customHeight="1" x14ac:dyDescent="0.35">
      <c r="A49" s="95" t="s">
        <v>148</v>
      </c>
      <c r="B49" s="97"/>
      <c r="C49" s="189" t="s">
        <v>272</v>
      </c>
      <c r="D49" s="190"/>
      <c r="E49" s="190"/>
      <c r="F49" s="190"/>
      <c r="G49" s="190"/>
      <c r="H49" s="191"/>
      <c r="R49" t="s">
        <v>250</v>
      </c>
      <c r="S49" t="s">
        <v>169</v>
      </c>
      <c r="T49" t="s">
        <v>176</v>
      </c>
      <c r="U49" t="s">
        <v>191</v>
      </c>
      <c r="V49" t="s">
        <v>186</v>
      </c>
    </row>
    <row r="50" spans="1:24" ht="31.5" customHeight="1" x14ac:dyDescent="0.35">
      <c r="A50" s="95" t="s">
        <v>38</v>
      </c>
      <c r="B50" s="97"/>
      <c r="C50" s="95" t="s">
        <v>307</v>
      </c>
      <c r="D50" s="96"/>
      <c r="E50" s="97"/>
      <c r="F50" s="15" t="s">
        <v>39</v>
      </c>
      <c r="G50" s="98">
        <v>45112</v>
      </c>
      <c r="H50" s="97"/>
      <c r="R50"/>
      <c r="S50" t="s">
        <v>251</v>
      </c>
      <c r="T50" t="s">
        <v>256</v>
      </c>
      <c r="U50" t="s">
        <v>267</v>
      </c>
      <c r="V50" t="s">
        <v>272</v>
      </c>
    </row>
    <row r="51" spans="1:24" ht="32.25" customHeight="1" x14ac:dyDescent="0.35">
      <c r="A51" s="95" t="s">
        <v>40</v>
      </c>
      <c r="B51" s="97"/>
      <c r="C51" s="95" t="str">
        <f>C50</f>
        <v>VVCMC/TP/AMEND/VP/5920/54/2023-24</v>
      </c>
      <c r="D51" s="96"/>
      <c r="E51" s="97"/>
      <c r="F51" s="15" t="s">
        <v>39</v>
      </c>
      <c r="G51" s="98">
        <v>45112</v>
      </c>
      <c r="H51" s="97"/>
      <c r="R51"/>
      <c r="S51" t="s">
        <v>252</v>
      </c>
      <c r="T51" t="s">
        <v>257</v>
      </c>
      <c r="U51" t="s">
        <v>265</v>
      </c>
      <c r="V51" t="s">
        <v>273</v>
      </c>
    </row>
    <row r="52" spans="1:24" s="19" customFormat="1" ht="30" customHeight="1" x14ac:dyDescent="0.35">
      <c r="A52" s="99" t="s">
        <v>152</v>
      </c>
      <c r="B52" s="100"/>
      <c r="C52" s="95" t="s">
        <v>308</v>
      </c>
      <c r="D52" s="96"/>
      <c r="E52" s="97"/>
      <c r="F52" s="15" t="s">
        <v>39</v>
      </c>
      <c r="G52" s="98">
        <v>45112</v>
      </c>
      <c r="H52" s="97"/>
      <c r="R52"/>
      <c r="S52" t="s">
        <v>253</v>
      </c>
      <c r="T52" t="s">
        <v>258</v>
      </c>
      <c r="U52" t="s">
        <v>255</v>
      </c>
      <c r="V52" t="s">
        <v>274</v>
      </c>
    </row>
    <row r="53" spans="1:24" s="19" customFormat="1" x14ac:dyDescent="0.35">
      <c r="A53" s="101"/>
      <c r="B53" s="102"/>
      <c r="C53" s="95" t="s">
        <v>309</v>
      </c>
      <c r="D53" s="96"/>
      <c r="E53" s="96"/>
      <c r="F53" s="96"/>
      <c r="G53" s="96"/>
      <c r="H53" s="97"/>
      <c r="R53"/>
      <c r="S53" t="s">
        <v>254</v>
      </c>
      <c r="T53" t="s">
        <v>261</v>
      </c>
      <c r="U53" t="s">
        <v>268</v>
      </c>
    </row>
    <row r="54" spans="1:24" s="19" customFormat="1" x14ac:dyDescent="0.35">
      <c r="A54" s="103" t="s">
        <v>278</v>
      </c>
      <c r="B54" s="104"/>
      <c r="C54" s="107" t="s">
        <v>352</v>
      </c>
      <c r="D54" s="108"/>
      <c r="E54" s="109"/>
      <c r="F54" s="75" t="s">
        <v>39</v>
      </c>
      <c r="G54" s="129">
        <v>45624</v>
      </c>
      <c r="H54" s="109"/>
      <c r="R54"/>
      <c r="S54" t="s">
        <v>253</v>
      </c>
      <c r="T54" t="s">
        <v>258</v>
      </c>
      <c r="U54" t="s">
        <v>255</v>
      </c>
      <c r="V54" t="s">
        <v>274</v>
      </c>
    </row>
    <row r="55" spans="1:24" s="19" customFormat="1" ht="19.5" customHeight="1" x14ac:dyDescent="0.35">
      <c r="A55" s="105"/>
      <c r="B55" s="106"/>
      <c r="C55" s="186" t="s">
        <v>351</v>
      </c>
      <c r="D55" s="187"/>
      <c r="E55" s="187"/>
      <c r="F55" s="187"/>
      <c r="G55" s="187"/>
      <c r="H55" s="188"/>
      <c r="R55"/>
      <c r="S55" t="s">
        <v>255</v>
      </c>
      <c r="T55" t="s">
        <v>259</v>
      </c>
      <c r="U55" t="s">
        <v>269</v>
      </c>
      <c r="V55" s="17"/>
      <c r="W55" s="17"/>
      <c r="X55" s="17"/>
    </row>
    <row r="56" spans="1:24" s="19" customFormat="1" ht="34.5" hidden="1" customHeight="1" x14ac:dyDescent="0.35">
      <c r="A56" s="130" t="s">
        <v>279</v>
      </c>
      <c r="B56" s="131"/>
      <c r="C56" s="95" t="str">
        <f>C55</f>
        <v>Stilt + 1st to 18th Floor (Height 60.75 mtrs)</v>
      </c>
      <c r="D56" s="96"/>
      <c r="E56" s="97"/>
      <c r="F56" s="15" t="s">
        <v>39</v>
      </c>
      <c r="G56" s="95">
        <f>G55</f>
        <v>0</v>
      </c>
      <c r="H56" s="97"/>
      <c r="R56"/>
      <c r="S56" s="17"/>
      <c r="T56" t="s">
        <v>260</v>
      </c>
      <c r="U56" t="s">
        <v>270</v>
      </c>
      <c r="V56" s="17"/>
      <c r="W56" s="17"/>
      <c r="X56" s="17"/>
    </row>
    <row r="57" spans="1:24" s="19" customFormat="1" ht="41.25" hidden="1" customHeight="1" x14ac:dyDescent="0.35">
      <c r="A57" s="132"/>
      <c r="B57" s="133"/>
      <c r="C57" s="95"/>
      <c r="D57" s="96"/>
      <c r="E57" s="96"/>
      <c r="F57" s="96"/>
      <c r="G57" s="96"/>
      <c r="H57" s="97"/>
      <c r="R57"/>
      <c r="S57" s="17"/>
      <c r="T57" t="s">
        <v>262</v>
      </c>
      <c r="U57" t="s">
        <v>271</v>
      </c>
      <c r="V57" s="17"/>
      <c r="W57" s="17"/>
      <c r="X57" s="17"/>
    </row>
    <row r="58" spans="1:24" s="19" customFormat="1" ht="15.75" hidden="1" customHeight="1" x14ac:dyDescent="0.35">
      <c r="A58" s="130" t="s">
        <v>280</v>
      </c>
      <c r="B58" s="131"/>
      <c r="C58" s="95">
        <f>C57</f>
        <v>0</v>
      </c>
      <c r="D58" s="96"/>
      <c r="E58" s="97"/>
      <c r="F58" s="15" t="s">
        <v>39</v>
      </c>
      <c r="G58" s="95">
        <f>G57</f>
        <v>0</v>
      </c>
      <c r="H58" s="97"/>
      <c r="R58"/>
      <c r="S58" s="17"/>
      <c r="T58" t="s">
        <v>263</v>
      </c>
      <c r="U58" s="17" t="s">
        <v>294</v>
      </c>
      <c r="V58" s="17"/>
      <c r="W58" s="17"/>
      <c r="X58" s="17"/>
    </row>
    <row r="59" spans="1:24" s="19" customFormat="1" ht="33.75" hidden="1" customHeight="1" x14ac:dyDescent="0.35">
      <c r="A59" s="132"/>
      <c r="B59" s="133"/>
      <c r="C59" s="95"/>
      <c r="D59" s="96"/>
      <c r="E59" s="96"/>
      <c r="F59" s="96"/>
      <c r="G59" s="96"/>
      <c r="H59" s="97"/>
      <c r="R59"/>
      <c r="S59" s="17"/>
      <c r="T59" t="s">
        <v>264</v>
      </c>
      <c r="U59" s="17"/>
      <c r="V59" s="17"/>
      <c r="W59" s="17"/>
      <c r="X59" s="17"/>
    </row>
    <row r="60" spans="1:24" x14ac:dyDescent="0.35">
      <c r="A60" s="116" t="s">
        <v>41</v>
      </c>
      <c r="B60" s="117"/>
      <c r="C60" s="116" t="s">
        <v>102</v>
      </c>
      <c r="D60" s="118"/>
      <c r="E60" s="117"/>
      <c r="F60" s="38" t="s">
        <v>39</v>
      </c>
      <c r="G60" s="127" t="s">
        <v>27</v>
      </c>
      <c r="H60" s="128"/>
      <c r="R60"/>
      <c r="T60" t="s">
        <v>266</v>
      </c>
    </row>
    <row r="61" spans="1:24" x14ac:dyDescent="0.35">
      <c r="A61" s="158" t="s">
        <v>43</v>
      </c>
      <c r="B61" s="158"/>
      <c r="C61" s="158"/>
      <c r="D61" s="158"/>
      <c r="E61" s="158"/>
      <c r="F61" s="158"/>
      <c r="G61" s="158"/>
      <c r="H61" s="158"/>
      <c r="T61" t="s">
        <v>275</v>
      </c>
    </row>
    <row r="62" spans="1:24" x14ac:dyDescent="0.35">
      <c r="A62" s="122" t="s">
        <v>87</v>
      </c>
      <c r="B62" s="122"/>
      <c r="C62" s="122"/>
      <c r="D62" s="115">
        <f>E46</f>
        <v>10336.42</v>
      </c>
      <c r="E62" s="115"/>
      <c r="F62" s="115"/>
      <c r="G62" s="115"/>
      <c r="H62" s="115"/>
      <c r="R62"/>
    </row>
    <row r="63" spans="1:24" x14ac:dyDescent="0.35">
      <c r="A63" s="125" t="s">
        <v>44</v>
      </c>
      <c r="B63" s="126"/>
      <c r="C63" s="126"/>
      <c r="D63" s="126" t="s">
        <v>346</v>
      </c>
      <c r="E63" s="126"/>
      <c r="F63" s="126"/>
      <c r="G63" s="126"/>
      <c r="H63" s="126"/>
      <c r="I63" s="20"/>
      <c r="R63"/>
    </row>
    <row r="64" spans="1:24" ht="15.75" customHeight="1" x14ac:dyDescent="0.35">
      <c r="A64" s="103" t="s">
        <v>45</v>
      </c>
      <c r="B64" s="134"/>
      <c r="C64" s="104"/>
      <c r="D64" s="178" t="s">
        <v>311</v>
      </c>
      <c r="E64" s="179"/>
      <c r="F64" s="179"/>
      <c r="G64" s="179"/>
      <c r="H64" s="179"/>
      <c r="R64"/>
    </row>
    <row r="65" spans="1:19" ht="15.75" customHeight="1" x14ac:dyDescent="0.35">
      <c r="A65" s="103" t="s">
        <v>85</v>
      </c>
      <c r="B65" s="134"/>
      <c r="C65" s="134"/>
      <c r="D65" s="135" t="s">
        <v>312</v>
      </c>
      <c r="E65" s="136"/>
      <c r="F65" s="136"/>
      <c r="G65" s="136"/>
      <c r="H65" s="137"/>
      <c r="R65"/>
    </row>
    <row r="66" spans="1:19" ht="15.75" customHeight="1" x14ac:dyDescent="0.35">
      <c r="A66" s="115" t="s">
        <v>42</v>
      </c>
      <c r="B66" s="115"/>
      <c r="C66" s="115"/>
      <c r="D66" s="122" t="s">
        <v>310</v>
      </c>
      <c r="E66" s="122"/>
      <c r="F66" s="122"/>
      <c r="G66" s="122"/>
      <c r="H66" s="122"/>
      <c r="J66" s="21"/>
      <c r="K66" s="20"/>
      <c r="N66" s="20"/>
      <c r="S66"/>
    </row>
    <row r="67" spans="1:19" ht="15.75" customHeight="1" x14ac:dyDescent="0.35">
      <c r="A67" s="115" t="s">
        <v>83</v>
      </c>
      <c r="B67" s="115"/>
      <c r="C67" s="115"/>
      <c r="D67" s="176" t="str">
        <f>(IF(G60="NA","60 Years After Completion",IF(G60&lt;&gt;"NA",""&amp;60-ROUNDDOWN((E3-G60)/360,0)&amp;" Years"," ")))</f>
        <v>60 Years After Completion</v>
      </c>
      <c r="E67" s="176"/>
      <c r="F67" s="176"/>
      <c r="G67" s="176"/>
      <c r="H67" s="176"/>
      <c r="N67" s="20"/>
      <c r="S67"/>
    </row>
    <row r="68" spans="1:19" ht="15.75" customHeight="1" x14ac:dyDescent="0.35">
      <c r="A68" s="115" t="s">
        <v>84</v>
      </c>
      <c r="B68" s="115"/>
      <c r="C68" s="115"/>
      <c r="D68" s="122" t="s">
        <v>22</v>
      </c>
      <c r="E68" s="122"/>
      <c r="F68" s="122"/>
      <c r="G68" s="122"/>
      <c r="H68" s="122"/>
      <c r="J68" s="22"/>
      <c r="K68" s="22"/>
      <c r="S68"/>
    </row>
    <row r="69" spans="1:19" x14ac:dyDescent="0.35">
      <c r="A69" s="126" t="s">
        <v>347</v>
      </c>
      <c r="B69" s="126"/>
      <c r="C69" s="126"/>
      <c r="D69" s="125" t="s">
        <v>335</v>
      </c>
      <c r="E69" s="122"/>
      <c r="F69" s="122"/>
      <c r="G69" s="122"/>
      <c r="H69" s="122"/>
      <c r="S69"/>
    </row>
    <row r="70" spans="1:19" x14ac:dyDescent="0.35">
      <c r="A70" s="122" t="s">
        <v>145</v>
      </c>
      <c r="B70" s="122"/>
      <c r="C70" s="122"/>
      <c r="D70" s="122" t="s">
        <v>27</v>
      </c>
      <c r="E70" s="122"/>
      <c r="F70" s="122"/>
      <c r="G70" s="122"/>
      <c r="H70" s="122"/>
      <c r="I70" s="23"/>
      <c r="J70" s="23"/>
      <c r="K70" s="23"/>
      <c r="L70" s="23"/>
      <c r="M70" s="23"/>
      <c r="N70" s="23"/>
    </row>
    <row r="71" spans="1:19" ht="15.75" customHeight="1" x14ac:dyDescent="0.35">
      <c r="A71" s="115" t="s">
        <v>82</v>
      </c>
      <c r="B71" s="115"/>
      <c r="C71" s="115"/>
      <c r="D71" s="125" t="str">
        <f ca="1">(IF(G77&gt;95%,"Nothing",IF(G77&gt;0%,"Cement, Aggregate, Steel, etc",IF(G77=0%,"Work not yet Started"))))</f>
        <v>Cement, Aggregate, Steel, etc</v>
      </c>
      <c r="E71" s="125"/>
      <c r="F71" s="125"/>
      <c r="G71" s="125"/>
      <c r="H71" s="125"/>
      <c r="J71" s="22"/>
      <c r="S71"/>
    </row>
    <row r="72" spans="1:19" ht="33.75" customHeight="1" thickBot="1" x14ac:dyDescent="0.4">
      <c r="A72" s="122" t="s">
        <v>115</v>
      </c>
      <c r="B72" s="122"/>
      <c r="C72" s="122"/>
      <c r="D72" s="125" t="str">
        <f ca="1">(IF(D71="Nothing","Yes",IF(D71="Cement, Aggregate, Steel, etc","Under Construction",IF(D71="Work not yet Started","Work not yet Started"))))</f>
        <v>Under Construction</v>
      </c>
      <c r="E72" s="125"/>
      <c r="F72" s="125" t="str">
        <f ca="1">(IF(D71="Nothing","Yes",IF(D71="Cement, Aggregate, Steel, etc","Under Construction",IF(D71="Work not yet Started","Work not yet Started"))))</f>
        <v>Under Construction</v>
      </c>
      <c r="G72" s="125"/>
      <c r="H72" s="125"/>
      <c r="S72"/>
    </row>
    <row r="73" spans="1:19" ht="15.75" customHeight="1" x14ac:dyDescent="0.35">
      <c r="A73" s="192" t="s">
        <v>137</v>
      </c>
      <c r="B73" s="192"/>
      <c r="C73" s="192" t="str">
        <f>D65</f>
        <v>Stilt + 1st to 18th Floor</v>
      </c>
      <c r="D73" s="192"/>
      <c r="E73" s="192"/>
      <c r="F73" s="192"/>
      <c r="G73" s="192"/>
      <c r="H73" s="192"/>
      <c r="I73" s="69" t="str">
        <f ca="1">IF(D86=100%,"All work Completed. Possession granted to the Building.",IF(D85=100%,"All work Completed, Waiting for OC",I74&amp;""&amp;I75&amp;""&amp;J74&amp;""&amp;J73&amp;" "&amp;J75))</f>
        <v>Excavation, Plinth Completed, RCC upto 13 Slab, Brickwork upto 9 Floor Completed</v>
      </c>
      <c r="J73" s="41"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13 Slab, Brickwork upto 9 Floor</v>
      </c>
      <c r="S73"/>
    </row>
    <row r="74" spans="1:19" x14ac:dyDescent="0.35">
      <c r="A74" s="73" t="s">
        <v>139</v>
      </c>
      <c r="B74" s="73">
        <f>IF(AND(ISNUMBER(SEARCH("1B",C73))),1,IF(AND(ISNUMBER(SEARCH("2B",C73))),2,IF(AND(ISNUMBER(SEARCH("3B",C73))),3,IF(AND(ISNUMBER(SEARCH("4B",C73))),4,IF(ISNUMBER(SEARCH("5B",C73)),5,0)))))</f>
        <v>0</v>
      </c>
      <c r="C74" s="73" t="s">
        <v>68</v>
      </c>
      <c r="D74" s="73">
        <v>1</v>
      </c>
      <c r="E74" s="73" t="s">
        <v>67</v>
      </c>
      <c r="F74" s="73">
        <v>0</v>
      </c>
      <c r="G74" s="40" t="s">
        <v>76</v>
      </c>
      <c r="H74" s="73">
        <f ca="1">--TRIM(RIGHT(SUBSTITUTE(LEFT(C73,_xlfn.AGGREGATE(16,6,FIND({0,1,2,3,4,5,6,7,8,9},C73,ROW(INDIRECT("1:"&amp;LEN(C73)))),1))," ",REPT(" ",LEN(C73))),LEN(C73)))</f>
        <v>18</v>
      </c>
      <c r="I74" s="70" t="str">
        <f ca="1">IF(D77=100%,"Excavation","")&amp;IF(D78=100%,", Plinth","")&amp;IF(D79=100%,", RCC Slab","")&amp;IF(D80=100%,", Brickwork","")&amp;IF(D81=100%,", Internal Plaster","")&amp;IF(D82=100%,", External Plaster","")&amp;IF(D83=100%,", Flooring","")&amp;IF(D84=100%,", Painting","")&amp;IF(D85=100%,", Building common Amenities","")</f>
        <v>Excavation, Plinth</v>
      </c>
      <c r="J74" s="42"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25" customHeight="1" x14ac:dyDescent="0.35">
      <c r="A75" s="168" t="s">
        <v>86</v>
      </c>
      <c r="B75" s="168"/>
      <c r="C75" s="167" t="str">
        <f ca="1">I73</f>
        <v>Excavation, Plinth Completed, RCC upto 13 Slab, Brickwork upto 9 Floor Completed</v>
      </c>
      <c r="D75" s="167"/>
      <c r="E75" s="167"/>
      <c r="F75" s="167"/>
      <c r="G75" s="167"/>
      <c r="H75" s="167"/>
      <c r="I75" s="70" t="str">
        <f ca="1">IF(I74&lt;&gt;""," Completed","")</f>
        <v xml:space="preserve"> Completed</v>
      </c>
      <c r="J75" s="42" t="str">
        <f ca="1">IF(J73&lt;&gt;"","Completed","")</f>
        <v>Completed</v>
      </c>
      <c r="S75"/>
    </row>
    <row r="76" spans="1:19" ht="15.75" customHeight="1" x14ac:dyDescent="0.35">
      <c r="A76" s="124" t="s">
        <v>46</v>
      </c>
      <c r="B76" s="124"/>
      <c r="C76" s="72" t="s">
        <v>136</v>
      </c>
      <c r="D76" s="72" t="s">
        <v>79</v>
      </c>
      <c r="E76" s="124" t="s">
        <v>81</v>
      </c>
      <c r="F76" s="124"/>
      <c r="G76" s="124" t="s">
        <v>80</v>
      </c>
      <c r="H76" s="124"/>
      <c r="I76" s="13" t="s">
        <v>138</v>
      </c>
      <c r="J76" s="24">
        <f ca="1">H74*25%</f>
        <v>4.5</v>
      </c>
      <c r="S76"/>
    </row>
    <row r="77" spans="1:19" x14ac:dyDescent="0.35">
      <c r="A77" s="124" t="s">
        <v>125</v>
      </c>
      <c r="B77" s="124"/>
      <c r="C77" s="65">
        <f ca="1">J78</f>
        <v>18</v>
      </c>
      <c r="D77" s="16">
        <f ca="1">((100/H74)*C77)/100</f>
        <v>1</v>
      </c>
      <c r="E77" s="164">
        <f ca="1">(((C78/H74*10)+(40/(D74+F74+H74)*C79)+(7.5/(H74)*C80)+(7.5/(H74)*C81)+(10/H74*C82)+(10/H74*C83)+(5/H74*C84)+(5/H74*C85)+(5/H74*C86))/100)</f>
        <v>0.41118421052631576</v>
      </c>
      <c r="F77" s="164"/>
      <c r="G77" s="164">
        <f ca="1">((((C77/H74)*20)+((C78/H74)*25)+(30/(H74+F74+D74)*C79)+(5/H74*C80)+(5/H74*C81)+(5/H74*C82)+(5/H74*C83)+(0/H74*C84)+(0/H74*C85)+(5/H74*C86))/100)</f>
        <v>0.6802631578947369</v>
      </c>
      <c r="H77" s="164"/>
      <c r="I77" s="13" t="s">
        <v>97</v>
      </c>
      <c r="J77" s="25">
        <f ca="1">H74*50%</f>
        <v>9</v>
      </c>
    </row>
    <row r="78" spans="1:19" x14ac:dyDescent="0.35">
      <c r="A78" s="124" t="s">
        <v>47</v>
      </c>
      <c r="B78" s="124"/>
      <c r="C78" s="63">
        <f ca="1">J86</f>
        <v>18</v>
      </c>
      <c r="D78" s="16">
        <f ca="1">((100/H74)*C78)/100</f>
        <v>1</v>
      </c>
      <c r="E78" s="164"/>
      <c r="F78" s="164"/>
      <c r="G78" s="164"/>
      <c r="H78" s="164"/>
      <c r="I78" s="13" t="s">
        <v>98</v>
      </c>
      <c r="J78" s="25">
        <f ca="1">H74</f>
        <v>18</v>
      </c>
      <c r="S78"/>
    </row>
    <row r="79" spans="1:19" ht="15.75" customHeight="1" x14ac:dyDescent="0.35">
      <c r="A79" s="124" t="s">
        <v>126</v>
      </c>
      <c r="B79" s="124"/>
      <c r="C79" s="72">
        <v>13</v>
      </c>
      <c r="D79" s="16">
        <f ca="1">((100/(D74+F74+H74))*C79)/100</f>
        <v>0.6842105263157896</v>
      </c>
      <c r="E79" s="164"/>
      <c r="F79" s="164"/>
      <c r="G79" s="164"/>
      <c r="H79" s="164"/>
      <c r="I79" s="13" t="s">
        <v>99</v>
      </c>
      <c r="J79" s="26">
        <f ca="1">(IF(B74&gt;1,(H74/(B74+2)),H74/4))</f>
        <v>4.5</v>
      </c>
      <c r="S79"/>
    </row>
    <row r="80" spans="1:19" ht="15.75" customHeight="1" x14ac:dyDescent="0.35">
      <c r="A80" s="124" t="s">
        <v>133</v>
      </c>
      <c r="B80" s="124" t="s">
        <v>127</v>
      </c>
      <c r="C80" s="72">
        <v>9</v>
      </c>
      <c r="D80" s="16">
        <f ca="1">((100/H74)*C80)/100</f>
        <v>0.5</v>
      </c>
      <c r="E80" s="164"/>
      <c r="F80" s="164"/>
      <c r="G80" s="164"/>
      <c r="H80" s="164"/>
      <c r="I80" s="13" t="s">
        <v>100</v>
      </c>
      <c r="J80" s="26">
        <f ca="1">(IF(B74&gt;1,(H74/(B74+2)+J79),H74/4+J79))</f>
        <v>9</v>
      </c>
    </row>
    <row r="81" spans="1:22" ht="15.75" customHeight="1" x14ac:dyDescent="0.35">
      <c r="A81" s="124" t="s">
        <v>134</v>
      </c>
      <c r="B81" s="124" t="s">
        <v>127</v>
      </c>
      <c r="C81" s="72">
        <v>0</v>
      </c>
      <c r="D81" s="16">
        <f ca="1">((100/H74)*C81)/100</f>
        <v>0</v>
      </c>
      <c r="E81" s="164"/>
      <c r="F81" s="164"/>
      <c r="G81" s="164"/>
      <c r="H81" s="164"/>
      <c r="I81" s="13" t="s">
        <v>143</v>
      </c>
      <c r="J81" s="26">
        <f>(IF(B74&gt;1,(H74/(B74+2)+J80),0))</f>
        <v>0</v>
      </c>
    </row>
    <row r="82" spans="1:22" ht="15" customHeight="1" x14ac:dyDescent="0.35">
      <c r="A82" s="124" t="s">
        <v>132</v>
      </c>
      <c r="B82" s="124" t="s">
        <v>129</v>
      </c>
      <c r="C82" s="72">
        <v>0</v>
      </c>
      <c r="D82" s="16">
        <f ca="1">((100/(H74))*C82)/100</f>
        <v>0</v>
      </c>
      <c r="E82" s="164"/>
      <c r="F82" s="164"/>
      <c r="G82" s="164"/>
      <c r="H82" s="164"/>
      <c r="I82" s="13" t="s">
        <v>140</v>
      </c>
      <c r="J82" s="26">
        <f>(IF(B74&gt;2,(H74/(B74+2)+J81),0))</f>
        <v>0</v>
      </c>
    </row>
    <row r="83" spans="1:22" ht="15.75" customHeight="1" x14ac:dyDescent="0.35">
      <c r="A83" s="124" t="s">
        <v>128</v>
      </c>
      <c r="B83" s="124" t="s">
        <v>128</v>
      </c>
      <c r="C83" s="72">
        <v>0</v>
      </c>
      <c r="D83" s="16">
        <f ca="1">((100/H74)*C83)/100</f>
        <v>0</v>
      </c>
      <c r="E83" s="164"/>
      <c r="F83" s="164"/>
      <c r="G83" s="164"/>
      <c r="H83" s="164"/>
      <c r="I83" s="13" t="s">
        <v>141</v>
      </c>
      <c r="J83" s="27">
        <f>(IF(B74&gt;3,(H74/(B74+2)+J82),0))</f>
        <v>0</v>
      </c>
    </row>
    <row r="84" spans="1:22" ht="15.75" customHeight="1" x14ac:dyDescent="0.35">
      <c r="A84" s="124" t="s">
        <v>135</v>
      </c>
      <c r="B84" s="124"/>
      <c r="C84" s="72">
        <v>0</v>
      </c>
      <c r="D84" s="16">
        <f ca="1">((100/H74)*C84)/100</f>
        <v>0</v>
      </c>
      <c r="E84" s="164"/>
      <c r="F84" s="164"/>
      <c r="G84" s="164"/>
      <c r="H84" s="164"/>
      <c r="I84" s="13" t="s">
        <v>142</v>
      </c>
      <c r="J84" s="26">
        <f>(IF(B74&gt;4,(H74/(B74+2)+J83),0))</f>
        <v>0</v>
      </c>
    </row>
    <row r="85" spans="1:22" ht="15.75" customHeight="1" x14ac:dyDescent="0.35">
      <c r="A85" s="124" t="s">
        <v>130</v>
      </c>
      <c r="B85" s="124" t="s">
        <v>130</v>
      </c>
      <c r="C85" s="72">
        <v>0</v>
      </c>
      <c r="D85" s="16">
        <f ca="1">((100/(H74))*C85)/100</f>
        <v>0</v>
      </c>
      <c r="E85" s="164"/>
      <c r="F85" s="164"/>
      <c r="G85" s="164"/>
      <c r="H85" s="164"/>
      <c r="I85" s="13" t="s">
        <v>144</v>
      </c>
      <c r="J85" s="26">
        <f ca="1">(IF(B74=1,(H74/(B74+3)+J80),IF(B74=0,(H74/4+J80),IF(B74&gt;1,0))))</f>
        <v>13.5</v>
      </c>
    </row>
    <row r="86" spans="1:22" ht="16" thickBot="1" x14ac:dyDescent="0.4">
      <c r="A86" s="124" t="s">
        <v>131</v>
      </c>
      <c r="B86" s="124"/>
      <c r="C86" s="72">
        <v>0</v>
      </c>
      <c r="D86" s="16">
        <f ca="1">((100/(H74))*C86)/100</f>
        <v>0</v>
      </c>
      <c r="E86" s="164"/>
      <c r="F86" s="164"/>
      <c r="G86" s="164"/>
      <c r="H86" s="164"/>
      <c r="I86" s="14" t="s">
        <v>101</v>
      </c>
      <c r="J86" s="28">
        <f ca="1">(IF(B74&gt;1.5,(H74/(B74+2)+J80+MAX(0,J81-J80)+MAX(0,J82-J81)+MAX(0,J83-J82)+MAX(0,J84-J83)+MAX(0,J85-J84)),IF(B74=1,(H74/(B74+3)+J85),IF(B74=0,H74/4+J85))))</f>
        <v>18</v>
      </c>
    </row>
    <row r="87" spans="1:22" x14ac:dyDescent="0.35">
      <c r="A87" s="193" t="s">
        <v>153</v>
      </c>
      <c r="B87" s="193"/>
      <c r="C87" s="193"/>
      <c r="D87" s="193"/>
      <c r="E87" s="193"/>
      <c r="F87" s="182" t="s">
        <v>157</v>
      </c>
      <c r="G87" s="182"/>
      <c r="H87" s="182"/>
      <c r="R87" t="s">
        <v>250</v>
      </c>
      <c r="S87" t="s">
        <v>169</v>
      </c>
      <c r="T87" t="s">
        <v>176</v>
      </c>
      <c r="U87" t="s">
        <v>191</v>
      </c>
      <c r="V87" t="s">
        <v>186</v>
      </c>
    </row>
    <row r="88" spans="1:22" x14ac:dyDescent="0.35">
      <c r="A88" s="115" t="s">
        <v>155</v>
      </c>
      <c r="B88" s="115"/>
      <c r="C88" s="115"/>
      <c r="D88" s="115"/>
      <c r="E88" s="115"/>
      <c r="F88" s="112">
        <v>6000</v>
      </c>
      <c r="G88" s="112"/>
      <c r="H88" s="112"/>
      <c r="R88"/>
      <c r="S88">
        <v>800000</v>
      </c>
      <c r="T88">
        <v>150000</v>
      </c>
      <c r="U88">
        <v>100000</v>
      </c>
      <c r="V88">
        <v>100000</v>
      </c>
    </row>
    <row r="89" spans="1:22" x14ac:dyDescent="0.35">
      <c r="A89" s="115" t="s">
        <v>154</v>
      </c>
      <c r="B89" s="115"/>
      <c r="C89" s="115"/>
      <c r="D89" s="115"/>
      <c r="E89" s="115"/>
      <c r="F89" s="112">
        <v>10000</v>
      </c>
      <c r="G89" s="112"/>
      <c r="H89" s="112"/>
      <c r="R89"/>
      <c r="S89">
        <v>900000</v>
      </c>
      <c r="T89">
        <v>200000</v>
      </c>
      <c r="U89">
        <v>150000</v>
      </c>
      <c r="V89">
        <v>150000</v>
      </c>
    </row>
    <row r="90" spans="1:22" x14ac:dyDescent="0.35">
      <c r="A90" s="115" t="s">
        <v>156</v>
      </c>
      <c r="B90" s="115"/>
      <c r="C90" s="115"/>
      <c r="D90" s="115"/>
      <c r="E90" s="115"/>
      <c r="F90" s="112">
        <v>8000</v>
      </c>
      <c r="G90" s="112"/>
      <c r="H90" s="112"/>
      <c r="R90"/>
      <c r="S90">
        <v>1000000</v>
      </c>
      <c r="T90">
        <v>250000</v>
      </c>
      <c r="U90">
        <v>200000</v>
      </c>
      <c r="V90">
        <v>200000</v>
      </c>
    </row>
    <row r="91" spans="1:22" s="29" customFormat="1" hidden="1" x14ac:dyDescent="0.35">
      <c r="A91" s="115" t="s">
        <v>172</v>
      </c>
      <c r="B91" s="115"/>
      <c r="C91" s="115"/>
      <c r="D91" s="115"/>
      <c r="E91" s="115"/>
      <c r="F91" s="112"/>
      <c r="G91" s="112"/>
      <c r="H91" s="112"/>
      <c r="R91"/>
      <c r="S91">
        <v>1100000</v>
      </c>
      <c r="T91">
        <v>300000</v>
      </c>
      <c r="U91">
        <v>250000</v>
      </c>
      <c r="V91" s="19">
        <v>250000</v>
      </c>
    </row>
    <row r="92" spans="1:22" s="29" customFormat="1" hidden="1" x14ac:dyDescent="0.35">
      <c r="A92" s="115" t="s">
        <v>91</v>
      </c>
      <c r="B92" s="115"/>
      <c r="C92" s="115"/>
      <c r="D92" s="115"/>
      <c r="E92" s="115"/>
      <c r="F92" s="112"/>
      <c r="G92" s="112"/>
      <c r="H92" s="112"/>
      <c r="R92"/>
      <c r="S92">
        <v>1200000</v>
      </c>
      <c r="T92">
        <v>350000</v>
      </c>
      <c r="U92">
        <v>300000</v>
      </c>
      <c r="V92">
        <v>300000</v>
      </c>
    </row>
    <row r="93" spans="1:22" s="29" customFormat="1" hidden="1" x14ac:dyDescent="0.35">
      <c r="A93" s="115" t="s">
        <v>92</v>
      </c>
      <c r="B93" s="115"/>
      <c r="C93" s="115"/>
      <c r="D93" s="115"/>
      <c r="E93" s="115"/>
      <c r="F93" s="112"/>
      <c r="G93" s="112"/>
      <c r="H93" s="112"/>
      <c r="R93"/>
      <c r="S93">
        <v>1300000</v>
      </c>
      <c r="T93">
        <v>400000</v>
      </c>
      <c r="U93">
        <v>350000</v>
      </c>
      <c r="V93" s="19">
        <v>400000</v>
      </c>
    </row>
    <row r="94" spans="1:22" s="29" customFormat="1" hidden="1" x14ac:dyDescent="0.35">
      <c r="A94" s="115" t="s">
        <v>93</v>
      </c>
      <c r="B94" s="115"/>
      <c r="C94" s="115"/>
      <c r="D94" s="115"/>
      <c r="E94" s="115"/>
      <c r="F94" s="112"/>
      <c r="G94" s="112"/>
      <c r="H94" s="112"/>
      <c r="R94"/>
      <c r="S94">
        <v>1400000</v>
      </c>
      <c r="T94">
        <v>500000</v>
      </c>
      <c r="U94">
        <v>400000</v>
      </c>
      <c r="V94"/>
    </row>
    <row r="95" spans="1:22" s="29" customFormat="1" hidden="1" x14ac:dyDescent="0.35">
      <c r="A95" s="115" t="s">
        <v>94</v>
      </c>
      <c r="B95" s="115"/>
      <c r="C95" s="115"/>
      <c r="D95" s="115"/>
      <c r="E95" s="115"/>
      <c r="F95" s="112"/>
      <c r="G95" s="112"/>
      <c r="H95" s="112"/>
      <c r="R95"/>
      <c r="S95">
        <v>1500000</v>
      </c>
      <c r="T95">
        <v>600000</v>
      </c>
      <c r="U95">
        <v>500000</v>
      </c>
      <c r="V95" s="19"/>
    </row>
    <row r="96" spans="1:22" s="29" customFormat="1" hidden="1" x14ac:dyDescent="0.35">
      <c r="A96" s="115" t="s">
        <v>95</v>
      </c>
      <c r="B96" s="115"/>
      <c r="C96" s="115"/>
      <c r="D96" s="115"/>
      <c r="E96" s="115"/>
      <c r="F96" s="112"/>
      <c r="G96" s="112"/>
      <c r="H96" s="112"/>
      <c r="R96"/>
      <c r="S96">
        <v>1600000</v>
      </c>
      <c r="T96">
        <v>700000</v>
      </c>
      <c r="U96">
        <v>600000</v>
      </c>
      <c r="V96"/>
    </row>
    <row r="97" spans="1:22" s="29" customFormat="1" hidden="1" x14ac:dyDescent="0.35">
      <c r="A97" s="115" t="s">
        <v>96</v>
      </c>
      <c r="B97" s="115"/>
      <c r="C97" s="115"/>
      <c r="D97" s="115"/>
      <c r="E97" s="115"/>
      <c r="F97" s="112"/>
      <c r="G97" s="112"/>
      <c r="H97" s="112"/>
      <c r="R97"/>
      <c r="S97">
        <v>1700000</v>
      </c>
      <c r="T97">
        <v>800000</v>
      </c>
      <c r="U97"/>
      <c r="V97" s="19"/>
    </row>
    <row r="98" spans="1:22" x14ac:dyDescent="0.35">
      <c r="A98" s="115" t="s">
        <v>48</v>
      </c>
      <c r="B98" s="115"/>
      <c r="C98" s="115"/>
      <c r="D98" s="115"/>
      <c r="E98" s="115"/>
      <c r="F98" s="112">
        <v>250000</v>
      </c>
      <c r="G98" s="112"/>
      <c r="H98" s="112"/>
      <c r="R98"/>
      <c r="S98">
        <v>1800000</v>
      </c>
      <c r="T98">
        <v>900000</v>
      </c>
      <c r="U98"/>
    </row>
    <row r="99" spans="1:22" s="30" customFormat="1" x14ac:dyDescent="0.35">
      <c r="A99" s="162" t="s">
        <v>49</v>
      </c>
      <c r="B99" s="162"/>
      <c r="C99" s="162"/>
      <c r="D99" s="162"/>
      <c r="E99" s="162"/>
      <c r="F99" s="112">
        <f>F88*0.8</f>
        <v>4800</v>
      </c>
      <c r="G99" s="112"/>
      <c r="H99" s="112"/>
      <c r="R99" s="17"/>
      <c r="S99" s="17"/>
      <c r="T99">
        <v>1000000</v>
      </c>
      <c r="U99"/>
      <c r="V99" s="17"/>
    </row>
    <row r="100" spans="1:22" s="31" customFormat="1" ht="15.75" customHeight="1" x14ac:dyDescent="0.35">
      <c r="A100" s="161" t="s">
        <v>71</v>
      </c>
      <c r="B100" s="161"/>
      <c r="C100" s="161"/>
      <c r="D100" s="161"/>
      <c r="E100" s="161"/>
      <c r="F100" s="161"/>
      <c r="G100" s="161"/>
      <c r="H100" s="161"/>
      <c r="R100"/>
      <c r="S100" s="17"/>
      <c r="T100"/>
      <c r="U100"/>
      <c r="V100" s="17"/>
    </row>
    <row r="101" spans="1:22" s="31" customFormat="1" ht="15.75" customHeight="1" x14ac:dyDescent="0.35">
      <c r="A101" s="114" t="s">
        <v>50</v>
      </c>
      <c r="B101" s="114"/>
      <c r="C101" s="121" t="s">
        <v>74</v>
      </c>
      <c r="D101" s="121"/>
      <c r="E101" s="119" t="s">
        <v>51</v>
      </c>
      <c r="F101" s="119"/>
      <c r="G101" s="114" t="s">
        <v>52</v>
      </c>
      <c r="H101" s="114"/>
      <c r="R101"/>
      <c r="S101" s="17"/>
      <c r="T101"/>
      <c r="U101" s="17"/>
      <c r="V101" s="17"/>
    </row>
    <row r="102" spans="1:22" s="31" customFormat="1" x14ac:dyDescent="0.35">
      <c r="A102" s="120" t="s">
        <v>342</v>
      </c>
      <c r="B102" s="120"/>
      <c r="C102" s="143">
        <f>COUNT(D115:D126)</f>
        <v>12</v>
      </c>
      <c r="D102" s="144"/>
      <c r="E102" s="143">
        <f>SUM(F115:F126)</f>
        <v>7762.5662399999992</v>
      </c>
      <c r="F102" s="144"/>
      <c r="G102" s="143">
        <f>SUM(H115:H126)</f>
        <v>11643.84936</v>
      </c>
      <c r="H102" s="144"/>
      <c r="R102"/>
      <c r="S102" s="17"/>
      <c r="T102"/>
      <c r="U102" s="17"/>
      <c r="V102" s="17"/>
    </row>
    <row r="103" spans="1:22" s="31" customFormat="1" x14ac:dyDescent="0.35">
      <c r="A103" s="120" t="s">
        <v>343</v>
      </c>
      <c r="B103" s="120"/>
      <c r="C103" s="143">
        <f>COUNT(D128:D136)</f>
        <v>9</v>
      </c>
      <c r="D103" s="144"/>
      <c r="E103" s="143">
        <f>SUM(F128:F136)</f>
        <v>5046.0555599999998</v>
      </c>
      <c r="F103" s="144"/>
      <c r="G103" s="143">
        <f>SUM(H128:H136)</f>
        <v>8000.0523719999992</v>
      </c>
      <c r="H103" s="144"/>
      <c r="R103"/>
      <c r="S103" s="17"/>
      <c r="T103"/>
      <c r="U103" s="17"/>
      <c r="V103" s="17"/>
    </row>
    <row r="104" spans="1:22" s="31" customFormat="1" x14ac:dyDescent="0.35">
      <c r="A104" s="161" t="s">
        <v>147</v>
      </c>
      <c r="B104" s="161"/>
      <c r="C104" s="194">
        <f>SUM(C102:D103)</f>
        <v>21</v>
      </c>
      <c r="D104" s="119"/>
      <c r="E104" s="194">
        <f>SUM(E102:F103)</f>
        <v>12808.621799999999</v>
      </c>
      <c r="F104" s="119"/>
      <c r="G104" s="194">
        <f>SUM(G102:H103)</f>
        <v>19643.901731999998</v>
      </c>
      <c r="H104" s="119"/>
      <c r="R104"/>
      <c r="S104" s="17"/>
      <c r="T104"/>
      <c r="U104" s="17"/>
      <c r="V104" s="17"/>
    </row>
    <row r="105" spans="1:22" s="31" customFormat="1" x14ac:dyDescent="0.35">
      <c r="A105" s="161" t="s">
        <v>66</v>
      </c>
      <c r="B105" s="161"/>
      <c r="C105" s="161"/>
      <c r="D105" s="161"/>
      <c r="E105" s="161"/>
      <c r="F105" s="161"/>
      <c r="G105" s="161"/>
      <c r="H105" s="161"/>
      <c r="T105"/>
    </row>
    <row r="106" spans="1:22" s="31" customFormat="1" ht="15.75" customHeight="1" x14ac:dyDescent="0.35">
      <c r="A106" s="114" t="s">
        <v>50</v>
      </c>
      <c r="B106" s="114"/>
      <c r="C106" s="121" t="s">
        <v>74</v>
      </c>
      <c r="D106" s="121"/>
      <c r="E106" s="119" t="s">
        <v>51</v>
      </c>
      <c r="F106" s="119"/>
      <c r="G106" s="114" t="s">
        <v>52</v>
      </c>
      <c r="H106" s="114"/>
      <c r="T106"/>
    </row>
    <row r="107" spans="1:22" s="31" customFormat="1" x14ac:dyDescent="0.35">
      <c r="A107" s="120" t="s">
        <v>344</v>
      </c>
      <c r="B107" s="120"/>
      <c r="C107" s="143">
        <f>COUNT(D142:D149)+COUNT(D151:D159)+COUNT(D161:D169)*12+COUNT(D171:D173)*2+COUNT(D175:D179)*2+COUNT(D181:D185)</f>
        <v>146</v>
      </c>
      <c r="D107" s="143"/>
      <c r="E107" s="143">
        <f>SUM(F142:F149)+SUM(F151:F159)+SUM(F161:F169)*12+SUM(F171:F173)*2+SUM(F175:F179)*2+SUM(F181:F185)</f>
        <v>70737.724979999999</v>
      </c>
      <c r="F107" s="143"/>
      <c r="G107" s="143">
        <f>SUM(H142:H149)+SUM(H151:H159)+SUM(H161:H169)*12+SUM(H171:H173)*2+SUM(H175:H179)*2+SUM(H181:H185)</f>
        <v>103591.29900599999</v>
      </c>
      <c r="H107" s="143"/>
      <c r="T107"/>
    </row>
    <row r="108" spans="1:22" s="31" customFormat="1" ht="16" thickBot="1" x14ac:dyDescent="0.4">
      <c r="A108" s="195" t="s">
        <v>147</v>
      </c>
      <c r="B108" s="195"/>
      <c r="C108" s="145">
        <f>SUM(C107)</f>
        <v>146</v>
      </c>
      <c r="D108" s="146"/>
      <c r="E108" s="145">
        <f>SUM(E107)</f>
        <v>70737.724979999999</v>
      </c>
      <c r="F108" s="146"/>
      <c r="G108" s="145">
        <f>SUM(G107)</f>
        <v>103591.29900599999</v>
      </c>
      <c r="H108" s="146"/>
      <c r="T108"/>
    </row>
    <row r="109" spans="1:22" s="31" customFormat="1" ht="16" thickBot="1" x14ac:dyDescent="0.4">
      <c r="A109" s="148" t="s">
        <v>163</v>
      </c>
      <c r="B109" s="149"/>
      <c r="C109" s="150">
        <f>C104+C108</f>
        <v>167</v>
      </c>
      <c r="D109" s="150"/>
      <c r="E109" s="151">
        <f>E104+E108</f>
        <v>83546.346779999993</v>
      </c>
      <c r="F109" s="151"/>
      <c r="G109" s="184">
        <f>G104+G108</f>
        <v>123235.20073799998</v>
      </c>
      <c r="H109" s="185"/>
      <c r="T109"/>
    </row>
    <row r="110" spans="1:22" s="30" customFormat="1" x14ac:dyDescent="0.35">
      <c r="A110" s="182" t="s">
        <v>53</v>
      </c>
      <c r="B110" s="182"/>
      <c r="C110" s="182"/>
      <c r="D110" s="182"/>
      <c r="E110" s="182"/>
      <c r="F110" s="182"/>
      <c r="G110" s="182"/>
      <c r="H110" s="182"/>
      <c r="T110" s="31"/>
    </row>
    <row r="111" spans="1:22" x14ac:dyDescent="0.35">
      <c r="A111" s="113" t="s">
        <v>171</v>
      </c>
      <c r="B111" s="113"/>
      <c r="C111" s="113"/>
      <c r="D111" s="113"/>
      <c r="E111" s="113"/>
      <c r="F111" s="113"/>
      <c r="G111" s="113"/>
      <c r="H111" s="113"/>
      <c r="T111" s="31"/>
    </row>
    <row r="112" spans="1:22" ht="47.25" customHeight="1" x14ac:dyDescent="0.35">
      <c r="A112" s="141" t="s">
        <v>116</v>
      </c>
      <c r="B112" s="141" t="s">
        <v>173</v>
      </c>
      <c r="C112" s="141" t="s">
        <v>54</v>
      </c>
      <c r="D112" s="139" t="s">
        <v>229</v>
      </c>
      <c r="E112" s="180" t="s">
        <v>315</v>
      </c>
      <c r="F112" s="141" t="s">
        <v>55</v>
      </c>
      <c r="G112" s="180" t="s">
        <v>56</v>
      </c>
      <c r="H112" s="66" t="s">
        <v>146</v>
      </c>
      <c r="T112" s="31"/>
    </row>
    <row r="113" spans="1:20" s="33" customFormat="1" x14ac:dyDescent="0.35">
      <c r="A113" s="142"/>
      <c r="B113" s="142"/>
      <c r="C113" s="142"/>
      <c r="D113" s="140"/>
      <c r="E113" s="181"/>
      <c r="F113" s="142"/>
      <c r="G113" s="181"/>
      <c r="H113" s="67">
        <v>0.5</v>
      </c>
      <c r="T113" s="31"/>
    </row>
    <row r="114" spans="1:20" s="33" customFormat="1" x14ac:dyDescent="0.35">
      <c r="A114" s="87" t="s">
        <v>314</v>
      </c>
      <c r="B114" s="87"/>
      <c r="C114" s="87"/>
      <c r="D114" s="87"/>
      <c r="E114" s="87"/>
      <c r="F114" s="87"/>
      <c r="G114" s="87"/>
      <c r="H114" s="87"/>
      <c r="J114" s="32"/>
      <c r="T114" s="31"/>
    </row>
    <row r="115" spans="1:20" s="33" customFormat="1" ht="15.75" customHeight="1" x14ac:dyDescent="0.35">
      <c r="A115" s="76">
        <v>1</v>
      </c>
      <c r="B115" s="76"/>
      <c r="C115" s="71" t="s">
        <v>313</v>
      </c>
      <c r="D115" s="60">
        <f>(172.22)*(10.764)</f>
        <v>1853.7760799999999</v>
      </c>
      <c r="E115" s="60">
        <f>0*(10.764)</f>
        <v>0</v>
      </c>
      <c r="F115" s="71">
        <f>D115+(IF(E115&lt;201,E115,IF(E115&lt;301,E115/2,E115/3)))</f>
        <v>1853.7760799999999</v>
      </c>
      <c r="G115" s="50">
        <v>0</v>
      </c>
      <c r="H115" s="71">
        <f>(F115+(IF(G115&lt;101,G115,IF(G115&lt;201,G115/2,IF(G115&lt;=301,G115/3,G115/4)))))*(($H$113)+1)</f>
        <v>2780.6641199999999</v>
      </c>
      <c r="I115" s="32">
        <f>(15.1*6.21+7.66*4.79+8.3*4.06+1.5*3.22+1.6*1.2+0.9*1.35)</f>
        <v>172.12540000000001</v>
      </c>
      <c r="L115" s="86"/>
      <c r="M115" s="86"/>
      <c r="N115" s="32"/>
      <c r="T115" s="31"/>
    </row>
    <row r="116" spans="1:20" s="33" customFormat="1" ht="15.75" customHeight="1" x14ac:dyDescent="0.35">
      <c r="A116" s="76">
        <f>A115+1</f>
        <v>2</v>
      </c>
      <c r="B116" s="76"/>
      <c r="C116" s="71" t="s">
        <v>313</v>
      </c>
      <c r="D116" s="60">
        <f>(166.56)*(10.764)</f>
        <v>1792.8518399999998</v>
      </c>
      <c r="E116" s="60">
        <v>0</v>
      </c>
      <c r="F116" s="71">
        <f t="shared" ref="F116:F118" si="0">D116+(IF(E116&lt;201,E116,IF(E116&lt;301,E116/2,E116/3)))</f>
        <v>1792.8518399999998</v>
      </c>
      <c r="G116" s="71">
        <v>0</v>
      </c>
      <c r="H116" s="71">
        <f t="shared" ref="H116:H118" si="1">(F116+(IF(G116&lt;101,G116,IF(G116&lt;201,G116/2,IF(G116&lt;=301,G116/3,G116/4)))))*(($H$113)+1)</f>
        <v>2689.2777599999999</v>
      </c>
      <c r="I116" s="32"/>
      <c r="L116" s="86"/>
      <c r="M116" s="86"/>
      <c r="N116" s="32"/>
      <c r="T116" s="30"/>
    </row>
    <row r="117" spans="1:20" s="33" customFormat="1" ht="15.75" customHeight="1" x14ac:dyDescent="0.35">
      <c r="A117" s="76">
        <f>A116+1</f>
        <v>3</v>
      </c>
      <c r="B117" s="76"/>
      <c r="C117" s="71" t="s">
        <v>313</v>
      </c>
      <c r="D117" s="60">
        <f>(14.71)*(10.764)</f>
        <v>158.33843999999999</v>
      </c>
      <c r="E117" s="60">
        <v>0</v>
      </c>
      <c r="F117" s="71">
        <f t="shared" si="0"/>
        <v>158.33843999999999</v>
      </c>
      <c r="G117" s="71">
        <v>0</v>
      </c>
      <c r="H117" s="71">
        <f t="shared" si="1"/>
        <v>237.50765999999999</v>
      </c>
      <c r="I117" s="32">
        <f>2.3*6.24</f>
        <v>14.351999999999999</v>
      </c>
      <c r="L117" s="86"/>
      <c r="M117" s="86"/>
      <c r="N117" s="32"/>
      <c r="T117" s="17"/>
    </row>
    <row r="118" spans="1:20" s="33" customFormat="1" ht="15.75" customHeight="1" x14ac:dyDescent="0.35">
      <c r="A118" s="76">
        <f>A117+1</f>
        <v>4</v>
      </c>
      <c r="B118" s="76"/>
      <c r="C118" s="71" t="s">
        <v>313</v>
      </c>
      <c r="D118" s="60">
        <f>(17.58)*(10.764)</f>
        <v>189.23111999999998</v>
      </c>
      <c r="E118" s="60">
        <v>0</v>
      </c>
      <c r="F118" s="71">
        <f t="shared" si="0"/>
        <v>189.23111999999998</v>
      </c>
      <c r="G118" s="71">
        <v>0</v>
      </c>
      <c r="H118" s="71">
        <f t="shared" si="1"/>
        <v>283.84667999999999</v>
      </c>
      <c r="I118" s="32"/>
      <c r="L118" s="86"/>
      <c r="M118" s="86"/>
      <c r="N118" s="32"/>
      <c r="T118" s="17"/>
    </row>
    <row r="119" spans="1:20" s="58" customFormat="1" ht="15.75" customHeight="1" x14ac:dyDescent="0.35">
      <c r="A119" s="76">
        <f t="shared" ref="A119:A125" si="2">A118+1</f>
        <v>5</v>
      </c>
      <c r="B119" s="76"/>
      <c r="C119" s="71" t="s">
        <v>313</v>
      </c>
      <c r="D119" s="60">
        <f>(17.29)*(10.764)</f>
        <v>186.10955999999999</v>
      </c>
      <c r="E119" s="60">
        <v>0</v>
      </c>
      <c r="F119" s="71">
        <f>D119+(IF(E119&lt;201,E119,IF(E119&lt;301,E119/2,E119/3)))</f>
        <v>186.10955999999999</v>
      </c>
      <c r="G119" s="50">
        <v>0</v>
      </c>
      <c r="H119" s="71">
        <f>(F119+(IF(G119&lt;101,G119,IF(G119&lt;201,G119/2,IF(G119&lt;=301,G119/3,G119/4)))))*(($H$113)+1)</f>
        <v>279.16433999999998</v>
      </c>
      <c r="I119" s="32"/>
      <c r="L119" s="86"/>
      <c r="M119" s="86"/>
      <c r="N119" s="32"/>
      <c r="T119" s="31"/>
    </row>
    <row r="120" spans="1:20" s="58" customFormat="1" ht="15.75" customHeight="1" x14ac:dyDescent="0.35">
      <c r="A120" s="76">
        <f t="shared" si="2"/>
        <v>6</v>
      </c>
      <c r="B120" s="76"/>
      <c r="C120" s="71" t="s">
        <v>313</v>
      </c>
      <c r="D120" s="60">
        <f>(13.46)*(10.764)</f>
        <v>144.88344000000001</v>
      </c>
      <c r="E120" s="60">
        <v>0</v>
      </c>
      <c r="F120" s="71">
        <f t="shared" ref="F120:F122" si="3">D120+(IF(E120&lt;201,E120,IF(E120&lt;301,E120/2,E120/3)))</f>
        <v>144.88344000000001</v>
      </c>
      <c r="G120" s="71">
        <v>0</v>
      </c>
      <c r="H120" s="71">
        <f t="shared" ref="H120:H122" si="4">(F120+(IF(G120&lt;101,G120,IF(G120&lt;201,G120/2,IF(G120&lt;=301,G120/3,G120/4)))))*(($H$113)+1)</f>
        <v>217.32516000000001</v>
      </c>
      <c r="I120" s="32"/>
      <c r="L120" s="86"/>
      <c r="M120" s="86"/>
      <c r="N120" s="32"/>
      <c r="T120" s="30"/>
    </row>
    <row r="121" spans="1:20" s="58" customFormat="1" ht="15.75" customHeight="1" x14ac:dyDescent="0.35">
      <c r="A121" s="76">
        <f t="shared" si="2"/>
        <v>7</v>
      </c>
      <c r="B121" s="76"/>
      <c r="C121" s="71" t="s">
        <v>313</v>
      </c>
      <c r="D121" s="60">
        <f>(17.73)*(10.764)</f>
        <v>190.84572</v>
      </c>
      <c r="E121" s="60">
        <v>0</v>
      </c>
      <c r="F121" s="71">
        <f t="shared" si="3"/>
        <v>190.84572</v>
      </c>
      <c r="G121" s="71">
        <v>0</v>
      </c>
      <c r="H121" s="71">
        <f t="shared" si="4"/>
        <v>286.26857999999999</v>
      </c>
      <c r="I121" s="32"/>
      <c r="L121" s="86"/>
      <c r="M121" s="86"/>
      <c r="N121" s="32"/>
      <c r="T121" s="17"/>
    </row>
    <row r="122" spans="1:20" s="58" customFormat="1" ht="15.75" customHeight="1" x14ac:dyDescent="0.35">
      <c r="A122" s="76">
        <f t="shared" si="2"/>
        <v>8</v>
      </c>
      <c r="B122" s="76"/>
      <c r="C122" s="71" t="s">
        <v>313</v>
      </c>
      <c r="D122" s="60">
        <f>(15.27)*(10.764)</f>
        <v>164.36627999999999</v>
      </c>
      <c r="E122" s="60">
        <v>0</v>
      </c>
      <c r="F122" s="71">
        <f t="shared" si="3"/>
        <v>164.36627999999999</v>
      </c>
      <c r="G122" s="71">
        <v>0</v>
      </c>
      <c r="H122" s="71">
        <f t="shared" si="4"/>
        <v>246.54942</v>
      </c>
      <c r="I122" s="32"/>
      <c r="L122" s="86"/>
      <c r="M122" s="86"/>
      <c r="N122" s="32"/>
      <c r="T122" s="17"/>
    </row>
    <row r="123" spans="1:20" s="58" customFormat="1" ht="15.75" customHeight="1" x14ac:dyDescent="0.35">
      <c r="A123" s="76">
        <f t="shared" si="2"/>
        <v>9</v>
      </c>
      <c r="B123" s="76"/>
      <c r="C123" s="71" t="s">
        <v>313</v>
      </c>
      <c r="D123" s="60">
        <f>(13.73)*(10.764)</f>
        <v>147.78971999999999</v>
      </c>
      <c r="E123" s="60">
        <v>0</v>
      </c>
      <c r="F123" s="71">
        <f>D123+(IF(E123&lt;201,E123,IF(E123&lt;301,E123/2,E123/3)))</f>
        <v>147.78971999999999</v>
      </c>
      <c r="G123" s="50">
        <v>0</v>
      </c>
      <c r="H123" s="71">
        <f>(F123+(IF(G123&lt;101,G123,IF(G123&lt;201,G123/2,IF(G123&lt;=301,G123/3,G123/4)))))*(($H$113)+1)</f>
        <v>221.68457999999998</v>
      </c>
      <c r="I123" s="32"/>
      <c r="L123" s="86"/>
      <c r="M123" s="86"/>
      <c r="N123" s="32"/>
      <c r="T123" s="31"/>
    </row>
    <row r="124" spans="1:20" s="58" customFormat="1" ht="15.75" customHeight="1" x14ac:dyDescent="0.35">
      <c r="A124" s="76">
        <f t="shared" si="2"/>
        <v>10</v>
      </c>
      <c r="B124" s="76"/>
      <c r="C124" s="71" t="s">
        <v>313</v>
      </c>
      <c r="D124" s="60">
        <f>(32.07)*(10.764)</f>
        <v>345.20148</v>
      </c>
      <c r="E124" s="60">
        <v>0</v>
      </c>
      <c r="F124" s="71">
        <f t="shared" ref="F124:F126" si="5">D124+(IF(E124&lt;201,E124,IF(E124&lt;301,E124/2,E124/3)))</f>
        <v>345.20148</v>
      </c>
      <c r="G124" s="71">
        <v>0</v>
      </c>
      <c r="H124" s="71">
        <f t="shared" ref="H124:H126" si="6">(F124+(IF(G124&lt;101,G124,IF(G124&lt;201,G124/2,IF(G124&lt;=301,G124/3,G124/4)))))*(($H$113)+1)</f>
        <v>517.80222000000003</v>
      </c>
      <c r="I124" s="32"/>
      <c r="L124" s="86"/>
      <c r="M124" s="86"/>
      <c r="N124" s="32"/>
      <c r="T124" s="30"/>
    </row>
    <row r="125" spans="1:20" s="58" customFormat="1" ht="15.75" customHeight="1" x14ac:dyDescent="0.35">
      <c r="A125" s="76">
        <f t="shared" si="2"/>
        <v>11</v>
      </c>
      <c r="B125" s="76"/>
      <c r="C125" s="71" t="s">
        <v>313</v>
      </c>
      <c r="D125" s="60">
        <f>(156.77)*(10.764)</f>
        <v>1687.47228</v>
      </c>
      <c r="E125" s="60">
        <v>0</v>
      </c>
      <c r="F125" s="71">
        <f t="shared" si="5"/>
        <v>1687.47228</v>
      </c>
      <c r="G125" s="71">
        <v>0</v>
      </c>
      <c r="H125" s="71">
        <f t="shared" si="6"/>
        <v>2531.2084199999999</v>
      </c>
      <c r="I125" s="32"/>
      <c r="L125" s="86"/>
      <c r="M125" s="86"/>
      <c r="N125" s="32"/>
      <c r="T125" s="17"/>
    </row>
    <row r="126" spans="1:20" s="58" customFormat="1" ht="15.75" customHeight="1" x14ac:dyDescent="0.35">
      <c r="A126" s="89">
        <f>A125+1</f>
        <v>12</v>
      </c>
      <c r="B126" s="90"/>
      <c r="C126" s="57" t="s">
        <v>313</v>
      </c>
      <c r="D126" s="60">
        <f>(83.77)*(10.764)</f>
        <v>901.70027999999991</v>
      </c>
      <c r="E126" s="60">
        <v>0</v>
      </c>
      <c r="F126" s="57">
        <f t="shared" si="5"/>
        <v>901.70027999999991</v>
      </c>
      <c r="G126" s="57">
        <v>0</v>
      </c>
      <c r="H126" s="57">
        <f t="shared" si="6"/>
        <v>1352.5504199999998</v>
      </c>
      <c r="I126" s="32"/>
      <c r="L126" s="86"/>
      <c r="M126" s="86"/>
      <c r="N126" s="32"/>
      <c r="T126" s="17"/>
    </row>
    <row r="127" spans="1:20" s="58" customFormat="1" x14ac:dyDescent="0.35">
      <c r="A127" s="91" t="s">
        <v>317</v>
      </c>
      <c r="B127" s="92"/>
      <c r="C127" s="92"/>
      <c r="D127" s="92"/>
      <c r="E127" s="92"/>
      <c r="F127" s="92"/>
      <c r="G127" s="92"/>
      <c r="H127" s="93"/>
      <c r="J127" s="32"/>
      <c r="T127" s="31"/>
    </row>
    <row r="128" spans="1:20" s="58" customFormat="1" ht="15.75" customHeight="1" x14ac:dyDescent="0.35">
      <c r="A128" s="89">
        <v>1</v>
      </c>
      <c r="B128" s="90"/>
      <c r="C128" s="57" t="s">
        <v>316</v>
      </c>
      <c r="D128" s="60">
        <f>(90.98)*(10.764)</f>
        <v>979.30871999999999</v>
      </c>
      <c r="E128" s="60">
        <f t="shared" ref="E128:E136" si="7">0*(10.764)</f>
        <v>0</v>
      </c>
      <c r="F128" s="57">
        <f>D128+(IF(E128&lt;201,E128,IF(E128&lt;301,E128/2,E128/3)))</f>
        <v>979.30871999999999</v>
      </c>
      <c r="G128" s="50">
        <f>1.2*9*10.764</f>
        <v>116.25119999999998</v>
      </c>
      <c r="H128" s="57">
        <f>(F128+(IF(G128&lt;101,G128,IF(G128&lt;201,G128/2,IF(G128&lt;=301,G128/3,G128/4)))))*(($H$113)+1)</f>
        <v>1556.15148</v>
      </c>
      <c r="I128" s="32"/>
      <c r="L128" s="86"/>
      <c r="M128" s="86"/>
      <c r="N128" s="32"/>
      <c r="T128" s="31"/>
    </row>
    <row r="129" spans="1:20" s="58" customFormat="1" ht="15.75" customHeight="1" x14ac:dyDescent="0.35">
      <c r="A129" s="89">
        <f>A128+1</f>
        <v>2</v>
      </c>
      <c r="B129" s="90"/>
      <c r="C129" s="57" t="s">
        <v>316</v>
      </c>
      <c r="D129" s="60">
        <f>(43.76)*(10.764)</f>
        <v>471.03263999999996</v>
      </c>
      <c r="E129" s="60">
        <f t="shared" si="7"/>
        <v>0</v>
      </c>
      <c r="F129" s="57">
        <f t="shared" ref="F129:F131" si="8">D129+(IF(E129&lt;201,E129,IF(E129&lt;301,E129/2,E129/3)))</f>
        <v>471.03263999999996</v>
      </c>
      <c r="G129" s="57">
        <v>0</v>
      </c>
      <c r="H129" s="57">
        <f t="shared" ref="H129:H131" si="9">(F129+(IF(G129&lt;101,G129,IF(G129&lt;201,G129/2,IF(G129&lt;=301,G129/3,G129/4)))))*(($H$113)+1)</f>
        <v>706.54895999999997</v>
      </c>
      <c r="I129" s="32">
        <f>7.58*5.71</f>
        <v>43.281799999999997</v>
      </c>
      <c r="L129" s="86"/>
      <c r="M129" s="86"/>
      <c r="N129" s="32"/>
      <c r="T129" s="30"/>
    </row>
    <row r="130" spans="1:20" s="58" customFormat="1" ht="15.75" customHeight="1" x14ac:dyDescent="0.35">
      <c r="A130" s="89">
        <f>A129+1</f>
        <v>3</v>
      </c>
      <c r="B130" s="90"/>
      <c r="C130" s="57" t="s">
        <v>316</v>
      </c>
      <c r="D130" s="60">
        <f>(160.39)*(10.764)</f>
        <v>1726.4379599999997</v>
      </c>
      <c r="E130" s="60">
        <f t="shared" si="7"/>
        <v>0</v>
      </c>
      <c r="F130" s="57">
        <f t="shared" si="8"/>
        <v>1726.4379599999997</v>
      </c>
      <c r="G130" s="57">
        <f>1.2*(9.56+7.01)*10.764</f>
        <v>214.03137599999999</v>
      </c>
      <c r="H130" s="57">
        <f t="shared" si="9"/>
        <v>2696.6726279999993</v>
      </c>
      <c r="I130" s="32"/>
      <c r="L130" s="86"/>
      <c r="M130" s="86"/>
      <c r="N130" s="32"/>
      <c r="T130" s="17"/>
    </row>
    <row r="131" spans="1:20" s="58" customFormat="1" ht="15.75" customHeight="1" x14ac:dyDescent="0.35">
      <c r="A131" s="89">
        <f>A130+1</f>
        <v>4</v>
      </c>
      <c r="B131" s="90"/>
      <c r="C131" s="57" t="s">
        <v>316</v>
      </c>
      <c r="D131" s="60">
        <f>(56.84)*(10.764)</f>
        <v>611.82575999999995</v>
      </c>
      <c r="E131" s="60">
        <f t="shared" si="7"/>
        <v>0</v>
      </c>
      <c r="F131" s="57">
        <f t="shared" si="8"/>
        <v>611.82575999999995</v>
      </c>
      <c r="G131" s="57">
        <f>1.2*8.1*10.764</f>
        <v>104.62607999999999</v>
      </c>
      <c r="H131" s="57">
        <f t="shared" si="9"/>
        <v>996.20819999999992</v>
      </c>
      <c r="I131" s="32"/>
      <c r="L131" s="86"/>
      <c r="M131" s="86"/>
      <c r="N131" s="32"/>
      <c r="T131" s="17"/>
    </row>
    <row r="132" spans="1:20" s="58" customFormat="1" ht="15.75" customHeight="1" x14ac:dyDescent="0.35">
      <c r="A132" s="89">
        <f t="shared" ref="A132:A136" si="10">A131+1</f>
        <v>5</v>
      </c>
      <c r="B132" s="90"/>
      <c r="C132" s="57" t="s">
        <v>316</v>
      </c>
      <c r="D132" s="60">
        <f>(32.33)*(10.764)</f>
        <v>348.00011999999998</v>
      </c>
      <c r="E132" s="60">
        <f t="shared" si="7"/>
        <v>0</v>
      </c>
      <c r="F132" s="57">
        <f>D132+(IF(E132&lt;201,E132,IF(E132&lt;301,E132/2,E132/3)))</f>
        <v>348.00011999999998</v>
      </c>
      <c r="G132" s="50">
        <f>5.17*1.2*10.764</f>
        <v>66.779855999999995</v>
      </c>
      <c r="H132" s="57">
        <f>(F132+(IF(G132&lt;101,G132,IF(G132&lt;201,G132/2,IF(G132&lt;=301,G132/3,G132/4)))))*(($H$113)+1)</f>
        <v>622.16996399999994</v>
      </c>
      <c r="I132" s="32">
        <f>5.17*6.01</f>
        <v>31.0717</v>
      </c>
      <c r="L132" s="86"/>
      <c r="M132" s="86"/>
      <c r="N132" s="32"/>
      <c r="T132" s="31"/>
    </row>
    <row r="133" spans="1:20" s="58" customFormat="1" ht="15.75" customHeight="1" x14ac:dyDescent="0.35">
      <c r="A133" s="89">
        <f t="shared" si="10"/>
        <v>6</v>
      </c>
      <c r="B133" s="90"/>
      <c r="C133" s="57" t="s">
        <v>316</v>
      </c>
      <c r="D133" s="60">
        <f>(23.99)*(10.764)</f>
        <v>258.22835999999995</v>
      </c>
      <c r="E133" s="60">
        <f t="shared" si="7"/>
        <v>0</v>
      </c>
      <c r="F133" s="57">
        <f t="shared" ref="F133:F135" si="11">D133+(IF(E133&lt;201,E133,IF(E133&lt;301,E133/2,E133/3)))</f>
        <v>258.22835999999995</v>
      </c>
      <c r="G133" s="57">
        <f>3*1.2*10.764</f>
        <v>38.750399999999992</v>
      </c>
      <c r="H133" s="57">
        <f t="shared" ref="H133:H135" si="12">(F133+(IF(G133&lt;101,G133,IF(G133&lt;201,G133/2,IF(G133&lt;=301,G133/3,G133/4)))))*(($H$113)+1)</f>
        <v>445.46813999999995</v>
      </c>
      <c r="I133" s="32"/>
      <c r="L133" s="86"/>
      <c r="M133" s="86"/>
      <c r="N133" s="32"/>
      <c r="T133" s="30"/>
    </row>
    <row r="134" spans="1:20" s="58" customFormat="1" ht="15.75" customHeight="1" x14ac:dyDescent="0.35">
      <c r="A134" s="89">
        <f t="shared" si="10"/>
        <v>7</v>
      </c>
      <c r="B134" s="90"/>
      <c r="C134" s="57" t="s">
        <v>316</v>
      </c>
      <c r="D134" s="60">
        <f>(13.24)*(10.764)</f>
        <v>142.51535999999999</v>
      </c>
      <c r="E134" s="60">
        <f t="shared" si="7"/>
        <v>0</v>
      </c>
      <c r="F134" s="57">
        <f t="shared" si="11"/>
        <v>142.51535999999999</v>
      </c>
      <c r="G134" s="57">
        <v>0</v>
      </c>
      <c r="H134" s="57">
        <f t="shared" si="12"/>
        <v>213.77303999999998</v>
      </c>
      <c r="I134" s="32"/>
      <c r="L134" s="86"/>
      <c r="M134" s="86"/>
      <c r="N134" s="32"/>
      <c r="T134" s="17"/>
    </row>
    <row r="135" spans="1:20" s="58" customFormat="1" ht="15.75" customHeight="1" x14ac:dyDescent="0.35">
      <c r="A135" s="89">
        <f t="shared" si="10"/>
        <v>8</v>
      </c>
      <c r="B135" s="90"/>
      <c r="C135" s="57" t="s">
        <v>316</v>
      </c>
      <c r="D135" s="60">
        <f>(21.58)*(10.764)</f>
        <v>232.28711999999996</v>
      </c>
      <c r="E135" s="60">
        <f t="shared" si="7"/>
        <v>0</v>
      </c>
      <c r="F135" s="57">
        <f t="shared" si="11"/>
        <v>232.28711999999996</v>
      </c>
      <c r="G135" s="57">
        <v>0</v>
      </c>
      <c r="H135" s="57">
        <f t="shared" si="12"/>
        <v>348.43067999999994</v>
      </c>
      <c r="I135" s="32"/>
      <c r="L135" s="86"/>
      <c r="M135" s="86"/>
      <c r="N135" s="32"/>
      <c r="T135" s="17"/>
    </row>
    <row r="136" spans="1:20" s="58" customFormat="1" ht="15.75" customHeight="1" x14ac:dyDescent="0.35">
      <c r="A136" s="89">
        <f t="shared" si="10"/>
        <v>9</v>
      </c>
      <c r="B136" s="90"/>
      <c r="C136" s="57" t="s">
        <v>316</v>
      </c>
      <c r="D136" s="60">
        <f>(25.68)*(10.764)</f>
        <v>276.41951999999998</v>
      </c>
      <c r="E136" s="60">
        <f t="shared" si="7"/>
        <v>0</v>
      </c>
      <c r="F136" s="57">
        <f>D136+(IF(E136&lt;201,E136,IF(E136&lt;301,E136/2,E136/3)))</f>
        <v>276.41951999999998</v>
      </c>
      <c r="G136" s="50">
        <v>0</v>
      </c>
      <c r="H136" s="57">
        <f>(F136+(IF(G136&lt;101,G136,IF(G136&lt;201,G136/2,IF(G136&lt;=301,G136/3,G136/4)))))*(($H$113)+1)</f>
        <v>414.62927999999999</v>
      </c>
      <c r="I136" s="32"/>
      <c r="L136" s="86"/>
      <c r="M136" s="86"/>
      <c r="N136" s="32"/>
      <c r="T136" s="31"/>
    </row>
    <row r="137" spans="1:20" s="33" customFormat="1" x14ac:dyDescent="0.35">
      <c r="A137" s="89"/>
      <c r="B137" s="94"/>
      <c r="C137" s="94"/>
      <c r="D137" s="94"/>
      <c r="E137" s="94"/>
      <c r="F137" s="94"/>
      <c r="G137" s="94"/>
      <c r="H137" s="90"/>
      <c r="I137" s="32"/>
      <c r="N137" s="32"/>
    </row>
    <row r="138" spans="1:20" ht="47.25" customHeight="1" x14ac:dyDescent="0.35">
      <c r="A138" s="196" t="s">
        <v>117</v>
      </c>
      <c r="B138" s="141" t="s">
        <v>174</v>
      </c>
      <c r="C138" s="141" t="s">
        <v>54</v>
      </c>
      <c r="D138" s="139" t="s">
        <v>229</v>
      </c>
      <c r="E138" s="141" t="s">
        <v>341</v>
      </c>
      <c r="F138" s="141" t="s">
        <v>55</v>
      </c>
      <c r="G138" s="180" t="s">
        <v>56</v>
      </c>
      <c r="H138" s="55" t="s">
        <v>146</v>
      </c>
      <c r="I138" s="32"/>
      <c r="T138" s="33"/>
    </row>
    <row r="139" spans="1:20" s="33" customFormat="1" x14ac:dyDescent="0.35">
      <c r="A139" s="197"/>
      <c r="B139" s="142"/>
      <c r="C139" s="142"/>
      <c r="D139" s="140"/>
      <c r="E139" s="142"/>
      <c r="F139" s="142"/>
      <c r="G139" s="181"/>
      <c r="H139" s="67">
        <v>0.45</v>
      </c>
      <c r="I139" s="32"/>
    </row>
    <row r="140" spans="1:20" s="58" customFormat="1" x14ac:dyDescent="0.35">
      <c r="A140" s="87" t="s">
        <v>320</v>
      </c>
      <c r="B140" s="87"/>
      <c r="C140" s="87"/>
      <c r="D140" s="87"/>
      <c r="E140" s="87"/>
      <c r="F140" s="87"/>
      <c r="G140" s="87"/>
      <c r="H140" s="87"/>
      <c r="I140" s="32"/>
      <c r="J140" s="32">
        <f>10.764</f>
        <v>10.763999999999999</v>
      </c>
      <c r="L140" s="86"/>
      <c r="M140" s="86"/>
    </row>
    <row r="141" spans="1:20" s="58" customFormat="1" x14ac:dyDescent="0.35">
      <c r="A141" s="76">
        <v>1</v>
      </c>
      <c r="B141" s="76"/>
      <c r="C141" s="89" t="s">
        <v>321</v>
      </c>
      <c r="D141" s="94"/>
      <c r="E141" s="94"/>
      <c r="F141" s="94"/>
      <c r="G141" s="94"/>
      <c r="H141" s="90"/>
      <c r="I141" s="32"/>
      <c r="N141" s="32"/>
    </row>
    <row r="142" spans="1:20" s="58" customFormat="1" x14ac:dyDescent="0.35">
      <c r="A142" s="76">
        <f>A141+1</f>
        <v>2</v>
      </c>
      <c r="B142" s="76"/>
      <c r="C142" s="57" t="s">
        <v>318</v>
      </c>
      <c r="D142" s="60">
        <f>((2.82*3+2.2*2.45+3*2+2.2*2.75+1.95*1.2+1.95*1.2+0.9*1.35+0.9*1.2))*(10.764)</f>
        <v>353.86649999999997</v>
      </c>
      <c r="E142" s="60">
        <f>((3*1+2.2*1.2+2.82*1.5+1.05*1.55)+0.75*(3+2.2+2.82))*(10.764)</f>
        <v>188.50454999999999</v>
      </c>
      <c r="F142" s="57">
        <f t="shared" ref="F142:F149" si="13">D142+E142</f>
        <v>542.37104999999997</v>
      </c>
      <c r="G142" s="60">
        <f>(1.95*1.1)*(10.764)</f>
        <v>23.08878</v>
      </c>
      <c r="H142" s="57">
        <f t="shared" ref="H142:H149" si="14">F142*(($H$139)+1)+(IF(G142&lt;101,G142,IF(G142&lt;201,G142/2,IF(G142&lt;=301,G142/3,G142/4))))</f>
        <v>809.52680249999992</v>
      </c>
      <c r="I142" s="32"/>
      <c r="J142" s="32"/>
      <c r="N142" s="32"/>
    </row>
    <row r="143" spans="1:20" s="58" customFormat="1" x14ac:dyDescent="0.35">
      <c r="A143" s="76">
        <f>A142+1</f>
        <v>3</v>
      </c>
      <c r="B143" s="76"/>
      <c r="C143" s="57" t="s">
        <v>319</v>
      </c>
      <c r="D143" s="60">
        <f>((2.75*3+2.25*2+2.75*2+2*1.2+1.2*2))*(10.764)</f>
        <v>248.11019999999996</v>
      </c>
      <c r="E143" s="60">
        <f>(0.75*(2.75+2.25+2.75)+(2.75*1.5+2.25*1+2.75*1))*(10.764)</f>
        <v>160.78725</v>
      </c>
      <c r="F143" s="57">
        <f t="shared" si="13"/>
        <v>408.89744999999994</v>
      </c>
      <c r="G143" s="64">
        <v>0</v>
      </c>
      <c r="H143" s="57">
        <f t="shared" si="14"/>
        <v>592.90130249999993</v>
      </c>
      <c r="I143" s="32"/>
      <c r="N143" s="32"/>
    </row>
    <row r="144" spans="1:20" s="58" customFormat="1" x14ac:dyDescent="0.35">
      <c r="A144" s="76">
        <f>A143+1</f>
        <v>4</v>
      </c>
      <c r="B144" s="76"/>
      <c r="C144" s="57" t="s">
        <v>319</v>
      </c>
      <c r="D144" s="60">
        <f>((2.75*3+2.25*2+2.75*2+2*1.2+1.2*2))*(10.764)</f>
        <v>248.11019999999996</v>
      </c>
      <c r="E144" s="60">
        <f>(0.75*(2.75+2.25+2.75)+(2.75*1.5+2.25*1+2.75*1))*(10.764)</f>
        <v>160.78725</v>
      </c>
      <c r="F144" s="57">
        <f t="shared" si="13"/>
        <v>408.89744999999994</v>
      </c>
      <c r="G144" s="64">
        <v>0</v>
      </c>
      <c r="H144" s="56">
        <f t="shared" si="14"/>
        <v>592.90130249999993</v>
      </c>
      <c r="I144" s="61"/>
      <c r="J144" s="58">
        <f>0.5*3.8*3.5</f>
        <v>6.6499999999999995</v>
      </c>
      <c r="K144" s="58">
        <f>6.2*1*0.5</f>
        <v>3.1</v>
      </c>
      <c r="L144" s="58">
        <f>0.5*0.9*5.2</f>
        <v>2.3400000000000003</v>
      </c>
      <c r="N144" s="32"/>
    </row>
    <row r="145" spans="1:14" s="58" customFormat="1" x14ac:dyDescent="0.35">
      <c r="A145" s="88">
        <f>A144+1</f>
        <v>5</v>
      </c>
      <c r="B145" s="88"/>
      <c r="C145" s="57" t="s">
        <v>318</v>
      </c>
      <c r="D145" s="60">
        <f>((2.82*3+2.2*2.45+3*2+2.2*2.75+1.95*1.2+1.95*1.2+0.9*1.35+0.9*1.2))*(10.764)</f>
        <v>353.86649999999997</v>
      </c>
      <c r="E145" s="60">
        <f>((3*1+2.2*1.2+2.82*1.5+1.05*1.55)+0.75*(3+2.2+2.82))*(10.764)</f>
        <v>188.50454999999999</v>
      </c>
      <c r="F145" s="64">
        <f t="shared" si="13"/>
        <v>542.37104999999997</v>
      </c>
      <c r="G145" s="60">
        <f>(2.2*1.4+6.4*4.6+5.4*3.5+6.65+3.1+2.34+2.6)*(10.764)</f>
        <v>711.60803999999996</v>
      </c>
      <c r="H145" s="57">
        <f t="shared" si="14"/>
        <v>964.34003249999989</v>
      </c>
      <c r="I145" s="32"/>
      <c r="J145" s="32"/>
      <c r="N145" s="32"/>
    </row>
    <row r="146" spans="1:14" s="58" customFormat="1" x14ac:dyDescent="0.35">
      <c r="A146" s="88">
        <f t="shared" ref="A146:A149" si="15">A145+1</f>
        <v>6</v>
      </c>
      <c r="B146" s="88"/>
      <c r="C146" s="57" t="s">
        <v>318</v>
      </c>
      <c r="D146" s="60">
        <f>((2.82*3+2.2*2.45+3*2+2.2*2.75+1.95*1.2+1.95*1.2+0.9*1.35+0.9*1.2))*(10.764)</f>
        <v>353.86649999999997</v>
      </c>
      <c r="E146" s="60">
        <f>((3*1+2.2*1.2+2.82*1.5+1.05*1.55))*(10.764)</f>
        <v>123.75909</v>
      </c>
      <c r="F146" s="64">
        <f t="shared" si="13"/>
        <v>477.62558999999999</v>
      </c>
      <c r="G146" s="60">
        <f>(3*4.2+2.2*3+3.5*2.3+2*9.7+2.1*1.4+4.4*5.4+13.64+10.8+3.3)*(10.764)</f>
        <v>1088.1327599999997</v>
      </c>
      <c r="H146" s="57">
        <f t="shared" si="14"/>
        <v>964.59029549999991</v>
      </c>
      <c r="I146" s="32"/>
      <c r="J146" s="32"/>
      <c r="N146" s="32"/>
    </row>
    <row r="147" spans="1:14" s="58" customFormat="1" x14ac:dyDescent="0.35">
      <c r="A147" s="76">
        <f t="shared" si="15"/>
        <v>7</v>
      </c>
      <c r="B147" s="76"/>
      <c r="C147" s="57" t="s">
        <v>319</v>
      </c>
      <c r="D147" s="60">
        <f>((2.75*3+2.25*2+2.75*2+2*1.2+1.2*2))*(10.764)</f>
        <v>248.11019999999996</v>
      </c>
      <c r="E147" s="60">
        <f>((2.75*1.5+2.25*1+2.75*1))*(10.764)</f>
        <v>98.221499999999992</v>
      </c>
      <c r="F147" s="57">
        <f t="shared" si="13"/>
        <v>346.33169999999996</v>
      </c>
      <c r="G147" s="60">
        <f>(2*8.1+0.6*2.7+5.6*5.2+3*2.3+3+4.9+2.42)*(10.764)</f>
        <v>690.6182399999999</v>
      </c>
      <c r="H147" s="57">
        <f t="shared" si="14"/>
        <v>674.83552499999985</v>
      </c>
      <c r="I147" s="61"/>
      <c r="J147" s="32"/>
      <c r="N147" s="32"/>
    </row>
    <row r="148" spans="1:14" s="58" customFormat="1" x14ac:dyDescent="0.35">
      <c r="A148" s="76">
        <f t="shared" si="15"/>
        <v>8</v>
      </c>
      <c r="B148" s="76"/>
      <c r="C148" s="57" t="s">
        <v>319</v>
      </c>
      <c r="D148" s="60">
        <f>((2.75*3+2.25*2+2.75*2+2*1.2+1.2*2))*(10.764)</f>
        <v>248.11019999999996</v>
      </c>
      <c r="E148" s="60">
        <f>((2.75*1.5+2.25*1+2.75*1))*(10.764)</f>
        <v>98.221499999999992</v>
      </c>
      <c r="F148" s="57">
        <f t="shared" si="13"/>
        <v>346.33169999999996</v>
      </c>
      <c r="G148" s="60">
        <f>(2.75*4.74+5.3*0.6+8.4+3.78)*(10.764)</f>
        <v>305.64377999999999</v>
      </c>
      <c r="H148" s="57">
        <f t="shared" si="14"/>
        <v>578.59190999999987</v>
      </c>
      <c r="I148" s="61"/>
      <c r="J148" s="32"/>
      <c r="N148" s="32"/>
    </row>
    <row r="149" spans="1:14" s="58" customFormat="1" x14ac:dyDescent="0.35">
      <c r="A149" s="76">
        <f t="shared" si="15"/>
        <v>9</v>
      </c>
      <c r="B149" s="76"/>
      <c r="C149" s="57" t="s">
        <v>318</v>
      </c>
      <c r="D149" s="60">
        <f>((3*2.85+2*2.25+2*2.75+2*2.65+1.2*2+2*1.2))*(10.764)</f>
        <v>308.38859999999994</v>
      </c>
      <c r="E149" s="60">
        <f>((1.5*2.85+1*2.25+1*2.75+1*2.65))*(10.764)</f>
        <v>128.36070000000001</v>
      </c>
      <c r="F149" s="57">
        <f t="shared" si="13"/>
        <v>436.74929999999995</v>
      </c>
      <c r="G149" s="60">
        <f>(7*7+1.5*2.2+3.3*0.6+7*2.5+1*4.5+6.3)*(10.764)</f>
        <v>888.89111999999989</v>
      </c>
      <c r="H149" s="57">
        <f t="shared" si="14"/>
        <v>855.5092649999998</v>
      </c>
      <c r="I149" s="32"/>
      <c r="J149" s="32"/>
      <c r="N149" s="32"/>
    </row>
    <row r="150" spans="1:14" s="58" customFormat="1" x14ac:dyDescent="0.35">
      <c r="A150" s="87" t="s">
        <v>322</v>
      </c>
      <c r="B150" s="87"/>
      <c r="C150" s="87"/>
      <c r="D150" s="87"/>
      <c r="E150" s="87"/>
      <c r="F150" s="87"/>
      <c r="G150" s="87"/>
      <c r="H150" s="87"/>
      <c r="I150" s="32"/>
      <c r="J150" s="58">
        <f>9603/1.45</f>
        <v>6622.7586206896558</v>
      </c>
      <c r="L150" s="86"/>
      <c r="M150" s="86"/>
    </row>
    <row r="151" spans="1:14" s="58" customFormat="1" x14ac:dyDescent="0.35">
      <c r="A151" s="76">
        <v>1</v>
      </c>
      <c r="B151" s="76"/>
      <c r="C151" s="71" t="s">
        <v>318</v>
      </c>
      <c r="D151" s="60">
        <f>((2.8*3+2.2*2.45+3*2+2.2*2.75+1.05*1.2+0.9*1.35+1.95*1.2+1.95*1.2))*(10.764)</f>
        <v>355.15818000000002</v>
      </c>
      <c r="E151" s="60">
        <f>((2.8*1.5+2.2*1.2+3*1+1.5*1.05)+(0.75*1.5))*(10.764)</f>
        <v>134.98055999999997</v>
      </c>
      <c r="F151" s="71">
        <f t="shared" ref="F151:F159" si="16">D151+E151</f>
        <v>490.13873999999998</v>
      </c>
      <c r="G151" s="60">
        <f>(2.8*2.8+2.2*1.6+3*1)*(10.764)</f>
        <v>154.57103999999998</v>
      </c>
      <c r="H151" s="71">
        <f t="shared" ref="H151:H159" si="17">F151*(($H$139)+1)+(IF(G151&lt;101,G151,IF(G151&lt;201,G151/2,IF(G151&lt;=301,G151/3,G151/4))))</f>
        <v>787.98669299999995</v>
      </c>
      <c r="I151" s="32"/>
      <c r="N151" s="32"/>
    </row>
    <row r="152" spans="1:14" s="58" customFormat="1" x14ac:dyDescent="0.35">
      <c r="A152" s="76">
        <f>A151+1</f>
        <v>2</v>
      </c>
      <c r="B152" s="76"/>
      <c r="C152" s="71" t="s">
        <v>318</v>
      </c>
      <c r="D152" s="60">
        <f>((2.82*3+2.2*2.45+3*2+2.2*2.75+1.95*1.2+1.95*1.2+0.9*1.35+0.9*1.2))*(10.764)</f>
        <v>353.86649999999997</v>
      </c>
      <c r="E152" s="60">
        <f>((3*1+2.2*1.2+2.82*1.5+1.05*1.55)+0.75*(3+2.2+2.82+1.5))*(10.764)</f>
        <v>200.61404999999999</v>
      </c>
      <c r="F152" s="71">
        <f t="shared" si="16"/>
        <v>554.48054999999999</v>
      </c>
      <c r="G152" s="62">
        <v>0</v>
      </c>
      <c r="H152" s="71">
        <f t="shared" si="17"/>
        <v>803.99679749999996</v>
      </c>
      <c r="I152" s="32"/>
      <c r="J152" s="32"/>
      <c r="N152" s="32"/>
    </row>
    <row r="153" spans="1:14" s="58" customFormat="1" x14ac:dyDescent="0.35">
      <c r="A153" s="76">
        <f>A152+1</f>
        <v>3</v>
      </c>
      <c r="B153" s="76"/>
      <c r="C153" s="71" t="s">
        <v>319</v>
      </c>
      <c r="D153" s="60">
        <f>((2.75*3+2.25*2+2.75*2+2*1.2+1.2*2))*(10.764)</f>
        <v>248.11019999999996</v>
      </c>
      <c r="E153" s="60">
        <f>(0.75*(2.75+2.25+2.75)+(2.75*1.5+2.25*1+2.75*1))*(10.764)</f>
        <v>160.78725</v>
      </c>
      <c r="F153" s="71">
        <f t="shared" si="16"/>
        <v>408.89744999999994</v>
      </c>
      <c r="G153" s="62">
        <v>0</v>
      </c>
      <c r="H153" s="71">
        <f t="shared" si="17"/>
        <v>592.90130249999993</v>
      </c>
      <c r="I153" s="32"/>
      <c r="J153" s="58">
        <f>4000000/H153</f>
        <v>6746.4854321179373</v>
      </c>
      <c r="N153" s="32"/>
    </row>
    <row r="154" spans="1:14" s="58" customFormat="1" x14ac:dyDescent="0.35">
      <c r="A154" s="76">
        <f>A153+1</f>
        <v>4</v>
      </c>
      <c r="B154" s="76"/>
      <c r="C154" s="71" t="s">
        <v>319</v>
      </c>
      <c r="D154" s="60">
        <f>((2.75*3+2.25*2+2.75*2+2*1.2+1.2*2))*(10.764)</f>
        <v>248.11019999999996</v>
      </c>
      <c r="E154" s="60">
        <f>(0.75*(2.75+2.25+2.75)+(2.75*1.5+2.25*1+2.75*1))*(10.764)</f>
        <v>160.78725</v>
      </c>
      <c r="F154" s="71">
        <f t="shared" si="16"/>
        <v>408.89744999999994</v>
      </c>
      <c r="G154" s="62">
        <v>0</v>
      </c>
      <c r="H154" s="71">
        <f t="shared" si="17"/>
        <v>592.90130249999993</v>
      </c>
      <c r="I154" s="32"/>
      <c r="N154" s="32"/>
    </row>
    <row r="155" spans="1:14" s="58" customFormat="1" x14ac:dyDescent="0.35">
      <c r="A155" s="76">
        <f>A154+1</f>
        <v>5</v>
      </c>
      <c r="B155" s="76"/>
      <c r="C155" s="71" t="s">
        <v>318</v>
      </c>
      <c r="D155" s="60">
        <f>((2.82*3+2.2*2.45+3*2+2.2*2.75+1.95*1.2+1.95*1.2+0.9*1.35+0.9*1.2))*(10.764)</f>
        <v>353.86649999999997</v>
      </c>
      <c r="E155" s="60">
        <f>((3*1+2.2*1.2+2.82*1.5+1.05*1.55)+0.75*(3+2.2+2.82+1.5))*(10.764)</f>
        <v>200.61404999999999</v>
      </c>
      <c r="F155" s="71">
        <f t="shared" si="16"/>
        <v>554.48054999999999</v>
      </c>
      <c r="G155" s="62">
        <v>0</v>
      </c>
      <c r="H155" s="71">
        <f t="shared" si="17"/>
        <v>803.99679749999996</v>
      </c>
      <c r="I155" s="32"/>
      <c r="N155" s="32"/>
    </row>
    <row r="156" spans="1:14" s="58" customFormat="1" x14ac:dyDescent="0.35">
      <c r="A156" s="76">
        <f t="shared" ref="A156:A159" si="18">A155+1</f>
        <v>6</v>
      </c>
      <c r="B156" s="76"/>
      <c r="C156" s="71" t="s">
        <v>318</v>
      </c>
      <c r="D156" s="60">
        <f>((2.82*3+2.2*2.45+3*2+2.2*2.75+1.95*1.2+1.95*1.2+0.9*1.35+0.9*1.2))*(10.764)</f>
        <v>353.86649999999997</v>
      </c>
      <c r="E156" s="60">
        <f>((3*1+2.2*1.2+2.82*1.5+1.05*1.55)+0.75*(3+2.2+2.82+1.5))*(10.764)</f>
        <v>200.61404999999999</v>
      </c>
      <c r="F156" s="71">
        <f t="shared" si="16"/>
        <v>554.48054999999999</v>
      </c>
      <c r="G156" s="62">
        <v>0</v>
      </c>
      <c r="H156" s="71">
        <f t="shared" si="17"/>
        <v>803.99679749999996</v>
      </c>
      <c r="I156" s="32"/>
      <c r="N156" s="32"/>
    </row>
    <row r="157" spans="1:14" s="58" customFormat="1" x14ac:dyDescent="0.35">
      <c r="A157" s="76">
        <f t="shared" si="18"/>
        <v>7</v>
      </c>
      <c r="B157" s="76"/>
      <c r="C157" s="71" t="s">
        <v>319</v>
      </c>
      <c r="D157" s="60">
        <f>((2.75*3+2.25*2+2.75*2+2*1.2+1.2*2))*(10.764)</f>
        <v>248.11019999999996</v>
      </c>
      <c r="E157" s="60">
        <f>(0.75*(2.75+2.25+2.75)+(2.75*1.5+2.25*1+2.75*1))*(10.764)</f>
        <v>160.78725</v>
      </c>
      <c r="F157" s="71">
        <f t="shared" si="16"/>
        <v>408.89744999999994</v>
      </c>
      <c r="G157" s="62">
        <v>0</v>
      </c>
      <c r="H157" s="71">
        <f t="shared" si="17"/>
        <v>592.90130249999993</v>
      </c>
      <c r="I157" s="32"/>
      <c r="N157" s="32"/>
    </row>
    <row r="158" spans="1:14" s="58" customFormat="1" x14ac:dyDescent="0.35">
      <c r="A158" s="76">
        <f t="shared" si="18"/>
        <v>8</v>
      </c>
      <c r="B158" s="76"/>
      <c r="C158" s="71" t="s">
        <v>319</v>
      </c>
      <c r="D158" s="60">
        <f>((2.75*3+2.25*2+2.75*2+2*1.2+1.2*2))*(10.764)</f>
        <v>248.11019999999996</v>
      </c>
      <c r="E158" s="60">
        <f>(0.75*(2.75+2.25+2.75)+(2.75*1.5+2.25*1+2.75*1))*(10.764)</f>
        <v>160.78725</v>
      </c>
      <c r="F158" s="71">
        <f t="shared" si="16"/>
        <v>408.89744999999994</v>
      </c>
      <c r="G158" s="62">
        <v>0</v>
      </c>
      <c r="H158" s="71">
        <f t="shared" si="17"/>
        <v>592.90130249999993</v>
      </c>
      <c r="I158" s="32"/>
      <c r="N158" s="32"/>
    </row>
    <row r="159" spans="1:14" s="58" customFormat="1" x14ac:dyDescent="0.35">
      <c r="A159" s="76">
        <f t="shared" si="18"/>
        <v>9</v>
      </c>
      <c r="B159" s="76"/>
      <c r="C159" s="71" t="s">
        <v>318</v>
      </c>
      <c r="D159" s="60">
        <f>((3*2.85+2*2.25+2*2.75+2*2.65+1.2*2+2*1.2))*(10.764)</f>
        <v>308.38859999999994</v>
      </c>
      <c r="E159" s="60">
        <f>(0.75*(2.75+2.25+2.85+2.65)+(1.5*2.85+1*2.25+1*2.75+1*2.65))*(10.764)</f>
        <v>213.12719999999999</v>
      </c>
      <c r="F159" s="71">
        <f t="shared" si="16"/>
        <v>521.5157999999999</v>
      </c>
      <c r="G159" s="62">
        <v>0</v>
      </c>
      <c r="H159" s="71">
        <f t="shared" si="17"/>
        <v>756.19790999999987</v>
      </c>
      <c r="I159" s="32"/>
      <c r="N159" s="32"/>
    </row>
    <row r="160" spans="1:14" s="58" customFormat="1" ht="15.75" customHeight="1" x14ac:dyDescent="0.35">
      <c r="A160" s="87" t="s">
        <v>323</v>
      </c>
      <c r="B160" s="87"/>
      <c r="C160" s="87"/>
      <c r="D160" s="87"/>
      <c r="E160" s="87"/>
      <c r="F160" s="87"/>
      <c r="G160" s="87"/>
      <c r="H160" s="87"/>
      <c r="I160" s="32"/>
    </row>
    <row r="161" spans="1:10" s="58" customFormat="1" ht="15.75" customHeight="1" x14ac:dyDescent="0.35">
      <c r="A161" s="76">
        <v>1</v>
      </c>
      <c r="B161" s="76"/>
      <c r="C161" s="71" t="s">
        <v>318</v>
      </c>
      <c r="D161" s="60">
        <f>((2.8*3+2.2*2.45+3*2+2.2*2.75+1.05*1.2+0.9*1.35+1.95*1.2+1.95*1.2))*(10.764)</f>
        <v>355.15818000000002</v>
      </c>
      <c r="E161" s="60">
        <f>(0.75*(2.8+2.2+3+1.5)+(2.8*1.5+2.2*1.2+3*1+1.05*1.5))*(10.764)</f>
        <v>199.56455999999997</v>
      </c>
      <c r="F161" s="71">
        <f t="shared" ref="F161:F169" si="19">D161+E161</f>
        <v>554.72273999999993</v>
      </c>
      <c r="G161" s="71">
        <v>0</v>
      </c>
      <c r="H161" s="71">
        <f t="shared" ref="H161:H169" si="20">F161*(($H$139)+1)+(IF(G161&lt;101,G161,IF(G161&lt;201,G161/2,IF(G161&lt;=301,G161/3,G161/4))))</f>
        <v>804.34797299999991</v>
      </c>
      <c r="I161" s="32"/>
      <c r="J161" s="58">
        <f>6000*H161</f>
        <v>4826087.8379999995</v>
      </c>
    </row>
    <row r="162" spans="1:10" s="58" customFormat="1" ht="15.75" customHeight="1" x14ac:dyDescent="0.35">
      <c r="A162" s="76">
        <f>A161+1</f>
        <v>2</v>
      </c>
      <c r="B162" s="76"/>
      <c r="C162" s="71" t="s">
        <v>318</v>
      </c>
      <c r="D162" s="60">
        <f>((2.82*3+2.2*2.45+3*2+2.2*2.75+1.95*1.2+1.95*1.2+0.9*1.35+0.9*1.2))*(10.764)</f>
        <v>353.86649999999997</v>
      </c>
      <c r="E162" s="60">
        <f>((3*1+2.2*1.2+2.82*1.5+1.05*1.55)+0.75*(3+2.2+2.82+1.5))*(10.764)</f>
        <v>200.61404999999999</v>
      </c>
      <c r="F162" s="71">
        <f t="shared" si="19"/>
        <v>554.48054999999999</v>
      </c>
      <c r="G162" s="71">
        <v>0</v>
      </c>
      <c r="H162" s="71">
        <f t="shared" si="20"/>
        <v>803.99679749999996</v>
      </c>
      <c r="I162" s="32"/>
      <c r="J162" s="59">
        <f t="shared" ref="J162:J169" si="21">6000*H162</f>
        <v>4823980.7850000001</v>
      </c>
    </row>
    <row r="163" spans="1:10" s="58" customFormat="1" ht="15.75" customHeight="1" x14ac:dyDescent="0.35">
      <c r="A163" s="76">
        <f>A162+1</f>
        <v>3</v>
      </c>
      <c r="B163" s="76"/>
      <c r="C163" s="71" t="s">
        <v>319</v>
      </c>
      <c r="D163" s="60">
        <f>((2.75*3+2.25*2+2.75*2+2*1.2+1.2*2))*(10.764)</f>
        <v>248.11019999999996</v>
      </c>
      <c r="E163" s="60">
        <f>(0.75*(2.75+2.25+2.75)+(2.75*1.5+2.25*1+2.75*1))*(10.764)</f>
        <v>160.78725</v>
      </c>
      <c r="F163" s="71">
        <f t="shared" si="19"/>
        <v>408.89744999999994</v>
      </c>
      <c r="G163" s="71">
        <v>0</v>
      </c>
      <c r="H163" s="71">
        <f t="shared" si="20"/>
        <v>592.90130249999993</v>
      </c>
      <c r="I163" s="32"/>
      <c r="J163" s="59">
        <f t="shared" si="21"/>
        <v>3557407.8149999995</v>
      </c>
    </row>
    <row r="164" spans="1:10" s="58" customFormat="1" ht="15.75" customHeight="1" x14ac:dyDescent="0.35">
      <c r="A164" s="76">
        <f>A163+1</f>
        <v>4</v>
      </c>
      <c r="B164" s="76"/>
      <c r="C164" s="71" t="s">
        <v>319</v>
      </c>
      <c r="D164" s="60">
        <f>((2.75*3+2.25*2+2.75*2+2*1.2+1.2*2))*(10.764)</f>
        <v>248.11019999999996</v>
      </c>
      <c r="E164" s="60">
        <f>(0.75*(2.75+2.25+2.75)+(2.75*1.5+2.25*1+2.75*1))*(10.764)</f>
        <v>160.78725</v>
      </c>
      <c r="F164" s="71">
        <f t="shared" si="19"/>
        <v>408.89744999999994</v>
      </c>
      <c r="G164" s="71">
        <v>0</v>
      </c>
      <c r="H164" s="71">
        <f t="shared" si="20"/>
        <v>592.90130249999993</v>
      </c>
      <c r="I164" s="32"/>
      <c r="J164" s="59">
        <f t="shared" si="21"/>
        <v>3557407.8149999995</v>
      </c>
    </row>
    <row r="165" spans="1:10" s="58" customFormat="1" ht="15.75" customHeight="1" x14ac:dyDescent="0.35">
      <c r="A165" s="76">
        <f>A164+1</f>
        <v>5</v>
      </c>
      <c r="B165" s="76"/>
      <c r="C165" s="71" t="s">
        <v>318</v>
      </c>
      <c r="D165" s="60">
        <f>((2.82*3+2.2*2.45+3*2+2.2*2.75+1.95*1.2+1.95*1.2+0.9*1.35+0.9*1.2))*(10.764)</f>
        <v>353.86649999999997</v>
      </c>
      <c r="E165" s="60">
        <f>((3*1+2.2*1.2+2.82*1.5+1.05*1.55)+0.75*(3+2.2+2.82+1.5))*(10.764)</f>
        <v>200.61404999999999</v>
      </c>
      <c r="F165" s="71">
        <f t="shared" si="19"/>
        <v>554.48054999999999</v>
      </c>
      <c r="G165" s="71">
        <v>0</v>
      </c>
      <c r="H165" s="71">
        <f t="shared" si="20"/>
        <v>803.99679749999996</v>
      </c>
      <c r="I165" s="32"/>
      <c r="J165" s="59">
        <f t="shared" si="21"/>
        <v>4823980.7850000001</v>
      </c>
    </row>
    <row r="166" spans="1:10" s="58" customFormat="1" ht="15.75" customHeight="1" x14ac:dyDescent="0.35">
      <c r="A166" s="76">
        <f t="shared" ref="A166:A169" si="22">A165+1</f>
        <v>6</v>
      </c>
      <c r="B166" s="76"/>
      <c r="C166" s="71" t="s">
        <v>318</v>
      </c>
      <c r="D166" s="60">
        <f>((2.82*3+2.2*2.45+3*2+2.2*2.75+1.95*1.2+1.95*1.2+0.9*1.35+0.9*1.2))*(10.764)</f>
        <v>353.86649999999997</v>
      </c>
      <c r="E166" s="60">
        <f>((3*1+2.2*1.2+2.82*1.5+1.05*1.55)+0.75*(3+2.2+2.82+1.5))*(10.764)</f>
        <v>200.61404999999999</v>
      </c>
      <c r="F166" s="71">
        <f t="shared" si="19"/>
        <v>554.48054999999999</v>
      </c>
      <c r="G166" s="71">
        <v>0</v>
      </c>
      <c r="H166" s="71">
        <f t="shared" si="20"/>
        <v>803.99679749999996</v>
      </c>
      <c r="I166" s="32"/>
      <c r="J166" s="59">
        <f t="shared" si="21"/>
        <v>4823980.7850000001</v>
      </c>
    </row>
    <row r="167" spans="1:10" s="58" customFormat="1" ht="15.75" customHeight="1" x14ac:dyDescent="0.35">
      <c r="A167" s="76">
        <f t="shared" si="22"/>
        <v>7</v>
      </c>
      <c r="B167" s="76"/>
      <c r="C167" s="68" t="s">
        <v>319</v>
      </c>
      <c r="D167" s="60">
        <f>((2.75*3+2.25*2+2.75*2+2*1.2+1.2*2))*(10.764)</f>
        <v>248.11019999999996</v>
      </c>
      <c r="E167" s="60">
        <f>(0.75*(2.75+2.25+2.75)+(2.75*1.5+2.25*1+2.75*1))*(10.764)</f>
        <v>160.78725</v>
      </c>
      <c r="F167" s="68">
        <f t="shared" si="19"/>
        <v>408.89744999999994</v>
      </c>
      <c r="G167" s="68">
        <v>0</v>
      </c>
      <c r="H167" s="68">
        <f t="shared" si="20"/>
        <v>592.90130249999993</v>
      </c>
      <c r="I167" s="32"/>
      <c r="J167" s="59">
        <f t="shared" si="21"/>
        <v>3557407.8149999995</v>
      </c>
    </row>
    <row r="168" spans="1:10" s="58" customFormat="1" ht="15.75" customHeight="1" x14ac:dyDescent="0.35">
      <c r="A168" s="76">
        <f t="shared" si="22"/>
        <v>8</v>
      </c>
      <c r="B168" s="76"/>
      <c r="C168" s="68" t="s">
        <v>319</v>
      </c>
      <c r="D168" s="60">
        <f>((2.75*3+2.25*2+2.75*2+2*1.2+1.2*2))*(10.764)</f>
        <v>248.11019999999996</v>
      </c>
      <c r="E168" s="60">
        <f>(0.75*(2.75+2.25+2.75)+(2.75*1.5+2.25*1+2.75*1))*(10.764)</f>
        <v>160.78725</v>
      </c>
      <c r="F168" s="68">
        <f t="shared" si="19"/>
        <v>408.89744999999994</v>
      </c>
      <c r="G168" s="68">
        <v>0</v>
      </c>
      <c r="H168" s="68">
        <f t="shared" si="20"/>
        <v>592.90130249999993</v>
      </c>
      <c r="I168" s="32"/>
      <c r="J168" s="59">
        <f t="shared" si="21"/>
        <v>3557407.8149999995</v>
      </c>
    </row>
    <row r="169" spans="1:10" s="58" customFormat="1" ht="15.75" customHeight="1" x14ac:dyDescent="0.35">
      <c r="A169" s="76">
        <f t="shared" si="22"/>
        <v>9</v>
      </c>
      <c r="B169" s="76"/>
      <c r="C169" s="68" t="s">
        <v>318</v>
      </c>
      <c r="D169" s="60">
        <f>((3*2.85+2*2.25+2*2.75+2*2.65+1.2*2+2*1.2))*(10.764)</f>
        <v>308.38859999999994</v>
      </c>
      <c r="E169" s="60">
        <f>(0.75*(2.75+2.25+2.85+2.65)+(1.5*2.85+1*2.25+1*2.75+1*2.65))*(10.764)</f>
        <v>213.12719999999999</v>
      </c>
      <c r="F169" s="68">
        <f t="shared" si="19"/>
        <v>521.5157999999999</v>
      </c>
      <c r="G169" s="68">
        <v>0</v>
      </c>
      <c r="H169" s="68">
        <f t="shared" si="20"/>
        <v>756.19790999999987</v>
      </c>
      <c r="I169" s="32"/>
      <c r="J169" s="59">
        <f t="shared" si="21"/>
        <v>4537187.459999999</v>
      </c>
    </row>
    <row r="170" spans="1:10" s="58" customFormat="1" x14ac:dyDescent="0.35">
      <c r="A170" s="87" t="s">
        <v>337</v>
      </c>
      <c r="B170" s="87"/>
      <c r="C170" s="87"/>
      <c r="D170" s="87"/>
      <c r="E170" s="87"/>
      <c r="F170" s="87"/>
      <c r="G170" s="87"/>
      <c r="H170" s="87"/>
      <c r="I170" s="32"/>
    </row>
    <row r="171" spans="1:10" s="58" customFormat="1" ht="15.75" customHeight="1" x14ac:dyDescent="0.35">
      <c r="A171" s="76">
        <v>1</v>
      </c>
      <c r="B171" s="76"/>
      <c r="C171" s="68" t="s">
        <v>318</v>
      </c>
      <c r="D171" s="60">
        <f>((2.8*3+2.2*2.45+3*2+2.2*2.75+1.05*1.2+0.9*1.35+1.95*1.2+1.95*1.2))*(10.764)</f>
        <v>355.15818000000002</v>
      </c>
      <c r="E171" s="60">
        <f>(0.75*(2.8+2.2+3+1.5)+(2.8*1.5+2.2*1.2+3*1+1.05*1.5))*(10.764)</f>
        <v>199.56455999999997</v>
      </c>
      <c r="F171" s="68">
        <f>D171+E171</f>
        <v>554.72273999999993</v>
      </c>
      <c r="G171" s="68">
        <v>0</v>
      </c>
      <c r="H171" s="68">
        <f>F171*(($H$139)+1)+(IF(G171&lt;101,G171,IF(G171&lt;201,G171/2,IF(G171&lt;=301,G171/3,G171/4))))</f>
        <v>804.34797299999991</v>
      </c>
      <c r="I171" s="32"/>
    </row>
    <row r="172" spans="1:10" s="58" customFormat="1" ht="15.75" customHeight="1" x14ac:dyDescent="0.35">
      <c r="A172" s="76">
        <v>2</v>
      </c>
      <c r="B172" s="76"/>
      <c r="C172" s="68" t="s">
        <v>318</v>
      </c>
      <c r="D172" s="60">
        <f>((2.82*3+2.2*2.45+3*2+2.2*2.75+1.95*1.2+1.95*1.2+0.9*1.35+0.9*1.2))*(10.764)</f>
        <v>353.86649999999997</v>
      </c>
      <c r="E172" s="60">
        <f>((3*1+2.2*1.2+2.82*1.5+1.05*1.55)+0.75*(3+2.2+2.82+1.5))*(10.764)</f>
        <v>200.61404999999999</v>
      </c>
      <c r="F172" s="68">
        <f>D172+E172</f>
        <v>554.48054999999999</v>
      </c>
      <c r="G172" s="68">
        <v>0</v>
      </c>
      <c r="H172" s="68">
        <f>F172*(($H$139)+1)+(IF(G172&lt;101,G172,IF(G172&lt;201,G172/2,IF(G172&lt;=301,G172/3,G172/4))))</f>
        <v>803.99679749999996</v>
      </c>
      <c r="I172" s="32"/>
    </row>
    <row r="173" spans="1:10" s="58" customFormat="1" ht="15.75" customHeight="1" x14ac:dyDescent="0.35">
      <c r="A173" s="76">
        <v>3</v>
      </c>
      <c r="B173" s="76"/>
      <c r="C173" s="68" t="s">
        <v>319</v>
      </c>
      <c r="D173" s="60">
        <f>((2.75*3+2.25*2+2.75*2+2*1.2+1.2*2))*(10.764)</f>
        <v>248.11019999999996</v>
      </c>
      <c r="E173" s="60">
        <f>(0.75*(2.75+2.25+2.75)+(2.75*1.5+2.25*1+2.75*1))*(10.764)</f>
        <v>160.78725</v>
      </c>
      <c r="F173" s="68">
        <f>D173+E173</f>
        <v>408.89744999999994</v>
      </c>
      <c r="G173" s="68">
        <v>0</v>
      </c>
      <c r="H173" s="68">
        <f>F173*(($H$139)+1)+(IF(G173&lt;101,G173,IF(G173&lt;201,G173/2,IF(G173&lt;=301,G173/3,G173/4))))</f>
        <v>592.90130249999993</v>
      </c>
      <c r="I173" s="32"/>
    </row>
    <row r="174" spans="1:10" s="58" customFormat="1" ht="15.75" customHeight="1" x14ac:dyDescent="0.35">
      <c r="A174" s="76">
        <v>4</v>
      </c>
      <c r="B174" s="76"/>
      <c r="C174" s="76" t="s">
        <v>338</v>
      </c>
      <c r="D174" s="76"/>
      <c r="E174" s="76"/>
      <c r="F174" s="76"/>
      <c r="G174" s="76"/>
      <c r="H174" s="76"/>
      <c r="I174" s="61"/>
    </row>
    <row r="175" spans="1:10" s="58" customFormat="1" ht="15.75" customHeight="1" x14ac:dyDescent="0.35">
      <c r="A175" s="76">
        <v>5</v>
      </c>
      <c r="B175" s="76"/>
      <c r="C175" s="57" t="s">
        <v>318</v>
      </c>
      <c r="D175" s="60">
        <f>((2.82*3+2.2*2.45+3*2+2.2*2.75+1.95*1.2+1.95*1.2+0.9*1.35+0.9*1.2))*(10.764)</f>
        <v>353.86649999999997</v>
      </c>
      <c r="E175" s="60">
        <f>((3*1+2.2*1.2+2.82*1.5+1.05*1.55)+0.75*(3+2.2+2.82+1.5))*(10.764)</f>
        <v>200.61404999999999</v>
      </c>
      <c r="F175" s="57">
        <f>D175+E175</f>
        <v>554.48054999999999</v>
      </c>
      <c r="G175" s="57">
        <v>0</v>
      </c>
      <c r="H175" s="57">
        <f>F175*(($H$139)+1)+(IF(G175&lt;101,G175,IF(G175&lt;201,G175/2,IF(G175&lt;=301,G175/3,G175/4))))</f>
        <v>803.99679749999996</v>
      </c>
      <c r="I175" s="32"/>
    </row>
    <row r="176" spans="1:10" s="58" customFormat="1" ht="15.75" customHeight="1" x14ac:dyDescent="0.35">
      <c r="A176" s="76">
        <v>6</v>
      </c>
      <c r="B176" s="76"/>
      <c r="C176" s="57" t="s">
        <v>318</v>
      </c>
      <c r="D176" s="60">
        <f>((2.82*3+2.2*2.45+3*2+2.2*2.75+1.95*1.2+1.95*1.2+0.9*1.35+0.9*1.2))*(10.764)</f>
        <v>353.86649999999997</v>
      </c>
      <c r="E176" s="60">
        <f>((3*1+2.2*1.2+2.82*1.5+1.05*1.55)+0.75*(3+2.2+2.82+1.5))*(10.764)</f>
        <v>200.61404999999999</v>
      </c>
      <c r="F176" s="57">
        <f>D176+E176</f>
        <v>554.48054999999999</v>
      </c>
      <c r="G176" s="57">
        <v>0</v>
      </c>
      <c r="H176" s="57">
        <f>F176*(($H$139)+1)+(IF(G176&lt;101,G176,IF(G176&lt;201,G176/2,IF(G176&lt;=301,G176/3,G176/4))))</f>
        <v>803.99679749999996</v>
      </c>
      <c r="I176" s="32"/>
    </row>
    <row r="177" spans="1:20" s="58" customFormat="1" ht="15.75" customHeight="1" x14ac:dyDescent="0.35">
      <c r="A177" s="76">
        <v>7</v>
      </c>
      <c r="B177" s="76"/>
      <c r="C177" s="57" t="s">
        <v>319</v>
      </c>
      <c r="D177" s="60">
        <f>((2.75*3+2.25*2+2.75*2+2*1.2+1.2*2))*(10.764)</f>
        <v>248.11019999999996</v>
      </c>
      <c r="E177" s="60">
        <f>(0.75*(2.75+2.25+2.75)+(2.75*1.5+2.25*1+2.75*1))*(10.764)</f>
        <v>160.78725</v>
      </c>
      <c r="F177" s="57">
        <f>D177+E177</f>
        <v>408.89744999999994</v>
      </c>
      <c r="G177" s="57">
        <v>0</v>
      </c>
      <c r="H177" s="57">
        <f>F177*(($H$139)+1)+(IF(G177&lt;101,G177,IF(G177&lt;201,G177/2,IF(G177&lt;=301,G177/3,G177/4))))</f>
        <v>592.90130249999993</v>
      </c>
      <c r="I177" s="61"/>
    </row>
    <row r="178" spans="1:20" s="58" customFormat="1" ht="15.75" customHeight="1" x14ac:dyDescent="0.35">
      <c r="A178" s="76">
        <v>8</v>
      </c>
      <c r="B178" s="76"/>
      <c r="C178" s="57" t="s">
        <v>319</v>
      </c>
      <c r="D178" s="60">
        <f>((2.75*3+2.25*2+2.75*2+2*1.2+1.2*2))*(10.764)</f>
        <v>248.11019999999996</v>
      </c>
      <c r="E178" s="60">
        <f>(0.75*(2.75+2.25+2.75)+(2.75*1.5+2.25*1+2.75*1))*(10.764)</f>
        <v>160.78725</v>
      </c>
      <c r="F178" s="57">
        <f>D178+E178</f>
        <v>408.89744999999994</v>
      </c>
      <c r="G178" s="57">
        <v>0</v>
      </c>
      <c r="H178" s="57">
        <f>F178*(($H$139)+1)+(IF(G178&lt;101,G178,IF(G178&lt;201,G178/2,IF(G178&lt;=301,G178/3,G178/4))))</f>
        <v>592.90130249999993</v>
      </c>
      <c r="I178" s="61"/>
    </row>
    <row r="179" spans="1:20" s="58" customFormat="1" ht="15.75" customHeight="1" x14ac:dyDescent="0.35">
      <c r="A179" s="76">
        <v>9</v>
      </c>
      <c r="B179" s="76"/>
      <c r="C179" s="57" t="s">
        <v>318</v>
      </c>
      <c r="D179" s="60">
        <f>((3*2.85+2*2.25+2*2.75+2*2.65+1.2*2+2*1.2))*(10.764)</f>
        <v>308.38859999999994</v>
      </c>
      <c r="E179" s="60">
        <f>(0.75*(2.75+2.25+2.85+2.65)+(1.5*2.85+1*2.25+1*2.75+1*2.65))*(10.764)</f>
        <v>213.12719999999999</v>
      </c>
      <c r="F179" s="57">
        <f>D179+E179</f>
        <v>521.5157999999999</v>
      </c>
      <c r="G179" s="57">
        <v>0</v>
      </c>
      <c r="H179" s="57">
        <f>F179*(($H$139)+1)+(IF(G179&lt;101,G179,IF(G179&lt;201,G179/2,IF(G179&lt;=301,G179/3,G179/4))))</f>
        <v>756.19790999999987</v>
      </c>
      <c r="I179" s="32"/>
    </row>
    <row r="180" spans="1:20" s="58" customFormat="1" x14ac:dyDescent="0.35">
      <c r="A180" s="87" t="s">
        <v>339</v>
      </c>
      <c r="B180" s="87"/>
      <c r="C180" s="87"/>
      <c r="D180" s="87"/>
      <c r="E180" s="87"/>
      <c r="F180" s="87"/>
      <c r="G180" s="87"/>
      <c r="H180" s="87"/>
      <c r="I180" s="32"/>
      <c r="L180" s="86"/>
      <c r="M180" s="86"/>
    </row>
    <row r="181" spans="1:20" s="58" customFormat="1" x14ac:dyDescent="0.35">
      <c r="A181" s="76">
        <v>1</v>
      </c>
      <c r="B181" s="76"/>
      <c r="C181" s="57" t="s">
        <v>318</v>
      </c>
      <c r="D181" s="60">
        <f>((2.8*3+2.2*2.45+3*2+2.2*2.75+1.05*1.2+0.9*1.35+1.95*1.2+1.95*1.2))*(10.764)</f>
        <v>355.15818000000002</v>
      </c>
      <c r="E181" s="60">
        <f>(0.75*(2.8+2.2+3+1.5)+(2.8*1.5+2.2*1.2+3*1+1.05*1.5))*(10.764)</f>
        <v>199.56455999999997</v>
      </c>
      <c r="F181" s="57">
        <f>D181+E181</f>
        <v>554.72273999999993</v>
      </c>
      <c r="G181" s="62">
        <v>0</v>
      </c>
      <c r="H181" s="57">
        <f>F181*(($H$139)+1)+(IF(G181&lt;101,G181,IF(G181&lt;201,G181/2,IF(G181&lt;=301,G181/3,G181/4))))</f>
        <v>804.34797299999991</v>
      </c>
      <c r="I181" s="32"/>
      <c r="N181" s="32"/>
    </row>
    <row r="182" spans="1:20" s="58" customFormat="1" x14ac:dyDescent="0.35">
      <c r="A182" s="76">
        <f>A181+1</f>
        <v>2</v>
      </c>
      <c r="B182" s="76"/>
      <c r="C182" s="57" t="s">
        <v>318</v>
      </c>
      <c r="D182" s="60">
        <f>((2.82*3+2.2*2.45+3*2+2.2*2.75+1.95*1.2+1.95*1.2+0.9*1.35+0.9*1.2))*(10.764)</f>
        <v>353.86649999999997</v>
      </c>
      <c r="E182" s="60">
        <f>((3*1+2.2*1.2+2.82*1.5+1.05*1.55)+0.75*(3+2.2+2.82+1.5))*(10.764)</f>
        <v>200.61404999999999</v>
      </c>
      <c r="F182" s="57">
        <f>D182+E182</f>
        <v>554.48054999999999</v>
      </c>
      <c r="G182" s="62">
        <v>0</v>
      </c>
      <c r="H182" s="57">
        <f>F182*(($H$139)+1)+(IF(G182&lt;101,G182,IF(G182&lt;201,G182/2,IF(G182&lt;=301,G182/3,G182/4))))</f>
        <v>803.99679749999996</v>
      </c>
      <c r="I182" s="32"/>
      <c r="J182" s="32"/>
      <c r="N182" s="32"/>
    </row>
    <row r="183" spans="1:20" s="58" customFormat="1" x14ac:dyDescent="0.35">
      <c r="A183" s="76">
        <f>A182+1</f>
        <v>3</v>
      </c>
      <c r="B183" s="76"/>
      <c r="C183" s="57" t="s">
        <v>319</v>
      </c>
      <c r="D183" s="60">
        <f>((2.75*3+2.25*2+2.75*2+2*1.2+1.2*2))*(10.764)</f>
        <v>248.11019999999996</v>
      </c>
      <c r="E183" s="60">
        <f>(0.75*(2.75+2.25+2.75)+(2.75*1.5+2.25*1+2.75*1))*(10.764)</f>
        <v>160.78725</v>
      </c>
      <c r="F183" s="57">
        <f>D183+E183</f>
        <v>408.89744999999994</v>
      </c>
      <c r="G183" s="62">
        <v>0</v>
      </c>
      <c r="H183" s="57">
        <f>F183*(($H$139)+1)+(IF(G183&lt;101,G183,IF(G183&lt;201,G183/2,IF(G183&lt;=301,G183/3,G183/4))))</f>
        <v>592.90130249999993</v>
      </c>
      <c r="I183" s="32"/>
      <c r="N183" s="32"/>
    </row>
    <row r="184" spans="1:20" s="58" customFormat="1" x14ac:dyDescent="0.35">
      <c r="A184" s="76">
        <f>A183+1</f>
        <v>4</v>
      </c>
      <c r="B184" s="76"/>
      <c r="C184" s="57" t="s">
        <v>319</v>
      </c>
      <c r="D184" s="60">
        <f>((2.75*3+2.25*2+2.75*2+2*1.2+1.2*2))*(10.764)</f>
        <v>248.11019999999996</v>
      </c>
      <c r="E184" s="60">
        <f>(0.75*(2.75+2.25+2.75)+(2.75*1.5+2.25*1+2.75*1))*(10.764)</f>
        <v>160.78725</v>
      </c>
      <c r="F184" s="57">
        <f>D184+E184</f>
        <v>408.89744999999994</v>
      </c>
      <c r="G184" s="62">
        <v>0</v>
      </c>
      <c r="H184" s="57">
        <f>F184*(($H$139)+1)+(IF(G184&lt;101,G184,IF(G184&lt;201,G184/2,IF(G184&lt;=301,G184/3,G184/4))))</f>
        <v>592.90130249999993</v>
      </c>
      <c r="I184" s="32"/>
      <c r="N184" s="32"/>
    </row>
    <row r="185" spans="1:20" s="58" customFormat="1" x14ac:dyDescent="0.35">
      <c r="A185" s="76">
        <f>A184+1</f>
        <v>5</v>
      </c>
      <c r="B185" s="76"/>
      <c r="C185" s="57" t="s">
        <v>318</v>
      </c>
      <c r="D185" s="60">
        <f>((2.82*3+2.2*2.45+3*2+2.2*2.75+1.95*1.2+1.95*1.2+0.9*1.35+0.9*1.2))*(10.764)</f>
        <v>353.86649999999997</v>
      </c>
      <c r="E185" s="60">
        <f>((3*1+2.2*1.2+2.82*1.5+1.05*1.55)+0.75*(3+2.2+2.82+1.5))*(10.764)</f>
        <v>200.61404999999999</v>
      </c>
      <c r="F185" s="57">
        <f>D185+E185</f>
        <v>554.48054999999999</v>
      </c>
      <c r="G185" s="62">
        <v>0</v>
      </c>
      <c r="H185" s="57">
        <f>F185*(($H$139)+1)+(IF(G185&lt;101,G185,IF(G185&lt;201,G185/2,IF(G185&lt;=301,G185/3,G185/4))))</f>
        <v>803.99679749999996</v>
      </c>
      <c r="I185" s="32"/>
      <c r="N185" s="32"/>
    </row>
    <row r="186" spans="1:20" s="58" customFormat="1" x14ac:dyDescent="0.35">
      <c r="A186" s="76">
        <f t="shared" ref="A186:A189" si="23">A185+1</f>
        <v>6</v>
      </c>
      <c r="B186" s="76"/>
      <c r="C186" s="77" t="s">
        <v>340</v>
      </c>
      <c r="D186" s="78"/>
      <c r="E186" s="78"/>
      <c r="F186" s="78"/>
      <c r="G186" s="78"/>
      <c r="H186" s="79"/>
      <c r="I186" s="32"/>
      <c r="N186" s="32"/>
    </row>
    <row r="187" spans="1:20" s="58" customFormat="1" x14ac:dyDescent="0.35">
      <c r="A187" s="76">
        <f t="shared" si="23"/>
        <v>7</v>
      </c>
      <c r="B187" s="76"/>
      <c r="C187" s="80"/>
      <c r="D187" s="81"/>
      <c r="E187" s="81"/>
      <c r="F187" s="81"/>
      <c r="G187" s="81"/>
      <c r="H187" s="82"/>
      <c r="I187" s="32"/>
      <c r="N187" s="32"/>
    </row>
    <row r="188" spans="1:20" s="58" customFormat="1" x14ac:dyDescent="0.35">
      <c r="A188" s="76">
        <f t="shared" si="23"/>
        <v>8</v>
      </c>
      <c r="B188" s="76"/>
      <c r="C188" s="80"/>
      <c r="D188" s="81"/>
      <c r="E188" s="81"/>
      <c r="F188" s="81"/>
      <c r="G188" s="81"/>
      <c r="H188" s="82"/>
      <c r="I188" s="32"/>
      <c r="N188" s="32"/>
    </row>
    <row r="189" spans="1:20" s="58" customFormat="1" x14ac:dyDescent="0.35">
      <c r="A189" s="76">
        <f t="shared" si="23"/>
        <v>9</v>
      </c>
      <c r="B189" s="76"/>
      <c r="C189" s="83"/>
      <c r="D189" s="84"/>
      <c r="E189" s="84"/>
      <c r="F189" s="84"/>
      <c r="G189" s="84"/>
      <c r="H189" s="85"/>
      <c r="I189" s="32"/>
      <c r="N189" s="32"/>
    </row>
    <row r="190" spans="1:20" s="31" customFormat="1" x14ac:dyDescent="0.35">
      <c r="A190" s="163" t="s">
        <v>64</v>
      </c>
      <c r="B190" s="163"/>
      <c r="C190" s="163"/>
      <c r="D190" s="163"/>
      <c r="E190" s="163"/>
      <c r="F190" s="163"/>
      <c r="G190" s="163"/>
      <c r="H190" s="163"/>
      <c r="T190" s="33"/>
    </row>
    <row r="191" spans="1:20" s="31" customFormat="1" x14ac:dyDescent="0.35">
      <c r="A191" s="39" t="s">
        <v>150</v>
      </c>
      <c r="B191" s="155" t="s">
        <v>349</v>
      </c>
      <c r="C191" s="156"/>
      <c r="D191" s="156"/>
      <c r="E191" s="156"/>
      <c r="F191" s="156"/>
      <c r="G191" s="156"/>
      <c r="H191" s="157"/>
      <c r="T191" s="33"/>
    </row>
    <row r="192" spans="1:20" s="31" customFormat="1" x14ac:dyDescent="0.35">
      <c r="A192" s="39" t="s">
        <v>150</v>
      </c>
      <c r="B192" s="155" t="str">
        <f>(IF(H138="Saleable area Loading :","We have considered Saleable area of Flats as per our Calculation.","We considered Saleable area of Flat as per Builder area Sheet."))</f>
        <v>We have considered Saleable area of Flats as per our Calculation.</v>
      </c>
      <c r="C192" s="156"/>
      <c r="D192" s="156"/>
      <c r="E192" s="156"/>
      <c r="F192" s="156"/>
      <c r="G192" s="156"/>
      <c r="H192" s="157"/>
      <c r="T192" s="33"/>
    </row>
    <row r="193" spans="1:20" s="31" customFormat="1" x14ac:dyDescent="0.35">
      <c r="A193" s="39" t="s">
        <v>150</v>
      </c>
      <c r="B193" s="155" t="str">
        <f>(IF(H112="Saleable area Loading :","We have considered Saleable area of Commercial as per our Calculation.","We considered Saleable area of Commercial as per Builder area Sheet."))</f>
        <v>We have considered Saleable area of Commercial as per our Calculation.</v>
      </c>
      <c r="C193" s="156"/>
      <c r="D193" s="156"/>
      <c r="E193" s="156"/>
      <c r="F193" s="156"/>
      <c r="G193" s="156"/>
      <c r="H193" s="157"/>
      <c r="T193" s="33"/>
    </row>
    <row r="194" spans="1:20" s="31" customFormat="1" x14ac:dyDescent="0.35">
      <c r="A194" s="39" t="s">
        <v>150</v>
      </c>
      <c r="B194" s="152" t="s">
        <v>120</v>
      </c>
      <c r="C194" s="153"/>
      <c r="D194" s="153"/>
      <c r="E194" s="153"/>
      <c r="F194" s="153"/>
      <c r="G194" s="153"/>
      <c r="H194" s="154"/>
      <c r="T194" s="33"/>
    </row>
    <row r="195" spans="1:20" s="31" customFormat="1" x14ac:dyDescent="0.35">
      <c r="A195" s="39" t="s">
        <v>150</v>
      </c>
      <c r="B195" s="152" t="s">
        <v>350</v>
      </c>
      <c r="C195" s="153"/>
      <c r="D195" s="153"/>
      <c r="E195" s="153"/>
      <c r="F195" s="153"/>
      <c r="G195" s="153"/>
      <c r="H195" s="154"/>
      <c r="T195" s="33"/>
    </row>
    <row r="196" spans="1:20" s="31" customFormat="1" x14ac:dyDescent="0.35">
      <c r="A196" s="39" t="s">
        <v>150</v>
      </c>
      <c r="B196" s="152" t="s">
        <v>149</v>
      </c>
      <c r="C196" s="153"/>
      <c r="D196" s="153"/>
      <c r="E196" s="153"/>
      <c r="F196" s="153"/>
      <c r="G196" s="153"/>
      <c r="H196" s="154"/>
    </row>
    <row r="197" spans="1:20" s="31" customFormat="1" x14ac:dyDescent="0.35">
      <c r="A197" s="39" t="s">
        <v>150</v>
      </c>
      <c r="B197" s="152" t="s">
        <v>121</v>
      </c>
      <c r="C197" s="153"/>
      <c r="D197" s="153"/>
      <c r="E197" s="153"/>
      <c r="F197" s="153"/>
      <c r="G197" s="153"/>
      <c r="H197" s="154"/>
    </row>
    <row r="198" spans="1:20" s="31" customFormat="1" ht="34.5" customHeight="1" x14ac:dyDescent="0.35">
      <c r="A198" s="74" t="s">
        <v>150</v>
      </c>
      <c r="B198" s="199" t="s">
        <v>151</v>
      </c>
      <c r="C198" s="199"/>
      <c r="D198" s="199"/>
      <c r="E198" s="199"/>
      <c r="F198" s="199"/>
      <c r="G198" s="199"/>
      <c r="H198" s="199"/>
    </row>
    <row r="199" spans="1:20" s="31" customFormat="1" x14ac:dyDescent="0.35">
      <c r="A199" s="74" t="s">
        <v>150</v>
      </c>
      <c r="B199" s="199" t="s">
        <v>122</v>
      </c>
      <c r="C199" s="199"/>
      <c r="D199" s="199"/>
      <c r="E199" s="199"/>
      <c r="F199" s="199"/>
      <c r="G199" s="199"/>
      <c r="H199" s="199"/>
    </row>
    <row r="200" spans="1:20" s="31" customFormat="1" x14ac:dyDescent="0.35">
      <c r="A200" s="74" t="s">
        <v>150</v>
      </c>
      <c r="B200" s="147" t="s">
        <v>348</v>
      </c>
      <c r="C200" s="147"/>
      <c r="D200" s="147"/>
      <c r="E200" s="147"/>
      <c r="F200" s="147"/>
      <c r="G200" s="147"/>
      <c r="H200" s="147"/>
    </row>
    <row r="201" spans="1:20" s="31" customFormat="1" ht="32.25" customHeight="1" x14ac:dyDescent="0.35">
      <c r="A201" s="74" t="s">
        <v>150</v>
      </c>
      <c r="B201" s="147" t="s">
        <v>175</v>
      </c>
      <c r="C201" s="147"/>
      <c r="D201" s="147"/>
      <c r="E201" s="147"/>
      <c r="F201" s="147"/>
      <c r="G201" s="147"/>
      <c r="H201" s="147"/>
    </row>
    <row r="202" spans="1:20" s="31" customFormat="1" x14ac:dyDescent="0.35">
      <c r="A202" s="74" t="s">
        <v>150</v>
      </c>
      <c r="B202" s="147" t="s">
        <v>353</v>
      </c>
      <c r="C202" s="147"/>
      <c r="D202" s="147"/>
      <c r="E202" s="147"/>
      <c r="F202" s="147"/>
      <c r="G202" s="147"/>
      <c r="H202" s="147"/>
    </row>
    <row r="203" spans="1:20" x14ac:dyDescent="0.35">
      <c r="A203" s="158" t="s">
        <v>57</v>
      </c>
      <c r="B203" s="158"/>
      <c r="C203" s="158"/>
      <c r="D203" s="158"/>
      <c r="E203" s="158"/>
      <c r="F203" s="158"/>
      <c r="G203" s="158"/>
      <c r="H203" s="158"/>
      <c r="T203" s="31"/>
    </row>
    <row r="204" spans="1:20" x14ac:dyDescent="0.35">
      <c r="A204" s="115" t="s">
        <v>58</v>
      </c>
      <c r="B204" s="115"/>
      <c r="C204" s="115"/>
      <c r="D204" s="115"/>
      <c r="E204" s="115"/>
      <c r="F204" s="115"/>
      <c r="G204" s="115"/>
      <c r="H204" s="115"/>
      <c r="T204" s="31"/>
    </row>
    <row r="205" spans="1:20" ht="15.75" customHeight="1" x14ac:dyDescent="0.35">
      <c r="A205" s="138" t="s">
        <v>59</v>
      </c>
      <c r="B205" s="138"/>
      <c r="C205" s="138"/>
      <c r="D205" s="138"/>
      <c r="E205" s="138"/>
      <c r="F205" s="138"/>
      <c r="G205" s="138"/>
      <c r="H205" s="138"/>
      <c r="T205" s="31"/>
    </row>
    <row r="206" spans="1:20" x14ac:dyDescent="0.35">
      <c r="A206" s="115" t="s">
        <v>60</v>
      </c>
      <c r="B206" s="115"/>
      <c r="C206" s="115"/>
      <c r="D206" s="115"/>
      <c r="E206" s="115"/>
      <c r="F206" s="115"/>
      <c r="G206" s="115"/>
      <c r="H206" s="115"/>
      <c r="T206" s="31"/>
    </row>
    <row r="207" spans="1:20" x14ac:dyDescent="0.35">
      <c r="A207" s="115" t="s">
        <v>61</v>
      </c>
      <c r="B207" s="115"/>
      <c r="C207" s="115"/>
      <c r="D207" s="115"/>
      <c r="E207" s="115"/>
      <c r="F207" s="115"/>
      <c r="G207" s="115"/>
      <c r="H207" s="115"/>
      <c r="T207" s="31"/>
    </row>
    <row r="208" spans="1:20" x14ac:dyDescent="0.35">
      <c r="A208" s="115" t="s">
        <v>123</v>
      </c>
      <c r="B208" s="115"/>
      <c r="C208" s="115"/>
      <c r="D208" s="115"/>
      <c r="E208" s="115"/>
      <c r="F208" s="115"/>
      <c r="G208" s="115"/>
      <c r="H208" s="115"/>
      <c r="T208" s="31"/>
    </row>
    <row r="209" spans="1:8" ht="34" customHeight="1" x14ac:dyDescent="0.35">
      <c r="A209" s="122" t="s">
        <v>124</v>
      </c>
      <c r="B209" s="122"/>
      <c r="C209" s="122"/>
      <c r="D209" s="122"/>
      <c r="E209" s="122"/>
      <c r="F209" s="122"/>
      <c r="G209" s="122"/>
      <c r="H209" s="122"/>
    </row>
    <row r="210" spans="1:8" x14ac:dyDescent="0.35">
      <c r="A210" s="160" t="s">
        <v>73</v>
      </c>
      <c r="B210" s="160"/>
      <c r="C210" s="160" t="s">
        <v>334</v>
      </c>
      <c r="D210" s="160"/>
      <c r="E210" s="160" t="s">
        <v>103</v>
      </c>
      <c r="F210" s="160"/>
      <c r="G210" s="160" t="s">
        <v>355</v>
      </c>
      <c r="H210" s="160"/>
    </row>
    <row r="211" spans="1:8" x14ac:dyDescent="0.35">
      <c r="A211" s="159" t="s">
        <v>75</v>
      </c>
      <c r="B211" s="159"/>
      <c r="C211" s="159"/>
      <c r="D211" s="159"/>
      <c r="E211" s="159"/>
      <c r="F211" s="159"/>
      <c r="G211" s="159"/>
      <c r="H211" s="159"/>
    </row>
    <row r="212" spans="1:8" x14ac:dyDescent="0.35">
      <c r="A212" s="159"/>
      <c r="B212" s="159"/>
      <c r="C212" s="159"/>
      <c r="D212" s="159"/>
      <c r="E212" s="159"/>
      <c r="F212" s="159"/>
      <c r="G212" s="159"/>
      <c r="H212" s="159"/>
    </row>
    <row r="213" spans="1:8" x14ac:dyDescent="0.35">
      <c r="A213" s="159"/>
      <c r="B213" s="159"/>
      <c r="C213" s="159"/>
      <c r="D213" s="159"/>
      <c r="E213" s="159"/>
      <c r="F213" s="159"/>
      <c r="G213" s="159"/>
      <c r="H213" s="159"/>
    </row>
    <row r="214" spans="1:8" x14ac:dyDescent="0.35">
      <c r="A214" s="159"/>
      <c r="B214" s="159"/>
      <c r="C214" s="159"/>
      <c r="D214" s="159"/>
      <c r="E214" s="159"/>
      <c r="F214" s="159"/>
      <c r="G214" s="159"/>
      <c r="H214" s="159"/>
    </row>
    <row r="215" spans="1:8" x14ac:dyDescent="0.35">
      <c r="A215" s="34" t="s">
        <v>62</v>
      </c>
      <c r="B215" s="35"/>
      <c r="C215" s="35"/>
      <c r="D215" s="34" t="str">
        <f>E9</f>
        <v>Dattachhaya</v>
      </c>
      <c r="F215" s="35"/>
      <c r="G215" s="35"/>
      <c r="H215" s="35"/>
    </row>
    <row r="216" spans="1:8" x14ac:dyDescent="0.35">
      <c r="A216" s="35"/>
      <c r="B216" s="35"/>
      <c r="C216" s="35"/>
      <c r="D216" s="35"/>
      <c r="E216" s="35"/>
      <c r="F216" s="35"/>
      <c r="G216" s="35"/>
      <c r="H216" s="35"/>
    </row>
    <row r="217" spans="1:8" x14ac:dyDescent="0.35">
      <c r="A217" s="35"/>
      <c r="B217" s="35"/>
      <c r="C217" s="35"/>
      <c r="D217" s="35"/>
      <c r="E217" s="35"/>
      <c r="F217" s="35"/>
      <c r="G217" s="35"/>
      <c r="H217" s="35"/>
    </row>
    <row r="218" spans="1:8" ht="15" customHeight="1" x14ac:dyDescent="0.35"/>
    <row r="258" spans="1:1" x14ac:dyDescent="0.35">
      <c r="A258" s="37" t="s">
        <v>160</v>
      </c>
    </row>
    <row r="301" spans="1:1" x14ac:dyDescent="0.35">
      <c r="A301" s="37" t="s">
        <v>63</v>
      </c>
    </row>
  </sheetData>
  <mergeCells count="374">
    <mergeCell ref="B191:H191"/>
    <mergeCell ref="B192:H192"/>
    <mergeCell ref="B194:H194"/>
    <mergeCell ref="B200:H200"/>
    <mergeCell ref="A129:B129"/>
    <mergeCell ref="A150:H150"/>
    <mergeCell ref="A157:B157"/>
    <mergeCell ref="D112:D113"/>
    <mergeCell ref="A91:E91"/>
    <mergeCell ref="A160:H160"/>
    <mergeCell ref="A161:B161"/>
    <mergeCell ref="A162:B162"/>
    <mergeCell ref="A163:B163"/>
    <mergeCell ref="A164:B164"/>
    <mergeCell ref="A165:B165"/>
    <mergeCell ref="A166:B166"/>
    <mergeCell ref="C174:H174"/>
    <mergeCell ref="A180:H180"/>
    <mergeCell ref="A183:B183"/>
    <mergeCell ref="A184:B184"/>
    <mergeCell ref="A185:B185"/>
    <mergeCell ref="A186:B186"/>
    <mergeCell ref="A187:B187"/>
    <mergeCell ref="A188:B188"/>
    <mergeCell ref="A90:E90"/>
    <mergeCell ref="A87:E87"/>
    <mergeCell ref="F91:H91"/>
    <mergeCell ref="G104:H104"/>
    <mergeCell ref="G112:G113"/>
    <mergeCell ref="B202:H202"/>
    <mergeCell ref="A92:E92"/>
    <mergeCell ref="A108:B108"/>
    <mergeCell ref="E108:F108"/>
    <mergeCell ref="A97:E97"/>
    <mergeCell ref="G108:H108"/>
    <mergeCell ref="C103:D103"/>
    <mergeCell ref="E103:F103"/>
    <mergeCell ref="G103:H103"/>
    <mergeCell ref="A104:B104"/>
    <mergeCell ref="C104:D104"/>
    <mergeCell ref="E104:F104"/>
    <mergeCell ref="B198:H198"/>
    <mergeCell ref="B196:H196"/>
    <mergeCell ref="A137:H137"/>
    <mergeCell ref="A138:A139"/>
    <mergeCell ref="F138:F139"/>
    <mergeCell ref="A158:B158"/>
    <mergeCell ref="A159:B159"/>
    <mergeCell ref="A45:D45"/>
    <mergeCell ref="A40:B40"/>
    <mergeCell ref="C40:H40"/>
    <mergeCell ref="F112:F113"/>
    <mergeCell ref="C102:D102"/>
    <mergeCell ref="E102:F102"/>
    <mergeCell ref="B112:B113"/>
    <mergeCell ref="A112:A113"/>
    <mergeCell ref="C138:C139"/>
    <mergeCell ref="G138:G139"/>
    <mergeCell ref="G109:H109"/>
    <mergeCell ref="C55:H55"/>
    <mergeCell ref="A76:B76"/>
    <mergeCell ref="A49:B49"/>
    <mergeCell ref="C49:H49"/>
    <mergeCell ref="A79:B79"/>
    <mergeCell ref="A75:B75"/>
    <mergeCell ref="A73:B73"/>
    <mergeCell ref="C73:H73"/>
    <mergeCell ref="A81:B81"/>
    <mergeCell ref="A68:C68"/>
    <mergeCell ref="D68:H68"/>
    <mergeCell ref="C75:H75"/>
    <mergeCell ref="A78:B78"/>
    <mergeCell ref="L118:M118"/>
    <mergeCell ref="L117:M117"/>
    <mergeCell ref="L116:M116"/>
    <mergeCell ref="L115:M115"/>
    <mergeCell ref="A84:B84"/>
    <mergeCell ref="C107:D107"/>
    <mergeCell ref="E107:F107"/>
    <mergeCell ref="G107:H107"/>
    <mergeCell ref="A88:E88"/>
    <mergeCell ref="A114:H114"/>
    <mergeCell ref="E112:E113"/>
    <mergeCell ref="F87:H87"/>
    <mergeCell ref="F92:H92"/>
    <mergeCell ref="A117:B117"/>
    <mergeCell ref="A93:E93"/>
    <mergeCell ref="F93:H93"/>
    <mergeCell ref="A95:E95"/>
    <mergeCell ref="F90:H90"/>
    <mergeCell ref="A94:E94"/>
    <mergeCell ref="E106:F106"/>
    <mergeCell ref="A110:H110"/>
    <mergeCell ref="A116:B116"/>
    <mergeCell ref="F89:H89"/>
    <mergeCell ref="A89:E89"/>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69:C69"/>
    <mergeCell ref="D69:H69"/>
    <mergeCell ref="A72:C72"/>
    <mergeCell ref="D72:H72"/>
    <mergeCell ref="A70:C70"/>
    <mergeCell ref="D71:H71"/>
    <mergeCell ref="A77:B77"/>
    <mergeCell ref="G76:H76"/>
    <mergeCell ref="E77:F86"/>
    <mergeCell ref="G77:H86"/>
    <mergeCell ref="A85:B85"/>
    <mergeCell ref="A86:B86"/>
    <mergeCell ref="A83:B83"/>
    <mergeCell ref="A211:H214"/>
    <mergeCell ref="A210:B210"/>
    <mergeCell ref="E210:F210"/>
    <mergeCell ref="C210:D210"/>
    <mergeCell ref="G210:H210"/>
    <mergeCell ref="A100:H100"/>
    <mergeCell ref="A98:E98"/>
    <mergeCell ref="F98:H98"/>
    <mergeCell ref="A99:E99"/>
    <mergeCell ref="F99:H99"/>
    <mergeCell ref="A107:B107"/>
    <mergeCell ref="A102:B102"/>
    <mergeCell ref="A206:H206"/>
    <mergeCell ref="A105:H105"/>
    <mergeCell ref="A209:H209"/>
    <mergeCell ref="A207:H207"/>
    <mergeCell ref="A203:H203"/>
    <mergeCell ref="G106:H106"/>
    <mergeCell ref="C112:C113"/>
    <mergeCell ref="B138:B139"/>
    <mergeCell ref="A204:H204"/>
    <mergeCell ref="B195:H195"/>
    <mergeCell ref="A190:H190"/>
    <mergeCell ref="A118:B118"/>
    <mergeCell ref="C51:E51"/>
    <mergeCell ref="A208:H208"/>
    <mergeCell ref="A205:H205"/>
    <mergeCell ref="A106:B106"/>
    <mergeCell ref="D138:D139"/>
    <mergeCell ref="E138:E139"/>
    <mergeCell ref="F88:H88"/>
    <mergeCell ref="G102:H102"/>
    <mergeCell ref="F94:H94"/>
    <mergeCell ref="C101:D101"/>
    <mergeCell ref="C108:D108"/>
    <mergeCell ref="A115:B115"/>
    <mergeCell ref="B201:H201"/>
    <mergeCell ref="A109:B109"/>
    <mergeCell ref="C109:D109"/>
    <mergeCell ref="E109:F109"/>
    <mergeCell ref="B199:H199"/>
    <mergeCell ref="B197:H197"/>
    <mergeCell ref="B193:H193"/>
    <mergeCell ref="G52:H52"/>
    <mergeCell ref="A51:B51"/>
    <mergeCell ref="A61:H61"/>
    <mergeCell ref="A80:B80"/>
    <mergeCell ref="E76:F76"/>
    <mergeCell ref="G54:H54"/>
    <mergeCell ref="A56:B57"/>
    <mergeCell ref="C56:E56"/>
    <mergeCell ref="G56:H56"/>
    <mergeCell ref="A58:B59"/>
    <mergeCell ref="C58:E58"/>
    <mergeCell ref="G58:H58"/>
    <mergeCell ref="A65:C65"/>
    <mergeCell ref="D65:H65"/>
    <mergeCell ref="I15:P15"/>
    <mergeCell ref="F97:H97"/>
    <mergeCell ref="F95:H95"/>
    <mergeCell ref="A111:H111"/>
    <mergeCell ref="G101:H101"/>
    <mergeCell ref="A96:E9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A62:C62"/>
    <mergeCell ref="A63:C63"/>
    <mergeCell ref="D63:H63"/>
    <mergeCell ref="G60:H60"/>
    <mergeCell ref="C50:E50"/>
    <mergeCell ref="G50:H50"/>
    <mergeCell ref="A124:B124"/>
    <mergeCell ref="L124:M124"/>
    <mergeCell ref="A125:B125"/>
    <mergeCell ref="L125:M125"/>
    <mergeCell ref="A126:B126"/>
    <mergeCell ref="L126:M126"/>
    <mergeCell ref="A119:B119"/>
    <mergeCell ref="L119:M119"/>
    <mergeCell ref="A120:B120"/>
    <mergeCell ref="L120:M120"/>
    <mergeCell ref="A121:B121"/>
    <mergeCell ref="L121:M121"/>
    <mergeCell ref="A122:B122"/>
    <mergeCell ref="L122:M122"/>
    <mergeCell ref="A123:B123"/>
    <mergeCell ref="L123:M123"/>
    <mergeCell ref="G51:H51"/>
    <mergeCell ref="A52:B53"/>
    <mergeCell ref="C53:H53"/>
    <mergeCell ref="C52:E52"/>
    <mergeCell ref="A54:B55"/>
    <mergeCell ref="C54:E54"/>
    <mergeCell ref="L129:M129"/>
    <mergeCell ref="A130:B130"/>
    <mergeCell ref="L130:M130"/>
    <mergeCell ref="A127:H127"/>
    <mergeCell ref="A128:B128"/>
    <mergeCell ref="L128:M128"/>
    <mergeCell ref="A131:B131"/>
    <mergeCell ref="L131:M131"/>
    <mergeCell ref="C141:H141"/>
    <mergeCell ref="A140:H140"/>
    <mergeCell ref="L140:M140"/>
    <mergeCell ref="A141:B141"/>
    <mergeCell ref="A132:B132"/>
    <mergeCell ref="L132:M132"/>
    <mergeCell ref="A133:B133"/>
    <mergeCell ref="L133:M133"/>
    <mergeCell ref="A134:B134"/>
    <mergeCell ref="L134:M134"/>
    <mergeCell ref="A135:B135"/>
    <mergeCell ref="L135:M135"/>
    <mergeCell ref="A136:B136"/>
    <mergeCell ref="L136:M136"/>
    <mergeCell ref="L150:M150"/>
    <mergeCell ref="A151:B151"/>
    <mergeCell ref="A152:B152"/>
    <mergeCell ref="A153:B153"/>
    <mergeCell ref="A154:B154"/>
    <mergeCell ref="A155:B155"/>
    <mergeCell ref="A156:B156"/>
    <mergeCell ref="A142:B142"/>
    <mergeCell ref="A143:B143"/>
    <mergeCell ref="A144:B144"/>
    <mergeCell ref="A145:B145"/>
    <mergeCell ref="A146:B146"/>
    <mergeCell ref="A147:B147"/>
    <mergeCell ref="A148:B148"/>
    <mergeCell ref="A149:B149"/>
    <mergeCell ref="A167:B167"/>
    <mergeCell ref="A168:B168"/>
    <mergeCell ref="A169:B169"/>
    <mergeCell ref="A170:H170"/>
    <mergeCell ref="A171:B171"/>
    <mergeCell ref="A172:B172"/>
    <mergeCell ref="A173:B173"/>
    <mergeCell ref="A174:B174"/>
    <mergeCell ref="A175:B175"/>
    <mergeCell ref="A189:B189"/>
    <mergeCell ref="C186:H189"/>
    <mergeCell ref="A176:B176"/>
    <mergeCell ref="A177:B177"/>
    <mergeCell ref="A178:B178"/>
    <mergeCell ref="A179:B179"/>
    <mergeCell ref="L180:M180"/>
    <mergeCell ref="A181:B181"/>
    <mergeCell ref="A182:B182"/>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2:E113">
      <formula1>"Attached Loft area,Attached Otla area,Attached Mezzanine area"</formula1>
    </dataValidation>
    <dataValidation type="list" allowBlank="1" showInputMessage="1" showErrorMessage="1" sqref="G210:H210">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2:B113">
      <formula1>"Shop No. (Sale Plan),Sale / Rehab,Sale / Mhada"</formula1>
    </dataValidation>
    <dataValidation type="list" allowBlank="1" showInputMessage="1" showErrorMessage="1" sqref="B138:B13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8:E139">
      <formula1>"Fungible area,Enclose Balcony Area + AP ,Chajja Area,Cornice Area,AP Area,WS Area"</formula1>
    </dataValidation>
    <dataValidation type="list" allowBlank="1" showInputMessage="1" showErrorMessage="1" sqref="H113 H13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12 H138">
      <formula1>"Saleable area Loading :,Builder Saleable Area"</formula1>
    </dataValidation>
    <dataValidation type="list" allowBlank="1" showInputMessage="1" showErrorMessage="1" sqref="D112:D113 D138:D139">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214" max="16383" man="1"/>
    <brk id="257" max="16383" man="1"/>
    <brk id="30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98" t="s">
        <v>104</v>
      </c>
      <c r="C3" s="198"/>
      <c r="D3" s="198"/>
      <c r="E3" s="198"/>
      <c r="F3" s="198"/>
      <c r="G3" s="198"/>
      <c r="H3" s="198"/>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3"/>
      <c r="C4" s="43" t="s">
        <v>10</v>
      </c>
      <c r="D4" s="44" t="s">
        <v>176</v>
      </c>
      <c r="E4" s="44" t="s">
        <v>186</v>
      </c>
      <c r="F4" s="44" t="s">
        <v>169</v>
      </c>
      <c r="G4" s="44" t="s">
        <v>191</v>
      </c>
      <c r="H4" s="44" t="s">
        <v>209</v>
      </c>
      <c r="J4" t="s">
        <v>191</v>
      </c>
      <c r="K4" t="s">
        <v>207</v>
      </c>
    </row>
    <row r="5" spans="2:11" x14ac:dyDescent="0.35">
      <c r="B5" s="43"/>
      <c r="C5" s="43"/>
      <c r="D5" s="44" t="s">
        <v>177</v>
      </c>
      <c r="E5" s="44" t="s">
        <v>184</v>
      </c>
      <c r="F5" s="44" t="s">
        <v>206</v>
      </c>
      <c r="G5" s="44" t="s">
        <v>192</v>
      </c>
      <c r="H5" s="44" t="s">
        <v>210</v>
      </c>
    </row>
    <row r="6" spans="2:11" x14ac:dyDescent="0.35">
      <c r="B6" s="43"/>
      <c r="C6" s="43"/>
      <c r="D6" s="44" t="s">
        <v>178</v>
      </c>
      <c r="E6" s="44" t="s">
        <v>185</v>
      </c>
      <c r="F6" s="44" t="s">
        <v>207</v>
      </c>
      <c r="G6" s="44" t="s">
        <v>193</v>
      </c>
      <c r="H6" s="44" t="s">
        <v>223</v>
      </c>
    </row>
    <row r="7" spans="2:11" x14ac:dyDescent="0.35">
      <c r="B7" s="43"/>
      <c r="C7" s="43"/>
      <c r="D7" s="44" t="s">
        <v>179</v>
      </c>
      <c r="E7" s="44" t="s">
        <v>187</v>
      </c>
      <c r="F7" s="44" t="s">
        <v>208</v>
      </c>
      <c r="G7" s="44" t="s">
        <v>194</v>
      </c>
      <c r="H7" s="44" t="s">
        <v>211</v>
      </c>
    </row>
    <row r="8" spans="2:11" x14ac:dyDescent="0.35">
      <c r="B8" s="43"/>
      <c r="C8" s="43"/>
      <c r="D8" s="44" t="s">
        <v>180</v>
      </c>
      <c r="E8" s="44" t="s">
        <v>188</v>
      </c>
      <c r="F8" s="44"/>
      <c r="G8" s="44" t="s">
        <v>195</v>
      </c>
      <c r="H8" s="44" t="s">
        <v>212</v>
      </c>
    </row>
    <row r="9" spans="2:11" x14ac:dyDescent="0.35">
      <c r="B9" s="43"/>
      <c r="C9" s="43"/>
      <c r="D9" s="44" t="s">
        <v>181</v>
      </c>
      <c r="E9" s="44" t="s">
        <v>186</v>
      </c>
      <c r="F9" s="44"/>
      <c r="G9" s="44" t="s">
        <v>196</v>
      </c>
      <c r="H9" s="44" t="s">
        <v>213</v>
      </c>
    </row>
    <row r="10" spans="2:11" x14ac:dyDescent="0.35">
      <c r="B10" s="43"/>
      <c r="C10" s="43"/>
      <c r="D10" s="44" t="s">
        <v>182</v>
      </c>
      <c r="E10" s="44" t="s">
        <v>189</v>
      </c>
      <c r="F10" s="44"/>
      <c r="G10" s="44" t="s">
        <v>197</v>
      </c>
      <c r="H10" s="44" t="s">
        <v>214</v>
      </c>
    </row>
    <row r="11" spans="2:11" x14ac:dyDescent="0.35">
      <c r="B11" s="43"/>
      <c r="C11" s="43"/>
      <c r="D11" s="44" t="s">
        <v>183</v>
      </c>
      <c r="E11" s="44" t="s">
        <v>190</v>
      </c>
      <c r="F11" s="44"/>
      <c r="G11" s="44" t="s">
        <v>198</v>
      </c>
      <c r="H11" s="44" t="s">
        <v>215</v>
      </c>
    </row>
    <row r="12" spans="2:11" x14ac:dyDescent="0.35">
      <c r="B12" s="43"/>
      <c r="C12" s="43"/>
      <c r="D12" s="44"/>
      <c r="E12" s="44"/>
      <c r="F12" s="44"/>
      <c r="G12" s="44" t="s">
        <v>199</v>
      </c>
      <c r="H12" s="44" t="s">
        <v>216</v>
      </c>
    </row>
    <row r="13" spans="2:11" x14ac:dyDescent="0.35">
      <c r="B13" s="43"/>
      <c r="C13" s="43"/>
      <c r="D13" s="44"/>
      <c r="E13" s="44"/>
      <c r="F13" s="44"/>
      <c r="G13" s="44" t="s">
        <v>200</v>
      </c>
      <c r="H13" s="44" t="s">
        <v>217</v>
      </c>
    </row>
    <row r="14" spans="2:11" x14ac:dyDescent="0.35">
      <c r="B14" s="43"/>
      <c r="C14" s="43"/>
      <c r="D14" s="44"/>
      <c r="E14" s="44"/>
      <c r="F14" s="44"/>
      <c r="G14" s="44" t="s">
        <v>201</v>
      </c>
      <c r="H14" s="44" t="s">
        <v>218</v>
      </c>
    </row>
    <row r="15" spans="2:11" x14ac:dyDescent="0.35">
      <c r="B15" s="43"/>
      <c r="C15" s="43"/>
      <c r="D15" s="44"/>
      <c r="E15" s="44"/>
      <c r="F15" s="44"/>
      <c r="G15" s="44" t="s">
        <v>202</v>
      </c>
      <c r="H15" s="44" t="s">
        <v>219</v>
      </c>
    </row>
    <row r="16" spans="2:11" x14ac:dyDescent="0.35">
      <c r="B16" s="43"/>
      <c r="C16" s="43"/>
      <c r="D16" s="44"/>
      <c r="E16" s="44"/>
      <c r="F16" s="44"/>
      <c r="G16" s="44" t="s">
        <v>203</v>
      </c>
      <c r="H16" s="44" t="s">
        <v>220</v>
      </c>
    </row>
    <row r="17" spans="2:8" x14ac:dyDescent="0.35">
      <c r="B17" s="43"/>
      <c r="C17" s="43"/>
      <c r="D17" s="44"/>
      <c r="E17" s="44"/>
      <c r="F17" s="44"/>
      <c r="G17" s="44" t="s">
        <v>204</v>
      </c>
      <c r="H17" s="44" t="s">
        <v>221</v>
      </c>
    </row>
    <row r="18" spans="2:8" x14ac:dyDescent="0.35">
      <c r="B18" s="43"/>
      <c r="C18" s="43"/>
      <c r="D18" s="44"/>
      <c r="E18" s="44"/>
      <c r="F18" s="44"/>
      <c r="G18" s="44" t="s">
        <v>205</v>
      </c>
      <c r="H18" s="44" t="s">
        <v>222</v>
      </c>
    </row>
    <row r="24" spans="2:8" x14ac:dyDescent="0.35">
      <c r="C24" t="s">
        <v>166</v>
      </c>
    </row>
    <row r="25" spans="2:8" x14ac:dyDescent="0.35">
      <c r="C25" t="s">
        <v>224</v>
      </c>
    </row>
    <row r="26" spans="2:8" x14ac:dyDescent="0.35">
      <c r="C26" t="s">
        <v>225</v>
      </c>
    </row>
    <row r="27" spans="2:8" x14ac:dyDescent="0.35">
      <c r="C27" t="s">
        <v>226</v>
      </c>
    </row>
    <row r="28" spans="2:8" x14ac:dyDescent="0.35">
      <c r="C28" t="s">
        <v>227</v>
      </c>
    </row>
    <row r="29" spans="2:8" x14ac:dyDescent="0.35">
      <c r="C29" t="s">
        <v>228</v>
      </c>
    </row>
    <row r="30" spans="2:8" x14ac:dyDescent="0.35">
      <c r="C30" t="s">
        <v>166</v>
      </c>
    </row>
    <row r="33" spans="3:11" x14ac:dyDescent="0.35">
      <c r="J33">
        <v>1</v>
      </c>
      <c r="K33">
        <v>2</v>
      </c>
    </row>
    <row r="34" spans="3:11" x14ac:dyDescent="0.35">
      <c r="C34" s="45" t="s">
        <v>233</v>
      </c>
      <c r="D34" s="44" t="s">
        <v>231</v>
      </c>
      <c r="E34" s="44" t="s">
        <v>236</v>
      </c>
      <c r="F34" s="44" t="s">
        <v>234</v>
      </c>
      <c r="G34" s="44" t="s">
        <v>235</v>
      </c>
      <c r="H34" s="44" t="s">
        <v>237</v>
      </c>
      <c r="J34" t="s">
        <v>191</v>
      </c>
      <c r="K34" t="s">
        <v>207</v>
      </c>
    </row>
    <row r="35" spans="3:11" x14ac:dyDescent="0.35">
      <c r="C35" s="43" t="s">
        <v>232</v>
      </c>
      <c r="D35" s="44" t="s">
        <v>167</v>
      </c>
      <c r="E35" s="44" t="s">
        <v>241</v>
      </c>
      <c r="F35" s="44" t="s">
        <v>243</v>
      </c>
      <c r="G35" s="44" t="s">
        <v>245</v>
      </c>
      <c r="H35" s="44"/>
    </row>
    <row r="36" spans="3:11" x14ac:dyDescent="0.35">
      <c r="C36" s="43"/>
      <c r="D36" s="44" t="s">
        <v>238</v>
      </c>
      <c r="E36" s="44" t="s">
        <v>242</v>
      </c>
      <c r="F36" s="44" t="s">
        <v>244</v>
      </c>
      <c r="G36" s="44" t="s">
        <v>246</v>
      </c>
      <c r="H36" s="44"/>
    </row>
    <row r="37" spans="3:11" x14ac:dyDescent="0.35">
      <c r="C37" s="43"/>
      <c r="D37" s="44" t="s">
        <v>239</v>
      </c>
      <c r="E37" s="44"/>
      <c r="F37" s="44"/>
      <c r="G37" s="44" t="s">
        <v>247</v>
      </c>
      <c r="H37" s="44"/>
    </row>
    <row r="38" spans="3:11" x14ac:dyDescent="0.35">
      <c r="C38" s="43"/>
      <c r="D38" s="44" t="s">
        <v>240</v>
      </c>
      <c r="E38" s="44"/>
      <c r="F38" s="44"/>
      <c r="G38" s="44" t="s">
        <v>247</v>
      </c>
      <c r="H38" s="44"/>
    </row>
    <row r="39" spans="3:11" x14ac:dyDescent="0.35">
      <c r="C39" s="43"/>
      <c r="D39" s="44"/>
      <c r="E39" s="44"/>
      <c r="F39" s="44"/>
      <c r="G39" s="44" t="s">
        <v>248</v>
      </c>
      <c r="H39" s="44"/>
    </row>
    <row r="40" spans="3:11" x14ac:dyDescent="0.35">
      <c r="C40" s="43"/>
      <c r="D40" s="44"/>
      <c r="E40" s="44"/>
      <c r="F40" s="44"/>
      <c r="G40" s="44" t="s">
        <v>249</v>
      </c>
      <c r="H40" s="44"/>
    </row>
    <row r="41" spans="3:11" x14ac:dyDescent="0.35">
      <c r="C41" s="43"/>
      <c r="D41" s="44"/>
      <c r="E41" s="44"/>
      <c r="F41" s="44"/>
      <c r="G41" s="44"/>
      <c r="H41" s="44"/>
    </row>
    <row r="43" spans="3:11" x14ac:dyDescent="0.35">
      <c r="C43" t="s">
        <v>250</v>
      </c>
    </row>
    <row r="44" spans="3:11" x14ac:dyDescent="0.35">
      <c r="C44" t="s">
        <v>169</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176</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191</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186</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4.5" x14ac:dyDescent="0.35"/>
  <cols>
    <col min="2" max="2" width="3" bestFit="1" customWidth="1"/>
    <col min="3" max="3" width="130" customWidth="1"/>
  </cols>
  <sheetData>
    <row r="2" spans="2:3" ht="15" customHeight="1" x14ac:dyDescent="0.35">
      <c r="B2" s="46">
        <v>1</v>
      </c>
      <c r="C2" s="49" t="s">
        <v>281</v>
      </c>
    </row>
    <row r="3" spans="2:3" x14ac:dyDescent="0.35">
      <c r="B3" s="46">
        <v>2</v>
      </c>
      <c r="C3" s="47" t="s">
        <v>282</v>
      </c>
    </row>
    <row r="4" spans="2:3" x14ac:dyDescent="0.35">
      <c r="B4" s="46">
        <v>3</v>
      </c>
      <c r="C4" s="48" t="s">
        <v>283</v>
      </c>
    </row>
    <row r="5" spans="2:3" x14ac:dyDescent="0.35">
      <c r="B5" s="46">
        <v>4</v>
      </c>
      <c r="C5" s="47" t="s">
        <v>284</v>
      </c>
    </row>
    <row r="6" spans="2:3" x14ac:dyDescent="0.35">
      <c r="B6" s="46">
        <v>5</v>
      </c>
      <c r="C6" s="48" t="s">
        <v>285</v>
      </c>
    </row>
    <row r="7" spans="2:3" ht="29" x14ac:dyDescent="0.35">
      <c r="B7" s="46">
        <v>6</v>
      </c>
      <c r="C7" s="47" t="s">
        <v>286</v>
      </c>
    </row>
    <row r="8" spans="2:3" ht="72.5" x14ac:dyDescent="0.35">
      <c r="B8" s="46">
        <v>7</v>
      </c>
      <c r="C8" s="47" t="s">
        <v>287</v>
      </c>
    </row>
    <row r="9" spans="2:3" x14ac:dyDescent="0.35">
      <c r="B9" s="46">
        <v>8</v>
      </c>
      <c r="C9" s="48" t="s">
        <v>288</v>
      </c>
    </row>
    <row r="10" spans="2:3" x14ac:dyDescent="0.35">
      <c r="B10" s="46">
        <v>9</v>
      </c>
      <c r="C10" s="48" t="s">
        <v>289</v>
      </c>
    </row>
    <row r="11" spans="2:3" x14ac:dyDescent="0.35">
      <c r="B11" s="46">
        <v>10</v>
      </c>
      <c r="C11" s="48" t="s">
        <v>290</v>
      </c>
    </row>
    <row r="12" spans="2:3" x14ac:dyDescent="0.35">
      <c r="B12" s="46">
        <v>11</v>
      </c>
      <c r="C12" s="48" t="s">
        <v>291</v>
      </c>
    </row>
    <row r="13" spans="2:3" x14ac:dyDescent="0.35">
      <c r="B13" s="46">
        <v>12</v>
      </c>
      <c r="C13" s="48" t="s">
        <v>292</v>
      </c>
    </row>
    <row r="14" spans="2:3" x14ac:dyDescent="0.35">
      <c r="B14" s="46">
        <v>13</v>
      </c>
      <c r="C14" s="48" t="s">
        <v>293</v>
      </c>
    </row>
    <row r="15" spans="2:3" x14ac:dyDescent="0.35">
      <c r="B15" s="46">
        <v>14</v>
      </c>
      <c r="C15" s="48" t="s">
        <v>283</v>
      </c>
    </row>
    <row r="16" spans="2:3" x14ac:dyDescent="0.35">
      <c r="B16" s="46">
        <v>15</v>
      </c>
      <c r="C16" s="48" t="s">
        <v>295</v>
      </c>
    </row>
    <row r="17" spans="2:3" ht="31.5" customHeight="1" x14ac:dyDescent="0.35">
      <c r="B17" s="51">
        <v>16</v>
      </c>
      <c r="C17" s="53" t="s">
        <v>296</v>
      </c>
    </row>
    <row r="18" spans="2:3" x14ac:dyDescent="0.35">
      <c r="B18" s="52">
        <v>17</v>
      </c>
      <c r="C18" s="53" t="s">
        <v>297</v>
      </c>
    </row>
    <row r="19" spans="2:3" x14ac:dyDescent="0.35">
      <c r="B19" s="51">
        <v>18</v>
      </c>
      <c r="C19" s="46" t="s">
        <v>298</v>
      </c>
    </row>
    <row r="20" spans="2:3" x14ac:dyDescent="0.35">
      <c r="B20" s="52">
        <v>19</v>
      </c>
      <c r="C20" s="46"/>
    </row>
    <row r="21" spans="2:3" x14ac:dyDescent="0.35">
      <c r="B21" s="54">
        <v>20</v>
      </c>
      <c r="C21" s="46"/>
    </row>
    <row r="22" spans="2:3" x14ac:dyDescent="0.35">
      <c r="B22" s="46"/>
      <c r="C22" s="46"/>
    </row>
    <row r="23" spans="2:3" x14ac:dyDescent="0.35">
      <c r="B23" s="46"/>
      <c r="C23" s="46"/>
    </row>
    <row r="24" spans="2:3" x14ac:dyDescent="0.35">
      <c r="B24" s="46"/>
      <c r="C24" s="46"/>
    </row>
    <row r="25" spans="2:3" x14ac:dyDescent="0.35">
      <c r="B25" s="46"/>
      <c r="C25" s="46"/>
    </row>
    <row r="26" spans="2:3" x14ac:dyDescent="0.35">
      <c r="B26" s="46"/>
      <c r="C26" s="46"/>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2025-05-31T05:20:44Z</cp:lastPrinted>
  <dcterms:created xsi:type="dcterms:W3CDTF">2019-07-16T09:29:46Z</dcterms:created>
  <dcterms:modified xsi:type="dcterms:W3CDTF">2025-08-13T16:11:38Z</dcterms:modified>
</cp:coreProperties>
</file>