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6-08-2025\"/>
    </mc:Choice>
  </mc:AlternateContent>
  <bookViews>
    <workbookView xWindow="0" yWindow="0" windowWidth="19200" windowHeight="6640" tabRatio="628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108" i="1"/>
  <c r="I109" i="1" s="1"/>
  <c r="G92" i="1" l="1"/>
  <c r="M103" i="1"/>
  <c r="K105" i="1"/>
  <c r="D110" i="1"/>
  <c r="D107" i="1"/>
  <c r="D106" i="1"/>
  <c r="D105" i="1"/>
  <c r="I105" i="1"/>
  <c r="I101" i="1"/>
  <c r="I100" i="1"/>
  <c r="D103" i="1"/>
  <c r="K103" i="1" s="1"/>
  <c r="D102" i="1"/>
  <c r="I102" i="1" s="1"/>
  <c r="D101" i="1"/>
  <c r="D100" i="1"/>
  <c r="K100" i="1" s="1"/>
  <c r="E92" i="1" l="1"/>
  <c r="C92" i="1"/>
  <c r="B113" i="1"/>
  <c r="O10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5" i="1"/>
  <c r="A113" i="1"/>
  <c r="G105" i="1"/>
  <c r="G106" i="1" s="1"/>
  <c r="G107" i="1" s="1"/>
  <c r="G108" i="1" s="1"/>
  <c r="G109" i="1" s="1"/>
  <c r="G110" i="1" s="1"/>
  <c r="G100" i="1"/>
  <c r="G101" i="1" s="1"/>
  <c r="G102" i="1" s="1"/>
  <c r="G103" i="1" s="1"/>
  <c r="A101" i="1"/>
  <c r="A102" i="1" s="1"/>
  <c r="A103" i="1" s="1"/>
  <c r="F89" i="1"/>
  <c r="J73" i="1"/>
  <c r="J72" i="1"/>
  <c r="J71" i="1"/>
  <c r="J70" i="1"/>
  <c r="C62" i="1"/>
  <c r="D56" i="1"/>
  <c r="E40" i="1"/>
  <c r="E41" i="1" s="1"/>
  <c r="E24" i="1"/>
  <c r="E22" i="1"/>
  <c r="C13" i="1"/>
  <c r="E7" i="1"/>
  <c r="E3" i="1"/>
  <c r="P105" i="1"/>
  <c r="H63" i="1"/>
  <c r="A115" i="1" l="1"/>
  <c r="A116" i="1" s="1"/>
  <c r="D68" i="1"/>
  <c r="J66" i="1"/>
  <c r="D75" i="1"/>
  <c r="D73" i="1"/>
  <c r="D71" i="1"/>
  <c r="D69" i="1"/>
  <c r="J67" i="1"/>
  <c r="C66" i="1" s="1"/>
  <c r="D66" i="1" s="1"/>
  <c r="J65" i="1"/>
  <c r="J68" i="1"/>
  <c r="J69" i="1" s="1"/>
  <c r="J74" i="1" s="1"/>
  <c r="J75" i="1" s="1"/>
  <c r="C67" i="1" s="1"/>
  <c r="D74" i="1"/>
  <c r="D70" i="1"/>
  <c r="D72" i="1"/>
  <c r="N105" i="1"/>
  <c r="O106" i="1"/>
  <c r="P106" i="1"/>
  <c r="P107" i="1" s="1"/>
  <c r="P108" i="1" s="1"/>
  <c r="P109" i="1" s="1"/>
  <c r="P110" i="1" s="1"/>
  <c r="A120" i="1" l="1"/>
  <c r="A117" i="1"/>
  <c r="E66" i="1"/>
  <c r="I62" i="1" s="1"/>
  <c r="C64" i="1" s="1"/>
  <c r="D67" i="1"/>
  <c r="N106" i="1"/>
  <c r="O107" i="1"/>
  <c r="G66" i="1"/>
  <c r="D60" i="1" s="1"/>
  <c r="F61" i="1" l="1"/>
  <c r="D61" i="1"/>
  <c r="N107" i="1"/>
  <c r="O108" i="1"/>
  <c r="O109" i="1" s="1"/>
  <c r="N109" i="1" l="1"/>
  <c r="O110" i="1"/>
  <c r="N110" i="1" s="1"/>
  <c r="N108" i="1"/>
</calcChain>
</file>

<file path=xl/sharedStrings.xml><?xml version="1.0" encoding="utf-8"?>
<sst xmlns="http://schemas.openxmlformats.org/spreadsheetml/2006/main" count="253" uniqueCount="212">
  <si>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</si>
  <si>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</si>
  <si>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</si>
  <si>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</si>
  <si>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</si>
  <si>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</si>
  <si>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</si>
  <si>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</si>
  <si>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</si>
  <si>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</si>
  <si>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</si>
  <si>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</si>
  <si>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</si>
  <si>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</si>
  <si>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</si>
  <si>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</si>
  <si>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</si>
  <si>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</si>
  <si>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</si>
  <si>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</si>
  <si>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</si>
  <si>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</si>
  <si>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</si>
  <si>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</si>
  <si>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</si>
  <si>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</si>
  <si>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</si>
  <si>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</si>
  <si>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</si>
  <si>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</si>
  <si>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</si>
  <si>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</si>
  <si>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</si>
  <si>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</si>
  <si>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</si>
  <si>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</si>
  <si>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</si>
  <si>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</si>
  <si>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</si>
  <si>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</si>
  <si>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</si>
  <si>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</si>
  <si>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</si>
  <si>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</si>
  <si>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</si>
  <si>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</si>
  <si>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</si>
  <si>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</si>
  <si>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</si>
  <si>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</si>
  <si>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</si>
  <si>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</si>
  <si>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</si>
  <si>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</si>
  <si>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</si>
  <si>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</si>
  <si>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</si>
  <si>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</si>
  <si>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</si>
  <si>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</si>
  <si>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</si>
  <si>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</si>
  <si>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</si>
  <si>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</si>
  <si>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</si>
  <si>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</si>
  <si>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</si>
  <si>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</si>
  <si>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</si>
  <si>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</si>
  <si>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</si>
  <si>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</si>
  <si>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</si>
  <si>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</si>
  <si>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</si>
  <si>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</si>
  <si>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</si>
  <si>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</si>
  <si>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</si>
  <si>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</si>
  <si>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</si>
  <si>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</si>
  <si>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</si>
  <si>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</si>
  <si>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</si>
  <si>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</si>
  <si>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</si>
  <si>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</si>
  <si>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</si>
  <si>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</si>
  <si>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</si>
  <si>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</si>
  <si>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</si>
  <si>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</si>
  <si>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</si>
  <si>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</si>
  <si>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</si>
  <si>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</si>
  <si>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</si>
  <si>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</si>
  <si>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</si>
  <si>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</si>
  <si>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</si>
  <si>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</si>
  <si>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</si>
  <si>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</si>
  <si>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</si>
  <si>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</si>
  <si>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</si>
  <si>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</si>
  <si>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</si>
  <si>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</si>
  <si>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</si>
  <si>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</si>
  <si>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</si>
  <si>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</si>
  <si>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</si>
  <si>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</si>
  <si>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</si>
  <si>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</si>
  <si>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</si>
  <si>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</si>
  <si>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</si>
  <si>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</si>
  <si>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</si>
  <si>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</si>
  <si>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</si>
  <si>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</si>
  <si>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</si>
  <si>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</si>
  <si>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</si>
  <si>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</si>
  <si>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</si>
  <si>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</si>
  <si>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</si>
  <si>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</si>
  <si>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</si>
  <si>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</si>
  <si>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</si>
  <si>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</si>
  <si>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</si>
  <si>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</si>
  <si>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</si>
  <si>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</si>
  <si>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</si>
  <si>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</si>
  <si>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</si>
  <si>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</si>
  <si>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</si>
  <si>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</si>
  <si>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</si>
  <si>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</si>
  <si>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</si>
  <si>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</si>
  <si>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</si>
  <si>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</si>
  <si>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</si>
  <si>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</si>
  <si>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</si>
  <si>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</si>
  <si>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</si>
  <si>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</si>
  <si>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</si>
  <si>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Ground Floor for Residential &amp; Parking</t>
  </si>
  <si>
    <t>1BHK</t>
  </si>
  <si>
    <t>2BHK</t>
  </si>
  <si>
    <t>1st to 4th Floor for Residential</t>
  </si>
  <si>
    <t xml:space="preserve"> Building No. 07    </t>
  </si>
  <si>
    <t xml:space="preserve">Wing - B   </t>
  </si>
  <si>
    <t>Flats</t>
  </si>
  <si>
    <t>Axis Goregaon</t>
  </si>
  <si>
    <t>P99000020818</t>
  </si>
  <si>
    <t>Gut No</t>
  </si>
  <si>
    <t>154/A, 185, 187</t>
  </si>
  <si>
    <t>Village</t>
  </si>
  <si>
    <t>Umroli</t>
  </si>
  <si>
    <t>Palghar</t>
  </si>
  <si>
    <t>Umroli East</t>
  </si>
  <si>
    <t>Internal Road</t>
  </si>
  <si>
    <t>Mahadeep apartment</t>
  </si>
  <si>
    <t>Residential</t>
  </si>
  <si>
    <t>Open plot</t>
  </si>
  <si>
    <t>Building No.06</t>
  </si>
  <si>
    <t>01 Wing</t>
  </si>
  <si>
    <t>MAHSUL/KASH-1/MEJ-1/NAP/SR-323/17</t>
  </si>
  <si>
    <t>Flats - 28</t>
  </si>
  <si>
    <t>Valid Up to:  Building No.07 (Wing - B) = G/St + 1st to 4th Floor</t>
  </si>
  <si>
    <t>Building No.07 (Wing - B) = G/St + 1st to 4th Floor</t>
  </si>
  <si>
    <t>Society Charges</t>
  </si>
  <si>
    <t xml:space="preserve">Builder Saleable area </t>
  </si>
  <si>
    <t>We considered Gross carpet area = Net carpet + Balcony + C.B Area.</t>
  </si>
  <si>
    <t>On Site, we meet Mr. Omkar Giri (8605758618).</t>
  </si>
  <si>
    <t>MAHSUL/KASH-1/T-1/NAP/SR-323/2017</t>
  </si>
  <si>
    <t>M/s. Shreeya Developers</t>
  </si>
  <si>
    <t>Building No. 7 (Wing B)</t>
  </si>
  <si>
    <t>8830284046/ 9029208596/ 9029673004</t>
  </si>
  <si>
    <t>90,000/-</t>
  </si>
  <si>
    <t xml:space="preserve">Recommended rate should be considered as all inclusive rate if other charges are not mentioned. (Excluding GST &amp; other government Taxes)
</t>
  </si>
  <si>
    <t>1,00,000/-</t>
  </si>
  <si>
    <t>As per RERA - 30/12/2023</t>
  </si>
  <si>
    <t>Location Link</t>
  </si>
  <si>
    <t>https://goo.gl/maps/oJVRPrhH2ffoLh2m6?coh=178572&amp;entry=tt</t>
  </si>
  <si>
    <t>As per RERA, completion period of project Sai Pooja Apartment is expired on 30/12/2023 but still project is under construction.</t>
  </si>
  <si>
    <t>Construction work has incresed as compare to last visited date 07/02/2024 but at the time of visit no labour or no active work found on site.</t>
  </si>
  <si>
    <t>Sai Pooja Apartment (Building No.7 Wing B)</t>
  </si>
  <si>
    <t>Office No. 1031, Wing J, Akshar Business Park, Plot No. 03 Sector 25, Near APMC Market, Vashi, 
Navi Mumbai, Maharashtra 400703 TEL: 022-46090378/79/80
E mail : vsjcapf@gmail.com. Web site : www.vsjadon.com</t>
  </si>
  <si>
    <t>Construction work is same as last visit dtd. 09/08/2024.</t>
  </si>
  <si>
    <t>The project has received first CC on 20/12/2017, But construction work is not yet completed.</t>
  </si>
  <si>
    <t>As checked on RERA portal on date 16/08/2025, we have observed that above project "Sai Pooja Apartment (Building No.7 Wing B)" is kept under abeyance. Please check from your end.</t>
  </si>
  <si>
    <t>Pooja</t>
  </si>
  <si>
    <t>Yadnyesh Patil</t>
  </si>
  <si>
    <t>1.6 km  from Umroli Railway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</si>
</sst>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3" fillId="0" borderId="0" applyNumberFormat="0" applyFill="0" applyBorder="0" applyAlignment="0" applyProtection="0"/>
  </cellStyleXfs>
  <cellXfs count="150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22" fillId="0" borderId="0" xfId="1" applyFont="1"/>
    <xf numFmtId="168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2" fontId="7" fillId="0" borderId="0" xfId="1" applyNumberFormat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24" fillId="0" borderId="8" xfId="0" applyNumberFormat="1" applyFont="1" applyBorder="1" applyAlignment="1" applyProtection="1">
      <alignment vertical="top" wrapText="1"/>
      <protection locked="0"/>
    </xf>
    <xf numFmtId="1" fontId="24" fillId="0" borderId="20" xfId="0" applyNumberFormat="1" applyFont="1" applyBorder="1" applyAlignment="1" applyProtection="1">
      <alignment vertical="top" wrapText="1"/>
      <protection locked="0"/>
    </xf>
    <xf numFmtId="1" fontId="24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23" fillId="0" borderId="8" xfId="8" applyBorder="1" applyAlignment="1" applyProtection="1">
      <alignment horizontal="center"/>
      <protection locked="0"/>
    </xf>
    <xf numFmtId="0" fontId="7" fillId="0" borderId="20" xfId="1" applyFont="1" applyBorder="1" applyAlignment="1" applyProtection="1">
      <alignment horizontal="center"/>
      <protection locked="0"/>
    </xf>
    <xf numFmtId="0" fontId="7" fillId="0" borderId="9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723900</xdr:colOff>
      <xdr:row>136</xdr:row>
      <xdr:rowOff>76200</xdr:rowOff>
    </xdr:from>
    <xdr:to>
      <xdr:col>20</xdr:col>
      <xdr:colOff>166843</xdr:colOff>
      <xdr:row>170</xdr:row>
      <xdr:rowOff>79422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835900" y="27666950"/>
          <a:ext cx="6358093" cy="6689772"/>
          <a:chOff x="219075" y="27451050"/>
          <a:chExt cx="6065993" cy="6794547"/>
        </a:xfrm>
      </xdr:grpSpPr>
      <xdr:pic>
        <xdr:nvPicPr>
          <xdr:cNvPr id="11" name="Picture 10" descr="https://vsjcllp.vsjadon.com/upload/insp-197237-1525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1535" y="3208559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 descr="https://vsjcllp.vsjadon.com/upload/insp-197237-845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9075" y="27451050"/>
            <a:ext cx="6065993" cy="45537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https://vsjcllp.vsjadon.com/upload/insp-197237-851.jpg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6306" y="3208559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1101725</xdr:colOff>
      <xdr:row>135</xdr:row>
      <xdr:rowOff>190500</xdr:rowOff>
    </xdr:from>
    <xdr:to>
      <xdr:col>20</xdr:col>
      <xdr:colOff>159318</xdr:colOff>
      <xdr:row>174</xdr:row>
      <xdr:rowOff>104775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8213725" y="27584400"/>
          <a:ext cx="5972743" cy="7585075"/>
          <a:chOff x="425450" y="26873200"/>
          <a:chExt cx="5928293" cy="7588250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5450" y="26873200"/>
            <a:ext cx="970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7249" y="29152936"/>
            <a:ext cx="1690439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57207" y="26873200"/>
            <a:ext cx="479653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98407" y="32008672"/>
            <a:ext cx="1696319" cy="245277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3150" y="29152936"/>
            <a:ext cx="1690439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3149" y="32008672"/>
            <a:ext cx="1690439" cy="245277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1348" y="29152936"/>
            <a:ext cx="1690439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7248" y="32008672"/>
            <a:ext cx="1690439" cy="245277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66750" y="26892250"/>
            <a:ext cx="918841" cy="26456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</xdr:grpSp>
    <xdr:clientData/>
  </xdr:twoCellAnchor>
  <xdr:twoCellAnchor editAs="oneCell">
    <xdr:from>
      <xdr:col>8</xdr:col>
      <xdr:colOff>476250</xdr:colOff>
      <xdr:row>2</xdr:row>
      <xdr:rowOff>25400</xdr:rowOff>
    </xdr:from>
    <xdr:to>
      <xdr:col>18</xdr:col>
      <xdr:colOff>243800</xdr:colOff>
      <xdr:row>15</xdr:row>
      <xdr:rowOff>72050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8250" y="82550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482600</xdr:colOff>
      <xdr:row>179</xdr:row>
      <xdr:rowOff>95249</xdr:rowOff>
    </xdr:from>
    <xdr:to>
      <xdr:col>6</xdr:col>
      <xdr:colOff>806500</xdr:colOff>
      <xdr:row>196</xdr:row>
      <xdr:rowOff>117529</xdr:rowOff>
    </xdr:to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82700" y="36144199"/>
          <a:ext cx="4680000" cy="33687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482600</xdr:colOff>
      <xdr:row>197</xdr:row>
      <xdr:rowOff>38450</xdr:rowOff>
    </xdr:from>
    <xdr:to>
      <xdr:col>6</xdr:col>
      <xdr:colOff>806500</xdr:colOff>
      <xdr:row>215</xdr:row>
      <xdr:rowOff>129340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82700" y="39630700"/>
          <a:ext cx="4680000" cy="3634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25400</xdr:colOff>
      <xdr:row>202</xdr:row>
      <xdr:rowOff>70200</xdr:rowOff>
    </xdr:from>
    <xdr:to>
      <xdr:col>4</xdr:col>
      <xdr:colOff>717550</xdr:colOff>
      <xdr:row>207</xdr:row>
      <xdr:rowOff>107950</xdr:rowOff>
    </xdr:to>
    <xdr:sp macro="" textlink="">
      <xdr:nvSpPr>
        <xdr:cNvPr id="30" name="Rectangle 29"/>
        <xdr:cNvSpPr/>
      </xdr:nvSpPr>
      <xdr:spPr>
        <a:xfrm>
          <a:off x="3543300" y="40646700"/>
          <a:ext cx="692150" cy="102200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0</xdr:col>
      <xdr:colOff>387350</xdr:colOff>
      <xdr:row>135</xdr:row>
      <xdr:rowOff>133350</xdr:rowOff>
    </xdr:from>
    <xdr:to>
      <xdr:col>7</xdr:col>
      <xdr:colOff>890899</xdr:colOff>
      <xdr:row>171</xdr:row>
      <xdr:rowOff>128638</xdr:rowOff>
    </xdr:to>
    <xdr:grpSp>
      <xdr:nvGrpSpPr>
        <xdr:cNvPr id="7" name="Group 6"/>
        <xdr:cNvGrpSpPr/>
      </xdr:nvGrpSpPr>
      <xdr:grpSpPr>
        <a:xfrm>
          <a:off x="387350" y="27527250"/>
          <a:ext cx="6478899" cy="7075538"/>
          <a:chOff x="387350" y="27527250"/>
          <a:chExt cx="6478899" cy="7075538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06418" y="3280278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88572" y="30525019"/>
            <a:ext cx="287767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8667" y="275272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96938" y="27527250"/>
            <a:ext cx="383690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350" y="3052501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87961" y="3052501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8</xdr:col>
      <xdr:colOff>93326</xdr:colOff>
      <xdr:row>35</xdr:row>
      <xdr:rowOff>157432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2" y="2868706"/>
          <a:ext cx="7444385" cy="396743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1438</xdr:rowOff>
    </xdr:from>
    <xdr:to>
      <xdr:col>8</xdr:col>
      <xdr:colOff>93325</xdr:colOff>
      <xdr:row>57</xdr:row>
      <xdr:rowOff>158870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2" y="7061144"/>
          <a:ext cx="7444384" cy="3967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oJVRPrhH2ffoLh2m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79"/>
  <sheetViews>
    <sheetView tabSelected="1" view="pageBreakPreview" zoomScaleNormal="100" zoomScaleSheetLayoutView="100" zoomScalePageLayoutView="98" workbookViewId="0">
      <selection activeCell="A136" sqref="A136"/>
    </sheetView>
  </sheetViews>
  <sheetFormatPr defaultColWidth="9.1796875" defaultRowHeight="15.5" x14ac:dyDescent="0.35"/>
  <cols>
    <col min="1" max="1" width="11.453125" style="8" customWidth="1"/>
    <col min="2" max="2" width="12" style="8" customWidth="1"/>
    <col min="3" max="3" width="12.7265625" style="8" customWidth="1"/>
    <col min="4" max="4" width="14.1796875" style="8" customWidth="1"/>
    <col min="5" max="7" width="11.7265625" style="8" customWidth="1"/>
    <col min="8" max="8" width="16.26953125" style="8" customWidth="1"/>
    <col min="9" max="9" width="17.453125" style="3" customWidth="1"/>
    <col min="10" max="10" width="11.453125" style="3" customWidth="1"/>
    <col min="11" max="11" width="11" style="3" bestFit="1" customWidth="1"/>
    <col min="12" max="12" width="10.54296875" style="3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72656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26" t="s">
        <v>205</v>
      </c>
      <c r="B1" s="126"/>
      <c r="C1" s="126"/>
      <c r="D1" s="126"/>
      <c r="E1" s="126"/>
      <c r="F1" s="126"/>
      <c r="G1" s="126"/>
      <c r="H1" s="126"/>
    </row>
    <row r="2" spans="1:8" ht="16.5" customHeight="1" x14ac:dyDescent="0.3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35">
      <c r="A3" s="71" t="s">
        <v>1</v>
      </c>
      <c r="B3" s="71"/>
      <c r="C3" s="71"/>
      <c r="D3" s="71"/>
      <c r="E3" s="128" t="str">
        <f ca="1">TEXT(TODAY(),"DD/MM/YYYY")</f>
        <v>16/08/2025</v>
      </c>
      <c r="F3" s="128"/>
      <c r="G3" s="128"/>
      <c r="H3" s="128"/>
    </row>
    <row r="4" spans="1:8" ht="15" customHeight="1" x14ac:dyDescent="0.35">
      <c r="A4" s="71" t="s">
        <v>2</v>
      </c>
      <c r="B4" s="71"/>
      <c r="C4" s="71"/>
      <c r="D4" s="71"/>
      <c r="E4" s="130" t="s">
        <v>170</v>
      </c>
      <c r="F4" s="130"/>
      <c r="G4" s="130"/>
      <c r="H4" s="130"/>
    </row>
    <row r="5" spans="1:8" x14ac:dyDescent="0.35">
      <c r="A5" s="71" t="s">
        <v>3</v>
      </c>
      <c r="B5" s="71"/>
      <c r="C5" s="71"/>
      <c r="D5" s="71"/>
      <c r="E5" s="128">
        <v>45880</v>
      </c>
      <c r="F5" s="128"/>
      <c r="G5" s="128"/>
      <c r="H5" s="128"/>
    </row>
    <row r="6" spans="1:8" ht="16.5" customHeight="1" x14ac:dyDescent="0.35">
      <c r="A6" s="71" t="s">
        <v>4</v>
      </c>
      <c r="B6" s="71"/>
      <c r="C6" s="71"/>
      <c r="D6" s="71"/>
      <c r="E6" s="82" t="s">
        <v>193</v>
      </c>
      <c r="F6" s="82"/>
      <c r="G6" s="82"/>
      <c r="H6" s="82"/>
    </row>
    <row r="7" spans="1:8" ht="15" customHeight="1" x14ac:dyDescent="0.35">
      <c r="A7" s="71" t="s">
        <v>5</v>
      </c>
      <c r="B7" s="71"/>
      <c r="C7" s="71"/>
      <c r="D7" s="71"/>
      <c r="E7" s="82" t="str">
        <f>E6</f>
        <v>M/s. Shreeya Developers</v>
      </c>
      <c r="F7" s="82"/>
      <c r="G7" s="82"/>
      <c r="H7" s="82"/>
    </row>
    <row r="8" spans="1:8" x14ac:dyDescent="0.35">
      <c r="A8" s="71" t="s">
        <v>6</v>
      </c>
      <c r="B8" s="71"/>
      <c r="C8" s="71"/>
      <c r="D8" s="71"/>
      <c r="E8" s="129" t="s">
        <v>204</v>
      </c>
      <c r="F8" s="80"/>
      <c r="G8" s="80"/>
      <c r="H8" s="80"/>
    </row>
    <row r="9" spans="1:8" x14ac:dyDescent="0.35">
      <c r="A9" s="71" t="s">
        <v>134</v>
      </c>
      <c r="B9" s="71"/>
      <c r="C9" s="71"/>
      <c r="D9" s="71"/>
      <c r="E9" s="71" t="s">
        <v>195</v>
      </c>
      <c r="F9" s="71"/>
      <c r="G9" s="71"/>
      <c r="H9" s="71"/>
    </row>
    <row r="10" spans="1:8" x14ac:dyDescent="0.35">
      <c r="A10" s="70" t="s">
        <v>7</v>
      </c>
      <c r="B10" s="70"/>
      <c r="C10" s="70"/>
      <c r="D10" s="70"/>
      <c r="E10" s="70" t="s">
        <v>194</v>
      </c>
      <c r="F10" s="70"/>
      <c r="G10" s="70"/>
      <c r="H10" s="70"/>
    </row>
    <row r="11" spans="1:8" ht="32.25" customHeight="1" x14ac:dyDescent="0.35">
      <c r="A11" s="71" t="s">
        <v>8</v>
      </c>
      <c r="B11" s="71"/>
      <c r="C11" s="71"/>
      <c r="D11" s="71"/>
      <c r="E11" s="83" t="s">
        <v>117</v>
      </c>
      <c r="F11" s="83"/>
      <c r="G11" s="83"/>
      <c r="H11" s="83"/>
    </row>
    <row r="12" spans="1:8" x14ac:dyDescent="0.35">
      <c r="A12" s="71" t="s">
        <v>9</v>
      </c>
      <c r="B12" s="71"/>
      <c r="C12" s="71"/>
      <c r="D12" s="71"/>
      <c r="E12" s="83" t="s">
        <v>171</v>
      </c>
      <c r="F12" s="70"/>
      <c r="G12" s="70"/>
      <c r="H12" s="70"/>
    </row>
    <row r="13" spans="1:8" ht="33" customHeight="1" x14ac:dyDescent="0.35">
      <c r="A13" s="82" t="s">
        <v>10</v>
      </c>
      <c r="B13" s="82"/>
      <c r="C13" s="8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Sai Pooja Apartment (Building No.7 Wing B), Gut No.154/A, 185, 187, near Mahadeep apartment, Internal Road, Umroli, Umroli East, Palghar, Palghar.</v>
      </c>
      <c r="D13" s="82"/>
      <c r="E13" s="82"/>
      <c r="F13" s="82"/>
      <c r="G13" s="82"/>
      <c r="H13" s="82"/>
    </row>
    <row r="14" spans="1:8" x14ac:dyDescent="0.35">
      <c r="A14" s="82" t="s">
        <v>172</v>
      </c>
      <c r="B14" s="82"/>
      <c r="C14" s="83" t="s">
        <v>173</v>
      </c>
      <c r="D14" s="83"/>
      <c r="E14" s="83"/>
      <c r="F14" s="83"/>
      <c r="G14" s="83"/>
      <c r="H14" s="83"/>
    </row>
    <row r="15" spans="1:8" ht="15.75" customHeight="1" x14ac:dyDescent="0.35">
      <c r="A15" s="82" t="s">
        <v>11</v>
      </c>
      <c r="B15" s="82"/>
      <c r="C15" s="70" t="s">
        <v>178</v>
      </c>
      <c r="D15" s="70"/>
      <c r="E15" s="82" t="s">
        <v>174</v>
      </c>
      <c r="F15" s="82"/>
      <c r="G15" s="83" t="s">
        <v>175</v>
      </c>
      <c r="H15" s="83"/>
    </row>
    <row r="16" spans="1:8" x14ac:dyDescent="0.35">
      <c r="A16" s="71" t="s">
        <v>13</v>
      </c>
      <c r="B16" s="71"/>
      <c r="C16" s="83" t="s">
        <v>177</v>
      </c>
      <c r="D16" s="83"/>
      <c r="E16" s="82" t="s">
        <v>12</v>
      </c>
      <c r="F16" s="82"/>
      <c r="G16" s="131" t="s">
        <v>176</v>
      </c>
      <c r="H16" s="131"/>
    </row>
    <row r="17" spans="1:8" x14ac:dyDescent="0.35">
      <c r="A17" s="71" t="s">
        <v>80</v>
      </c>
      <c r="B17" s="71"/>
      <c r="C17" s="83" t="s">
        <v>176</v>
      </c>
      <c r="D17" s="83"/>
      <c r="E17" s="82" t="s">
        <v>14</v>
      </c>
      <c r="F17" s="82"/>
      <c r="G17" s="83">
        <v>401404</v>
      </c>
      <c r="H17" s="83"/>
    </row>
    <row r="18" spans="1:8" ht="32.25" customHeight="1" x14ac:dyDescent="0.35">
      <c r="A18" s="71" t="s">
        <v>135</v>
      </c>
      <c r="B18" s="71"/>
      <c r="C18" s="82" t="s">
        <v>179</v>
      </c>
      <c r="D18" s="82"/>
      <c r="E18" s="82" t="s">
        <v>15</v>
      </c>
      <c r="F18" s="82"/>
      <c r="G18" s="83" t="s">
        <v>211</v>
      </c>
      <c r="H18" s="83"/>
    </row>
    <row r="19" spans="1:8" ht="15" customHeight="1" x14ac:dyDescent="0.35">
      <c r="A19" s="82" t="s">
        <v>83</v>
      </c>
      <c r="B19" s="82"/>
      <c r="C19" s="82"/>
      <c r="D19" s="82"/>
      <c r="E19" s="70" t="s">
        <v>16</v>
      </c>
      <c r="F19" s="70"/>
      <c r="G19" s="70"/>
      <c r="H19" s="70"/>
    </row>
    <row r="20" spans="1:8" ht="18.75" customHeight="1" x14ac:dyDescent="0.35">
      <c r="A20" s="82"/>
      <c r="B20" s="82"/>
      <c r="C20" s="82"/>
      <c r="D20" s="82"/>
      <c r="E20" s="70"/>
      <c r="F20" s="70"/>
      <c r="G20" s="70"/>
      <c r="H20" s="70"/>
    </row>
    <row r="21" spans="1:8" ht="15" customHeight="1" x14ac:dyDescent="0.35">
      <c r="A21" s="82" t="s">
        <v>17</v>
      </c>
      <c r="B21" s="82"/>
      <c r="C21" s="82"/>
      <c r="D21" s="82"/>
      <c r="E21" s="83" t="s">
        <v>18</v>
      </c>
      <c r="F21" s="83"/>
      <c r="G21" s="83"/>
      <c r="H21" s="83"/>
    </row>
    <row r="22" spans="1:8" ht="15" customHeight="1" x14ac:dyDescent="0.35">
      <c r="A22" s="71" t="s">
        <v>19</v>
      </c>
      <c r="B22" s="71"/>
      <c r="C22" s="71"/>
      <c r="D22" s="71"/>
      <c r="E22" s="83" t="str">
        <f>IF(AND(G16="Mumbai"),"Upper Class","Middle Class")</f>
        <v>Middle Class</v>
      </c>
      <c r="F22" s="83"/>
      <c r="G22" s="83"/>
      <c r="H22" s="83"/>
    </row>
    <row r="23" spans="1:8" x14ac:dyDescent="0.35">
      <c r="A23" s="71" t="s">
        <v>20</v>
      </c>
      <c r="B23" s="71"/>
      <c r="C23" s="71"/>
      <c r="D23" s="71"/>
      <c r="E23" s="83" t="s">
        <v>21</v>
      </c>
      <c r="F23" s="83"/>
      <c r="G23" s="83"/>
      <c r="H23" s="83"/>
    </row>
    <row r="24" spans="1:8" ht="15.75" customHeight="1" x14ac:dyDescent="0.35">
      <c r="A24" s="71" t="s">
        <v>22</v>
      </c>
      <c r="B24" s="71"/>
      <c r="C24" s="71"/>
      <c r="D24" s="71"/>
      <c r="E24" s="83" t="str">
        <f>IF(AND(G16="Mumbai"),"Developed","Developing")</f>
        <v>Developing</v>
      </c>
      <c r="F24" s="83"/>
      <c r="G24" s="83"/>
      <c r="H24" s="83"/>
    </row>
    <row r="25" spans="1:8" x14ac:dyDescent="0.35">
      <c r="A25" s="71" t="s">
        <v>23</v>
      </c>
      <c r="B25" s="71"/>
      <c r="C25" s="71"/>
      <c r="D25" s="71"/>
      <c r="E25" s="83" t="s">
        <v>24</v>
      </c>
      <c r="F25" s="83"/>
      <c r="G25" s="83"/>
      <c r="H25" s="83"/>
    </row>
    <row r="26" spans="1:8" x14ac:dyDescent="0.35">
      <c r="A26" s="71" t="s">
        <v>90</v>
      </c>
      <c r="B26" s="71"/>
      <c r="C26" s="71"/>
      <c r="D26" s="71"/>
      <c r="E26" s="83" t="s">
        <v>91</v>
      </c>
      <c r="F26" s="83"/>
      <c r="G26" s="83"/>
      <c r="H26" s="83"/>
    </row>
    <row r="27" spans="1:8" ht="15" customHeight="1" x14ac:dyDescent="0.35">
      <c r="A27" s="82" t="s">
        <v>35</v>
      </c>
      <c r="B27" s="82"/>
      <c r="C27" s="82"/>
      <c r="D27" s="82"/>
      <c r="E27" s="130" t="s">
        <v>180</v>
      </c>
      <c r="F27" s="130"/>
      <c r="G27" s="130"/>
      <c r="H27" s="130"/>
    </row>
    <row r="28" spans="1:8" x14ac:dyDescent="0.35">
      <c r="A28" s="82" t="s">
        <v>102</v>
      </c>
      <c r="B28" s="82"/>
      <c r="C28" s="82"/>
      <c r="D28" s="82"/>
      <c r="E28" s="82" t="s">
        <v>36</v>
      </c>
      <c r="F28" s="82"/>
      <c r="G28" s="82"/>
      <c r="H28" s="82"/>
    </row>
    <row r="29" spans="1:8" s="6" customFormat="1" x14ac:dyDescent="0.35">
      <c r="A29" s="140" t="s">
        <v>103</v>
      </c>
      <c r="B29" s="140"/>
      <c r="C29" s="137" t="s">
        <v>29</v>
      </c>
      <c r="D29" s="137"/>
      <c r="E29" s="137"/>
      <c r="F29" s="137" t="s">
        <v>31</v>
      </c>
      <c r="G29" s="137"/>
      <c r="H29" s="137"/>
    </row>
    <row r="30" spans="1:8" s="6" customFormat="1" x14ac:dyDescent="0.35">
      <c r="A30" s="135" t="s">
        <v>25</v>
      </c>
      <c r="B30" s="135" t="s">
        <v>30</v>
      </c>
      <c r="C30" s="108" t="s">
        <v>30</v>
      </c>
      <c r="D30" s="108"/>
      <c r="E30" s="108"/>
      <c r="F30" s="108" t="s">
        <v>181</v>
      </c>
      <c r="G30" s="108"/>
      <c r="H30" s="108"/>
    </row>
    <row r="31" spans="1:8" x14ac:dyDescent="0.35">
      <c r="A31" s="135" t="s">
        <v>26</v>
      </c>
      <c r="B31" s="135" t="s">
        <v>30</v>
      </c>
      <c r="C31" s="108" t="s">
        <v>30</v>
      </c>
      <c r="D31" s="108"/>
      <c r="E31" s="108"/>
      <c r="F31" s="108" t="s">
        <v>182</v>
      </c>
      <c r="G31" s="108"/>
      <c r="H31" s="108"/>
    </row>
    <row r="32" spans="1:8" s="6" customFormat="1" x14ac:dyDescent="0.35">
      <c r="A32" s="135" t="s">
        <v>28</v>
      </c>
      <c r="B32" s="135" t="s">
        <v>30</v>
      </c>
      <c r="C32" s="108" t="s">
        <v>30</v>
      </c>
      <c r="D32" s="108"/>
      <c r="E32" s="108"/>
      <c r="F32" s="108" t="s">
        <v>181</v>
      </c>
      <c r="G32" s="108"/>
      <c r="H32" s="108"/>
    </row>
    <row r="33" spans="1:8" x14ac:dyDescent="0.35">
      <c r="A33" s="135" t="s">
        <v>27</v>
      </c>
      <c r="B33" s="135" t="s">
        <v>30</v>
      </c>
      <c r="C33" s="108" t="s">
        <v>30</v>
      </c>
      <c r="D33" s="108"/>
      <c r="E33" s="108"/>
      <c r="F33" s="108" t="s">
        <v>178</v>
      </c>
      <c r="G33" s="108"/>
      <c r="H33" s="108"/>
    </row>
    <row r="34" spans="1:8" x14ac:dyDescent="0.35">
      <c r="A34" s="71" t="s">
        <v>32</v>
      </c>
      <c r="B34" s="71"/>
      <c r="C34" s="71"/>
      <c r="D34" s="71"/>
      <c r="E34" s="71"/>
      <c r="F34" s="71"/>
      <c r="G34" s="71"/>
      <c r="H34" s="71"/>
    </row>
    <row r="35" spans="1:8" ht="15.75" customHeight="1" x14ac:dyDescent="0.35">
      <c r="A35" s="127" t="s">
        <v>33</v>
      </c>
      <c r="B35" s="127"/>
      <c r="C35" s="138">
        <v>19.752410000000001</v>
      </c>
      <c r="D35" s="138"/>
      <c r="E35" s="127" t="s">
        <v>34</v>
      </c>
      <c r="F35" s="127"/>
      <c r="G35" s="139">
        <v>72.766420999999994</v>
      </c>
      <c r="H35" s="139"/>
    </row>
    <row r="36" spans="1:8" ht="15.75" customHeight="1" x14ac:dyDescent="0.35">
      <c r="A36" s="127" t="s">
        <v>200</v>
      </c>
      <c r="B36" s="127"/>
      <c r="C36" s="132" t="s">
        <v>201</v>
      </c>
      <c r="D36" s="133"/>
      <c r="E36" s="133"/>
      <c r="F36" s="133"/>
      <c r="G36" s="133"/>
      <c r="H36" s="134"/>
    </row>
    <row r="37" spans="1:8" x14ac:dyDescent="0.35">
      <c r="A37" s="80" t="s">
        <v>37</v>
      </c>
      <c r="B37" s="80"/>
      <c r="C37" s="80"/>
      <c r="D37" s="80"/>
      <c r="E37" s="80"/>
      <c r="F37" s="80"/>
      <c r="G37" s="80"/>
      <c r="H37" s="80"/>
    </row>
    <row r="38" spans="1:8" x14ac:dyDescent="0.35">
      <c r="A38" s="70" t="s">
        <v>38</v>
      </c>
      <c r="B38" s="70"/>
      <c r="C38" s="70"/>
      <c r="D38" s="70"/>
      <c r="E38" s="136">
        <v>19170</v>
      </c>
      <c r="F38" s="136"/>
      <c r="G38" s="136"/>
      <c r="H38" s="136"/>
    </row>
    <row r="39" spans="1:8" x14ac:dyDescent="0.35">
      <c r="A39" s="70" t="s">
        <v>39</v>
      </c>
      <c r="B39" s="70"/>
      <c r="C39" s="70"/>
      <c r="D39" s="70"/>
      <c r="E39" s="69">
        <v>1</v>
      </c>
      <c r="F39" s="69"/>
      <c r="G39" s="69"/>
      <c r="H39" s="69"/>
    </row>
    <row r="40" spans="1:8" x14ac:dyDescent="0.35">
      <c r="A40" s="70" t="s">
        <v>40</v>
      </c>
      <c r="B40" s="70"/>
      <c r="C40" s="70"/>
      <c r="D40" s="70"/>
      <c r="E40" s="69">
        <f>E42/E38-E39</f>
        <v>0</v>
      </c>
      <c r="F40" s="69"/>
      <c r="G40" s="69"/>
      <c r="H40" s="69"/>
    </row>
    <row r="41" spans="1:8" x14ac:dyDescent="0.35">
      <c r="A41" s="70" t="s">
        <v>41</v>
      </c>
      <c r="B41" s="70"/>
      <c r="C41" s="70"/>
      <c r="D41" s="70"/>
      <c r="E41" s="69">
        <f>E39+E40</f>
        <v>1</v>
      </c>
      <c r="F41" s="69"/>
      <c r="G41" s="69"/>
      <c r="H41" s="69"/>
    </row>
    <row r="42" spans="1:8" x14ac:dyDescent="0.35">
      <c r="A42" s="70" t="s">
        <v>101</v>
      </c>
      <c r="B42" s="70"/>
      <c r="C42" s="70"/>
      <c r="D42" s="70"/>
      <c r="E42" s="125">
        <v>19170</v>
      </c>
      <c r="F42" s="125"/>
      <c r="G42" s="125"/>
      <c r="H42" s="125"/>
    </row>
    <row r="43" spans="1:8" x14ac:dyDescent="0.35">
      <c r="A43" s="70" t="s">
        <v>42</v>
      </c>
      <c r="B43" s="70"/>
      <c r="C43" s="70"/>
      <c r="D43" s="70"/>
      <c r="E43" s="70" t="s">
        <v>183</v>
      </c>
      <c r="F43" s="70"/>
      <c r="G43" s="70"/>
      <c r="H43" s="70"/>
    </row>
    <row r="44" spans="1:8" x14ac:dyDescent="0.35">
      <c r="A44" s="65" t="s">
        <v>43</v>
      </c>
      <c r="B44" s="65"/>
      <c r="C44" s="65"/>
      <c r="D44" s="65"/>
      <c r="E44" s="65"/>
      <c r="F44" s="65"/>
      <c r="G44" s="65"/>
      <c r="H44" s="65"/>
    </row>
    <row r="45" spans="1:8" x14ac:dyDescent="0.35">
      <c r="A45" s="82" t="s">
        <v>44</v>
      </c>
      <c r="B45" s="82"/>
      <c r="C45" s="83" t="s">
        <v>184</v>
      </c>
      <c r="D45" s="83"/>
      <c r="E45" s="83"/>
      <c r="F45" s="39" t="s">
        <v>45</v>
      </c>
      <c r="G45" s="84">
        <v>43089</v>
      </c>
      <c r="H45" s="84"/>
    </row>
    <row r="46" spans="1:8" x14ac:dyDescent="0.35">
      <c r="A46" s="71" t="s">
        <v>46</v>
      </c>
      <c r="B46" s="71"/>
      <c r="C46" s="83" t="s">
        <v>184</v>
      </c>
      <c r="D46" s="83"/>
      <c r="E46" s="83"/>
      <c r="F46" s="40" t="s">
        <v>45</v>
      </c>
      <c r="G46" s="84">
        <v>43089</v>
      </c>
      <c r="H46" s="84"/>
    </row>
    <row r="47" spans="1:8" s="5" customFormat="1" x14ac:dyDescent="0.35">
      <c r="A47" s="83" t="s">
        <v>47</v>
      </c>
      <c r="B47" s="83"/>
      <c r="C47" s="83" t="s">
        <v>192</v>
      </c>
      <c r="D47" s="70"/>
      <c r="E47" s="70"/>
      <c r="F47" s="46" t="s">
        <v>45</v>
      </c>
      <c r="G47" s="84">
        <v>43089</v>
      </c>
      <c r="H47" s="84"/>
    </row>
    <row r="48" spans="1:8" s="5" customFormat="1" x14ac:dyDescent="0.35">
      <c r="A48" s="83"/>
      <c r="B48" s="83"/>
      <c r="C48" s="93" t="s">
        <v>186</v>
      </c>
      <c r="D48" s="94"/>
      <c r="E48" s="94"/>
      <c r="F48" s="94"/>
      <c r="G48" s="94"/>
      <c r="H48" s="95"/>
    </row>
    <row r="49" spans="1:14" x14ac:dyDescent="0.35">
      <c r="A49" s="64" t="s">
        <v>48</v>
      </c>
      <c r="B49" s="64"/>
      <c r="C49" s="64" t="s">
        <v>118</v>
      </c>
      <c r="D49" s="65"/>
      <c r="E49" s="65" t="s">
        <v>49</v>
      </c>
      <c r="F49" s="44" t="s">
        <v>45</v>
      </c>
      <c r="G49" s="92" t="s">
        <v>30</v>
      </c>
      <c r="H49" s="92"/>
    </row>
    <row r="50" spans="1:14" x14ac:dyDescent="0.35">
      <c r="A50" s="91" t="s">
        <v>51</v>
      </c>
      <c r="B50" s="91"/>
      <c r="C50" s="91"/>
      <c r="D50" s="91"/>
      <c r="E50" s="91"/>
      <c r="F50" s="91"/>
      <c r="G50" s="91"/>
      <c r="H50" s="91"/>
    </row>
    <row r="51" spans="1:14" x14ac:dyDescent="0.35">
      <c r="A51" s="82" t="s">
        <v>100</v>
      </c>
      <c r="B51" s="82"/>
      <c r="C51" s="82"/>
      <c r="D51" s="71">
        <v>1387</v>
      </c>
      <c r="E51" s="71"/>
      <c r="F51" s="71"/>
      <c r="G51" s="71"/>
      <c r="H51" s="71"/>
    </row>
    <row r="52" spans="1:14" x14ac:dyDescent="0.35">
      <c r="A52" s="83" t="s">
        <v>52</v>
      </c>
      <c r="B52" s="70"/>
      <c r="C52" s="70"/>
      <c r="D52" s="70" t="s">
        <v>185</v>
      </c>
      <c r="E52" s="70"/>
      <c r="F52" s="70"/>
      <c r="G52" s="70"/>
      <c r="H52" s="70"/>
      <c r="I52" s="28"/>
    </row>
    <row r="53" spans="1:14" ht="15.75" customHeight="1" x14ac:dyDescent="0.35">
      <c r="A53" s="85" t="s">
        <v>53</v>
      </c>
      <c r="B53" s="86"/>
      <c r="C53" s="96"/>
      <c r="D53" s="87" t="s">
        <v>187</v>
      </c>
      <c r="E53" s="87"/>
      <c r="F53" s="87"/>
      <c r="G53" s="87"/>
      <c r="H53" s="87"/>
    </row>
    <row r="54" spans="1:14" ht="15.75" customHeight="1" x14ac:dyDescent="0.35">
      <c r="A54" s="85" t="s">
        <v>98</v>
      </c>
      <c r="B54" s="86"/>
      <c r="C54" s="86"/>
      <c r="D54" s="87" t="s">
        <v>187</v>
      </c>
      <c r="E54" s="87"/>
      <c r="F54" s="87"/>
      <c r="G54" s="87"/>
      <c r="H54" s="87"/>
    </row>
    <row r="55" spans="1:14" ht="15.75" customHeight="1" x14ac:dyDescent="0.35">
      <c r="A55" s="71" t="s">
        <v>50</v>
      </c>
      <c r="B55" s="71"/>
      <c r="C55" s="71"/>
      <c r="D55" s="82" t="s">
        <v>199</v>
      </c>
      <c r="E55" s="82"/>
      <c r="F55" s="82"/>
      <c r="G55" s="82"/>
      <c r="H55" s="82"/>
      <c r="J55" s="27"/>
      <c r="K55" s="28"/>
      <c r="N55" s="28"/>
    </row>
    <row r="56" spans="1:14" ht="15.75" customHeight="1" x14ac:dyDescent="0.35">
      <c r="A56" s="71" t="s">
        <v>96</v>
      </c>
      <c r="B56" s="71"/>
      <c r="C56" s="71"/>
      <c r="D56" s="122" t="str">
        <f>(IF(G49="NA","60 Years After Completion",IF(G49&lt;&gt;"NA",""&amp;60-ROUNDDOWN((E3-G49)/360,0)&amp;" Years"," ")))</f>
        <v>60 Years After Completion</v>
      </c>
      <c r="E56" s="122"/>
      <c r="F56" s="122"/>
      <c r="G56" s="122"/>
      <c r="H56" s="122"/>
      <c r="N56" s="28"/>
    </row>
    <row r="57" spans="1:14" ht="15.75" customHeight="1" x14ac:dyDescent="0.35">
      <c r="A57" s="71" t="s">
        <v>97</v>
      </c>
      <c r="B57" s="71"/>
      <c r="C57" s="71"/>
      <c r="D57" s="82" t="s">
        <v>24</v>
      </c>
      <c r="E57" s="82"/>
      <c r="F57" s="82"/>
      <c r="G57" s="82"/>
      <c r="H57" s="82"/>
      <c r="J57" s="9"/>
      <c r="K57" s="9"/>
    </row>
    <row r="58" spans="1:14" ht="15" hidden="1" customHeight="1" x14ac:dyDescent="0.35">
      <c r="A58" s="71" t="s">
        <v>81</v>
      </c>
      <c r="B58" s="71"/>
      <c r="C58" s="71"/>
      <c r="D58" s="83" t="s">
        <v>161</v>
      </c>
      <c r="E58" s="82"/>
      <c r="F58" s="82"/>
      <c r="G58" s="82"/>
      <c r="H58" s="82"/>
    </row>
    <row r="59" spans="1:14" x14ac:dyDescent="0.35">
      <c r="A59" s="82" t="s">
        <v>162</v>
      </c>
      <c r="B59" s="82"/>
      <c r="C59" s="82"/>
      <c r="D59" s="82" t="s">
        <v>30</v>
      </c>
      <c r="E59" s="82"/>
      <c r="F59" s="82"/>
      <c r="G59" s="82"/>
      <c r="H59" s="82"/>
      <c r="I59" s="36"/>
      <c r="J59" s="36"/>
      <c r="K59" s="36"/>
      <c r="L59" s="36"/>
      <c r="M59" s="36"/>
      <c r="N59" s="36"/>
    </row>
    <row r="60" spans="1:14" ht="15.75" customHeight="1" x14ac:dyDescent="0.35">
      <c r="A60" s="97" t="s">
        <v>95</v>
      </c>
      <c r="B60" s="97"/>
      <c r="C60" s="97"/>
      <c r="D60" s="98" t="str">
        <f ca="1">(IF(G66&gt;95%,"Nothing",IF(G66&gt;0%,"Cement, Aggregate, Steel, etc",IF(G66=0%,"Work not yet Started"))))</f>
        <v>Cement, Aggregate, Steel, etc</v>
      </c>
      <c r="E60" s="98"/>
      <c r="F60" s="98"/>
      <c r="G60" s="98"/>
      <c r="H60" s="98"/>
      <c r="J60" s="9"/>
    </row>
    <row r="61" spans="1:14" ht="33.75" customHeight="1" thickBot="1" x14ac:dyDescent="0.4">
      <c r="A61" s="115" t="s">
        <v>131</v>
      </c>
      <c r="B61" s="115"/>
      <c r="C61" s="115"/>
      <c r="D61" s="98" t="str">
        <f ca="1">(IF(D60="Nothing","Yes",IF(D60="Cement, Aggregate, Steel, etc","Under Construction",IF(D60="Work not yet Started","Work not yet Started"))))</f>
        <v>Under Construction</v>
      </c>
      <c r="E61" s="98"/>
      <c r="F61" s="98" t="str">
        <f ca="1">(IF(D60="Nothing","Yes",IF(D60="Cement, Aggregate, Steel, etc","Under Construction",IF(D60="Work not yet Started","Work not yet Started"))))</f>
        <v>Under Construction</v>
      </c>
      <c r="G61" s="98"/>
      <c r="H61" s="98"/>
    </row>
    <row r="62" spans="1:14" ht="15.75" customHeight="1" x14ac:dyDescent="0.35">
      <c r="A62" s="101" t="s">
        <v>153</v>
      </c>
      <c r="B62" s="102"/>
      <c r="C62" s="103" t="str">
        <f>D54</f>
        <v>Building No.07 (Wing - B) = G/St + 1st to 4th Floor</v>
      </c>
      <c r="D62" s="104"/>
      <c r="E62" s="104"/>
      <c r="F62" s="104"/>
      <c r="G62" s="104"/>
      <c r="H62" s="105"/>
      <c r="I62" s="30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Slab, Brickwork, Internal Plaster, External Plaster, Flooring upto 3 Floor, Painting upto 3 Floor Completed</v>
      </c>
      <c r="J62" s="10"/>
    </row>
    <row r="63" spans="1:14" x14ac:dyDescent="0.35">
      <c r="A63" s="43" t="s">
        <v>155</v>
      </c>
      <c r="B63" s="41">
        <v>0</v>
      </c>
      <c r="C63" s="41" t="s">
        <v>79</v>
      </c>
      <c r="D63" s="41">
        <v>1</v>
      </c>
      <c r="E63" s="41" t="s">
        <v>78</v>
      </c>
      <c r="F63" s="41">
        <v>0</v>
      </c>
      <c r="G63" s="41" t="s">
        <v>89</v>
      </c>
      <c r="H63" s="35">
        <f ca="1">--TRIM(RIGHT(SUBSTITUTE(LEFT(C62,_xlfn.AGGREGATE(16,6,FIND({0,1,2,3,4,5,6,7,8,9},C62,ROW(INDIRECT("1:"&amp;LEN(C62)))),1))," ",REPT(" ",LEN(C62))),LEN(C62)))</f>
        <v>4</v>
      </c>
      <c r="I63" s="9"/>
      <c r="J63" s="11"/>
    </row>
    <row r="64" spans="1:14" ht="50.25" customHeight="1" x14ac:dyDescent="0.35">
      <c r="A64" s="100" t="s">
        <v>99</v>
      </c>
      <c r="B64" s="65"/>
      <c r="C64" s="64" t="str">
        <f ca="1">I62</f>
        <v>Excavation work Completed. Plinth work completed, RCC Slab, Brickwork, Internal Plaster, External Plaster, Flooring upto 3 Floor, Painting upto 3 Floor Completed</v>
      </c>
      <c r="D64" s="64"/>
      <c r="E64" s="64"/>
      <c r="F64" s="64"/>
      <c r="G64" s="64"/>
      <c r="H64" s="106"/>
      <c r="I64" s="9" t="s">
        <v>116</v>
      </c>
      <c r="J64" s="11"/>
    </row>
    <row r="65" spans="1:10" ht="15.75" customHeight="1" x14ac:dyDescent="0.35">
      <c r="A65" s="78" t="s">
        <v>54</v>
      </c>
      <c r="B65" s="79"/>
      <c r="C65" s="42" t="s">
        <v>152</v>
      </c>
      <c r="D65" s="42" t="s">
        <v>92</v>
      </c>
      <c r="E65" s="79" t="s">
        <v>94</v>
      </c>
      <c r="F65" s="79"/>
      <c r="G65" s="79" t="s">
        <v>93</v>
      </c>
      <c r="H65" s="99"/>
      <c r="I65" s="26" t="s">
        <v>154</v>
      </c>
      <c r="J65" s="12">
        <f ca="1">H63*25%</f>
        <v>1</v>
      </c>
    </row>
    <row r="66" spans="1:10" x14ac:dyDescent="0.35">
      <c r="A66" s="78" t="s">
        <v>141</v>
      </c>
      <c r="B66" s="79"/>
      <c r="C66" s="47">
        <f ca="1">J67</f>
        <v>4</v>
      </c>
      <c r="D66" s="48">
        <f ca="1">((100/H63)*C66)/100</f>
        <v>1</v>
      </c>
      <c r="E66" s="116">
        <f ca="1">(((C67/H63*10)+(40/(D63+F63+H63)*C68)+(7.5/(H63)*C69)+(7.5/(H63)*C70)+(10/H63*C71)+(10/H63*C72)+(5/H63*C73)+(5/H63*C74)+(5/H63*C75))/100)</f>
        <v>0.86250000000000004</v>
      </c>
      <c r="F66" s="116"/>
      <c r="G66" s="116">
        <f ca="1">((((C66/H63)*20)+((C67/H63)*25)+(30/(H63+F63+D63)*C68)+(5/H63*C69)+(5/H63*C70)+(5/H63*C71)+(5/H63*C72)+(0/H63*C73)+(0/H63*C74)+(5/H63*C75))/100)</f>
        <v>0.9375</v>
      </c>
      <c r="H66" s="118"/>
      <c r="I66" s="26" t="s">
        <v>111</v>
      </c>
      <c r="J66" s="29">
        <f ca="1">H63*50%</f>
        <v>2</v>
      </c>
    </row>
    <row r="67" spans="1:10" x14ac:dyDescent="0.35">
      <c r="A67" s="78" t="s">
        <v>55</v>
      </c>
      <c r="B67" s="79"/>
      <c r="C67" s="49">
        <f ca="1">J75</f>
        <v>4</v>
      </c>
      <c r="D67" s="48">
        <f ca="1">((100/H63)*C67)/100</f>
        <v>1</v>
      </c>
      <c r="E67" s="116"/>
      <c r="F67" s="116"/>
      <c r="G67" s="116"/>
      <c r="H67" s="118"/>
      <c r="I67" s="26" t="s">
        <v>112</v>
      </c>
      <c r="J67" s="29">
        <f ca="1">H63</f>
        <v>4</v>
      </c>
    </row>
    <row r="68" spans="1:10" ht="15.75" customHeight="1" x14ac:dyDescent="0.35">
      <c r="A68" s="107" t="s">
        <v>142</v>
      </c>
      <c r="B68" s="108"/>
      <c r="C68" s="49">
        <v>5</v>
      </c>
      <c r="D68" s="48">
        <f ca="1">((100/(D63+F63+H63))*C68)/100</f>
        <v>1</v>
      </c>
      <c r="E68" s="116"/>
      <c r="F68" s="116"/>
      <c r="G68" s="116"/>
      <c r="H68" s="118"/>
      <c r="I68" s="26" t="s">
        <v>113</v>
      </c>
      <c r="J68" s="32">
        <f ca="1">(IF(B63&gt;1,(H63/(B63+2)),H63/4))</f>
        <v>1</v>
      </c>
    </row>
    <row r="69" spans="1:10" ht="15.75" customHeight="1" x14ac:dyDescent="0.35">
      <c r="A69" s="78" t="s">
        <v>149</v>
      </c>
      <c r="B69" s="79" t="s">
        <v>143</v>
      </c>
      <c r="C69" s="47">
        <v>4</v>
      </c>
      <c r="D69" s="48">
        <f ca="1">((100/H63)*C69)/100</f>
        <v>1</v>
      </c>
      <c r="E69" s="116"/>
      <c r="F69" s="116"/>
      <c r="G69" s="116"/>
      <c r="H69" s="118"/>
      <c r="I69" s="26" t="s">
        <v>114</v>
      </c>
      <c r="J69" s="32">
        <f ca="1">(IF(B63&gt;1,(H63/(B63+2)+J68),H63/4+J68))</f>
        <v>2</v>
      </c>
    </row>
    <row r="70" spans="1:10" ht="15.75" customHeight="1" x14ac:dyDescent="0.35">
      <c r="A70" s="78" t="s">
        <v>150</v>
      </c>
      <c r="B70" s="79" t="s">
        <v>143</v>
      </c>
      <c r="C70" s="47">
        <v>4</v>
      </c>
      <c r="D70" s="48">
        <f ca="1">((100/H63)*C70)/100</f>
        <v>1</v>
      </c>
      <c r="E70" s="116"/>
      <c r="F70" s="116"/>
      <c r="G70" s="116"/>
      <c r="H70" s="118"/>
      <c r="I70" s="26" t="s">
        <v>159</v>
      </c>
      <c r="J70" s="32">
        <f>(IF(B63&gt;1,(H63/(B63+2)+J69),0))</f>
        <v>0</v>
      </c>
    </row>
    <row r="71" spans="1:10" ht="15" customHeight="1" x14ac:dyDescent="0.35">
      <c r="A71" s="78" t="s">
        <v>148</v>
      </c>
      <c r="B71" s="79" t="s">
        <v>145</v>
      </c>
      <c r="C71" s="47">
        <v>4</v>
      </c>
      <c r="D71" s="48">
        <f ca="1">((100/(H63))*C71)/100</f>
        <v>1</v>
      </c>
      <c r="E71" s="116"/>
      <c r="F71" s="116"/>
      <c r="G71" s="116"/>
      <c r="H71" s="118"/>
      <c r="I71" s="26" t="s">
        <v>156</v>
      </c>
      <c r="J71" s="32">
        <f>(IF(B63&gt;2,(H63/(B63+2)+J70),0))</f>
        <v>0</v>
      </c>
    </row>
    <row r="72" spans="1:10" ht="15.75" customHeight="1" x14ac:dyDescent="0.35">
      <c r="A72" s="78" t="s">
        <v>144</v>
      </c>
      <c r="B72" s="79" t="s">
        <v>144</v>
      </c>
      <c r="C72" s="47">
        <v>3</v>
      </c>
      <c r="D72" s="48">
        <f ca="1">((100/H63)*C72)/100</f>
        <v>0.75</v>
      </c>
      <c r="E72" s="116"/>
      <c r="F72" s="116"/>
      <c r="G72" s="116"/>
      <c r="H72" s="118"/>
      <c r="I72" s="26" t="s">
        <v>157</v>
      </c>
      <c r="J72" s="33">
        <f>(IF(B63&gt;3,(H63/(B63+2)+J71),0))</f>
        <v>0</v>
      </c>
    </row>
    <row r="73" spans="1:10" ht="15.75" customHeight="1" x14ac:dyDescent="0.35">
      <c r="A73" s="78" t="s">
        <v>151</v>
      </c>
      <c r="B73" s="79"/>
      <c r="C73" s="47">
        <v>3</v>
      </c>
      <c r="D73" s="48">
        <f ca="1">((100/H63)*C73)/100</f>
        <v>0.75</v>
      </c>
      <c r="E73" s="116"/>
      <c r="F73" s="116"/>
      <c r="G73" s="116"/>
      <c r="H73" s="118"/>
      <c r="I73" s="26" t="s">
        <v>158</v>
      </c>
      <c r="J73" s="32">
        <f>(IF(B63&gt;4,(H63/(B63+2)+J72),0))</f>
        <v>0</v>
      </c>
    </row>
    <row r="74" spans="1:10" ht="15.75" customHeight="1" x14ac:dyDescent="0.35">
      <c r="A74" s="78" t="s">
        <v>146</v>
      </c>
      <c r="B74" s="79" t="s">
        <v>146</v>
      </c>
      <c r="C74" s="47">
        <v>0</v>
      </c>
      <c r="D74" s="48">
        <f ca="1">((100/(H63))*C74)/100</f>
        <v>0</v>
      </c>
      <c r="E74" s="116"/>
      <c r="F74" s="116"/>
      <c r="G74" s="116"/>
      <c r="H74" s="118"/>
      <c r="I74" s="26" t="s">
        <v>160</v>
      </c>
      <c r="J74" s="32">
        <f ca="1">(IF(B63=1,(H63/(B63+3)+J69),IF(B63=0,(H63/4+J69),IF(B63&gt;1,0))))</f>
        <v>3</v>
      </c>
    </row>
    <row r="75" spans="1:10" ht="16" thickBot="1" x14ac:dyDescent="0.4">
      <c r="A75" s="120" t="s">
        <v>147</v>
      </c>
      <c r="B75" s="121"/>
      <c r="C75" s="50">
        <v>0</v>
      </c>
      <c r="D75" s="51">
        <f ca="1">((100/(H63))*C75)/100</f>
        <v>0</v>
      </c>
      <c r="E75" s="117"/>
      <c r="F75" s="117"/>
      <c r="G75" s="117"/>
      <c r="H75" s="119"/>
      <c r="I75" s="31" t="s">
        <v>115</v>
      </c>
      <c r="J75" s="34">
        <f ca="1">(IF(B63&gt;1.5,(H63/(B63+2)+J69+MAX(0,J70-J69)+MAX(0,J71-J70)+MAX(0,J72-J71)+MAX(0,J73-J72)+MAX(0,J74-J73)),IF(B63=1,(H63/(B63+3)+J74),IF(B63=0,H63/4+J74))))</f>
        <v>4</v>
      </c>
    </row>
    <row r="76" spans="1:10" x14ac:dyDescent="0.35">
      <c r="A76" s="80" t="s">
        <v>56</v>
      </c>
      <c r="B76" s="80"/>
      <c r="C76" s="80"/>
      <c r="D76" s="80"/>
      <c r="E76" s="80"/>
      <c r="F76" s="80"/>
      <c r="G76" s="80"/>
      <c r="H76" s="80"/>
    </row>
    <row r="77" spans="1:10" x14ac:dyDescent="0.35">
      <c r="A77" s="71" t="s">
        <v>82</v>
      </c>
      <c r="B77" s="71"/>
      <c r="C77" s="71"/>
      <c r="D77" s="71"/>
      <c r="E77" s="71"/>
      <c r="F77" s="70">
        <v>3600</v>
      </c>
      <c r="G77" s="70"/>
      <c r="H77" s="70"/>
    </row>
    <row r="78" spans="1:10" hidden="1" x14ac:dyDescent="0.35">
      <c r="A78" s="71" t="s">
        <v>87</v>
      </c>
      <c r="B78" s="71"/>
      <c r="C78" s="71"/>
      <c r="D78" s="71"/>
      <c r="E78" s="71"/>
      <c r="F78" s="70"/>
      <c r="G78" s="70"/>
      <c r="H78" s="70"/>
    </row>
    <row r="79" spans="1:10" hidden="1" x14ac:dyDescent="0.35">
      <c r="A79" s="71" t="s">
        <v>88</v>
      </c>
      <c r="B79" s="71"/>
      <c r="C79" s="71"/>
      <c r="D79" s="71"/>
      <c r="E79" s="71"/>
      <c r="F79" s="70"/>
      <c r="G79" s="70"/>
      <c r="H79" s="70"/>
    </row>
    <row r="80" spans="1:10" s="7" customFormat="1" hidden="1" x14ac:dyDescent="0.3">
      <c r="A80" s="71" t="s">
        <v>104</v>
      </c>
      <c r="B80" s="71"/>
      <c r="C80" s="71"/>
      <c r="D80" s="71"/>
      <c r="E80" s="71"/>
      <c r="F80" s="70" t="s">
        <v>30</v>
      </c>
      <c r="G80" s="70"/>
      <c r="H80" s="70"/>
    </row>
    <row r="81" spans="1:14" s="7" customFormat="1" hidden="1" x14ac:dyDescent="0.3">
      <c r="A81" s="71" t="s">
        <v>105</v>
      </c>
      <c r="B81" s="71"/>
      <c r="C81" s="71"/>
      <c r="D81" s="71"/>
      <c r="E81" s="71"/>
      <c r="F81" s="70" t="s">
        <v>30</v>
      </c>
      <c r="G81" s="70"/>
      <c r="H81" s="70"/>
    </row>
    <row r="82" spans="1:14" s="7" customFormat="1" hidden="1" x14ac:dyDescent="0.3">
      <c r="A82" s="71" t="s">
        <v>106</v>
      </c>
      <c r="B82" s="71"/>
      <c r="C82" s="71"/>
      <c r="D82" s="71"/>
      <c r="E82" s="71"/>
      <c r="F82" s="70" t="s">
        <v>30</v>
      </c>
      <c r="G82" s="70"/>
      <c r="H82" s="70"/>
    </row>
    <row r="83" spans="1:14" s="7" customFormat="1" hidden="1" x14ac:dyDescent="0.3">
      <c r="A83" s="71" t="s">
        <v>107</v>
      </c>
      <c r="B83" s="71"/>
      <c r="C83" s="71"/>
      <c r="D83" s="71"/>
      <c r="E83" s="71"/>
      <c r="F83" s="70" t="s">
        <v>30</v>
      </c>
      <c r="G83" s="70"/>
      <c r="H83" s="70"/>
    </row>
    <row r="84" spans="1:14" s="7" customFormat="1" hidden="1" x14ac:dyDescent="0.3">
      <c r="A84" s="71" t="s">
        <v>108</v>
      </c>
      <c r="B84" s="71"/>
      <c r="C84" s="71"/>
      <c r="D84" s="71"/>
      <c r="E84" s="71"/>
      <c r="F84" s="70" t="s">
        <v>30</v>
      </c>
      <c r="G84" s="70"/>
      <c r="H84" s="70"/>
    </row>
    <row r="85" spans="1:14" s="7" customFormat="1" hidden="1" x14ac:dyDescent="0.3">
      <c r="A85" s="71" t="s">
        <v>109</v>
      </c>
      <c r="B85" s="71"/>
      <c r="C85" s="71"/>
      <c r="D85" s="71"/>
      <c r="E85" s="71"/>
      <c r="F85" s="70" t="s">
        <v>30</v>
      </c>
      <c r="G85" s="70"/>
      <c r="H85" s="70"/>
    </row>
    <row r="86" spans="1:14" s="7" customFormat="1" x14ac:dyDescent="0.3">
      <c r="A86" s="71" t="s">
        <v>188</v>
      </c>
      <c r="B86" s="71"/>
      <c r="C86" s="71"/>
      <c r="D86" s="71"/>
      <c r="E86" s="71"/>
      <c r="F86" s="83" t="s">
        <v>196</v>
      </c>
      <c r="G86" s="70"/>
      <c r="H86" s="70"/>
    </row>
    <row r="87" spans="1:14" s="7" customFormat="1" hidden="1" x14ac:dyDescent="0.3">
      <c r="A87" s="71" t="s">
        <v>110</v>
      </c>
      <c r="B87" s="71"/>
      <c r="C87" s="71"/>
      <c r="D87" s="71"/>
      <c r="E87" s="71"/>
      <c r="F87" s="70" t="s">
        <v>30</v>
      </c>
      <c r="G87" s="70"/>
      <c r="H87" s="70"/>
    </row>
    <row r="88" spans="1:14" x14ac:dyDescent="0.35">
      <c r="A88" s="71" t="s">
        <v>57</v>
      </c>
      <c r="B88" s="71"/>
      <c r="C88" s="71"/>
      <c r="D88" s="71"/>
      <c r="E88" s="71"/>
      <c r="F88" s="83" t="s">
        <v>198</v>
      </c>
      <c r="G88" s="83"/>
      <c r="H88" s="83"/>
    </row>
    <row r="89" spans="1:14" s="4" customFormat="1" x14ac:dyDescent="0.35">
      <c r="A89" s="80" t="s">
        <v>58</v>
      </c>
      <c r="B89" s="80"/>
      <c r="C89" s="80"/>
      <c r="D89" s="80"/>
      <c r="E89" s="80"/>
      <c r="F89" s="70">
        <f>F77*0.8</f>
        <v>2880</v>
      </c>
      <c r="G89" s="70"/>
      <c r="H89" s="70"/>
    </row>
    <row r="90" spans="1:14" s="1" customFormat="1" x14ac:dyDescent="0.35">
      <c r="A90" s="113" t="s">
        <v>77</v>
      </c>
      <c r="B90" s="113"/>
      <c r="C90" s="113"/>
      <c r="D90" s="113"/>
      <c r="E90" s="113"/>
      <c r="F90" s="113"/>
      <c r="G90" s="113"/>
      <c r="H90" s="113"/>
    </row>
    <row r="91" spans="1:14" s="1" customFormat="1" ht="15.75" customHeight="1" x14ac:dyDescent="0.35">
      <c r="A91" s="76" t="s">
        <v>59</v>
      </c>
      <c r="B91" s="76"/>
      <c r="C91" s="123" t="s">
        <v>85</v>
      </c>
      <c r="D91" s="123"/>
      <c r="E91" s="144" t="s">
        <v>60</v>
      </c>
      <c r="F91" s="144"/>
      <c r="G91" s="76" t="s">
        <v>61</v>
      </c>
      <c r="H91" s="76"/>
    </row>
    <row r="92" spans="1:14" s="1" customFormat="1" x14ac:dyDescent="0.35">
      <c r="A92" s="112" t="s">
        <v>169</v>
      </c>
      <c r="B92" s="112"/>
      <c r="C92" s="124">
        <f>COUNT(D100:D103)+COUNT(D105:D110)*4</f>
        <v>28</v>
      </c>
      <c r="D92" s="124"/>
      <c r="E92" s="81">
        <f>SUM(D100:D103)+SUM(D105:D110)*4</f>
        <v>10685.853359999999</v>
      </c>
      <c r="F92" s="81"/>
      <c r="G92" s="81">
        <f>SUM(F100:F103)+SUM(F105:F110)*4</f>
        <v>16143.369999999999</v>
      </c>
      <c r="H92" s="81"/>
    </row>
    <row r="93" spans="1:14" s="4" customFormat="1" x14ac:dyDescent="0.35">
      <c r="A93" s="127" t="s">
        <v>62</v>
      </c>
      <c r="B93" s="127"/>
      <c r="C93" s="127"/>
      <c r="D93" s="127"/>
      <c r="E93" s="127"/>
      <c r="F93" s="127"/>
      <c r="G93" s="127"/>
      <c r="H93" s="127"/>
    </row>
    <row r="94" spans="1:14" x14ac:dyDescent="0.35">
      <c r="A94" s="127" t="s">
        <v>63</v>
      </c>
      <c r="B94" s="127"/>
      <c r="C94" s="127"/>
      <c r="D94" s="127"/>
      <c r="E94" s="127"/>
      <c r="F94" s="127"/>
      <c r="G94" s="127"/>
      <c r="H94" s="127"/>
    </row>
    <row r="95" spans="1:14" s="2" customFormat="1" x14ac:dyDescent="0.35">
      <c r="A95" s="75"/>
      <c r="B95" s="75"/>
      <c r="C95" s="75"/>
      <c r="D95" s="75"/>
      <c r="E95" s="75"/>
      <c r="F95" s="75"/>
      <c r="G95" s="75"/>
      <c r="H95" s="75"/>
      <c r="I95" s="25"/>
      <c r="N95" s="25"/>
    </row>
    <row r="96" spans="1:14" ht="47.25" customHeight="1" x14ac:dyDescent="0.35">
      <c r="A96" s="59" t="s">
        <v>132</v>
      </c>
      <c r="B96" s="59" t="s">
        <v>133</v>
      </c>
      <c r="C96" s="59" t="s">
        <v>64</v>
      </c>
      <c r="D96" s="59" t="s">
        <v>65</v>
      </c>
      <c r="E96" s="60" t="s">
        <v>66</v>
      </c>
      <c r="F96" s="59" t="s">
        <v>189</v>
      </c>
      <c r="G96" s="77" t="s">
        <v>67</v>
      </c>
      <c r="H96" s="77"/>
      <c r="I96" s="25"/>
    </row>
    <row r="97" spans="1:16" x14ac:dyDescent="0.35">
      <c r="A97" s="127" t="s">
        <v>167</v>
      </c>
      <c r="B97" s="127"/>
      <c r="C97" s="127"/>
      <c r="D97" s="127"/>
      <c r="E97" s="127"/>
      <c r="F97" s="127"/>
      <c r="G97" s="127"/>
      <c r="H97" s="127"/>
    </row>
    <row r="98" spans="1:16" x14ac:dyDescent="0.35">
      <c r="A98" s="127" t="s">
        <v>168</v>
      </c>
      <c r="B98" s="127"/>
      <c r="C98" s="127"/>
      <c r="D98" s="127"/>
      <c r="E98" s="127"/>
      <c r="F98" s="127"/>
      <c r="G98" s="127"/>
      <c r="H98" s="127"/>
    </row>
    <row r="99" spans="1:16" s="2" customFormat="1" x14ac:dyDescent="0.35">
      <c r="A99" s="111" t="s">
        <v>163</v>
      </c>
      <c r="B99" s="111"/>
      <c r="C99" s="111"/>
      <c r="D99" s="111"/>
      <c r="E99" s="111"/>
      <c r="F99" s="111"/>
      <c r="G99" s="111"/>
      <c r="H99" s="111"/>
      <c r="I99" s="25"/>
      <c r="L99" s="145"/>
      <c r="M99" s="145"/>
    </row>
    <row r="100" spans="1:16" s="2" customFormat="1" x14ac:dyDescent="0.35">
      <c r="A100" s="75">
        <v>1</v>
      </c>
      <c r="B100" s="75"/>
      <c r="C100" s="38" t="s">
        <v>164</v>
      </c>
      <c r="D100" s="38">
        <f>(32.74)*10.764</f>
        <v>352.41336000000001</v>
      </c>
      <c r="E100" s="38">
        <v>0</v>
      </c>
      <c r="F100" s="38">
        <v>527.01</v>
      </c>
      <c r="G100" s="75" t="str">
        <f>A99</f>
        <v>Ground Floor for Residential &amp; Parking</v>
      </c>
      <c r="H100" s="75"/>
      <c r="I100" s="25">
        <f>(4.2*2.75+2.9*2.2+2.9*2.95+1.2*1.95+1.2*1.85+2.2*0.6)*10.764</f>
        <v>348.37685999999991</v>
      </c>
      <c r="J100" s="2">
        <v>527.01</v>
      </c>
      <c r="K100" s="2">
        <f>J100/D100</f>
        <v>1.4954313877317249</v>
      </c>
      <c r="N100" s="25"/>
    </row>
    <row r="101" spans="1:16" s="2" customFormat="1" x14ac:dyDescent="0.35">
      <c r="A101" s="75">
        <f>A100+1</f>
        <v>2</v>
      </c>
      <c r="B101" s="75"/>
      <c r="C101" s="38" t="s">
        <v>164</v>
      </c>
      <c r="D101" s="38">
        <f>(32.99)*10.764</f>
        <v>355.10435999999999</v>
      </c>
      <c r="E101" s="38">
        <v>0</v>
      </c>
      <c r="F101" s="38">
        <v>532.16999999999996</v>
      </c>
      <c r="G101" s="75" t="str">
        <f>G100</f>
        <v>Ground Floor for Residential &amp; Parking</v>
      </c>
      <c r="H101" s="75"/>
      <c r="I101" s="25">
        <f>(4.2*2.75+3.05*2.2+3.05*2.75+1.2*1.85+1.85*1.2+2*0.3+1.45*0.6)*10.764</f>
        <v>350.44892999999996</v>
      </c>
      <c r="N101" s="25"/>
    </row>
    <row r="102" spans="1:16" s="2" customFormat="1" x14ac:dyDescent="0.35">
      <c r="A102" s="75">
        <f>A101+1</f>
        <v>3</v>
      </c>
      <c r="B102" s="75"/>
      <c r="C102" s="38" t="s">
        <v>165</v>
      </c>
      <c r="D102" s="38">
        <f>(41.74)*10.764</f>
        <v>449.28935999999999</v>
      </c>
      <c r="E102" s="38">
        <v>0</v>
      </c>
      <c r="F102" s="38">
        <v>676.03</v>
      </c>
      <c r="G102" s="75" t="str">
        <f>G101</f>
        <v>Ground Floor for Residential &amp; Parking</v>
      </c>
      <c r="H102" s="75"/>
      <c r="I102" s="55">
        <f>F102/D102</f>
        <v>1.5046650559452377</v>
      </c>
      <c r="N102" s="25"/>
    </row>
    <row r="103" spans="1:16" s="2" customFormat="1" x14ac:dyDescent="0.35">
      <c r="A103" s="75">
        <f>A102+1</f>
        <v>4</v>
      </c>
      <c r="B103" s="75"/>
      <c r="C103" s="38" t="s">
        <v>164</v>
      </c>
      <c r="D103" s="38">
        <f>(33.95)*10.764</f>
        <v>365.43779999999998</v>
      </c>
      <c r="E103" s="38">
        <v>0</v>
      </c>
      <c r="F103" s="38">
        <v>548.16</v>
      </c>
      <c r="G103" s="75" t="str">
        <f>G102</f>
        <v>Ground Floor for Residential &amp; Parking</v>
      </c>
      <c r="H103" s="75"/>
      <c r="I103" s="25"/>
      <c r="J103" s="2">
        <v>548.16</v>
      </c>
      <c r="K103" s="2">
        <f>J103/D103</f>
        <v>1.500009030264521</v>
      </c>
      <c r="L103" s="2">
        <v>1316000</v>
      </c>
      <c r="M103" s="2">
        <f>L103/F103</f>
        <v>2400.7589025102161</v>
      </c>
      <c r="N103" s="25"/>
    </row>
    <row r="104" spans="1:16" s="2" customFormat="1" x14ac:dyDescent="0.35">
      <c r="A104" s="146" t="s">
        <v>166</v>
      </c>
      <c r="B104" s="147"/>
      <c r="C104" s="147"/>
      <c r="D104" s="147"/>
      <c r="E104" s="147"/>
      <c r="F104" s="147"/>
      <c r="G104" s="147"/>
      <c r="H104" s="148"/>
      <c r="I104" s="25"/>
    </row>
    <row r="105" spans="1:16" s="2" customFormat="1" x14ac:dyDescent="0.35">
      <c r="A105" s="73">
        <v>1</v>
      </c>
      <c r="B105" s="74"/>
      <c r="C105" s="38" t="s">
        <v>164</v>
      </c>
      <c r="D105" s="38">
        <f>(28.78+1.35*2.2)*10.764</f>
        <v>341.75700000000001</v>
      </c>
      <c r="E105" s="38">
        <v>0</v>
      </c>
      <c r="F105" s="38">
        <v>527</v>
      </c>
      <c r="G105" s="73" t="str">
        <f>A104</f>
        <v>1st to 4th Floor for Residential</v>
      </c>
      <c r="H105" s="74"/>
      <c r="I105" s="25">
        <f>(4.25*2.75+1.55*2.2+2.9*2.95+2.2*0.45+1.2*1.85+1.2*1.95)*10.764</f>
        <v>314.33570999999995</v>
      </c>
      <c r="J105" s="2">
        <v>1211000</v>
      </c>
      <c r="K105" s="2">
        <f>J105/F105</f>
        <v>2297.9127134724858</v>
      </c>
      <c r="N105" s="2" t="str">
        <f t="shared" ref="N105:N108" ca="1" si="0">O105&amp;""&amp;" to "&amp;""&amp;P105</f>
        <v>101 to 401</v>
      </c>
      <c r="O105" s="2">
        <f ca="1">(SUMPRODUCT(MID(0&amp;(LEFT(A104,SUM(LEN(A104)-LEN(SUBSTITUTE(A104,{"0","1","2"},""))))), LARGE(INDEX(ISNUMBER(--MID((LEFT(A104,SUM(LEN(A104)-LEN(SUBSTITUTE(A104,{"0","1","2"},""))))), ROW(INDIRECT("1:"&amp;LEN((LEFT(A104,SUM(LEN(A104)-LEN(SUBSTITUTE(A104,{"0","1","2"},"")))))))), 1)) * ROW(INDIRECT("1:"&amp;LEN((LEFT(A104,SUM(LEN(A104)-LEN(SUBSTITUTE(A104,{"0","1","2"},"")))))))), 0), ROW(INDIRECT("1:"&amp;LEN((LEFT(A104,SUM(LEN(A104)-LEN(SUBSTITUTE(A104,{"0","1","2"},"")))))))))+1, 1) * 10^ROW(INDIRECT("1:"&amp;LEN((LEFT(A104,SUM(LEN(A104)-LEN(SUBSTITUTE(A104,{"0","1","2"},""))))))))/10))*100+1</f>
        <v>101</v>
      </c>
      <c r="P105" s="2">
        <f ca="1">(SUMPRODUCT(MID(0&amp;(--TRIM(RIGHT(SUBSTITUTE(LEFT(A104,_xlfn.AGGREGATE(16,6,FIND({0,1,2,3,4,5,6,7,8,9},A104,ROW(INDIRECT("1:"&amp;LEN(A104)))),1))," ",REPT(" ",LEN(A104))),LEN(A104)))), LARGE(INDEX(ISNUMBER(--MID((--TRIM(RIGHT(SUBSTITUTE(LEFT(A104,_xlfn.AGGREGATE(16,6,FIND({0,1,2,3,4,5,6,7,8,9},A104,ROW(INDIRECT("1:"&amp;LEN(A104)))),1))," ",REPT(" ",LEN(A104))),LEN(A104)))), ROW(INDIRECT("1:"&amp;LEN((--TRIM(RIGHT(SUBSTITUTE(LEFT(A104,_xlfn.AGGREGATE(16,6,FIND({0,1,2,3,4,5,6,7,8,9},A104,ROW(INDIRECT("1:"&amp;LEN(A104)))),1))," ",REPT(" ",LEN(A104))),LEN(A104))))))), 1)) * ROW(INDIRECT("1:"&amp;LEN((--TRIM(RIGHT(SUBSTITUTE(LEFT(A104,_xlfn.AGGREGATE(16,6,FIND({0,1,2,3,4,5,6,7,8,9},A104,ROW(INDIRECT("1:"&amp;LEN(A104)))),1))," ",REPT(" ",LEN(A104))),LEN(A104))))))), 0), ROW(INDIRECT("1:"&amp;LEN((--TRIM(RIGHT(SUBSTITUTE(LEFT(A104,_xlfn.AGGREGATE(16,6,FIND({0,1,2,3,4,5,6,7,8,9},A104,ROW(INDIRECT("1:"&amp;LEN(A104)))),1))," ",REPT(" ",LEN(A104))),LEN(A104))))))))+1, 1) * 10^ROW(INDIRECT("1:"&amp;LEN((--TRIM(RIGHT(SUBSTITUTE(LEFT(A104,_xlfn.AGGREGATE(16,6,FIND({0,1,2,3,4,5,6,7,8,9},A104,ROW(INDIRECT("1:"&amp;LEN(A104)))),1))," ",REPT(" ",LEN(A104))),LEN(A104)))))))/10))*100+1</f>
        <v>401</v>
      </c>
    </row>
    <row r="106" spans="1:16" s="2" customFormat="1" x14ac:dyDescent="0.35">
      <c r="A106" s="73">
        <v>2</v>
      </c>
      <c r="B106" s="74"/>
      <c r="C106" s="38" t="s">
        <v>164</v>
      </c>
      <c r="D106" s="38">
        <f>(25.74+1.2*2.75+1.5*2.2)*10.764</f>
        <v>348.10775999999993</v>
      </c>
      <c r="E106" s="38">
        <v>0</v>
      </c>
      <c r="F106" s="38">
        <v>527</v>
      </c>
      <c r="G106" s="73" t="str">
        <f>G105</f>
        <v>1st to 4th Floor for Residential</v>
      </c>
      <c r="H106" s="74"/>
      <c r="I106" s="25"/>
      <c r="N106" s="2" t="str">
        <f t="shared" ca="1" si="0"/>
        <v>102 to 402</v>
      </c>
      <c r="O106" s="2">
        <f t="shared" ref="O106:P108" ca="1" si="1">O105+1</f>
        <v>102</v>
      </c>
      <c r="P106" s="2">
        <f t="shared" ca="1" si="1"/>
        <v>402</v>
      </c>
    </row>
    <row r="107" spans="1:16" s="2" customFormat="1" x14ac:dyDescent="0.35">
      <c r="A107" s="73">
        <v>3</v>
      </c>
      <c r="B107" s="74"/>
      <c r="C107" s="38" t="s">
        <v>164</v>
      </c>
      <c r="D107" s="38">
        <f>(25.74+1.2*2.75+1.5*2.2)*10.764</f>
        <v>348.10775999999993</v>
      </c>
      <c r="E107" s="38">
        <v>0</v>
      </c>
      <c r="F107" s="38">
        <v>527</v>
      </c>
      <c r="G107" s="73" t="str">
        <f>G106</f>
        <v>1st to 4th Floor for Residential</v>
      </c>
      <c r="H107" s="74"/>
      <c r="I107" s="25"/>
      <c r="N107" s="2" t="str">
        <f t="shared" ca="1" si="0"/>
        <v>103 to 403</v>
      </c>
      <c r="O107" s="2">
        <f t="shared" ca="1" si="1"/>
        <v>103</v>
      </c>
      <c r="P107" s="2">
        <f t="shared" ca="1" si="1"/>
        <v>403</v>
      </c>
    </row>
    <row r="108" spans="1:16" s="2" customFormat="1" x14ac:dyDescent="0.35">
      <c r="A108" s="73">
        <v>4</v>
      </c>
      <c r="B108" s="74"/>
      <c r="C108" s="38" t="s">
        <v>165</v>
      </c>
      <c r="D108" s="38">
        <f t="shared" ref="D108:D109" si="2">(41.74)*10.764</f>
        <v>449.28935999999999</v>
      </c>
      <c r="E108" s="38">
        <v>0</v>
      </c>
      <c r="F108" s="38">
        <v>676</v>
      </c>
      <c r="G108" s="73" t="str">
        <f>G107</f>
        <v>1st to 4th Floor for Residential</v>
      </c>
      <c r="H108" s="74"/>
      <c r="I108" s="25"/>
      <c r="N108" s="2" t="str">
        <f t="shared" ca="1" si="0"/>
        <v>104 to 404</v>
      </c>
      <c r="O108" s="2">
        <f t="shared" ca="1" si="1"/>
        <v>104</v>
      </c>
      <c r="P108" s="2">
        <f t="shared" ca="1" si="1"/>
        <v>404</v>
      </c>
    </row>
    <row r="109" spans="1:16" s="2" customFormat="1" x14ac:dyDescent="0.35">
      <c r="A109" s="73">
        <v>5</v>
      </c>
      <c r="B109" s="74"/>
      <c r="C109" s="38" t="s">
        <v>165</v>
      </c>
      <c r="D109" s="38">
        <f t="shared" si="2"/>
        <v>449.28935999999999</v>
      </c>
      <c r="E109" s="38">
        <v>0</v>
      </c>
      <c r="F109" s="38">
        <v>676</v>
      </c>
      <c r="G109" s="73" t="str">
        <f>G108</f>
        <v>1st to 4th Floor for Residential</v>
      </c>
      <c r="H109" s="74"/>
      <c r="I109" s="37">
        <f>F108/D108</f>
        <v>1.5045982838320497</v>
      </c>
      <c r="N109" s="2" t="str">
        <f t="shared" ref="N109:N110" ca="1" si="3">O109&amp;""&amp;" to "&amp;""&amp;P109</f>
        <v>105 to 405</v>
      </c>
      <c r="O109" s="2">
        <f t="shared" ref="O109:P109" ca="1" si="4">O108+1</f>
        <v>105</v>
      </c>
      <c r="P109" s="2">
        <f t="shared" ca="1" si="4"/>
        <v>405</v>
      </c>
    </row>
    <row r="110" spans="1:16" s="2" customFormat="1" x14ac:dyDescent="0.35">
      <c r="A110" s="73">
        <v>6</v>
      </c>
      <c r="B110" s="74"/>
      <c r="C110" s="38" t="s">
        <v>164</v>
      </c>
      <c r="D110" s="38">
        <f>(26.98+1.2*2.75+1.2*2.2)*10.764</f>
        <v>354.35088000000002</v>
      </c>
      <c r="E110" s="38">
        <v>0</v>
      </c>
      <c r="F110" s="38">
        <v>532</v>
      </c>
      <c r="G110" s="73" t="str">
        <f>G109</f>
        <v>1st to 4th Floor for Residential</v>
      </c>
      <c r="H110" s="74"/>
      <c r="I110" s="25"/>
      <c r="N110" s="2" t="str">
        <f t="shared" ca="1" si="3"/>
        <v>106 to 406</v>
      </c>
      <c r="O110" s="2">
        <f t="shared" ref="O110:P110" ca="1" si="5">O109+1</f>
        <v>106</v>
      </c>
      <c r="P110" s="2">
        <f t="shared" ca="1" si="5"/>
        <v>406</v>
      </c>
    </row>
    <row r="111" spans="1:16" s="1" customFormat="1" x14ac:dyDescent="0.35">
      <c r="A111" s="114" t="s">
        <v>75</v>
      </c>
      <c r="B111" s="114"/>
      <c r="C111" s="114"/>
      <c r="D111" s="114"/>
      <c r="E111" s="114"/>
      <c r="F111" s="114"/>
      <c r="G111" s="114"/>
      <c r="H111" s="114"/>
    </row>
    <row r="112" spans="1:16" s="1" customFormat="1" x14ac:dyDescent="0.35">
      <c r="A112" s="45">
        <v>1</v>
      </c>
      <c r="B112" s="88" t="s">
        <v>206</v>
      </c>
      <c r="C112" s="89"/>
      <c r="D112" s="89"/>
      <c r="E112" s="89"/>
      <c r="F112" s="89"/>
      <c r="G112" s="89"/>
      <c r="H112" s="90"/>
      <c r="I112" s="88" t="s">
        <v>203</v>
      </c>
      <c r="J112" s="89"/>
      <c r="K112" s="89"/>
      <c r="L112" s="89"/>
      <c r="M112" s="89"/>
      <c r="N112" s="89"/>
      <c r="O112" s="90"/>
    </row>
    <row r="113" spans="1:8" s="1" customFormat="1" x14ac:dyDescent="0.35">
      <c r="A113" s="45">
        <f t="shared" ref="A113:A117" si="6">A112+1</f>
        <v>2</v>
      </c>
      <c r="B113" s="88" t="str">
        <f>(IF(F96="Saleable area Loading :","We have considered Saleable area of Flats as per our Calculation.","We considered Saleable area of Flat as per Builder area Sheet."))</f>
        <v>We considered Saleable area of Flat as per Builder area Sheet.</v>
      </c>
      <c r="C113" s="89"/>
      <c r="D113" s="89"/>
      <c r="E113" s="89"/>
      <c r="F113" s="89"/>
      <c r="G113" s="89"/>
      <c r="H113" s="90"/>
    </row>
    <row r="114" spans="1:8" s="1" customFormat="1" x14ac:dyDescent="0.35">
      <c r="A114" s="45">
        <v>3</v>
      </c>
      <c r="B114" s="66" t="s">
        <v>136</v>
      </c>
      <c r="C114" s="67"/>
      <c r="D114" s="67"/>
      <c r="E114" s="67"/>
      <c r="F114" s="67"/>
      <c r="G114" s="67"/>
      <c r="H114" s="68"/>
    </row>
    <row r="115" spans="1:8" s="1" customFormat="1" x14ac:dyDescent="0.35">
      <c r="A115" s="45">
        <f t="shared" si="6"/>
        <v>4</v>
      </c>
      <c r="B115" s="66" t="s">
        <v>190</v>
      </c>
      <c r="C115" s="67"/>
      <c r="D115" s="67"/>
      <c r="E115" s="67"/>
      <c r="F115" s="67"/>
      <c r="G115" s="67"/>
      <c r="H115" s="68"/>
    </row>
    <row r="116" spans="1:8" s="1" customFormat="1" x14ac:dyDescent="0.35">
      <c r="A116" s="45">
        <f t="shared" si="6"/>
        <v>5</v>
      </c>
      <c r="B116" s="66" t="s">
        <v>137</v>
      </c>
      <c r="C116" s="67"/>
      <c r="D116" s="67"/>
      <c r="E116" s="67"/>
      <c r="F116" s="67"/>
      <c r="G116" s="67"/>
      <c r="H116" s="68"/>
    </row>
    <row r="117" spans="1:8" s="1" customFormat="1" ht="34.5" customHeight="1" x14ac:dyDescent="0.35">
      <c r="A117" s="45">
        <f t="shared" si="6"/>
        <v>6</v>
      </c>
      <c r="B117" s="66" t="s">
        <v>197</v>
      </c>
      <c r="C117" s="67"/>
      <c r="D117" s="67"/>
      <c r="E117" s="67"/>
      <c r="F117" s="67"/>
      <c r="G117" s="67"/>
      <c r="H117" s="68"/>
    </row>
    <row r="118" spans="1:8" s="1" customFormat="1" x14ac:dyDescent="0.35">
      <c r="A118" s="45">
        <v>7</v>
      </c>
      <c r="B118" s="66" t="s">
        <v>138</v>
      </c>
      <c r="C118" s="67"/>
      <c r="D118" s="67"/>
      <c r="E118" s="67"/>
      <c r="F118" s="67"/>
      <c r="G118" s="67"/>
      <c r="H118" s="68"/>
    </row>
    <row r="119" spans="1:8" s="1" customFormat="1" ht="31.5" customHeight="1" x14ac:dyDescent="0.35">
      <c r="A119" s="56">
        <v>8</v>
      </c>
      <c r="B119" s="61" t="s">
        <v>202</v>
      </c>
      <c r="C119" s="62"/>
      <c r="D119" s="62"/>
      <c r="E119" s="62"/>
      <c r="F119" s="62"/>
      <c r="G119" s="62"/>
      <c r="H119" s="63"/>
    </row>
    <row r="120" spans="1:8" s="1" customFormat="1" hidden="1" x14ac:dyDescent="0.35">
      <c r="A120" s="45">
        <f>A118+1</f>
        <v>8</v>
      </c>
      <c r="B120" s="88" t="s">
        <v>191</v>
      </c>
      <c r="C120" s="89"/>
      <c r="D120" s="89"/>
      <c r="E120" s="89"/>
      <c r="F120" s="89"/>
      <c r="G120" s="89"/>
      <c r="H120" s="90"/>
    </row>
    <row r="121" spans="1:8" s="1" customFormat="1" x14ac:dyDescent="0.35">
      <c r="A121" s="57">
        <v>9</v>
      </c>
      <c r="B121" s="141" t="s">
        <v>207</v>
      </c>
      <c r="C121" s="142"/>
      <c r="D121" s="142"/>
      <c r="E121" s="142"/>
      <c r="F121" s="142"/>
      <c r="G121" s="142"/>
      <c r="H121" s="143"/>
    </row>
    <row r="122" spans="1:8" s="1" customFormat="1" ht="31.5" customHeight="1" x14ac:dyDescent="0.35">
      <c r="A122" s="58">
        <v>10</v>
      </c>
      <c r="B122" s="61" t="s">
        <v>208</v>
      </c>
      <c r="C122" s="62"/>
      <c r="D122" s="62"/>
      <c r="E122" s="62"/>
      <c r="F122" s="62"/>
      <c r="G122" s="62"/>
      <c r="H122" s="63"/>
    </row>
    <row r="123" spans="1:8" x14ac:dyDescent="0.35">
      <c r="A123" s="91" t="s">
        <v>68</v>
      </c>
      <c r="B123" s="91"/>
      <c r="C123" s="91"/>
      <c r="D123" s="91"/>
      <c r="E123" s="91"/>
      <c r="F123" s="91"/>
      <c r="G123" s="91"/>
      <c r="H123" s="91"/>
    </row>
    <row r="124" spans="1:8" x14ac:dyDescent="0.35">
      <c r="A124" s="71" t="s">
        <v>69</v>
      </c>
      <c r="B124" s="71"/>
      <c r="C124" s="71"/>
      <c r="D124" s="71"/>
      <c r="E124" s="71"/>
      <c r="F124" s="71"/>
      <c r="G124" s="71"/>
      <c r="H124" s="71"/>
    </row>
    <row r="125" spans="1:8" ht="15.75" customHeight="1" x14ac:dyDescent="0.35">
      <c r="A125" s="72" t="s">
        <v>70</v>
      </c>
      <c r="B125" s="72"/>
      <c r="C125" s="72"/>
      <c r="D125" s="72"/>
      <c r="E125" s="72"/>
      <c r="F125" s="72"/>
      <c r="G125" s="72"/>
      <c r="H125" s="72"/>
    </row>
    <row r="126" spans="1:8" x14ac:dyDescent="0.35">
      <c r="A126" s="71" t="s">
        <v>71</v>
      </c>
      <c r="B126" s="71"/>
      <c r="C126" s="71"/>
      <c r="D126" s="71"/>
      <c r="E126" s="71"/>
      <c r="F126" s="71"/>
      <c r="G126" s="71"/>
      <c r="H126" s="71"/>
    </row>
    <row r="127" spans="1:8" x14ac:dyDescent="0.35">
      <c r="A127" s="71" t="s">
        <v>72</v>
      </c>
      <c r="B127" s="71"/>
      <c r="C127" s="71"/>
      <c r="D127" s="71"/>
      <c r="E127" s="71"/>
      <c r="F127" s="71"/>
      <c r="G127" s="71"/>
      <c r="H127" s="71"/>
    </row>
    <row r="128" spans="1:8" x14ac:dyDescent="0.35">
      <c r="A128" s="71" t="s">
        <v>139</v>
      </c>
      <c r="B128" s="71"/>
      <c r="C128" s="71"/>
      <c r="D128" s="71"/>
      <c r="E128" s="71"/>
      <c r="F128" s="71"/>
      <c r="G128" s="71"/>
      <c r="H128" s="71"/>
    </row>
    <row r="129" spans="1:8" ht="32.15" customHeight="1" x14ac:dyDescent="0.35">
      <c r="A129" s="82" t="s">
        <v>140</v>
      </c>
      <c r="B129" s="82"/>
      <c r="C129" s="82"/>
      <c r="D129" s="82"/>
      <c r="E129" s="82"/>
      <c r="F129" s="82"/>
      <c r="G129" s="82"/>
      <c r="H129" s="82"/>
    </row>
    <row r="130" spans="1:8" x14ac:dyDescent="0.35">
      <c r="A130" s="110" t="s">
        <v>84</v>
      </c>
      <c r="B130" s="110"/>
      <c r="C130" s="110" t="s">
        <v>210</v>
      </c>
      <c r="D130" s="110"/>
      <c r="E130" s="110" t="s">
        <v>119</v>
      </c>
      <c r="F130" s="110"/>
      <c r="G130" s="110" t="s">
        <v>209</v>
      </c>
      <c r="H130" s="110"/>
    </row>
    <row r="131" spans="1:8" x14ac:dyDescent="0.35">
      <c r="A131" s="109" t="s">
        <v>86</v>
      </c>
      <c r="B131" s="109"/>
      <c r="C131" s="109"/>
      <c r="D131" s="109"/>
      <c r="E131" s="109"/>
      <c r="F131" s="109"/>
      <c r="G131" s="109"/>
      <c r="H131" s="109"/>
    </row>
    <row r="132" spans="1:8" x14ac:dyDescent="0.35">
      <c r="A132" s="109"/>
      <c r="B132" s="109"/>
      <c r="C132" s="109"/>
      <c r="D132" s="109"/>
      <c r="E132" s="109"/>
      <c r="F132" s="109"/>
      <c r="G132" s="109"/>
      <c r="H132" s="109"/>
    </row>
    <row r="133" spans="1:8" x14ac:dyDescent="0.35">
      <c r="A133" s="109"/>
      <c r="B133" s="109"/>
      <c r="C133" s="109"/>
      <c r="D133" s="109"/>
      <c r="E133" s="109"/>
      <c r="F133" s="109"/>
      <c r="G133" s="109"/>
      <c r="H133" s="109"/>
    </row>
    <row r="134" spans="1:8" x14ac:dyDescent="0.35">
      <c r="A134" s="109"/>
      <c r="B134" s="109"/>
      <c r="C134" s="109"/>
      <c r="D134" s="109"/>
      <c r="E134" s="109"/>
      <c r="F134" s="109"/>
      <c r="G134" s="109"/>
      <c r="H134" s="109"/>
    </row>
    <row r="135" spans="1:8" x14ac:dyDescent="0.35">
      <c r="A135" s="52" t="s">
        <v>73</v>
      </c>
      <c r="B135" s="53"/>
      <c r="C135" s="53"/>
      <c r="D135" s="52" t="str">
        <f>E8</f>
        <v>Sai Pooja Apartment (Building No.7 Wing B)</v>
      </c>
      <c r="F135" s="53"/>
      <c r="G135" s="53"/>
      <c r="H135" s="53"/>
    </row>
    <row r="136" spans="1:8" x14ac:dyDescent="0.35">
      <c r="A136" s="53"/>
      <c r="B136" s="53"/>
      <c r="C136" s="53"/>
      <c r="D136" s="53"/>
      <c r="E136" s="53"/>
      <c r="F136" s="53"/>
      <c r="G136" s="53"/>
      <c r="H136" s="53"/>
    </row>
    <row r="137" spans="1:8" x14ac:dyDescent="0.35">
      <c r="A137" s="53"/>
      <c r="B137" s="53"/>
      <c r="C137" s="53"/>
      <c r="D137" s="53"/>
      <c r="E137" s="53"/>
      <c r="F137" s="53"/>
      <c r="G137" s="53"/>
      <c r="H137" s="53"/>
    </row>
    <row r="138" spans="1:8" ht="15" customHeight="1" x14ac:dyDescent="0.35"/>
    <row r="179" spans="1:1" x14ac:dyDescent="0.35">
      <c r="A179" s="54" t="s">
        <v>74</v>
      </c>
    </row>
  </sheetData>
  <mergeCells count="241">
    <mergeCell ref="B121:H121"/>
    <mergeCell ref="I112:O112"/>
    <mergeCell ref="B119:H119"/>
    <mergeCell ref="E91:F91"/>
    <mergeCell ref="L99:M99"/>
    <mergeCell ref="A95:H95"/>
    <mergeCell ref="A101:B101"/>
    <mergeCell ref="A102:B102"/>
    <mergeCell ref="A105:B105"/>
    <mergeCell ref="A106:B106"/>
    <mergeCell ref="A107:B107"/>
    <mergeCell ref="A103:B103"/>
    <mergeCell ref="G105:H105"/>
    <mergeCell ref="G103:H103"/>
    <mergeCell ref="G100:H100"/>
    <mergeCell ref="G106:H106"/>
    <mergeCell ref="A94:H94"/>
    <mergeCell ref="G101:H101"/>
    <mergeCell ref="G110:H110"/>
    <mergeCell ref="A93:H93"/>
    <mergeCell ref="G102:H102"/>
    <mergeCell ref="A104:H104"/>
    <mergeCell ref="A97:H97"/>
    <mergeCell ref="A98:H98"/>
    <mergeCell ref="A108:B108"/>
    <mergeCell ref="B116:H116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F83:H83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110:B110"/>
    <mergeCell ref="A124:H124"/>
    <mergeCell ref="D58:H58"/>
    <mergeCell ref="A61:C61"/>
    <mergeCell ref="D61:H61"/>
    <mergeCell ref="A59:C59"/>
    <mergeCell ref="D59:H59"/>
    <mergeCell ref="A55:C55"/>
    <mergeCell ref="A56:C56"/>
    <mergeCell ref="D55:H55"/>
    <mergeCell ref="E66:F75"/>
    <mergeCell ref="G66:H75"/>
    <mergeCell ref="A74:B74"/>
    <mergeCell ref="A75:B75"/>
    <mergeCell ref="D56:H56"/>
    <mergeCell ref="A79:E79"/>
    <mergeCell ref="C91:D91"/>
    <mergeCell ref="G91:H91"/>
    <mergeCell ref="A81:E81"/>
    <mergeCell ref="F81:H81"/>
    <mergeCell ref="F80:H80"/>
    <mergeCell ref="A73:B73"/>
    <mergeCell ref="C92:D92"/>
    <mergeCell ref="E92:F92"/>
    <mergeCell ref="A85:E85"/>
    <mergeCell ref="A131:H134"/>
    <mergeCell ref="A130:B130"/>
    <mergeCell ref="E130:F130"/>
    <mergeCell ref="C130:D130"/>
    <mergeCell ref="G130:H130"/>
    <mergeCell ref="A88:E88"/>
    <mergeCell ref="F88:H88"/>
    <mergeCell ref="A89:E89"/>
    <mergeCell ref="F89:H89"/>
    <mergeCell ref="A99:H99"/>
    <mergeCell ref="A92:B92"/>
    <mergeCell ref="A126:H126"/>
    <mergeCell ref="A90:H90"/>
    <mergeCell ref="A129:H129"/>
    <mergeCell ref="A127:H127"/>
    <mergeCell ref="A111:H111"/>
    <mergeCell ref="G107:H107"/>
    <mergeCell ref="B120:H120"/>
    <mergeCell ref="B113:H113"/>
    <mergeCell ref="B114:H114"/>
    <mergeCell ref="B115:H115"/>
    <mergeCell ref="A109:B109"/>
    <mergeCell ref="G109:H109"/>
    <mergeCell ref="A86:E86"/>
    <mergeCell ref="A123:H123"/>
    <mergeCell ref="A60:C60"/>
    <mergeCell ref="D60:H60"/>
    <mergeCell ref="A66:B66"/>
    <mergeCell ref="G65:H65"/>
    <mergeCell ref="A64:B64"/>
    <mergeCell ref="A62:B62"/>
    <mergeCell ref="C62:H62"/>
    <mergeCell ref="A70:B70"/>
    <mergeCell ref="C64:H64"/>
    <mergeCell ref="A67:B67"/>
    <mergeCell ref="A69:B69"/>
    <mergeCell ref="E65:F65"/>
    <mergeCell ref="A72:B72"/>
    <mergeCell ref="A65:B65"/>
    <mergeCell ref="A68:B68"/>
    <mergeCell ref="A77:E77"/>
    <mergeCell ref="F86:H86"/>
    <mergeCell ref="A80:E80"/>
    <mergeCell ref="A87:E87"/>
    <mergeCell ref="A82:E82"/>
    <mergeCell ref="F82:H82"/>
    <mergeCell ref="A83:E83"/>
    <mergeCell ref="A49:B49"/>
    <mergeCell ref="B117:H117"/>
    <mergeCell ref="B112:H112"/>
    <mergeCell ref="A46:B46"/>
    <mergeCell ref="A50:H50"/>
    <mergeCell ref="A51:C51"/>
    <mergeCell ref="A52:C52"/>
    <mergeCell ref="D52:H52"/>
    <mergeCell ref="G49:H49"/>
    <mergeCell ref="C48:H48"/>
    <mergeCell ref="A57:C57"/>
    <mergeCell ref="D57:H57"/>
    <mergeCell ref="A58:C58"/>
    <mergeCell ref="D53:H53"/>
    <mergeCell ref="A53:C53"/>
    <mergeCell ref="G46:H46"/>
    <mergeCell ref="A47:B48"/>
    <mergeCell ref="F79:H79"/>
    <mergeCell ref="A84:E84"/>
    <mergeCell ref="F78:H78"/>
    <mergeCell ref="A78:E78"/>
    <mergeCell ref="F84:H84"/>
    <mergeCell ref="F87:H87"/>
    <mergeCell ref="F85:H85"/>
    <mergeCell ref="B122:H122"/>
    <mergeCell ref="C49:E49"/>
    <mergeCell ref="B118:H118"/>
    <mergeCell ref="E39:H39"/>
    <mergeCell ref="A39:D39"/>
    <mergeCell ref="A128:H128"/>
    <mergeCell ref="A125:H125"/>
    <mergeCell ref="G108:H108"/>
    <mergeCell ref="A100:B100"/>
    <mergeCell ref="A91:B91"/>
    <mergeCell ref="G96:H96"/>
    <mergeCell ref="A71:B71"/>
    <mergeCell ref="F77:H77"/>
    <mergeCell ref="A76:H76"/>
    <mergeCell ref="G92:H92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scale="96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34" max="16383" man="1"/>
    <brk id="17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5" zoomScale="85" zoomScaleNormal="85" workbookViewId="0">
      <selection activeCell="L42" sqref="L42"/>
    </sheetView>
  </sheetViews>
  <sheetFormatPr defaultColWidth="8.7265625" defaultRowHeight="14.5" x14ac:dyDescent="0.35"/>
  <cols>
    <col min="1" max="1" width="8.7265625" style="13"/>
    <col min="2" max="2" width="22.1796875" style="13" customWidth="1"/>
    <col min="3" max="3" width="37" style="13" customWidth="1"/>
    <col min="4" max="5" width="11.453125" style="13" customWidth="1"/>
    <col min="6" max="6" width="14" style="13" customWidth="1"/>
    <col min="7" max="7" width="20" style="13" customWidth="1"/>
    <col min="8" max="8" width="16.453125" style="13" customWidth="1"/>
    <col min="9" max="16384" width="8.7265625" style="13"/>
  </cols>
  <sheetData>
    <row r="1" spans="1:9" ht="15" customHeight="1" x14ac:dyDescent="0.35"/>
    <row r="2" spans="1:9" ht="15" customHeight="1" x14ac:dyDescent="0.35">
      <c r="A2" s="14"/>
      <c r="B2" s="14"/>
      <c r="C2" s="14"/>
      <c r="D2" s="14"/>
      <c r="E2" s="14"/>
      <c r="F2" s="14"/>
      <c r="G2" s="14"/>
      <c r="H2" s="14"/>
    </row>
    <row r="3" spans="1:9" ht="15.75" customHeight="1" x14ac:dyDescent="0.35">
      <c r="A3" s="14"/>
      <c r="B3" s="149" t="s">
        <v>120</v>
      </c>
      <c r="C3" s="149"/>
      <c r="D3" s="149"/>
      <c r="E3" s="149"/>
      <c r="F3" s="149"/>
      <c r="G3" s="149"/>
      <c r="H3" s="149"/>
    </row>
    <row r="4" spans="1:9" x14ac:dyDescent="0.35">
      <c r="A4" s="14"/>
      <c r="B4" s="15" t="s">
        <v>121</v>
      </c>
      <c r="C4" s="15" t="s">
        <v>122</v>
      </c>
      <c r="D4" s="15" t="s">
        <v>76</v>
      </c>
      <c r="E4" s="15" t="s">
        <v>123</v>
      </c>
      <c r="F4" s="15" t="s">
        <v>129</v>
      </c>
      <c r="G4" s="15" t="s">
        <v>130</v>
      </c>
      <c r="H4" s="15" t="s">
        <v>124</v>
      </c>
    </row>
    <row r="5" spans="1:9" ht="15" customHeight="1" x14ac:dyDescent="0.35">
      <c r="A5" s="14"/>
      <c r="B5" s="17" t="s">
        <v>125</v>
      </c>
      <c r="C5" s="18"/>
      <c r="D5" s="17"/>
      <c r="E5" s="17"/>
      <c r="F5" s="19">
        <f>E5*1.6</f>
        <v>0</v>
      </c>
      <c r="G5" s="19" t="e">
        <f>H5/F5</f>
        <v>#DIV/0!</v>
      </c>
      <c r="H5" s="20"/>
    </row>
    <row r="6" spans="1:9" x14ac:dyDescent="0.35">
      <c r="A6" s="14"/>
      <c r="B6" s="17" t="s">
        <v>125</v>
      </c>
      <c r="C6" s="21"/>
      <c r="D6" s="17"/>
      <c r="E6" s="17"/>
      <c r="F6" s="19">
        <f t="shared" ref="F6:F11" si="0">E6*1.6</f>
        <v>0</v>
      </c>
      <c r="G6" s="19" t="e">
        <f t="shared" ref="G6:G11" si="1">H6/F6</f>
        <v>#DIV/0!</v>
      </c>
      <c r="H6" s="20"/>
    </row>
    <row r="7" spans="1:9" ht="15" customHeight="1" x14ac:dyDescent="0.35">
      <c r="A7" s="14"/>
      <c r="B7" s="17" t="s">
        <v>125</v>
      </c>
      <c r="C7" s="18"/>
      <c r="D7" s="17"/>
      <c r="E7" s="17"/>
      <c r="F7" s="19">
        <f t="shared" si="0"/>
        <v>0</v>
      </c>
      <c r="G7" s="19" t="e">
        <f t="shared" si="1"/>
        <v>#DIV/0!</v>
      </c>
      <c r="H7" s="20"/>
    </row>
    <row r="8" spans="1:9" x14ac:dyDescent="0.35">
      <c r="A8" s="14"/>
      <c r="B8" s="17" t="s">
        <v>125</v>
      </c>
      <c r="C8" s="21"/>
      <c r="D8" s="17"/>
      <c r="E8" s="17"/>
      <c r="F8" s="19">
        <f t="shared" si="0"/>
        <v>0</v>
      </c>
      <c r="G8" s="19" t="e">
        <f t="shared" si="1"/>
        <v>#DIV/0!</v>
      </c>
      <c r="H8" s="20"/>
    </row>
    <row r="9" spans="1:9" ht="15" customHeight="1" x14ac:dyDescent="0.35">
      <c r="A9" s="14"/>
      <c r="B9" s="17" t="s">
        <v>125</v>
      </c>
      <c r="C9" s="21"/>
      <c r="D9" s="17"/>
      <c r="E9" s="17"/>
      <c r="F9" s="19">
        <f t="shared" si="0"/>
        <v>0</v>
      </c>
      <c r="G9" s="19" t="e">
        <f t="shared" si="1"/>
        <v>#DIV/0!</v>
      </c>
      <c r="H9" s="20"/>
    </row>
    <row r="10" spans="1:9" ht="15" customHeight="1" x14ac:dyDescent="0.35">
      <c r="A10" s="14"/>
      <c r="B10" s="17" t="s">
        <v>126</v>
      </c>
      <c r="C10" s="18"/>
      <c r="D10" s="17"/>
      <c r="E10" s="17"/>
      <c r="F10" s="19">
        <f t="shared" si="0"/>
        <v>0</v>
      </c>
      <c r="G10" s="19" t="e">
        <f t="shared" si="1"/>
        <v>#DIV/0!</v>
      </c>
      <c r="H10" s="20"/>
    </row>
    <row r="11" spans="1:9" ht="15" customHeight="1" x14ac:dyDescent="0.35">
      <c r="A11" s="14"/>
      <c r="B11" s="17" t="s">
        <v>126</v>
      </c>
      <c r="C11" s="18"/>
      <c r="D11" s="17"/>
      <c r="E11" s="17"/>
      <c r="F11" s="19">
        <f t="shared" si="0"/>
        <v>0</v>
      </c>
      <c r="G11" s="19" t="e">
        <f t="shared" si="1"/>
        <v>#DIV/0!</v>
      </c>
      <c r="H11" s="20"/>
    </row>
    <row r="12" spans="1:9" ht="15" customHeight="1" x14ac:dyDescent="0.35">
      <c r="A12" s="14"/>
      <c r="B12" s="22" t="s">
        <v>127</v>
      </c>
      <c r="C12" s="17"/>
      <c r="D12" s="17"/>
      <c r="E12" s="17"/>
      <c r="F12" s="17"/>
      <c r="G12" s="23" t="e">
        <f>AVERAGE(G5:G11)</f>
        <v>#DIV/0!</v>
      </c>
      <c r="H12" s="17"/>
    </row>
    <row r="13" spans="1:9" ht="15" customHeight="1" x14ac:dyDescent="0.35">
      <c r="B13" s="22" t="s">
        <v>128</v>
      </c>
      <c r="C13" s="17"/>
      <c r="D13" s="17"/>
      <c r="E13" s="17"/>
      <c r="F13" s="24"/>
      <c r="G13" s="22"/>
      <c r="H13" s="22"/>
      <c r="I13" s="16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2025-08-16T12:29:06Z</cp:lastPrinted>
  <dcterms:created xsi:type="dcterms:W3CDTF">2019-07-16T09:29:46Z</dcterms:created>
  <dcterms:modified xsi:type="dcterms:W3CDTF">2025-08-16T12:31:48Z</dcterms:modified>
</cp:coreProperties>
</file>