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4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8" i="1" l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D133" i="1"/>
  <c r="E156" i="1"/>
  <c r="E155" i="1"/>
  <c r="E154" i="1"/>
  <c r="E127" i="1"/>
  <c r="I127" i="1"/>
  <c r="E126" i="1"/>
  <c r="I122" i="1" l="1"/>
  <c r="G100" i="1"/>
  <c r="G99" i="1"/>
  <c r="G101" i="1" s="1"/>
  <c r="D180" i="1"/>
  <c r="D179" i="1"/>
  <c r="D178" i="1"/>
  <c r="D177" i="1"/>
  <c r="D176" i="1"/>
  <c r="G175" i="1"/>
  <c r="D175" i="1"/>
  <c r="D173" i="1"/>
  <c r="D172" i="1"/>
  <c r="D171" i="1"/>
  <c r="D170" i="1"/>
  <c r="D169" i="1"/>
  <c r="D168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1" i="1"/>
  <c r="D150" i="1"/>
  <c r="D149" i="1"/>
  <c r="D148" i="1"/>
  <c r="D147" i="1"/>
  <c r="D146" i="1"/>
  <c r="D144" i="1"/>
  <c r="D143" i="1"/>
  <c r="D142" i="1"/>
  <c r="D141" i="1"/>
  <c r="D140" i="1"/>
  <c r="D139" i="1"/>
  <c r="D135" i="1"/>
  <c r="D128" i="1"/>
  <c r="D134" i="1"/>
  <c r="D132" i="1"/>
  <c r="E100" i="1" l="1"/>
  <c r="C100" i="1"/>
  <c r="D137" i="1"/>
  <c r="D136" i="1"/>
  <c r="D130" i="1"/>
  <c r="D129" i="1"/>
  <c r="D127" i="1"/>
  <c r="D126" i="1"/>
  <c r="D125" i="1"/>
  <c r="D120" i="1"/>
  <c r="D118" i="1"/>
  <c r="D116" i="1"/>
  <c r="D115" i="1"/>
  <c r="D113" i="1"/>
  <c r="D112" i="1"/>
  <c r="I49" i="1"/>
  <c r="C99" i="1" l="1"/>
  <c r="C101" i="1" s="1"/>
  <c r="E99" i="1"/>
  <c r="E101" i="1" s="1"/>
  <c r="K96" i="1"/>
  <c r="K95" i="1"/>
  <c r="G95" i="1" l="1"/>
  <c r="G96" i="1" s="1"/>
  <c r="G102" i="1" s="1"/>
  <c r="E125" i="1"/>
  <c r="D119" i="1"/>
  <c r="D117" i="1"/>
  <c r="D114" i="1"/>
  <c r="D111" i="1"/>
  <c r="D110" i="1"/>
  <c r="D109" i="1"/>
  <c r="G146" i="1"/>
  <c r="A162" i="1"/>
  <c r="A163" i="1" s="1"/>
  <c r="A164" i="1" s="1"/>
  <c r="A165" i="1" s="1"/>
  <c r="A166" i="1" s="1"/>
  <c r="G161" i="1"/>
  <c r="A140" i="1"/>
  <c r="A141" i="1" s="1"/>
  <c r="A142" i="1" s="1"/>
  <c r="A143" i="1" s="1"/>
  <c r="A144" i="1" s="1"/>
  <c r="G139" i="1"/>
  <c r="A169" i="1"/>
  <c r="A170" i="1" s="1"/>
  <c r="A171" i="1" s="1"/>
  <c r="A172" i="1" s="1"/>
  <c r="A173" i="1" s="1"/>
  <c r="G168" i="1"/>
  <c r="A155" i="1"/>
  <c r="A156" i="1" s="1"/>
  <c r="A157" i="1" s="1"/>
  <c r="A158" i="1" s="1"/>
  <c r="A159" i="1" s="1"/>
  <c r="G154" i="1"/>
  <c r="C95" i="1" l="1"/>
  <c r="C96" i="1" s="1"/>
  <c r="E95" i="1"/>
  <c r="E96" i="1" s="1"/>
  <c r="E102" i="1" s="1"/>
  <c r="C49" i="1"/>
  <c r="I40" i="1"/>
  <c r="D59" i="1" l="1"/>
  <c r="E29" i="1"/>
  <c r="B183" i="1"/>
  <c r="C65" i="1"/>
  <c r="B66" i="1" s="1"/>
  <c r="E24" i="1"/>
  <c r="E26" i="1" l="1"/>
  <c r="C14" i="1"/>
  <c r="C102" i="1" l="1"/>
  <c r="E42" i="1" l="1"/>
  <c r="E43" i="1" s="1"/>
  <c r="A126" i="1" l="1"/>
  <c r="G125" i="1"/>
  <c r="A127" i="1" l="1"/>
  <c r="A128" i="1" s="1"/>
  <c r="A129" i="1" s="1"/>
  <c r="A130" i="1" s="1"/>
  <c r="F92" i="1"/>
  <c r="B18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6" i="1"/>
  <c r="G132" i="1"/>
  <c r="A133" i="1"/>
  <c r="A134" i="1" s="1"/>
  <c r="A135" i="1" s="1"/>
  <c r="A136" i="1" s="1"/>
  <c r="A137" i="1" s="1"/>
  <c r="A110" i="1"/>
  <c r="A111" i="1" s="1"/>
  <c r="A112" i="1" s="1"/>
  <c r="G109" i="1"/>
  <c r="D54" i="1"/>
  <c r="E7" i="1"/>
  <c r="E3" i="1"/>
  <c r="H66" i="1"/>
  <c r="A113" i="1" l="1"/>
  <c r="A114" i="1" s="1"/>
  <c r="A115" i="1" s="1"/>
  <c r="A116" i="1" s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A117" i="1" l="1"/>
  <c r="A118" i="1" s="1"/>
  <c r="A119" i="1" s="1"/>
  <c r="A120" i="1" s="1"/>
  <c r="J73" i="1"/>
  <c r="J74" i="1" s="1"/>
  <c r="J75" i="1" s="1"/>
  <c r="J76" i="1" s="1"/>
  <c r="D71" i="1"/>
  <c r="J67" i="1"/>
  <c r="D69" i="1"/>
  <c r="J78" i="1" l="1"/>
  <c r="C70" i="1" s="1"/>
  <c r="G69" i="1" s="1"/>
  <c r="D63" i="1" l="1"/>
  <c r="D64" i="1" s="1"/>
  <c r="J66" i="1"/>
  <c r="D70" i="1"/>
  <c r="I66" i="1" s="1"/>
  <c r="E69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<sst xmlns="http://schemas.openxmlformats.org/spreadsheetml/2006/main" count="342" uniqueCount="243">
  <si>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</si>
  <si>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</si>
  <si>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</si>
  <si>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</si>
  <si>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</si>
  <si>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</si>
  <si>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</si>
  <si>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</si>
  <si>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</si>
  <si>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</si>
  <si>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</si>
  <si>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</si>
  <si>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</si>
  <si>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</si>
  <si>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</si>
  <si>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</si>
  <si>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</si>
  <si>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</si>
  <si>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</si>
  <si>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</si>
  <si>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</si>
  <si>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</si>
  <si>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</si>
  <si>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</si>
  <si>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</si>
  <si>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</si>
  <si>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</si>
  <si>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</si>
  <si>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</si>
  <si>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</si>
  <si>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</si>
  <si>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</si>
  <si>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</si>
  <si>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</si>
  <si>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</si>
  <si>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</si>
  <si>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</si>
  <si>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</si>
  <si>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</si>
  <si>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</si>
  <si>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</si>
  <si>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</si>
  <si>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</si>
  <si>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</si>
  <si>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</si>
  <si>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</si>
  <si>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</si>
  <si>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</si>
  <si>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</si>
  <si>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</si>
  <si>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</si>
  <si>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</si>
  <si>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</si>
  <si>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</si>
  <si>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</si>
  <si>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</si>
  <si>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</si>
  <si>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</si>
  <si>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</si>
  <si>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</si>
  <si>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</si>
  <si>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</si>
  <si>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</si>
  <si>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</si>
  <si>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</si>
  <si>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</si>
  <si>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</si>
  <si>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</si>
  <si>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</si>
  <si>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</si>
  <si>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</si>
  <si>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</si>
  <si>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</si>
  <si>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</si>
  <si>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</si>
  <si>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</si>
  <si>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</si>
  <si>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</si>
  <si>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</si>
  <si>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</si>
  <si>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</si>
  <si>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</si>
  <si>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</si>
  <si>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</si>
  <si>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</si>
  <si>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</si>
  <si>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</si>
  <si>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</si>
  <si>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</si>
  <si>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</si>
  <si>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</si>
  <si>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</si>
  <si>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</si>
  <si>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</si>
  <si>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</si>
  <si>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</si>
  <si>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</si>
  <si>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</si>
  <si>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</si>
  <si>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</si>
  <si>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</si>
  <si>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</si>
  <si>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</si>
  <si>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</si>
  <si>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</si>
  <si>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</si>
  <si>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</si>
  <si>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</si>
  <si>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</si>
  <si>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</si>
  <si>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</si>
  <si>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</si>
  <si>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</si>
  <si>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</si>
  <si>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</si>
  <si>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</si>
  <si>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</si>
  <si>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</si>
  <si>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</si>
  <si>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</si>
  <si>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</si>
  <si>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</si>
  <si>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</si>
  <si>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</si>
  <si>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</si>
  <si>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</si>
  <si>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</si>
  <si>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</si>
  <si>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</si>
  <si>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</si>
  <si>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</si>
  <si>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</si>
  <si>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</si>
  <si>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</si>
  <si>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</si>
  <si>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</si>
  <si>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</si>
  <si>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</si>
  <si>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</si>
  <si>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</si>
  <si>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</si>
  <si>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</si>
  <si>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</si>
  <si>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</si>
  <si>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</si>
  <si>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</si>
  <si>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</si>
  <si>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</si>
  <si>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</si>
  <si>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</si>
  <si>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</si>
  <si>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</si>
  <si>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</si>
  <si>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</si>
  <si>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</si>
  <si>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</si>
  <si>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</si>
  <si>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</si>
  <si>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</si>
  <si>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</si>
  <si>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</si>
  <si>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</si>
  <si>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</si>
  <si>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</si>
  <si>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</si>
  <si>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</si>
  <si>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</si>
  <si>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</si>
  <si>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</si>
  <si>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</si>
  <si>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</si>
  <si>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</si>
  <si>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</si>
  <si>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Krishna Enterprises</t>
  </si>
  <si>
    <t>Krishna Arcade</t>
  </si>
  <si>
    <t>As per RERA - 31/12/2026</t>
  </si>
  <si>
    <t>P52000047882</t>
  </si>
  <si>
    <t>Raigad</t>
  </si>
  <si>
    <t>Panvel</t>
  </si>
  <si>
    <t>Plot No</t>
  </si>
  <si>
    <t>400, Sector No.25A</t>
  </si>
  <si>
    <t>Ulwe</t>
  </si>
  <si>
    <t>Open Plot</t>
  </si>
  <si>
    <t>City And Industrial Development Corporation Of Maharashtra (CIDCO)</t>
  </si>
  <si>
    <t>CIDCO/BP-17955/TPO (NM &amp; K)/
2021/9998</t>
  </si>
  <si>
    <t>Wing A + B</t>
  </si>
  <si>
    <t>Shop</t>
  </si>
  <si>
    <t>Wing A</t>
  </si>
  <si>
    <t>Approved Plans, CC, Builder Saleable Area, Cost Sheet</t>
  </si>
  <si>
    <t>Wing A &amp; B</t>
  </si>
  <si>
    <t>Wing B</t>
  </si>
  <si>
    <t>2BHK</t>
  </si>
  <si>
    <t>1BHK</t>
  </si>
  <si>
    <t>3rd Floor</t>
  </si>
  <si>
    <t>Part Pit Floor For Parking</t>
  </si>
  <si>
    <t>02 Wings</t>
  </si>
  <si>
    <t>A &amp; B Wing = G + 1st to 7th Floor</t>
  </si>
  <si>
    <t>Fitness Center</t>
  </si>
  <si>
    <t xml:space="preserve"> Builder Saleable area</t>
  </si>
  <si>
    <t>Builder Saleable area</t>
  </si>
  <si>
    <t>Flats - 59, Shops - 12</t>
  </si>
  <si>
    <t>We considered Gross carpet area = Net carpet + Chajja Area.</t>
  </si>
  <si>
    <t>https://goo.gl/maps/7k5KZhK7LmquF7737?coh=178572&amp;entry=tt</t>
  </si>
  <si>
    <t>18.956718, 73.032413</t>
  </si>
  <si>
    <t>Shree Vitthal Rakhumai Mandir</t>
  </si>
  <si>
    <t>3.2 KM from Kharkopar Railway Station</t>
  </si>
  <si>
    <t>Kharkopar</t>
  </si>
  <si>
    <t>Internal Road</t>
  </si>
  <si>
    <t>Jawle</t>
  </si>
  <si>
    <t>Builder sheet</t>
  </si>
  <si>
    <t>Water, MSEB, Development Charges</t>
  </si>
  <si>
    <t>Society Formation Charges + Infrastructure + Maintenance Charges</t>
  </si>
  <si>
    <t>Other Charges</t>
  </si>
  <si>
    <t>Inspection Sheet</t>
  </si>
  <si>
    <t xml:space="preserve">https://housing.com/in/buy/projects/page/289463-krishna-arcade-by-krishna-enterprises-raigarh-in-new-panvel-east </t>
  </si>
  <si>
    <t>Housing</t>
  </si>
  <si>
    <t>Bhoomi Apartment</t>
  </si>
  <si>
    <t xml:space="preserve">0.120KM </t>
  </si>
  <si>
    <t>4900, 8000</t>
  </si>
  <si>
    <t>0.87KM</t>
  </si>
  <si>
    <t>6200, 9000</t>
  </si>
  <si>
    <t>55%, 50%</t>
  </si>
  <si>
    <t>Sai Darshan</t>
  </si>
  <si>
    <t>Galaxy Five</t>
  </si>
  <si>
    <t>Construction work is in process at the time of Visit.</t>
  </si>
  <si>
    <t>Mr.Prem Patel 9821432297</t>
  </si>
  <si>
    <t xml:space="preserve">CIDCO/BP-17955/TPO(NM &amp; K)/2021/11961 </t>
  </si>
  <si>
    <t>We have updated revised CC from CIDCO site on 12/05/2025.</t>
  </si>
  <si>
    <t>Finishing Work is in process.</t>
  </si>
  <si>
    <t>A &amp; B Wing = G + 1st to 7th Floor
Total Built Up Area = 4763.91 Sq.M.</t>
  </si>
  <si>
    <t>CIDCO/BP-17955/TPO (NM &amp; K)/
2021/11961</t>
  </si>
  <si>
    <t>Wing A &amp; B = G + 1st to 7th Floor</t>
  </si>
  <si>
    <t>4th to 7th Floor</t>
  </si>
  <si>
    <t>2nd Floor</t>
  </si>
  <si>
    <t>We have updated Approved Plans on 09/06/2025.</t>
  </si>
  <si>
    <t>Ground Floor For Commercial, Parking, Entrance Lobby &amp; Driveway</t>
  </si>
  <si>
    <t xml:space="preserve">As per the site visit dtd. 10/05/2025, we have observed that the extra Chajja area &amp;
terrace are constructed for Flat No. 1 &amp; 2 on the 1st floor for Wing A &amp; B, which are not shown in the approved floor plan.
</t>
  </si>
  <si>
    <t>Remark No. 12 :</t>
  </si>
  <si>
    <t xml:space="preserve">Flats - 84, Shops - 12 </t>
  </si>
  <si>
    <t>1st Floor For Driver Room &amp; Residential</t>
  </si>
  <si>
    <t>1st Floor For Society Office &amp; Residential</t>
  </si>
  <si>
    <t>Pooja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</si>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</sst>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"/>
    <numFmt numFmtId="169" formatCode="0.00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0"/>
      <color rgb="FF000000"/>
      <name val="Arial"/>
      <family val="2"/>
    </font>
    <font>
      <b/>
      <sz val="11"/>
      <color rgb="FF27272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10"/>
    <xf numFmtId="1" fontId="7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7" fillId="3" borderId="0" xfId="0" applyFont="1" applyFill="1" applyAlignment="1">
      <alignment horizontal="left" vertical="center"/>
    </xf>
    <xf numFmtId="0" fontId="28" fillId="0" borderId="0" xfId="0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8" fillId="0" borderId="13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" fontId="13" fillId="0" borderId="5" xfId="1" applyNumberFormat="1" applyFont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6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251980</xdr:colOff>
      <xdr:row>272</xdr:row>
      <xdr:rowOff>75882</xdr:rowOff>
    </xdr:from>
    <xdr:to>
      <xdr:col>13</xdr:col>
      <xdr:colOff>642742</xdr:colOff>
      <xdr:row>286</xdr:row>
      <xdr:rowOff>167654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33955" y="56254332"/>
          <a:ext cx="3734037" cy="2892123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9</xdr:col>
      <xdr:colOff>333654</xdr:colOff>
      <xdr:row>253</xdr:row>
      <xdr:rowOff>17318</xdr:rowOff>
    </xdr:from>
    <xdr:to>
      <xdr:col>13</xdr:col>
      <xdr:colOff>595574</xdr:colOff>
      <xdr:row>271</xdr:row>
      <xdr:rowOff>137020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8912504" y="52055568"/>
          <a:ext cx="3760770" cy="3663002"/>
          <a:chOff x="933965" y="1022710"/>
          <a:chExt cx="3600000" cy="3704566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6200000">
            <a:off x="881682" y="1074993"/>
            <a:ext cx="3704566" cy="360000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850" t="39481" r="51006" b="47500"/>
          <a:stretch/>
        </xdr:blipFill>
        <xdr:spPr>
          <a:xfrm rot="16200000">
            <a:off x="3993965" y="4187276"/>
            <a:ext cx="540000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476900</xdr:colOff>
      <xdr:row>355</xdr:row>
      <xdr:rowOff>66431</xdr:rowOff>
    </xdr:from>
    <xdr:to>
      <xdr:col>6</xdr:col>
      <xdr:colOff>524213</xdr:colOff>
      <xdr:row>369</xdr:row>
      <xdr:rowOff>158202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900" y="68196158"/>
          <a:ext cx="419501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450272</xdr:colOff>
      <xdr:row>340</xdr:row>
      <xdr:rowOff>17318</xdr:rowOff>
    </xdr:from>
    <xdr:to>
      <xdr:col>6</xdr:col>
      <xdr:colOff>550841</xdr:colOff>
      <xdr:row>354</xdr:row>
      <xdr:rowOff>109091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272" y="65159659"/>
          <a:ext cx="424827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1009650</xdr:colOff>
      <xdr:row>48</xdr:row>
      <xdr:rowOff>133350</xdr:rowOff>
    </xdr:from>
    <xdr:to>
      <xdr:col>13</xdr:col>
      <xdr:colOff>647182</xdr:colOff>
      <xdr:row>58</xdr:row>
      <xdr:rowOff>123499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29575" y="10801350"/>
          <a:ext cx="4142857" cy="26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40</xdr:row>
      <xdr:rowOff>180975</xdr:rowOff>
    </xdr:from>
    <xdr:to>
      <xdr:col>15</xdr:col>
      <xdr:colOff>170706</xdr:colOff>
      <xdr:row>47</xdr:row>
      <xdr:rowOff>399819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39000" y="8801100"/>
          <a:ext cx="5952381" cy="18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111</xdr:row>
      <xdr:rowOff>9525</xdr:rowOff>
    </xdr:from>
    <xdr:to>
      <xdr:col>13</xdr:col>
      <xdr:colOff>275800</xdr:colOff>
      <xdr:row>135</xdr:row>
      <xdr:rowOff>151732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01050" y="23355300"/>
          <a:ext cx="3400000" cy="5342857"/>
        </a:xfrm>
        <a:prstGeom prst="rect">
          <a:avLst/>
        </a:prstGeom>
      </xdr:spPr>
    </xdr:pic>
    <xdr:clientData/>
  </xdr:twoCellAnchor>
  <xdr:twoCellAnchor>
    <xdr:from>
      <xdr:col>0</xdr:col>
      <xdr:colOff>561976</xdr:colOff>
      <xdr:row>252</xdr:row>
      <xdr:rowOff>47625</xdr:rowOff>
    </xdr:from>
    <xdr:to>
      <xdr:col>7</xdr:col>
      <xdr:colOff>933450</xdr:colOff>
      <xdr:row>290</xdr:row>
      <xdr:rowOff>180975</xdr:rowOff>
    </xdr:to>
    <xdr:grpSp>
      <xdr:nvGrpSpPr>
        <xdr:cNvPr id="21" name="Group 20"/>
        <xdr:cNvGrpSpPr/>
      </xdr:nvGrpSpPr>
      <xdr:grpSpPr>
        <a:xfrm>
          <a:off x="561976" y="51889025"/>
          <a:ext cx="6346824" cy="7613650"/>
          <a:chOff x="827314" y="335268"/>
          <a:chExt cx="4680000" cy="6632606"/>
        </a:xfrm>
      </xdr:grpSpPr>
      <xdr:grpSp>
        <xdr:nvGrpSpPr>
          <xdr:cNvPr id="24" name="Group 23"/>
          <xdr:cNvGrpSpPr/>
        </xdr:nvGrpSpPr>
        <xdr:grpSpPr>
          <a:xfrm>
            <a:off x="827314" y="335268"/>
            <a:ext cx="4680000" cy="3962699"/>
            <a:chOff x="827314" y="300098"/>
            <a:chExt cx="4680000" cy="3962699"/>
          </a:xfrm>
        </xdr:grpSpPr>
        <xdr:pic>
          <xdr:nvPicPr>
            <xdr:cNvPr id="27" name="Picture 26"/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27314" y="300098"/>
              <a:ext cx="4680000" cy="39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8" name="Rectangle 27"/>
            <xdr:cNvSpPr/>
          </xdr:nvSpPr>
          <xdr:spPr>
            <a:xfrm>
              <a:off x="1206500" y="774700"/>
              <a:ext cx="3892550" cy="2781300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pic>
          <xdr:nvPicPr>
            <xdr:cNvPr id="29" name="Picture 28"/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921448">
              <a:off x="4013973" y="3362797"/>
              <a:ext cx="900000" cy="900000"/>
            </a:xfrm>
            <a:prstGeom prst="rect">
              <a:avLst/>
            </a:prstGeom>
          </xdr:spPr>
        </xdr:pic>
      </xdr:grpSp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1981938" y="4447874"/>
            <a:ext cx="237075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571500</xdr:colOff>
      <xdr:row>294</xdr:row>
      <xdr:rowOff>22411</xdr:rowOff>
    </xdr:from>
    <xdr:to>
      <xdr:col>7</xdr:col>
      <xdr:colOff>773956</xdr:colOff>
      <xdr:row>307</xdr:row>
      <xdr:rowOff>67233</xdr:rowOff>
    </xdr:to>
    <xdr:grpSp>
      <xdr:nvGrpSpPr>
        <xdr:cNvPr id="9" name="Group 8"/>
        <xdr:cNvGrpSpPr/>
      </xdr:nvGrpSpPr>
      <xdr:grpSpPr>
        <a:xfrm>
          <a:off x="571500" y="60131511"/>
          <a:ext cx="6177806" cy="2603872"/>
          <a:chOff x="560294" y="61890088"/>
          <a:chExt cx="5906250" cy="2666998"/>
        </a:xfrm>
      </xdr:grpSpPr>
      <xdr:pic>
        <xdr:nvPicPr>
          <xdr:cNvPr id="50" name="Picture 49"/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26828" t="22170" r="26762" b="17452"/>
          <a:stretch/>
        </xdr:blipFill>
        <xdr:spPr>
          <a:xfrm>
            <a:off x="560294" y="61890088"/>
            <a:ext cx="5906250" cy="266699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" name="Rectangle 6"/>
          <xdr:cNvSpPr/>
        </xdr:nvSpPr>
        <xdr:spPr>
          <a:xfrm>
            <a:off x="582706" y="63358059"/>
            <a:ext cx="5860676" cy="1008529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2</xdr:col>
      <xdr:colOff>69453</xdr:colOff>
      <xdr:row>307</xdr:row>
      <xdr:rowOff>200472</xdr:rowOff>
    </xdr:from>
    <xdr:to>
      <xdr:col>6</xdr:col>
      <xdr:colOff>614857</xdr:colOff>
      <xdr:row>321</xdr:row>
      <xdr:rowOff>43588</xdr:rowOff>
    </xdr:to>
    <xdr:grpSp>
      <xdr:nvGrpSpPr>
        <xdr:cNvPr id="8" name="Group 7"/>
        <xdr:cNvGrpSpPr/>
      </xdr:nvGrpSpPr>
      <xdr:grpSpPr>
        <a:xfrm>
          <a:off x="1707753" y="62862272"/>
          <a:ext cx="4063304" cy="2605366"/>
          <a:chOff x="1582247" y="68074502"/>
          <a:chExt cx="3907168" cy="2666998"/>
        </a:xfrm>
      </xdr:grpSpPr>
      <xdr:pic>
        <xdr:nvPicPr>
          <xdr:cNvPr id="49" name="Picture 48"/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32398" t="22640" r="32464" b="8256"/>
          <a:stretch/>
        </xdr:blipFill>
        <xdr:spPr>
          <a:xfrm>
            <a:off x="1582247" y="68074502"/>
            <a:ext cx="3907168" cy="266699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1" name="Rectangle 50"/>
          <xdr:cNvSpPr/>
        </xdr:nvSpPr>
        <xdr:spPr>
          <a:xfrm rot="389086">
            <a:off x="2649813" y="69518543"/>
            <a:ext cx="2817359" cy="66808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0</xdr:col>
      <xdr:colOff>212912</xdr:colOff>
      <xdr:row>321</xdr:row>
      <xdr:rowOff>190500</xdr:rowOff>
    </xdr:from>
    <xdr:to>
      <xdr:col>7</xdr:col>
      <xdr:colOff>990846</xdr:colOff>
      <xdr:row>334</xdr:row>
      <xdr:rowOff>88324</xdr:rowOff>
    </xdr:to>
    <xdr:pic>
      <xdr:nvPicPr>
        <xdr:cNvPr id="52" name="Picture 51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7203" t="31603" r="21855" b="19340"/>
        <a:stretch/>
      </xdr:blipFill>
      <xdr:spPr>
        <a:xfrm>
          <a:off x="212912" y="67302529"/>
          <a:ext cx="6481728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425824</xdr:colOff>
      <xdr:row>328</xdr:row>
      <xdr:rowOff>100853</xdr:rowOff>
    </xdr:from>
    <xdr:to>
      <xdr:col>7</xdr:col>
      <xdr:colOff>593912</xdr:colOff>
      <xdr:row>330</xdr:row>
      <xdr:rowOff>190500</xdr:rowOff>
    </xdr:to>
    <xdr:sp macro="" textlink="">
      <xdr:nvSpPr>
        <xdr:cNvPr id="10" name="Rectangle 9"/>
        <xdr:cNvSpPr/>
      </xdr:nvSpPr>
      <xdr:spPr>
        <a:xfrm>
          <a:off x="425824" y="68624824"/>
          <a:ext cx="5871882" cy="49305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280145</xdr:colOff>
      <xdr:row>316</xdr:row>
      <xdr:rowOff>112059</xdr:rowOff>
    </xdr:from>
    <xdr:to>
      <xdr:col>7</xdr:col>
      <xdr:colOff>179292</xdr:colOff>
      <xdr:row>321</xdr:row>
      <xdr:rowOff>33618</xdr:rowOff>
    </xdr:to>
    <xdr:sp macro="" textlink="">
      <xdr:nvSpPr>
        <xdr:cNvPr id="15" name="Rectangle 14"/>
        <xdr:cNvSpPr/>
      </xdr:nvSpPr>
      <xdr:spPr>
        <a:xfrm rot="288633">
          <a:off x="3630704" y="66215559"/>
          <a:ext cx="2252382" cy="9300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FF0000"/>
              </a:solidFill>
            </a:rPr>
            <a:t>Terrace Line</a:t>
          </a:r>
        </a:p>
      </xdr:txBody>
    </xdr:sp>
    <xdr:clientData/>
  </xdr:twoCellAnchor>
  <xdr:twoCellAnchor>
    <xdr:from>
      <xdr:col>3</xdr:col>
      <xdr:colOff>611839</xdr:colOff>
      <xdr:row>303</xdr:row>
      <xdr:rowOff>85163</xdr:rowOff>
    </xdr:from>
    <xdr:to>
      <xdr:col>6</xdr:col>
      <xdr:colOff>354104</xdr:colOff>
      <xdr:row>308</xdr:row>
      <xdr:rowOff>6722</xdr:rowOff>
    </xdr:to>
    <xdr:sp macro="" textlink="">
      <xdr:nvSpPr>
        <xdr:cNvPr id="53" name="Rectangle 52"/>
        <xdr:cNvSpPr/>
      </xdr:nvSpPr>
      <xdr:spPr>
        <a:xfrm>
          <a:off x="3021104" y="63566487"/>
          <a:ext cx="2252382" cy="9300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FF0000"/>
              </a:solidFill>
            </a:rPr>
            <a:t>Terrace Line</a:t>
          </a:r>
        </a:p>
      </xdr:txBody>
    </xdr:sp>
    <xdr:clientData/>
  </xdr:twoCellAnchor>
  <xdr:twoCellAnchor>
    <xdr:from>
      <xdr:col>3</xdr:col>
      <xdr:colOff>537881</xdr:colOff>
      <xdr:row>331</xdr:row>
      <xdr:rowOff>11207</xdr:rowOff>
    </xdr:from>
    <xdr:to>
      <xdr:col>6</xdr:col>
      <xdr:colOff>280146</xdr:colOff>
      <xdr:row>335</xdr:row>
      <xdr:rowOff>134471</xdr:rowOff>
    </xdr:to>
    <xdr:sp macro="" textlink="">
      <xdr:nvSpPr>
        <xdr:cNvPr id="54" name="Rectangle 53"/>
        <xdr:cNvSpPr/>
      </xdr:nvSpPr>
      <xdr:spPr>
        <a:xfrm>
          <a:off x="2947146" y="69140295"/>
          <a:ext cx="2252382" cy="9300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FF0000"/>
              </a:solidFill>
            </a:rPr>
            <a:t>Terrace Line</a:t>
          </a:r>
        </a:p>
      </xdr:txBody>
    </xdr:sp>
    <xdr:clientData/>
  </xdr:twoCellAnchor>
  <xdr:twoCellAnchor>
    <xdr:from>
      <xdr:col>0</xdr:col>
      <xdr:colOff>323850</xdr:colOff>
      <xdr:row>206</xdr:row>
      <xdr:rowOff>133350</xdr:rowOff>
    </xdr:from>
    <xdr:to>
      <xdr:col>7</xdr:col>
      <xdr:colOff>923860</xdr:colOff>
      <xdr:row>239</xdr:row>
      <xdr:rowOff>108066</xdr:rowOff>
    </xdr:to>
    <xdr:grpSp>
      <xdr:nvGrpSpPr>
        <xdr:cNvPr id="6" name="Group 5"/>
        <xdr:cNvGrpSpPr/>
      </xdr:nvGrpSpPr>
      <xdr:grpSpPr>
        <a:xfrm>
          <a:off x="323850" y="42926000"/>
          <a:ext cx="6575360" cy="6464416"/>
          <a:chOff x="323850" y="42926000"/>
          <a:chExt cx="6575360" cy="6464416"/>
        </a:xfrm>
      </xdr:grpSpPr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5399" y="47338416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6279" y="4292600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1033" y="45186208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1032" y="47338416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850" y="45186208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8216" y="45186208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78654" y="4292600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5399" y="45186208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850" y="47338416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8214" y="4733841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251" y="42926000"/>
            <a:ext cx="28667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939872</xdr:colOff>
      <xdr:row>29</xdr:row>
      <xdr:rowOff>132976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2419048" cy="2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89463-krishna-arcade-by-krishna-enterprises-raigarh-in-new-panvel-east" TargetMode="External"/><Relationship Id="rId1" Type="http://schemas.openxmlformats.org/officeDocument/2006/relationships/hyperlink" Target="https://goo.gl/maps/7k5KZhK7LmquF7737?coh=178572&amp;entry=tt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39"/>
  <sheetViews>
    <sheetView tabSelected="1" view="pageBreakPreview" topLeftCell="A65" zoomScaleNormal="100" zoomScaleSheetLayoutView="100" workbookViewId="0">
      <selection activeCell="C78" sqref="C78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19.81640625" style="38" customWidth="1"/>
    <col min="9" max="9" width="17.453125" style="19" customWidth="1"/>
    <col min="10" max="10" width="17.179687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8" ht="46.5" customHeight="1" x14ac:dyDescent="0.35">
      <c r="A1" s="138" t="s">
        <v>167</v>
      </c>
      <c r="B1" s="138"/>
      <c r="C1" s="138"/>
      <c r="D1" s="138"/>
      <c r="E1" s="138"/>
      <c r="F1" s="138"/>
      <c r="G1" s="138"/>
      <c r="H1" s="138"/>
    </row>
    <row r="2" spans="1:8" ht="16.5" customHeight="1" x14ac:dyDescent="0.35">
      <c r="A2" s="120" t="s">
        <v>0</v>
      </c>
      <c r="B2" s="120"/>
      <c r="C2" s="120"/>
      <c r="D2" s="120"/>
      <c r="E2" s="120"/>
      <c r="F2" s="120"/>
      <c r="G2" s="120"/>
      <c r="H2" s="120"/>
    </row>
    <row r="3" spans="1:8" x14ac:dyDescent="0.35">
      <c r="A3" s="106" t="s">
        <v>1</v>
      </c>
      <c r="B3" s="106"/>
      <c r="C3" s="106"/>
      <c r="D3" s="106"/>
      <c r="E3" s="106" t="str">
        <f ca="1">TEXT(TODAY(),"DD/MM/YYYY")</f>
        <v>14/08/2025</v>
      </c>
      <c r="F3" s="106"/>
      <c r="G3" s="106"/>
      <c r="H3" s="106"/>
    </row>
    <row r="4" spans="1:8" x14ac:dyDescent="0.35">
      <c r="A4" s="106" t="s">
        <v>2</v>
      </c>
      <c r="B4" s="106"/>
      <c r="C4" s="106"/>
      <c r="D4" s="106"/>
      <c r="E4" s="106" t="s">
        <v>172</v>
      </c>
      <c r="F4" s="106"/>
      <c r="G4" s="106"/>
      <c r="H4" s="106"/>
    </row>
    <row r="5" spans="1:8" x14ac:dyDescent="0.35">
      <c r="A5" s="106" t="s">
        <v>3</v>
      </c>
      <c r="B5" s="106"/>
      <c r="C5" s="106"/>
      <c r="D5" s="106"/>
      <c r="E5" s="142">
        <v>45881</v>
      </c>
      <c r="F5" s="106"/>
      <c r="G5" s="106"/>
      <c r="H5" s="106"/>
    </row>
    <row r="6" spans="1:8" ht="16.5" customHeight="1" x14ac:dyDescent="0.35">
      <c r="A6" s="106" t="s">
        <v>4</v>
      </c>
      <c r="B6" s="106"/>
      <c r="C6" s="106"/>
      <c r="D6" s="106"/>
      <c r="E6" s="106" t="s">
        <v>173</v>
      </c>
      <c r="F6" s="106"/>
      <c r="G6" s="106"/>
      <c r="H6" s="106"/>
    </row>
    <row r="7" spans="1:8" ht="15" customHeight="1" x14ac:dyDescent="0.35">
      <c r="A7" s="106" t="s">
        <v>5</v>
      </c>
      <c r="B7" s="106"/>
      <c r="C7" s="106"/>
      <c r="D7" s="106"/>
      <c r="E7" s="106" t="str">
        <f>E6</f>
        <v>Krishna Enterprises</v>
      </c>
      <c r="F7" s="106"/>
      <c r="G7" s="106"/>
      <c r="H7" s="106"/>
    </row>
    <row r="8" spans="1:8" x14ac:dyDescent="0.35">
      <c r="A8" s="106" t="s">
        <v>6</v>
      </c>
      <c r="B8" s="106"/>
      <c r="C8" s="106"/>
      <c r="D8" s="106"/>
      <c r="E8" s="139" t="s">
        <v>174</v>
      </c>
      <c r="F8" s="140"/>
      <c r="G8" s="140"/>
      <c r="H8" s="141"/>
    </row>
    <row r="9" spans="1:8" x14ac:dyDescent="0.35">
      <c r="A9" s="106" t="s">
        <v>170</v>
      </c>
      <c r="B9" s="106"/>
      <c r="C9" s="106"/>
      <c r="D9" s="106"/>
      <c r="E9" s="106" t="s">
        <v>225</v>
      </c>
      <c r="F9" s="106"/>
      <c r="G9" s="106"/>
      <c r="H9" s="106"/>
    </row>
    <row r="10" spans="1:8" hidden="1" x14ac:dyDescent="0.35">
      <c r="A10" s="106" t="s">
        <v>171</v>
      </c>
      <c r="B10" s="106"/>
      <c r="C10" s="106"/>
      <c r="D10" s="106"/>
      <c r="E10" s="106">
        <v>7977066652</v>
      </c>
      <c r="F10" s="106"/>
      <c r="G10" s="106"/>
      <c r="H10" s="106"/>
    </row>
    <row r="11" spans="1:8" x14ac:dyDescent="0.35">
      <c r="A11" s="106" t="s">
        <v>7</v>
      </c>
      <c r="B11" s="106"/>
      <c r="C11" s="106"/>
      <c r="D11" s="106"/>
      <c r="E11" s="106" t="s">
        <v>189</v>
      </c>
      <c r="F11" s="106"/>
      <c r="G11" s="106"/>
      <c r="H11" s="106"/>
    </row>
    <row r="12" spans="1:8" x14ac:dyDescent="0.35">
      <c r="A12" s="73" t="s">
        <v>8</v>
      </c>
      <c r="B12" s="73"/>
      <c r="C12" s="73"/>
      <c r="D12" s="73"/>
      <c r="E12" s="100" t="s">
        <v>188</v>
      </c>
      <c r="F12" s="100"/>
      <c r="G12" s="100"/>
      <c r="H12" s="100"/>
    </row>
    <row r="13" spans="1:8" x14ac:dyDescent="0.35">
      <c r="A13" s="73" t="s">
        <v>9</v>
      </c>
      <c r="B13" s="73"/>
      <c r="C13" s="73"/>
      <c r="D13" s="73"/>
      <c r="E13" s="100" t="s">
        <v>176</v>
      </c>
      <c r="F13" s="106"/>
      <c r="G13" s="106"/>
      <c r="H13" s="106"/>
    </row>
    <row r="14" spans="1:8" ht="32.25" customHeight="1" x14ac:dyDescent="0.35">
      <c r="A14" s="97" t="s">
        <v>10</v>
      </c>
      <c r="B14" s="97"/>
      <c r="C14" s="9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Krishna Arcade, Plot No.400, Sector No.25A, near Shree Vitthal Rakhumai Mandir, Internal Road, Jawle, Ulwe, Kharkopar, Panvel, Raigad - 410206.</v>
      </c>
      <c r="D14" s="97"/>
      <c r="E14" s="97"/>
      <c r="F14" s="97"/>
      <c r="G14" s="97"/>
      <c r="H14" s="97"/>
    </row>
    <row r="15" spans="1:8" x14ac:dyDescent="0.35">
      <c r="A15" s="100" t="s">
        <v>179</v>
      </c>
      <c r="B15" s="100"/>
      <c r="C15" s="100" t="s">
        <v>180</v>
      </c>
      <c r="D15" s="100"/>
      <c r="E15" s="100"/>
      <c r="F15" s="100"/>
      <c r="G15" s="100"/>
      <c r="H15" s="100"/>
    </row>
    <row r="16" spans="1:8" ht="15.75" customHeight="1" x14ac:dyDescent="0.35">
      <c r="A16" s="100" t="s">
        <v>165</v>
      </c>
      <c r="B16" s="100"/>
      <c r="C16" s="100" t="s">
        <v>208</v>
      </c>
      <c r="D16" s="100"/>
      <c r="E16" s="100"/>
      <c r="F16" s="100"/>
      <c r="G16" s="100"/>
      <c r="H16" s="100"/>
    </row>
    <row r="17" spans="1:8" ht="15.75" customHeight="1" x14ac:dyDescent="0.35">
      <c r="A17" s="97" t="s">
        <v>11</v>
      </c>
      <c r="B17" s="97"/>
      <c r="C17" s="106" t="s">
        <v>207</v>
      </c>
      <c r="D17" s="106"/>
      <c r="E17" s="97" t="s">
        <v>75</v>
      </c>
      <c r="F17" s="97"/>
      <c r="G17" s="100" t="s">
        <v>181</v>
      </c>
      <c r="H17" s="100"/>
    </row>
    <row r="18" spans="1:8" x14ac:dyDescent="0.35">
      <c r="A18" s="73" t="s">
        <v>13</v>
      </c>
      <c r="B18" s="73"/>
      <c r="C18" s="100" t="s">
        <v>206</v>
      </c>
      <c r="D18" s="100"/>
      <c r="E18" s="97" t="s">
        <v>12</v>
      </c>
      <c r="F18" s="97"/>
      <c r="G18" s="143" t="s">
        <v>177</v>
      </c>
      <c r="H18" s="143"/>
    </row>
    <row r="19" spans="1:8" x14ac:dyDescent="0.35">
      <c r="A19" s="73" t="s">
        <v>76</v>
      </c>
      <c r="B19" s="73"/>
      <c r="C19" s="100" t="s">
        <v>178</v>
      </c>
      <c r="D19" s="100"/>
      <c r="E19" s="97" t="s">
        <v>14</v>
      </c>
      <c r="F19" s="97"/>
      <c r="G19" s="100">
        <v>410206</v>
      </c>
      <c r="H19" s="100"/>
    </row>
    <row r="20" spans="1:8" ht="32.25" customHeight="1" x14ac:dyDescent="0.35">
      <c r="A20" s="73" t="s">
        <v>124</v>
      </c>
      <c r="B20" s="73"/>
      <c r="C20" s="100" t="s">
        <v>204</v>
      </c>
      <c r="D20" s="100"/>
      <c r="E20" s="97" t="s">
        <v>15</v>
      </c>
      <c r="F20" s="97"/>
      <c r="G20" s="100" t="s">
        <v>205</v>
      </c>
      <c r="H20" s="100"/>
    </row>
    <row r="21" spans="1:8" ht="15" customHeight="1" x14ac:dyDescent="0.35">
      <c r="A21" s="97" t="s">
        <v>79</v>
      </c>
      <c r="B21" s="97"/>
      <c r="C21" s="97"/>
      <c r="D21" s="97"/>
      <c r="E21" s="106" t="s">
        <v>16</v>
      </c>
      <c r="F21" s="106"/>
      <c r="G21" s="106"/>
      <c r="H21" s="106"/>
    </row>
    <row r="22" spans="1:8" ht="18.75" customHeight="1" x14ac:dyDescent="0.35">
      <c r="A22" s="97"/>
      <c r="B22" s="97"/>
      <c r="C22" s="97"/>
      <c r="D22" s="97"/>
      <c r="E22" s="106"/>
      <c r="F22" s="106"/>
      <c r="G22" s="106"/>
      <c r="H22" s="106"/>
    </row>
    <row r="23" spans="1:8" ht="15" customHeight="1" x14ac:dyDescent="0.35">
      <c r="A23" s="97" t="s">
        <v>17</v>
      </c>
      <c r="B23" s="97"/>
      <c r="C23" s="97"/>
      <c r="D23" s="97"/>
      <c r="E23" s="100" t="s">
        <v>18</v>
      </c>
      <c r="F23" s="100"/>
      <c r="G23" s="100"/>
      <c r="H23" s="100"/>
    </row>
    <row r="24" spans="1:8" ht="15" customHeight="1" x14ac:dyDescent="0.35">
      <c r="A24" s="73" t="s">
        <v>19</v>
      </c>
      <c r="B24" s="73"/>
      <c r="C24" s="73"/>
      <c r="D24" s="73"/>
      <c r="E24" s="100" t="str">
        <f>IF(AND(G18="Mumbai"),"Upper Class","Middle Class")</f>
        <v>Middle Class</v>
      </c>
      <c r="F24" s="100"/>
      <c r="G24" s="100"/>
      <c r="H24" s="100"/>
    </row>
    <row r="25" spans="1:8" x14ac:dyDescent="0.35">
      <c r="A25" s="73" t="s">
        <v>20</v>
      </c>
      <c r="B25" s="73"/>
      <c r="C25" s="73"/>
      <c r="D25" s="73"/>
      <c r="E25" s="100" t="s">
        <v>21</v>
      </c>
      <c r="F25" s="100"/>
      <c r="G25" s="100"/>
      <c r="H25" s="100"/>
    </row>
    <row r="26" spans="1:8" ht="15.75" customHeight="1" x14ac:dyDescent="0.35">
      <c r="A26" s="73" t="s">
        <v>22</v>
      </c>
      <c r="B26" s="73"/>
      <c r="C26" s="73"/>
      <c r="D26" s="73"/>
      <c r="E26" s="100" t="str">
        <f>IF(AND(G18="Mumbai"),"Developed","Developing")</f>
        <v>Developing</v>
      </c>
      <c r="F26" s="100"/>
      <c r="G26" s="100"/>
      <c r="H26" s="100"/>
    </row>
    <row r="27" spans="1:8" x14ac:dyDescent="0.35">
      <c r="A27" s="73" t="s">
        <v>23</v>
      </c>
      <c r="B27" s="73"/>
      <c r="C27" s="73"/>
      <c r="D27" s="73"/>
      <c r="E27" s="100" t="s">
        <v>24</v>
      </c>
      <c r="F27" s="100"/>
      <c r="G27" s="100"/>
      <c r="H27" s="100"/>
    </row>
    <row r="28" spans="1:8" ht="15.75" customHeight="1" x14ac:dyDescent="0.35">
      <c r="A28" s="73" t="s">
        <v>84</v>
      </c>
      <c r="B28" s="73"/>
      <c r="C28" s="73"/>
      <c r="D28" s="73"/>
      <c r="E28" s="100" t="s">
        <v>85</v>
      </c>
      <c r="F28" s="100"/>
      <c r="G28" s="100"/>
      <c r="H28" s="100"/>
    </row>
    <row r="29" spans="1:8" ht="15" customHeight="1" x14ac:dyDescent="0.35">
      <c r="A29" s="73" t="s">
        <v>33</v>
      </c>
      <c r="B29" s="73"/>
      <c r="C29" s="73"/>
      <c r="D29" s="73"/>
      <c r="E29" s="10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00"/>
      <c r="G29" s="100"/>
      <c r="H29" s="100"/>
    </row>
    <row r="30" spans="1:8" ht="15.75" customHeight="1" x14ac:dyDescent="0.35">
      <c r="A30" s="73" t="s">
        <v>96</v>
      </c>
      <c r="B30" s="73"/>
      <c r="C30" s="73"/>
      <c r="D30" s="73"/>
      <c r="E30" s="100" t="s">
        <v>34</v>
      </c>
      <c r="F30" s="100"/>
      <c r="G30" s="100"/>
      <c r="H30" s="100"/>
    </row>
    <row r="31" spans="1:8" s="20" customFormat="1" x14ac:dyDescent="0.35">
      <c r="A31" s="147" t="s">
        <v>97</v>
      </c>
      <c r="B31" s="147"/>
      <c r="C31" s="146" t="s">
        <v>29</v>
      </c>
      <c r="D31" s="146"/>
      <c r="E31" s="146"/>
      <c r="F31" s="146" t="s">
        <v>31</v>
      </c>
      <c r="G31" s="146"/>
      <c r="H31" s="146"/>
    </row>
    <row r="32" spans="1:8" s="20" customFormat="1" x14ac:dyDescent="0.35">
      <c r="A32" s="144" t="s">
        <v>25</v>
      </c>
      <c r="B32" s="144" t="s">
        <v>30</v>
      </c>
      <c r="C32" s="145" t="s">
        <v>30</v>
      </c>
      <c r="D32" s="145"/>
      <c r="E32" s="145"/>
      <c r="F32" s="145" t="s">
        <v>182</v>
      </c>
      <c r="G32" s="145"/>
      <c r="H32" s="145"/>
    </row>
    <row r="33" spans="1:14" x14ac:dyDescent="0.35">
      <c r="A33" s="144" t="s">
        <v>26</v>
      </c>
      <c r="B33" s="144" t="s">
        <v>30</v>
      </c>
      <c r="C33" s="145" t="s">
        <v>30</v>
      </c>
      <c r="D33" s="145"/>
      <c r="E33" s="145"/>
      <c r="F33" s="145" t="s">
        <v>11</v>
      </c>
      <c r="G33" s="145"/>
      <c r="H33" s="145"/>
    </row>
    <row r="34" spans="1:14" s="20" customFormat="1" x14ac:dyDescent="0.35">
      <c r="A34" s="144" t="s">
        <v>28</v>
      </c>
      <c r="B34" s="144" t="s">
        <v>30</v>
      </c>
      <c r="C34" s="145" t="s">
        <v>30</v>
      </c>
      <c r="D34" s="145"/>
      <c r="E34" s="145"/>
      <c r="F34" s="145" t="s">
        <v>182</v>
      </c>
      <c r="G34" s="145"/>
      <c r="H34" s="145"/>
    </row>
    <row r="35" spans="1:14" x14ac:dyDescent="0.35">
      <c r="A35" s="144" t="s">
        <v>27</v>
      </c>
      <c r="B35" s="144" t="s">
        <v>30</v>
      </c>
      <c r="C35" s="145" t="s">
        <v>30</v>
      </c>
      <c r="D35" s="145"/>
      <c r="E35" s="145"/>
      <c r="F35" s="145" t="s">
        <v>182</v>
      </c>
      <c r="G35" s="145"/>
      <c r="H35" s="145"/>
    </row>
    <row r="36" spans="1:14" x14ac:dyDescent="0.35">
      <c r="A36" s="73" t="s">
        <v>32</v>
      </c>
      <c r="B36" s="73"/>
      <c r="C36" s="73"/>
      <c r="D36" s="73"/>
      <c r="E36" s="73"/>
      <c r="F36" s="73"/>
      <c r="G36" s="73"/>
      <c r="H36" s="73"/>
    </row>
    <row r="37" spans="1:14" ht="15.75" customHeight="1" x14ac:dyDescent="0.35">
      <c r="A37" s="73" t="s">
        <v>168</v>
      </c>
      <c r="B37" s="73"/>
      <c r="C37" s="135" t="s">
        <v>203</v>
      </c>
      <c r="D37" s="135"/>
      <c r="E37" s="135"/>
      <c r="F37" s="135"/>
      <c r="G37" s="135"/>
      <c r="H37" s="135"/>
    </row>
    <row r="38" spans="1:14" x14ac:dyDescent="0.35">
      <c r="A38" s="73" t="s">
        <v>164</v>
      </c>
      <c r="B38" s="73"/>
      <c r="C38" s="162" t="s">
        <v>202</v>
      </c>
      <c r="D38" s="100"/>
      <c r="E38" s="100"/>
      <c r="F38" s="100"/>
      <c r="G38" s="100"/>
      <c r="H38" s="100"/>
    </row>
    <row r="39" spans="1:14" x14ac:dyDescent="0.35">
      <c r="A39" s="135" t="s">
        <v>35</v>
      </c>
      <c r="B39" s="135"/>
      <c r="C39" s="135"/>
      <c r="D39" s="135"/>
      <c r="E39" s="135"/>
      <c r="F39" s="135"/>
      <c r="G39" s="135"/>
      <c r="H39" s="135"/>
    </row>
    <row r="40" spans="1:14" x14ac:dyDescent="0.35">
      <c r="A40" s="73" t="s">
        <v>36</v>
      </c>
      <c r="B40" s="73"/>
      <c r="C40" s="73"/>
      <c r="D40" s="73"/>
      <c r="E40" s="148">
        <v>1479.96</v>
      </c>
      <c r="F40" s="148"/>
      <c r="G40" s="148"/>
      <c r="H40" s="148"/>
      <c r="I40" s="19">
        <f>2219.94/1479.96</f>
        <v>1.5</v>
      </c>
    </row>
    <row r="41" spans="1:14" x14ac:dyDescent="0.35">
      <c r="A41" s="73" t="s">
        <v>37</v>
      </c>
      <c r="B41" s="73"/>
      <c r="C41" s="73"/>
      <c r="D41" s="73"/>
      <c r="E41" s="72">
        <v>1.5</v>
      </c>
      <c r="F41" s="72"/>
      <c r="G41" s="72"/>
      <c r="H41" s="72"/>
    </row>
    <row r="42" spans="1:14" x14ac:dyDescent="0.35">
      <c r="A42" s="73" t="s">
        <v>38</v>
      </c>
      <c r="B42" s="73"/>
      <c r="C42" s="73"/>
      <c r="D42" s="73"/>
      <c r="E42" s="72">
        <f>E44/E40-E41</f>
        <v>1.7189451066245032</v>
      </c>
      <c r="F42" s="72"/>
      <c r="G42" s="72"/>
      <c r="H42" s="72"/>
    </row>
    <row r="43" spans="1:14" x14ac:dyDescent="0.35">
      <c r="A43" s="73" t="s">
        <v>39</v>
      </c>
      <c r="B43" s="73"/>
      <c r="C43" s="73"/>
      <c r="D43" s="73"/>
      <c r="E43" s="72">
        <f>E41+E42</f>
        <v>3.2189451066245032</v>
      </c>
      <c r="F43" s="72"/>
      <c r="G43" s="72"/>
      <c r="H43" s="72"/>
    </row>
    <row r="44" spans="1:14" x14ac:dyDescent="0.35">
      <c r="A44" s="73" t="s">
        <v>95</v>
      </c>
      <c r="B44" s="73"/>
      <c r="C44" s="73"/>
      <c r="D44" s="73"/>
      <c r="E44" s="150">
        <v>4763.91</v>
      </c>
      <c r="F44" s="150"/>
      <c r="G44" s="150"/>
      <c r="H44" s="150"/>
    </row>
    <row r="45" spans="1:14" x14ac:dyDescent="0.35">
      <c r="A45" s="106" t="s">
        <v>40</v>
      </c>
      <c r="B45" s="106"/>
      <c r="C45" s="106"/>
      <c r="D45" s="106"/>
      <c r="E45" s="106" t="s">
        <v>195</v>
      </c>
      <c r="F45" s="106"/>
      <c r="G45" s="106"/>
      <c r="H45" s="106"/>
    </row>
    <row r="46" spans="1:14" x14ac:dyDescent="0.35">
      <c r="A46" s="135" t="s">
        <v>41</v>
      </c>
      <c r="B46" s="135"/>
      <c r="C46" s="135"/>
      <c r="D46" s="135"/>
      <c r="E46" s="135"/>
      <c r="F46" s="135"/>
      <c r="G46" s="135"/>
      <c r="H46" s="135"/>
    </row>
    <row r="47" spans="1:14" ht="33.75" customHeight="1" x14ac:dyDescent="0.35">
      <c r="A47" s="97" t="s">
        <v>152</v>
      </c>
      <c r="B47" s="97"/>
      <c r="C47" s="110" t="s">
        <v>183</v>
      </c>
      <c r="D47" s="110"/>
      <c r="E47" s="110"/>
      <c r="F47" s="110"/>
      <c r="G47" s="110"/>
      <c r="H47" s="110"/>
    </row>
    <row r="48" spans="1:14" ht="33" customHeight="1" x14ac:dyDescent="0.35">
      <c r="A48" s="84" t="s">
        <v>42</v>
      </c>
      <c r="B48" s="85"/>
      <c r="C48" s="84" t="s">
        <v>230</v>
      </c>
      <c r="D48" s="86"/>
      <c r="E48" s="85"/>
      <c r="F48" s="17" t="s">
        <v>43</v>
      </c>
      <c r="G48" s="87">
        <v>45335</v>
      </c>
      <c r="H48" s="85"/>
      <c r="I48" s="84" t="s">
        <v>184</v>
      </c>
      <c r="J48" s="86"/>
      <c r="K48" s="85"/>
      <c r="L48" s="17" t="s">
        <v>43</v>
      </c>
      <c r="M48" s="87">
        <v>44888</v>
      </c>
      <c r="N48" s="85"/>
    </row>
    <row r="49" spans="1:14" ht="31.5" customHeight="1" x14ac:dyDescent="0.35">
      <c r="A49" s="84" t="s">
        <v>44</v>
      </c>
      <c r="B49" s="85"/>
      <c r="C49" s="84" t="str">
        <f>C48</f>
        <v>CIDCO/BP-17955/TPO (NM &amp; K)/
2021/11961</v>
      </c>
      <c r="D49" s="86"/>
      <c r="E49" s="85"/>
      <c r="F49" s="17" t="s">
        <v>43</v>
      </c>
      <c r="G49" s="87">
        <v>45335</v>
      </c>
      <c r="H49" s="85"/>
      <c r="I49" s="84" t="str">
        <f>I48</f>
        <v>CIDCO/BP-17955/TPO (NM &amp; K)/
2021/9998</v>
      </c>
      <c r="J49" s="86"/>
      <c r="K49" s="85"/>
      <c r="L49" s="17" t="s">
        <v>43</v>
      </c>
      <c r="M49" s="87">
        <v>44888</v>
      </c>
      <c r="N49" s="85"/>
    </row>
    <row r="50" spans="1:14" s="21" customFormat="1" ht="32.25" customHeight="1" x14ac:dyDescent="0.35">
      <c r="A50" s="154" t="s">
        <v>155</v>
      </c>
      <c r="B50" s="155"/>
      <c r="C50" s="84" t="s">
        <v>226</v>
      </c>
      <c r="D50" s="86"/>
      <c r="E50" s="85"/>
      <c r="F50" s="17" t="s">
        <v>43</v>
      </c>
      <c r="G50" s="87">
        <v>45335</v>
      </c>
      <c r="H50" s="85"/>
    </row>
    <row r="51" spans="1:14" s="21" customFormat="1" ht="32.5" customHeight="1" x14ac:dyDescent="0.35">
      <c r="A51" s="156"/>
      <c r="B51" s="157"/>
      <c r="C51" s="84" t="s">
        <v>229</v>
      </c>
      <c r="D51" s="86"/>
      <c r="E51" s="86"/>
      <c r="F51" s="86"/>
      <c r="G51" s="86"/>
      <c r="H51" s="85"/>
    </row>
    <row r="52" spans="1:14" x14ac:dyDescent="0.35">
      <c r="A52" s="164" t="s">
        <v>45</v>
      </c>
      <c r="B52" s="165"/>
      <c r="C52" s="164" t="s">
        <v>106</v>
      </c>
      <c r="D52" s="166"/>
      <c r="E52" s="165"/>
      <c r="F52" s="43" t="s">
        <v>43</v>
      </c>
      <c r="G52" s="107" t="s">
        <v>30</v>
      </c>
      <c r="H52" s="108"/>
    </row>
    <row r="53" spans="1:14" x14ac:dyDescent="0.35">
      <c r="A53" s="105" t="s">
        <v>47</v>
      </c>
      <c r="B53" s="105"/>
      <c r="C53" s="105"/>
      <c r="D53" s="105"/>
      <c r="E53" s="105"/>
      <c r="F53" s="105"/>
      <c r="G53" s="105"/>
      <c r="H53" s="105"/>
    </row>
    <row r="54" spans="1:14" x14ac:dyDescent="0.35">
      <c r="A54" s="97" t="s">
        <v>94</v>
      </c>
      <c r="B54" s="97"/>
      <c r="C54" s="97"/>
      <c r="D54" s="73">
        <f>E44</f>
        <v>4763.91</v>
      </c>
      <c r="E54" s="73"/>
      <c r="F54" s="73"/>
      <c r="G54" s="73"/>
      <c r="H54" s="73"/>
    </row>
    <row r="55" spans="1:14" x14ac:dyDescent="0.35">
      <c r="A55" s="100" t="s">
        <v>48</v>
      </c>
      <c r="B55" s="106"/>
      <c r="C55" s="106"/>
      <c r="D55" s="106" t="s">
        <v>238</v>
      </c>
      <c r="E55" s="106"/>
      <c r="F55" s="106"/>
      <c r="G55" s="106"/>
      <c r="H55" s="106"/>
      <c r="I55" s="106" t="s">
        <v>200</v>
      </c>
      <c r="J55" s="106"/>
      <c r="K55" s="106"/>
      <c r="L55" s="106"/>
      <c r="M55" s="106"/>
    </row>
    <row r="56" spans="1:14" x14ac:dyDescent="0.35">
      <c r="A56" s="151" t="s">
        <v>49</v>
      </c>
      <c r="B56" s="152"/>
      <c r="C56" s="153"/>
      <c r="D56" s="106" t="s">
        <v>231</v>
      </c>
      <c r="E56" s="106"/>
      <c r="F56" s="106"/>
      <c r="G56" s="106"/>
      <c r="H56" s="106"/>
      <c r="I56" s="102" t="s">
        <v>196</v>
      </c>
      <c r="J56" s="169"/>
      <c r="K56" s="169"/>
      <c r="L56" s="169"/>
      <c r="M56" s="169"/>
    </row>
    <row r="57" spans="1:14" ht="15.75" customHeight="1" x14ac:dyDescent="0.35">
      <c r="A57" s="151" t="s">
        <v>92</v>
      </c>
      <c r="B57" s="152"/>
      <c r="C57" s="152"/>
      <c r="D57" s="106" t="s">
        <v>231</v>
      </c>
      <c r="E57" s="106"/>
      <c r="F57" s="106"/>
      <c r="G57" s="106"/>
      <c r="H57" s="106"/>
      <c r="I57" s="106" t="s">
        <v>196</v>
      </c>
      <c r="J57" s="106"/>
      <c r="K57" s="106"/>
      <c r="L57" s="106"/>
      <c r="M57" s="106"/>
    </row>
    <row r="58" spans="1:14" ht="15.75" customHeight="1" x14ac:dyDescent="0.35">
      <c r="A58" s="73" t="s">
        <v>46</v>
      </c>
      <c r="B58" s="73"/>
      <c r="C58" s="73"/>
      <c r="D58" s="149" t="s">
        <v>175</v>
      </c>
      <c r="E58" s="149"/>
      <c r="F58" s="149"/>
      <c r="G58" s="149"/>
      <c r="H58" s="149"/>
      <c r="J58" s="23"/>
      <c r="K58" s="22"/>
      <c r="N58" s="22"/>
    </row>
    <row r="59" spans="1:14" ht="15.75" customHeight="1" x14ac:dyDescent="0.35">
      <c r="A59" s="73" t="s">
        <v>90</v>
      </c>
      <c r="B59" s="73"/>
      <c r="C59" s="73"/>
      <c r="D59" s="160" t="str">
        <f>(IF(G52="NA","60 Years After Completion",IF(G52&lt;&gt;"NA",""&amp;60-ROUNDDOWN((E3-G52)/360,0)&amp;" Years"," ")))</f>
        <v>60 Years After Completion</v>
      </c>
      <c r="E59" s="160"/>
      <c r="F59" s="160"/>
      <c r="G59" s="160"/>
      <c r="H59" s="160"/>
      <c r="N59" s="22"/>
    </row>
    <row r="60" spans="1:14" ht="15.75" customHeight="1" x14ac:dyDescent="0.35">
      <c r="A60" s="73" t="s">
        <v>91</v>
      </c>
      <c r="B60" s="73"/>
      <c r="C60" s="73"/>
      <c r="D60" s="97" t="s">
        <v>24</v>
      </c>
      <c r="E60" s="97"/>
      <c r="F60" s="97"/>
      <c r="G60" s="97"/>
      <c r="H60" s="97"/>
      <c r="J60" s="24"/>
      <c r="K60" s="24"/>
    </row>
    <row r="61" spans="1:14" x14ac:dyDescent="0.35">
      <c r="A61" s="73" t="s">
        <v>77</v>
      </c>
      <c r="B61" s="73"/>
      <c r="C61" s="73"/>
      <c r="D61" s="100" t="s">
        <v>197</v>
      </c>
      <c r="E61" s="97"/>
      <c r="F61" s="97"/>
      <c r="G61" s="97"/>
      <c r="H61" s="97"/>
    </row>
    <row r="62" spans="1:14" x14ac:dyDescent="0.35">
      <c r="A62" s="97" t="s">
        <v>150</v>
      </c>
      <c r="B62" s="97"/>
      <c r="C62" s="97"/>
      <c r="D62" s="97" t="s">
        <v>30</v>
      </c>
      <c r="E62" s="97"/>
      <c r="F62" s="97"/>
      <c r="G62" s="97"/>
      <c r="H62" s="97"/>
      <c r="I62" s="25"/>
      <c r="J62" s="25"/>
      <c r="K62" s="25"/>
      <c r="L62" s="25"/>
      <c r="M62" s="25"/>
      <c r="N62" s="25"/>
    </row>
    <row r="63" spans="1:14" ht="15.75" customHeight="1" x14ac:dyDescent="0.35">
      <c r="A63" s="103" t="s">
        <v>89</v>
      </c>
      <c r="B63" s="103"/>
      <c r="C63" s="103"/>
      <c r="D63" s="102" t="str">
        <f ca="1">(IF(G69&gt;95%,"Nothing",IF(G69&gt;0%,"Cement, Aggregate, Steel, etc",IF(G69=0%,"Work not yet Started"))))</f>
        <v>Cement, Aggregate, Steel, etc</v>
      </c>
      <c r="E63" s="102"/>
      <c r="F63" s="102"/>
      <c r="G63" s="102"/>
      <c r="H63" s="102"/>
      <c r="J63" s="24"/>
    </row>
    <row r="64" spans="1:14" ht="33.75" customHeight="1" thickBot="1" x14ac:dyDescent="0.4">
      <c r="A64" s="101" t="s">
        <v>119</v>
      </c>
      <c r="B64" s="101"/>
      <c r="C64" s="101"/>
      <c r="D64" s="102" t="str">
        <f ca="1">(IF(D63="Nothing","Yes",IF(D63="Cement, Aggregate, Steel, etc","Under Construction",IF(D63="Work not yet Started","Work not yet Started"))))</f>
        <v>Under Construction</v>
      </c>
      <c r="E64" s="102"/>
      <c r="F64" s="102" t="str">
        <f ca="1">(IF(D63="Nothing","Yes",IF(D63="Cement, Aggregate, Steel, etc","Under Construction",IF(D63="Work not yet Started","Work not yet Started"))))</f>
        <v>Under Construction</v>
      </c>
      <c r="G64" s="102"/>
      <c r="H64" s="102"/>
    </row>
    <row r="65" spans="1:10" ht="15.75" customHeight="1" x14ac:dyDescent="0.35">
      <c r="A65" s="111" t="s">
        <v>142</v>
      </c>
      <c r="B65" s="112"/>
      <c r="C65" s="113" t="str">
        <f>D57</f>
        <v>Wing A &amp; B = G + 1st to 7th Floor</v>
      </c>
      <c r="D65" s="114"/>
      <c r="E65" s="114"/>
      <c r="F65" s="114"/>
      <c r="G65" s="114"/>
      <c r="H65" s="115"/>
      <c r="I65" s="47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5 Floor Completed</v>
      </c>
      <c r="J65" s="4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5 Floor</v>
      </c>
    </row>
    <row r="66" spans="1:10" x14ac:dyDescent="0.35">
      <c r="A66" s="15" t="s">
        <v>144</v>
      </c>
      <c r="B66" s="45">
        <f>IF(AND(ISNUMBER(SEARCH("1B",C65))),1,IF(AND(ISNUMBER(SEARCH("2B",C65))),2,IF(AND(ISNUMBER(SEARCH("3B",C65))),3,IF(AND(ISNUMBER(SEARCH("4B",C65))),4,IF(ISNUMBER(SEARCH("5B",C65)),5,0)))))</f>
        <v>0</v>
      </c>
      <c r="C66" s="45" t="s">
        <v>74</v>
      </c>
      <c r="D66" s="45">
        <v>1</v>
      </c>
      <c r="E66" s="45" t="s">
        <v>73</v>
      </c>
      <c r="F66" s="45">
        <v>0</v>
      </c>
      <c r="G66" s="46" t="s">
        <v>83</v>
      </c>
      <c r="H66" s="16">
        <f ca="1">--TRIM(RIGHT(SUBSTITUTE(LEFT(C65,_xlfn.AGGREGATE(16,6,FIND({0,1,2,3,4,5,6,7,8,9},C65,ROW(INDIRECT("1:"&amp;LEN(C65)))),1))," ",REPT(" ",LEN(C65))),LEN(C65)))</f>
        <v>7</v>
      </c>
      <c r="I66" s="4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50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2.25" customHeight="1" x14ac:dyDescent="0.35">
      <c r="A67" s="109" t="s">
        <v>93</v>
      </c>
      <c r="B67" s="110"/>
      <c r="C67" s="98" t="str">
        <f ca="1">I65</f>
        <v>Excavation, Plinth, RCC Slab, Brickwork, Internal Plaster, External Plaster, Flooring, Painting Completed, Finishing upto 5 Floor Completed</v>
      </c>
      <c r="D67" s="98"/>
      <c r="E67" s="98"/>
      <c r="F67" s="98"/>
      <c r="G67" s="98"/>
      <c r="H67" s="99"/>
      <c r="I67" s="49" t="str">
        <f ca="1">IF(I66&lt;&gt;""," Completed","")</f>
        <v xml:space="preserve"> Completed</v>
      </c>
      <c r="J67" s="50" t="str">
        <f ca="1">IF(J65&lt;&gt;"","Completed","")</f>
        <v>Completed</v>
      </c>
    </row>
    <row r="68" spans="1:10" ht="15.75" customHeight="1" x14ac:dyDescent="0.35">
      <c r="A68" s="79" t="s">
        <v>50</v>
      </c>
      <c r="B68" s="80"/>
      <c r="C68" s="42" t="s">
        <v>141</v>
      </c>
      <c r="D68" s="42" t="s">
        <v>86</v>
      </c>
      <c r="E68" s="80" t="s">
        <v>88</v>
      </c>
      <c r="F68" s="80"/>
      <c r="G68" s="80" t="s">
        <v>87</v>
      </c>
      <c r="H68" s="104"/>
      <c r="I68" s="13" t="s">
        <v>143</v>
      </c>
      <c r="J68" s="26">
        <f ca="1">H66*25%</f>
        <v>1.75</v>
      </c>
    </row>
    <row r="69" spans="1:10" x14ac:dyDescent="0.35">
      <c r="A69" s="80" t="s">
        <v>130</v>
      </c>
      <c r="B69" s="80"/>
      <c r="C69" s="68">
        <f ca="1">J70</f>
        <v>7</v>
      </c>
      <c r="D69" s="18">
        <f ca="1">((100/H66)*C69)/100</f>
        <v>1</v>
      </c>
      <c r="E69" s="174">
        <f ca="1">(((C70/H66*10)+(40/(D66+F66+H66)*C71)+(7.5/(H66)*C72)+(7.5/(H66)*C73)+(10/H66*C74)+(10/H66*C75)+(5/H66*C76)+(5/H66*C77)+(5/H66*C78))/100)</f>
        <v>0.93571428571428572</v>
      </c>
      <c r="F69" s="174"/>
      <c r="G69" s="174">
        <f ca="1">((((C69/H66)*20)+((C70/H66)*25)+(30/(H66+F66+D66)*C71)+(5/H66*C72)+(5/H66*C73)+(5/H66*C74)+(5/H66*C75)+(0/H66*C76)+(0/H66*C77)+(5/H66*C78))/100)</f>
        <v>0.95</v>
      </c>
      <c r="H69" s="174"/>
      <c r="I69" s="13" t="s">
        <v>101</v>
      </c>
      <c r="J69" s="27">
        <f ca="1">H66*50%</f>
        <v>3.5</v>
      </c>
    </row>
    <row r="70" spans="1:10" x14ac:dyDescent="0.35">
      <c r="A70" s="80" t="s">
        <v>51</v>
      </c>
      <c r="B70" s="80"/>
      <c r="C70" s="68">
        <f ca="1">J78</f>
        <v>7</v>
      </c>
      <c r="D70" s="18">
        <f ca="1">((100/H66)*C70)/100</f>
        <v>1</v>
      </c>
      <c r="E70" s="174"/>
      <c r="F70" s="174"/>
      <c r="G70" s="174"/>
      <c r="H70" s="174"/>
      <c r="I70" s="13" t="s">
        <v>102</v>
      </c>
      <c r="J70" s="27">
        <f ca="1">H66</f>
        <v>7</v>
      </c>
    </row>
    <row r="71" spans="1:10" ht="15.75" customHeight="1" x14ac:dyDescent="0.35">
      <c r="A71" s="80" t="s">
        <v>131</v>
      </c>
      <c r="B71" s="80"/>
      <c r="C71" s="68">
        <v>8</v>
      </c>
      <c r="D71" s="18">
        <f ca="1">((100/(D66+F66+H66))*C71)/100</f>
        <v>1</v>
      </c>
      <c r="E71" s="174"/>
      <c r="F71" s="174"/>
      <c r="G71" s="174"/>
      <c r="H71" s="174"/>
      <c r="I71" s="13" t="s">
        <v>103</v>
      </c>
      <c r="J71" s="28">
        <f ca="1">(IF(B66&gt;1,(H66/(B66+2)),H66/4))</f>
        <v>1.75</v>
      </c>
    </row>
    <row r="72" spans="1:10" ht="15.75" customHeight="1" x14ac:dyDescent="0.35">
      <c r="A72" s="80" t="s">
        <v>138</v>
      </c>
      <c r="B72" s="80" t="s">
        <v>132</v>
      </c>
      <c r="C72" s="68">
        <v>7</v>
      </c>
      <c r="D72" s="18">
        <f ca="1">((100/H66)*C72)/100</f>
        <v>1</v>
      </c>
      <c r="E72" s="174"/>
      <c r="F72" s="174"/>
      <c r="G72" s="174"/>
      <c r="H72" s="174"/>
      <c r="I72" s="13" t="s">
        <v>104</v>
      </c>
      <c r="J72" s="28">
        <f ca="1">(IF(B66&gt;1,(H66/(B66+2)+J71),H66/4+J71))</f>
        <v>3.5</v>
      </c>
    </row>
    <row r="73" spans="1:10" ht="15.75" customHeight="1" x14ac:dyDescent="0.35">
      <c r="A73" s="80" t="s">
        <v>139</v>
      </c>
      <c r="B73" s="80" t="s">
        <v>132</v>
      </c>
      <c r="C73" s="68">
        <v>7</v>
      </c>
      <c r="D73" s="18">
        <f ca="1">((100/H66)*C73)/100</f>
        <v>1</v>
      </c>
      <c r="E73" s="174"/>
      <c r="F73" s="174"/>
      <c r="G73" s="174"/>
      <c r="H73" s="174"/>
      <c r="I73" s="13" t="s">
        <v>148</v>
      </c>
      <c r="J73" s="28">
        <f>(IF(B66&gt;1,(H66/(B66+2)+J72),0))</f>
        <v>0</v>
      </c>
    </row>
    <row r="74" spans="1:10" ht="15" customHeight="1" x14ac:dyDescent="0.35">
      <c r="A74" s="80" t="s">
        <v>137</v>
      </c>
      <c r="B74" s="80" t="s">
        <v>134</v>
      </c>
      <c r="C74" s="68">
        <v>7</v>
      </c>
      <c r="D74" s="18">
        <f ca="1">((100/(H66))*C74)/100</f>
        <v>1</v>
      </c>
      <c r="E74" s="174"/>
      <c r="F74" s="174"/>
      <c r="G74" s="174"/>
      <c r="H74" s="174"/>
      <c r="I74" s="13" t="s">
        <v>145</v>
      </c>
      <c r="J74" s="28">
        <f>(IF(B66&gt;2,(H66/(B66+2)+J73),0))</f>
        <v>0</v>
      </c>
    </row>
    <row r="75" spans="1:10" ht="15.75" customHeight="1" x14ac:dyDescent="0.35">
      <c r="A75" s="80" t="s">
        <v>133</v>
      </c>
      <c r="B75" s="80" t="s">
        <v>133</v>
      </c>
      <c r="C75" s="68">
        <v>7</v>
      </c>
      <c r="D75" s="18">
        <f ca="1">((100/H66)*C75)/100</f>
        <v>1</v>
      </c>
      <c r="E75" s="174"/>
      <c r="F75" s="174"/>
      <c r="G75" s="174"/>
      <c r="H75" s="174"/>
      <c r="I75" s="13" t="s">
        <v>146</v>
      </c>
      <c r="J75" s="29">
        <f>(IF(B66&gt;3,(H66/(B66+2)+J74),0))</f>
        <v>0</v>
      </c>
    </row>
    <row r="76" spans="1:10" ht="15.75" customHeight="1" x14ac:dyDescent="0.35">
      <c r="A76" s="80" t="s">
        <v>140</v>
      </c>
      <c r="B76" s="80"/>
      <c r="C76" s="68">
        <v>7</v>
      </c>
      <c r="D76" s="18">
        <f ca="1">((100/H66)*C76)/100</f>
        <v>1</v>
      </c>
      <c r="E76" s="174"/>
      <c r="F76" s="174"/>
      <c r="G76" s="174"/>
      <c r="H76" s="174"/>
      <c r="I76" s="13" t="s">
        <v>147</v>
      </c>
      <c r="J76" s="28">
        <f>(IF(B66&gt;4,(H66/(B66+2)+J75),0))</f>
        <v>0</v>
      </c>
    </row>
    <row r="77" spans="1:10" ht="15.75" customHeight="1" x14ac:dyDescent="0.35">
      <c r="A77" s="80" t="s">
        <v>135</v>
      </c>
      <c r="B77" s="80" t="s">
        <v>135</v>
      </c>
      <c r="C77" s="68">
        <v>5</v>
      </c>
      <c r="D77" s="18">
        <f ca="1">((100/(H66))*C77)/100</f>
        <v>0.7142857142857143</v>
      </c>
      <c r="E77" s="174"/>
      <c r="F77" s="174"/>
      <c r="G77" s="174"/>
      <c r="H77" s="174"/>
      <c r="I77" s="13" t="s">
        <v>149</v>
      </c>
      <c r="J77" s="28">
        <f ca="1">(IF(B66=1,(H66/(B66+3)+J72),IF(B66=0,(H66/4+J72),IF(B66&gt;1,0))))</f>
        <v>5.25</v>
      </c>
    </row>
    <row r="78" spans="1:10" ht="16" thickBot="1" x14ac:dyDescent="0.4">
      <c r="A78" s="80" t="s">
        <v>136</v>
      </c>
      <c r="B78" s="80"/>
      <c r="C78" s="68">
        <v>0</v>
      </c>
      <c r="D78" s="18">
        <f ca="1">((100/(H66))*C78)/100</f>
        <v>0</v>
      </c>
      <c r="E78" s="174"/>
      <c r="F78" s="174"/>
      <c r="G78" s="174"/>
      <c r="H78" s="174"/>
      <c r="I78" s="14" t="s">
        <v>105</v>
      </c>
      <c r="J78" s="30">
        <f ca="1">(IF(B66&gt;1.5,(H66/(B66+2)+J72+MAX(0,J73-J72)+MAX(0,J74-J73)+MAX(0,J75-J74)+MAX(0,J76-J75)+MAX(0,J77-J76)),IF(B66=1,(H66/(B66+3)+J77),IF(B66=0,H66/4+J77))))</f>
        <v>7</v>
      </c>
    </row>
    <row r="79" spans="1:10" x14ac:dyDescent="0.35">
      <c r="A79" s="135" t="s">
        <v>157</v>
      </c>
      <c r="B79" s="135"/>
      <c r="C79" s="135"/>
      <c r="D79" s="135"/>
      <c r="E79" s="135"/>
      <c r="F79" s="120" t="s">
        <v>162</v>
      </c>
      <c r="G79" s="120"/>
      <c r="H79" s="120"/>
    </row>
    <row r="80" spans="1:10" x14ac:dyDescent="0.35">
      <c r="A80" s="73" t="s">
        <v>160</v>
      </c>
      <c r="B80" s="73"/>
      <c r="C80" s="73"/>
      <c r="D80" s="73"/>
      <c r="E80" s="73"/>
      <c r="F80" s="81">
        <v>5600</v>
      </c>
      <c r="G80" s="81"/>
      <c r="H80" s="81"/>
    </row>
    <row r="81" spans="1:11" x14ac:dyDescent="0.35">
      <c r="A81" s="73" t="s">
        <v>159</v>
      </c>
      <c r="B81" s="73"/>
      <c r="C81" s="73"/>
      <c r="D81" s="73"/>
      <c r="E81" s="73"/>
      <c r="F81" s="81">
        <v>9000</v>
      </c>
      <c r="G81" s="81"/>
      <c r="H81" s="81"/>
    </row>
    <row r="82" spans="1:11" hidden="1" x14ac:dyDescent="0.35">
      <c r="A82" s="73" t="s">
        <v>161</v>
      </c>
      <c r="B82" s="73"/>
      <c r="C82" s="73"/>
      <c r="D82" s="73"/>
      <c r="E82" s="73"/>
      <c r="F82" s="81"/>
      <c r="G82" s="81"/>
      <c r="H82" s="81"/>
    </row>
    <row r="83" spans="1:11" s="31" customFormat="1" hidden="1" x14ac:dyDescent="0.3">
      <c r="A83" s="73" t="s">
        <v>158</v>
      </c>
      <c r="B83" s="73"/>
      <c r="C83" s="73"/>
      <c r="D83" s="73"/>
      <c r="E83" s="73"/>
      <c r="F83" s="81"/>
      <c r="G83" s="81"/>
      <c r="H83" s="81"/>
    </row>
    <row r="84" spans="1:11" s="31" customFormat="1" hidden="1" x14ac:dyDescent="0.3">
      <c r="A84" s="73" t="s">
        <v>98</v>
      </c>
      <c r="B84" s="73"/>
      <c r="C84" s="73"/>
      <c r="D84" s="73"/>
      <c r="E84" s="73"/>
      <c r="F84" s="81"/>
      <c r="G84" s="81"/>
      <c r="H84" s="81"/>
    </row>
    <row r="85" spans="1:11" s="31" customFormat="1" hidden="1" x14ac:dyDescent="0.3">
      <c r="A85" s="73" t="s">
        <v>99</v>
      </c>
      <c r="B85" s="73"/>
      <c r="C85" s="73"/>
      <c r="D85" s="73"/>
      <c r="E85" s="73"/>
      <c r="F85" s="81"/>
      <c r="G85" s="81"/>
      <c r="H85" s="81"/>
    </row>
    <row r="86" spans="1:11" s="31" customFormat="1" hidden="1" x14ac:dyDescent="0.3">
      <c r="A86" s="73" t="s">
        <v>163</v>
      </c>
      <c r="B86" s="73"/>
      <c r="C86" s="73"/>
      <c r="D86" s="73"/>
      <c r="E86" s="73"/>
      <c r="F86" s="81"/>
      <c r="G86" s="81"/>
      <c r="H86" s="81"/>
    </row>
    <row r="87" spans="1:11" s="31" customFormat="1" hidden="1" x14ac:dyDescent="0.3">
      <c r="A87" s="73" t="s">
        <v>212</v>
      </c>
      <c r="B87" s="73"/>
      <c r="C87" s="73"/>
      <c r="D87" s="73"/>
      <c r="E87" s="73"/>
      <c r="F87" s="81">
        <v>350000</v>
      </c>
      <c r="G87" s="81"/>
      <c r="H87" s="81"/>
    </row>
    <row r="88" spans="1:11" s="31" customFormat="1" x14ac:dyDescent="0.3">
      <c r="A88" s="73" t="s">
        <v>210</v>
      </c>
      <c r="B88" s="73"/>
      <c r="C88" s="73"/>
      <c r="D88" s="73"/>
      <c r="E88" s="73"/>
      <c r="F88" s="81">
        <v>360000</v>
      </c>
      <c r="G88" s="81"/>
      <c r="H88" s="81"/>
    </row>
    <row r="89" spans="1:11" s="31" customFormat="1" x14ac:dyDescent="0.3">
      <c r="A89" s="97" t="s">
        <v>211</v>
      </c>
      <c r="B89" s="97"/>
      <c r="C89" s="97"/>
      <c r="D89" s="97"/>
      <c r="E89" s="97"/>
      <c r="F89" s="81">
        <v>125000</v>
      </c>
      <c r="G89" s="81"/>
      <c r="H89" s="81"/>
    </row>
    <row r="90" spans="1:11" s="31" customFormat="1" hidden="1" x14ac:dyDescent="0.3">
      <c r="A90" s="73" t="s">
        <v>100</v>
      </c>
      <c r="B90" s="73"/>
      <c r="C90" s="73"/>
      <c r="D90" s="73"/>
      <c r="E90" s="73"/>
      <c r="F90" s="81"/>
      <c r="G90" s="81"/>
      <c r="H90" s="81"/>
    </row>
    <row r="91" spans="1:11" x14ac:dyDescent="0.35">
      <c r="A91" s="73" t="s">
        <v>52</v>
      </c>
      <c r="B91" s="73"/>
      <c r="C91" s="73"/>
      <c r="D91" s="73"/>
      <c r="E91" s="73"/>
      <c r="F91" s="81">
        <v>300000</v>
      </c>
      <c r="G91" s="81"/>
      <c r="H91" s="81"/>
    </row>
    <row r="92" spans="1:11" s="32" customFormat="1" x14ac:dyDescent="0.35">
      <c r="A92" s="135" t="s">
        <v>53</v>
      </c>
      <c r="B92" s="135"/>
      <c r="C92" s="135"/>
      <c r="D92" s="135"/>
      <c r="E92" s="135"/>
      <c r="F92" s="81">
        <f>F80*0.8</f>
        <v>4480</v>
      </c>
      <c r="G92" s="81"/>
      <c r="H92" s="81"/>
    </row>
    <row r="93" spans="1:11" s="33" customFormat="1" ht="15.75" customHeight="1" x14ac:dyDescent="0.35">
      <c r="A93" s="134" t="s">
        <v>78</v>
      </c>
      <c r="B93" s="134"/>
      <c r="C93" s="134"/>
      <c r="D93" s="134"/>
      <c r="E93" s="134"/>
      <c r="F93" s="134"/>
      <c r="G93" s="134"/>
      <c r="H93" s="134"/>
    </row>
    <row r="94" spans="1:11" s="33" customFormat="1" ht="15.75" customHeight="1" x14ac:dyDescent="0.35">
      <c r="A94" s="76" t="s">
        <v>54</v>
      </c>
      <c r="B94" s="76"/>
      <c r="C94" s="119" t="s">
        <v>81</v>
      </c>
      <c r="D94" s="119"/>
      <c r="E94" s="125" t="s">
        <v>55</v>
      </c>
      <c r="F94" s="125"/>
      <c r="G94" s="76" t="s">
        <v>56</v>
      </c>
      <c r="H94" s="76"/>
      <c r="I94" s="56" t="s">
        <v>209</v>
      </c>
      <c r="J94" s="56" t="s">
        <v>213</v>
      </c>
      <c r="K94" s="56" t="s">
        <v>215</v>
      </c>
    </row>
    <row r="95" spans="1:11" s="33" customFormat="1" x14ac:dyDescent="0.35">
      <c r="A95" s="137" t="s">
        <v>185</v>
      </c>
      <c r="B95" s="137"/>
      <c r="C95" s="121">
        <f>COUNT(D109:D120)</f>
        <v>12</v>
      </c>
      <c r="D95" s="122"/>
      <c r="E95" s="82">
        <f t="shared" ref="E95" si="0">SUM(D109:D120)</f>
        <v>4210.2309599999999</v>
      </c>
      <c r="F95" s="83"/>
      <c r="G95" s="82">
        <f>SUM(F109:F120)</f>
        <v>9140</v>
      </c>
      <c r="H95" s="83"/>
      <c r="I95" s="33">
        <v>6300</v>
      </c>
      <c r="J95" s="33">
        <v>5800</v>
      </c>
      <c r="K95" s="58">
        <f>5200000/F112</f>
        <v>7761.1940298507461</v>
      </c>
    </row>
    <row r="96" spans="1:11" s="33" customFormat="1" x14ac:dyDescent="0.35">
      <c r="A96" s="134" t="s">
        <v>151</v>
      </c>
      <c r="B96" s="134"/>
      <c r="C96" s="161">
        <f>SUM(C95)</f>
        <v>12</v>
      </c>
      <c r="D96" s="119"/>
      <c r="E96" s="161">
        <f t="shared" ref="E96" si="1">SUM(E95)</f>
        <v>4210.2309599999999</v>
      </c>
      <c r="F96" s="119"/>
      <c r="G96" s="161">
        <f t="shared" ref="G96" si="2">SUM(G95)</f>
        <v>9140</v>
      </c>
      <c r="H96" s="119"/>
      <c r="I96" s="33">
        <v>14000</v>
      </c>
      <c r="K96" s="58">
        <f>7500000/F125</f>
        <v>5859.375</v>
      </c>
    </row>
    <row r="97" spans="1:14" s="33" customFormat="1" x14ac:dyDescent="0.35">
      <c r="A97" s="134" t="s">
        <v>72</v>
      </c>
      <c r="B97" s="134"/>
      <c r="C97" s="134"/>
      <c r="D97" s="134"/>
      <c r="E97" s="134"/>
      <c r="F97" s="134"/>
      <c r="G97" s="134"/>
      <c r="H97" s="134"/>
    </row>
    <row r="98" spans="1:14" s="33" customFormat="1" ht="15.75" customHeight="1" x14ac:dyDescent="0.35">
      <c r="A98" s="76" t="s">
        <v>54</v>
      </c>
      <c r="B98" s="76"/>
      <c r="C98" s="119" t="s">
        <v>81</v>
      </c>
      <c r="D98" s="119"/>
      <c r="E98" s="125" t="s">
        <v>55</v>
      </c>
      <c r="F98" s="125"/>
      <c r="G98" s="76" t="s">
        <v>56</v>
      </c>
      <c r="H98" s="76"/>
      <c r="I98" s="59"/>
    </row>
    <row r="99" spans="1:14" s="33" customFormat="1" x14ac:dyDescent="0.35">
      <c r="A99" s="137" t="s">
        <v>187</v>
      </c>
      <c r="B99" s="137"/>
      <c r="C99" s="82">
        <f>COUNT(D125:D130)+COUNT(D132:D137)+COUNT(D139:D144)+COUNT(D146:D151)*4</f>
        <v>42</v>
      </c>
      <c r="D99" s="83"/>
      <c r="E99" s="82">
        <f t="shared" ref="E99" si="3">SUM(D125:D130)+SUM(D132:D137)+SUM(D139:D144)+SUM(D146:D151)*4</f>
        <v>19478.88423</v>
      </c>
      <c r="F99" s="83"/>
      <c r="G99" s="82">
        <f>SUM(F125:F130)+SUM(F132:F137)+SUM(F139:F144)+SUM(F146:F151)*4</f>
        <v>37590</v>
      </c>
      <c r="H99" s="83"/>
      <c r="I99" s="62" t="s">
        <v>216</v>
      </c>
      <c r="J99" s="33" t="s">
        <v>217</v>
      </c>
      <c r="K99" s="33" t="s">
        <v>218</v>
      </c>
      <c r="L99" s="33">
        <v>1.7</v>
      </c>
    </row>
    <row r="100" spans="1:14" s="33" customFormat="1" x14ac:dyDescent="0.35">
      <c r="A100" s="137" t="s">
        <v>190</v>
      </c>
      <c r="B100" s="137"/>
      <c r="C100" s="82">
        <f>COUNT(D154:D159)+COUNT(D161:D166)+COUNT(D168:D173)+COUNT(D175:D180)*4</f>
        <v>42</v>
      </c>
      <c r="D100" s="83"/>
      <c r="E100" s="82">
        <f t="shared" ref="E100" si="4">SUM(D154:D159)+SUM(D161:D166)+SUM(D168:D173)+SUM(D175:D180)*4</f>
        <v>19478.88423</v>
      </c>
      <c r="F100" s="83"/>
      <c r="G100" s="82">
        <f>SUM(F154:F159)+SUM(F161:F166)+SUM(F168:F173)+SUM(F175:F180)*4</f>
        <v>37590</v>
      </c>
      <c r="H100" s="83"/>
      <c r="I100" s="61" t="s">
        <v>222</v>
      </c>
      <c r="J100" s="33" t="s">
        <v>219</v>
      </c>
      <c r="K100" s="33" t="s">
        <v>220</v>
      </c>
      <c r="L100" s="60" t="s">
        <v>221</v>
      </c>
    </row>
    <row r="101" spans="1:14" s="33" customFormat="1" ht="16" thickBot="1" x14ac:dyDescent="0.35">
      <c r="A101" s="167" t="s">
        <v>151</v>
      </c>
      <c r="B101" s="167"/>
      <c r="C101" s="123">
        <f>SUM(C99:C100)</f>
        <v>84</v>
      </c>
      <c r="D101" s="124"/>
      <c r="E101" s="123">
        <f>SUM(E99:E100)</f>
        <v>38957.768459999999</v>
      </c>
      <c r="F101" s="124"/>
      <c r="G101" s="123">
        <f>SUM(G99:G100)</f>
        <v>75180</v>
      </c>
      <c r="H101" s="124"/>
      <c r="I101" s="63" t="s">
        <v>223</v>
      </c>
    </row>
    <row r="102" spans="1:14" s="33" customFormat="1" ht="16" thickBot="1" x14ac:dyDescent="0.4">
      <c r="A102" s="93" t="s">
        <v>169</v>
      </c>
      <c r="B102" s="94"/>
      <c r="C102" s="95">
        <f>C96+C101</f>
        <v>96</v>
      </c>
      <c r="D102" s="95"/>
      <c r="E102" s="96">
        <f t="shared" ref="E102" si="5">E96+E101</f>
        <v>43167.99942</v>
      </c>
      <c r="F102" s="96"/>
      <c r="G102" s="95">
        <f t="shared" ref="G102" si="6">G96+G101</f>
        <v>84320</v>
      </c>
      <c r="H102" s="95"/>
    </row>
    <row r="103" spans="1:14" s="32" customFormat="1" x14ac:dyDescent="0.35">
      <c r="A103" s="159" t="s">
        <v>57</v>
      </c>
      <c r="B103" s="159"/>
      <c r="C103" s="159"/>
      <c r="D103" s="159"/>
      <c r="E103" s="159"/>
      <c r="F103" s="159"/>
      <c r="G103" s="159"/>
      <c r="H103" s="159"/>
    </row>
    <row r="104" spans="1:14" x14ac:dyDescent="0.35">
      <c r="A104" s="120" t="s">
        <v>58</v>
      </c>
      <c r="B104" s="120"/>
      <c r="C104" s="120"/>
      <c r="D104" s="120"/>
      <c r="E104" s="120"/>
      <c r="F104" s="120"/>
      <c r="G104" s="120"/>
      <c r="H104" s="120"/>
      <c r="I104" s="57" t="s">
        <v>214</v>
      </c>
    </row>
    <row r="105" spans="1:14" ht="47.25" customHeight="1" x14ac:dyDescent="0.35">
      <c r="A105" s="41" t="s">
        <v>121</v>
      </c>
      <c r="B105" s="41" t="s">
        <v>120</v>
      </c>
      <c r="C105" s="41" t="s">
        <v>59</v>
      </c>
      <c r="D105" s="41" t="s">
        <v>60</v>
      </c>
      <c r="E105" s="52" t="s">
        <v>156</v>
      </c>
      <c r="F105" s="41" t="s">
        <v>198</v>
      </c>
      <c r="G105" s="77" t="s">
        <v>62</v>
      </c>
      <c r="H105" s="78"/>
    </row>
    <row r="106" spans="1:14" s="35" customFormat="1" x14ac:dyDescent="0.35">
      <c r="A106" s="88" t="s">
        <v>185</v>
      </c>
      <c r="B106" s="89"/>
      <c r="C106" s="89"/>
      <c r="D106" s="89"/>
      <c r="E106" s="89"/>
      <c r="F106" s="89"/>
      <c r="G106" s="89"/>
      <c r="H106" s="90"/>
      <c r="J106" s="34"/>
    </row>
    <row r="107" spans="1:14" s="35" customFormat="1" x14ac:dyDescent="0.35">
      <c r="A107" s="170" t="s">
        <v>194</v>
      </c>
      <c r="B107" s="171"/>
      <c r="C107" s="171"/>
      <c r="D107" s="171"/>
      <c r="E107" s="171"/>
      <c r="F107" s="171"/>
      <c r="G107" s="171"/>
      <c r="H107" s="172"/>
      <c r="J107" s="34"/>
    </row>
    <row r="108" spans="1:14" s="35" customFormat="1" x14ac:dyDescent="0.35">
      <c r="A108" s="88" t="s">
        <v>235</v>
      </c>
      <c r="B108" s="89"/>
      <c r="C108" s="89"/>
      <c r="D108" s="89"/>
      <c r="E108" s="89"/>
      <c r="F108" s="89"/>
      <c r="G108" s="89"/>
      <c r="H108" s="90"/>
      <c r="J108" s="34"/>
    </row>
    <row r="109" spans="1:14" s="35" customFormat="1" ht="15.75" customHeight="1" x14ac:dyDescent="0.35">
      <c r="A109" s="91">
        <v>1</v>
      </c>
      <c r="B109" s="92"/>
      <c r="C109" s="40" t="s">
        <v>186</v>
      </c>
      <c r="D109" s="53">
        <f>(28.72)*(10.764)</f>
        <v>309.14207999999996</v>
      </c>
      <c r="E109" s="40">
        <v>0</v>
      </c>
      <c r="F109" s="40">
        <v>670</v>
      </c>
      <c r="G109" s="126" t="str">
        <f>A108</f>
        <v>Ground Floor For Commercial, Parking, Entrance Lobby &amp; Driveway</v>
      </c>
      <c r="H109" s="127"/>
      <c r="I109" s="54"/>
      <c r="L109" s="158"/>
      <c r="M109" s="158"/>
      <c r="N109" s="34"/>
    </row>
    <row r="110" spans="1:14" s="35" customFormat="1" ht="15.75" customHeight="1" x14ac:dyDescent="0.35">
      <c r="A110" s="91">
        <f t="shared" ref="A110:A120" si="7">A109+1</f>
        <v>2</v>
      </c>
      <c r="B110" s="92"/>
      <c r="C110" s="40" t="s">
        <v>186</v>
      </c>
      <c r="D110" s="53">
        <f>(34.7)*(10.764)</f>
        <v>373.51080000000002</v>
      </c>
      <c r="E110" s="40">
        <v>0</v>
      </c>
      <c r="F110" s="40">
        <v>815</v>
      </c>
      <c r="G110" s="128"/>
      <c r="H110" s="129"/>
      <c r="I110" s="54"/>
      <c r="L110" s="158"/>
      <c r="M110" s="158"/>
      <c r="N110" s="34"/>
    </row>
    <row r="111" spans="1:14" s="35" customFormat="1" ht="15.75" customHeight="1" x14ac:dyDescent="0.35">
      <c r="A111" s="91">
        <f t="shared" si="7"/>
        <v>3</v>
      </c>
      <c r="B111" s="92"/>
      <c r="C111" s="40" t="s">
        <v>186</v>
      </c>
      <c r="D111" s="53">
        <f>(28.35)*(10.764)</f>
        <v>305.15940000000001</v>
      </c>
      <c r="E111" s="40">
        <v>0</v>
      </c>
      <c r="F111" s="40">
        <v>670</v>
      </c>
      <c r="G111" s="128"/>
      <c r="H111" s="129"/>
      <c r="I111" s="54"/>
      <c r="L111" s="158"/>
      <c r="M111" s="158"/>
      <c r="N111" s="34"/>
    </row>
    <row r="112" spans="1:14" s="35" customFormat="1" ht="15.75" customHeight="1" x14ac:dyDescent="0.35">
      <c r="A112" s="91">
        <f t="shared" si="7"/>
        <v>4</v>
      </c>
      <c r="B112" s="92"/>
      <c r="C112" s="40" t="s">
        <v>186</v>
      </c>
      <c r="D112" s="53">
        <f>(28.88)*(10.764)</f>
        <v>310.86431999999996</v>
      </c>
      <c r="E112" s="40">
        <v>0</v>
      </c>
      <c r="F112" s="40">
        <v>670</v>
      </c>
      <c r="G112" s="128"/>
      <c r="H112" s="129"/>
      <c r="I112" s="54"/>
      <c r="L112" s="158"/>
      <c r="M112" s="158"/>
      <c r="N112" s="34"/>
    </row>
    <row r="113" spans="1:14" s="35" customFormat="1" x14ac:dyDescent="0.35">
      <c r="A113" s="91">
        <f t="shared" si="7"/>
        <v>5</v>
      </c>
      <c r="B113" s="92"/>
      <c r="C113" s="40" t="s">
        <v>186</v>
      </c>
      <c r="D113" s="53">
        <f>(40.01)*(10.764)</f>
        <v>430.66763999999995</v>
      </c>
      <c r="E113" s="40">
        <v>0</v>
      </c>
      <c r="F113" s="40">
        <v>930</v>
      </c>
      <c r="G113" s="128"/>
      <c r="H113" s="129"/>
      <c r="I113" s="54"/>
      <c r="L113" s="158"/>
      <c r="M113" s="158"/>
      <c r="N113" s="34"/>
    </row>
    <row r="114" spans="1:14" s="35" customFormat="1" x14ac:dyDescent="0.35">
      <c r="A114" s="91">
        <f t="shared" si="7"/>
        <v>6</v>
      </c>
      <c r="B114" s="92"/>
      <c r="C114" s="40" t="s">
        <v>186</v>
      </c>
      <c r="D114" s="53">
        <f>(34.65)*(10.764)</f>
        <v>372.97259999999994</v>
      </c>
      <c r="E114" s="40">
        <v>0</v>
      </c>
      <c r="F114" s="40">
        <v>815</v>
      </c>
      <c r="G114" s="128"/>
      <c r="H114" s="129"/>
      <c r="I114" s="54"/>
      <c r="L114" s="158"/>
      <c r="M114" s="158"/>
      <c r="N114" s="34"/>
    </row>
    <row r="115" spans="1:14" s="35" customFormat="1" x14ac:dyDescent="0.35">
      <c r="A115" s="91">
        <f t="shared" si="7"/>
        <v>7</v>
      </c>
      <c r="B115" s="92"/>
      <c r="C115" s="40" t="s">
        <v>186</v>
      </c>
      <c r="D115" s="53">
        <f>(35.18)*(10.764)</f>
        <v>378.67751999999996</v>
      </c>
      <c r="E115" s="40">
        <v>0</v>
      </c>
      <c r="F115" s="40">
        <v>815</v>
      </c>
      <c r="G115" s="128"/>
      <c r="H115" s="129"/>
      <c r="I115" s="54"/>
      <c r="L115" s="158"/>
      <c r="M115" s="158"/>
      <c r="N115" s="34"/>
    </row>
    <row r="116" spans="1:14" s="35" customFormat="1" x14ac:dyDescent="0.35">
      <c r="A116" s="91">
        <f t="shared" si="7"/>
        <v>8</v>
      </c>
      <c r="B116" s="92"/>
      <c r="C116" s="40" t="s">
        <v>186</v>
      </c>
      <c r="D116" s="53">
        <f>(40.01)*(10.764)</f>
        <v>430.66763999999995</v>
      </c>
      <c r="E116" s="40">
        <v>0</v>
      </c>
      <c r="F116" s="40">
        <v>930</v>
      </c>
      <c r="G116" s="128"/>
      <c r="H116" s="129"/>
      <c r="I116" s="54"/>
      <c r="L116" s="158"/>
      <c r="M116" s="158"/>
      <c r="N116" s="34"/>
    </row>
    <row r="117" spans="1:14" s="35" customFormat="1" x14ac:dyDescent="0.35">
      <c r="A117" s="91">
        <f t="shared" si="7"/>
        <v>9</v>
      </c>
      <c r="B117" s="92"/>
      <c r="C117" s="40" t="s">
        <v>186</v>
      </c>
      <c r="D117" s="53">
        <f>(28.35)*(10.764)</f>
        <v>305.15940000000001</v>
      </c>
      <c r="E117" s="40">
        <v>0</v>
      </c>
      <c r="F117" s="40">
        <v>670</v>
      </c>
      <c r="G117" s="128"/>
      <c r="H117" s="129"/>
      <c r="I117" s="54"/>
      <c r="L117" s="158"/>
      <c r="M117" s="158"/>
      <c r="N117" s="34"/>
    </row>
    <row r="118" spans="1:14" s="35" customFormat="1" x14ac:dyDescent="0.35">
      <c r="A118" s="91">
        <f t="shared" si="7"/>
        <v>10</v>
      </c>
      <c r="B118" s="92"/>
      <c r="C118" s="40" t="s">
        <v>186</v>
      </c>
      <c r="D118" s="53">
        <f>(28.86)*(10.764)</f>
        <v>310.64903999999996</v>
      </c>
      <c r="E118" s="40">
        <v>0</v>
      </c>
      <c r="F118" s="40">
        <v>670</v>
      </c>
      <c r="G118" s="128"/>
      <c r="H118" s="129"/>
      <c r="I118" s="54"/>
      <c r="L118" s="158"/>
      <c r="M118" s="158"/>
      <c r="N118" s="34"/>
    </row>
    <row r="119" spans="1:14" s="35" customFormat="1" x14ac:dyDescent="0.35">
      <c r="A119" s="91">
        <f t="shared" si="7"/>
        <v>11</v>
      </c>
      <c r="B119" s="92"/>
      <c r="C119" s="40" t="s">
        <v>186</v>
      </c>
      <c r="D119" s="53">
        <f>(34.7)*(10.764)</f>
        <v>373.51080000000002</v>
      </c>
      <c r="E119" s="40">
        <v>0</v>
      </c>
      <c r="F119" s="40">
        <v>815</v>
      </c>
      <c r="G119" s="128"/>
      <c r="H119" s="129"/>
      <c r="I119" s="54"/>
      <c r="L119" s="158"/>
      <c r="M119" s="158"/>
      <c r="N119" s="34"/>
    </row>
    <row r="120" spans="1:14" s="35" customFormat="1" x14ac:dyDescent="0.35">
      <c r="A120" s="91">
        <f t="shared" si="7"/>
        <v>12</v>
      </c>
      <c r="B120" s="92"/>
      <c r="C120" s="40" t="s">
        <v>186</v>
      </c>
      <c r="D120" s="53">
        <f>(28.73)*(10.764)</f>
        <v>309.24971999999997</v>
      </c>
      <c r="E120" s="40">
        <v>0</v>
      </c>
      <c r="F120" s="40">
        <v>670</v>
      </c>
      <c r="G120" s="130"/>
      <c r="H120" s="131"/>
      <c r="I120" s="54"/>
      <c r="L120" s="158"/>
      <c r="M120" s="158"/>
      <c r="N120" s="34"/>
    </row>
    <row r="121" spans="1:14" s="35" customFormat="1" x14ac:dyDescent="0.35">
      <c r="A121" s="91"/>
      <c r="B121" s="163"/>
      <c r="C121" s="163"/>
      <c r="D121" s="163"/>
      <c r="E121" s="163"/>
      <c r="F121" s="163"/>
      <c r="G121" s="163"/>
      <c r="H121" s="92"/>
      <c r="I121" s="34"/>
      <c r="N121" s="34"/>
    </row>
    <row r="122" spans="1:14" ht="47.25" customHeight="1" x14ac:dyDescent="0.35">
      <c r="A122" s="51" t="s">
        <v>122</v>
      </c>
      <c r="B122" s="51" t="s">
        <v>123</v>
      </c>
      <c r="C122" s="41" t="s">
        <v>59</v>
      </c>
      <c r="D122" s="41" t="s">
        <v>60</v>
      </c>
      <c r="E122" s="52" t="s">
        <v>61</v>
      </c>
      <c r="F122" s="41" t="s">
        <v>199</v>
      </c>
      <c r="G122" s="77" t="s">
        <v>62</v>
      </c>
      <c r="H122" s="78"/>
      <c r="I122" s="34">
        <f>10.764</f>
        <v>10.763999999999999</v>
      </c>
    </row>
    <row r="123" spans="1:14" s="35" customFormat="1" x14ac:dyDescent="0.35">
      <c r="A123" s="136" t="s">
        <v>187</v>
      </c>
      <c r="B123" s="136"/>
      <c r="C123" s="136"/>
      <c r="D123" s="136"/>
      <c r="E123" s="136"/>
      <c r="F123" s="136"/>
      <c r="G123" s="136"/>
      <c r="H123" s="136"/>
      <c r="I123" s="64"/>
      <c r="J123" s="34"/>
    </row>
    <row r="124" spans="1:14" s="35" customFormat="1" x14ac:dyDescent="0.35">
      <c r="A124" s="136" t="s">
        <v>239</v>
      </c>
      <c r="B124" s="136"/>
      <c r="C124" s="136"/>
      <c r="D124" s="136"/>
      <c r="E124" s="136"/>
      <c r="F124" s="136"/>
      <c r="G124" s="136"/>
      <c r="H124" s="136"/>
      <c r="J124" s="34"/>
    </row>
    <row r="125" spans="1:14" s="35" customFormat="1" ht="15.75" customHeight="1" x14ac:dyDescent="0.35">
      <c r="A125" s="75">
        <v>1</v>
      </c>
      <c r="B125" s="75"/>
      <c r="C125" s="67" t="s">
        <v>191</v>
      </c>
      <c r="D125" s="53">
        <f>(50.03)*(10.764)</f>
        <v>538.52292</v>
      </c>
      <c r="E125" s="53">
        <f>(11.835)*(10.764)</f>
        <v>127.39194000000001</v>
      </c>
      <c r="F125" s="67">
        <v>1280</v>
      </c>
      <c r="G125" s="75" t="str">
        <f>A124</f>
        <v>1st Floor For Driver Room &amp; Residential</v>
      </c>
      <c r="H125" s="75"/>
      <c r="I125" s="64"/>
      <c r="N125" s="34"/>
    </row>
    <row r="126" spans="1:14" s="35" customFormat="1" ht="15.75" customHeight="1" x14ac:dyDescent="0.35">
      <c r="A126" s="75">
        <f t="shared" ref="A126:A130" si="8">A125+1</f>
        <v>2</v>
      </c>
      <c r="B126" s="75"/>
      <c r="C126" s="67" t="s">
        <v>191</v>
      </c>
      <c r="D126" s="53">
        <f>(48.51)*(10.764)</f>
        <v>522.16163999999992</v>
      </c>
      <c r="E126" s="53">
        <f>(5.207)*(10.764)</f>
        <v>56.048147999999998</v>
      </c>
      <c r="F126" s="67">
        <v>1185</v>
      </c>
      <c r="G126" s="75"/>
      <c r="H126" s="75"/>
      <c r="I126" s="64"/>
      <c r="N126" s="34"/>
    </row>
    <row r="127" spans="1:14" s="35" customFormat="1" ht="15.75" customHeight="1" x14ac:dyDescent="0.35">
      <c r="A127" s="75">
        <f t="shared" si="8"/>
        <v>3</v>
      </c>
      <c r="B127" s="75"/>
      <c r="C127" s="67" t="s">
        <v>192</v>
      </c>
      <c r="D127" s="53">
        <f>(29.02+2.7+0.75*(0.9))*(10.764)</f>
        <v>348.69977999999992</v>
      </c>
      <c r="E127" s="53">
        <f>(4*1.5)*(10.764)</f>
        <v>64.584000000000003</v>
      </c>
      <c r="F127" s="67">
        <v>790</v>
      </c>
      <c r="G127" s="75"/>
      <c r="H127" s="75"/>
      <c r="I127" s="34">
        <f>4*1.5</f>
        <v>6</v>
      </c>
      <c r="N127" s="34"/>
    </row>
    <row r="128" spans="1:14" s="35" customFormat="1" ht="15.75" customHeight="1" x14ac:dyDescent="0.35">
      <c r="A128" s="75">
        <f t="shared" si="8"/>
        <v>4</v>
      </c>
      <c r="B128" s="75"/>
      <c r="C128" s="67" t="s">
        <v>192</v>
      </c>
      <c r="D128" s="53">
        <f>(33.39+2.75+0.75*(2.7+1.96))*(10.764)</f>
        <v>426.63113999999996</v>
      </c>
      <c r="E128" s="67">
        <v>0</v>
      </c>
      <c r="F128" s="67">
        <v>720</v>
      </c>
      <c r="G128" s="75"/>
      <c r="H128" s="75"/>
      <c r="I128" s="34"/>
      <c r="N128" s="34"/>
    </row>
    <row r="129" spans="1:14" s="35" customFormat="1" ht="15.75" customHeight="1" x14ac:dyDescent="0.35">
      <c r="A129" s="75">
        <f t="shared" si="8"/>
        <v>5</v>
      </c>
      <c r="B129" s="75"/>
      <c r="C129" s="67" t="s">
        <v>192</v>
      </c>
      <c r="D129" s="53">
        <f>(29.3+2.79+0.75*(2.7+1.8))*(10.764)</f>
        <v>381.74526000000003</v>
      </c>
      <c r="E129" s="67">
        <v>0</v>
      </c>
      <c r="F129" s="67">
        <v>670</v>
      </c>
      <c r="G129" s="75"/>
      <c r="H129" s="75"/>
      <c r="I129" s="34"/>
      <c r="N129" s="34"/>
    </row>
    <row r="130" spans="1:14" s="64" customFormat="1" ht="15.75" customHeight="1" x14ac:dyDescent="0.35">
      <c r="A130" s="75">
        <f t="shared" si="8"/>
        <v>6</v>
      </c>
      <c r="B130" s="75"/>
      <c r="C130" s="67" t="s">
        <v>192</v>
      </c>
      <c r="D130" s="53">
        <f>(29.97+2.7+0.75*(1.84+2.7))*(10.764)</f>
        <v>388.31130000000002</v>
      </c>
      <c r="E130" s="67">
        <v>0</v>
      </c>
      <c r="F130" s="67">
        <v>670</v>
      </c>
      <c r="G130" s="75"/>
      <c r="H130" s="75"/>
      <c r="I130" s="34"/>
      <c r="N130" s="34"/>
    </row>
    <row r="131" spans="1:14" s="35" customFormat="1" x14ac:dyDescent="0.35">
      <c r="A131" s="136" t="s">
        <v>233</v>
      </c>
      <c r="B131" s="136"/>
      <c r="C131" s="136"/>
      <c r="D131" s="136"/>
      <c r="E131" s="136"/>
      <c r="F131" s="136"/>
      <c r="G131" s="136"/>
      <c r="H131" s="136"/>
      <c r="I131" s="34"/>
    </row>
    <row r="132" spans="1:14" s="35" customFormat="1" ht="15.75" customHeight="1" x14ac:dyDescent="0.35">
      <c r="A132" s="75">
        <v>1</v>
      </c>
      <c r="B132" s="75"/>
      <c r="C132" s="40" t="s">
        <v>191</v>
      </c>
      <c r="D132" s="53">
        <f>(50.03+2.7+0.75*(2.21+2.7+1.975))*(10.764)</f>
        <v>623.16832499999998</v>
      </c>
      <c r="E132" s="40">
        <v>0</v>
      </c>
      <c r="F132" s="40">
        <v>1145</v>
      </c>
      <c r="G132" s="126" t="str">
        <f>A131</f>
        <v>2nd Floor</v>
      </c>
      <c r="H132" s="127"/>
      <c r="I132" s="34"/>
      <c r="N132" s="34"/>
    </row>
    <row r="133" spans="1:14" s="35" customFormat="1" ht="15.75" customHeight="1" x14ac:dyDescent="0.35">
      <c r="A133" s="75">
        <f>A132+1</f>
        <v>2</v>
      </c>
      <c r="B133" s="75"/>
      <c r="C133" s="40" t="s">
        <v>191</v>
      </c>
      <c r="D133" s="53">
        <f>(48.51+2.7+0.75*(2+2.73+2.9))*(10.764)</f>
        <v>612.82142999999996</v>
      </c>
      <c r="E133" s="40">
        <v>0</v>
      </c>
      <c r="F133" s="40">
        <v>1030</v>
      </c>
      <c r="G133" s="128"/>
      <c r="H133" s="129"/>
      <c r="I133" s="34"/>
      <c r="N133" s="34"/>
    </row>
    <row r="134" spans="1:14" s="35" customFormat="1" ht="15.75" customHeight="1" x14ac:dyDescent="0.35">
      <c r="A134" s="75">
        <f>A133+1</f>
        <v>3</v>
      </c>
      <c r="B134" s="75"/>
      <c r="C134" s="40" t="s">
        <v>192</v>
      </c>
      <c r="D134" s="53">
        <f>(29.02+2.7+0.75*(2.01+2.7))*(10.764)</f>
        <v>379.45790999999997</v>
      </c>
      <c r="E134" s="40">
        <v>0</v>
      </c>
      <c r="F134" s="40">
        <v>700</v>
      </c>
      <c r="G134" s="128"/>
      <c r="H134" s="129"/>
      <c r="I134" s="34"/>
      <c r="N134" s="34"/>
    </row>
    <row r="135" spans="1:14" s="35" customFormat="1" ht="15.75" customHeight="1" x14ac:dyDescent="0.35">
      <c r="A135" s="75">
        <f>A134+1</f>
        <v>4</v>
      </c>
      <c r="B135" s="75"/>
      <c r="C135" s="40" t="s">
        <v>192</v>
      </c>
      <c r="D135" s="53">
        <f>(33.39+2.75+0.75*(2.7+1.96))*(10.764)</f>
        <v>426.63113999999996</v>
      </c>
      <c r="E135" s="40">
        <v>0</v>
      </c>
      <c r="F135" s="40">
        <v>720</v>
      </c>
      <c r="G135" s="128"/>
      <c r="H135" s="129"/>
      <c r="I135" s="34"/>
      <c r="N135" s="34"/>
    </row>
    <row r="136" spans="1:14" s="35" customFormat="1" ht="15.75" customHeight="1" x14ac:dyDescent="0.35">
      <c r="A136" s="75">
        <f>A135+1</f>
        <v>5</v>
      </c>
      <c r="B136" s="75"/>
      <c r="C136" s="40" t="s">
        <v>192</v>
      </c>
      <c r="D136" s="53">
        <f>(29.3+2.79+0.75*(2.7+1.8))*(10.764)</f>
        <v>381.74526000000003</v>
      </c>
      <c r="E136" s="40">
        <v>0</v>
      </c>
      <c r="F136" s="40">
        <v>670</v>
      </c>
      <c r="G136" s="128"/>
      <c r="H136" s="129"/>
      <c r="I136" s="34"/>
      <c r="N136" s="34"/>
    </row>
    <row r="137" spans="1:14" s="35" customFormat="1" ht="15.75" customHeight="1" x14ac:dyDescent="0.35">
      <c r="A137" s="75">
        <f>A136+1</f>
        <v>6</v>
      </c>
      <c r="B137" s="75"/>
      <c r="C137" s="40" t="s">
        <v>192</v>
      </c>
      <c r="D137" s="53">
        <f>(29.97+2.7+0.75*(1.84+2.7))*(10.764)</f>
        <v>388.31130000000002</v>
      </c>
      <c r="E137" s="40">
        <v>0</v>
      </c>
      <c r="F137" s="40">
        <v>710</v>
      </c>
      <c r="G137" s="130"/>
      <c r="H137" s="131"/>
      <c r="I137" s="34"/>
      <c r="N137" s="34"/>
    </row>
    <row r="138" spans="1:14" s="35" customFormat="1" x14ac:dyDescent="0.35">
      <c r="A138" s="136" t="s">
        <v>193</v>
      </c>
      <c r="B138" s="136"/>
      <c r="C138" s="136"/>
      <c r="D138" s="136"/>
      <c r="E138" s="136"/>
      <c r="F138" s="136"/>
      <c r="G138" s="136"/>
      <c r="H138" s="136"/>
      <c r="I138" s="34"/>
      <c r="L138" s="158"/>
      <c r="M138" s="158"/>
    </row>
    <row r="139" spans="1:14" s="35" customFormat="1" x14ac:dyDescent="0.35">
      <c r="A139" s="75">
        <v>1</v>
      </c>
      <c r="B139" s="75"/>
      <c r="C139" s="40" t="s">
        <v>191</v>
      </c>
      <c r="D139" s="53">
        <f>(50.03+2.7+0.75*(2.21+2.7+1.975))*(10.764)</f>
        <v>623.16832499999998</v>
      </c>
      <c r="E139" s="40">
        <v>0</v>
      </c>
      <c r="F139" s="40">
        <v>1070</v>
      </c>
      <c r="G139" s="126" t="str">
        <f>A138</f>
        <v>3rd Floor</v>
      </c>
      <c r="H139" s="127"/>
      <c r="I139" s="34"/>
      <c r="N139" s="34"/>
    </row>
    <row r="140" spans="1:14" s="35" customFormat="1" x14ac:dyDescent="0.35">
      <c r="A140" s="75">
        <f>A139+1</f>
        <v>2</v>
      </c>
      <c r="B140" s="75"/>
      <c r="C140" s="40" t="s">
        <v>191</v>
      </c>
      <c r="D140" s="53">
        <f>(48.51+2.7+0.75*(2+2.73+2.9))*(10.764)</f>
        <v>612.82142999999996</v>
      </c>
      <c r="E140" s="40">
        <v>0</v>
      </c>
      <c r="F140" s="40">
        <v>1030</v>
      </c>
      <c r="G140" s="128"/>
      <c r="H140" s="129"/>
      <c r="I140" s="34"/>
      <c r="N140" s="34"/>
    </row>
    <row r="141" spans="1:14" s="35" customFormat="1" x14ac:dyDescent="0.35">
      <c r="A141" s="75">
        <f>A140+1</f>
        <v>3</v>
      </c>
      <c r="B141" s="75"/>
      <c r="C141" s="40" t="s">
        <v>192</v>
      </c>
      <c r="D141" s="53">
        <f>(29.02+2.7+0.75*(2.01+2.7))*(10.764)</f>
        <v>379.45790999999997</v>
      </c>
      <c r="E141" s="40">
        <v>0</v>
      </c>
      <c r="F141" s="40">
        <v>700</v>
      </c>
      <c r="G141" s="128"/>
      <c r="H141" s="129"/>
      <c r="I141" s="34"/>
      <c r="N141" s="34"/>
    </row>
    <row r="142" spans="1:14" s="35" customFormat="1" x14ac:dyDescent="0.35">
      <c r="A142" s="75">
        <f>A141+1</f>
        <v>4</v>
      </c>
      <c r="B142" s="75"/>
      <c r="C142" s="40" t="s">
        <v>192</v>
      </c>
      <c r="D142" s="53">
        <f>(33.39+2.75+0.75*(2.7+1.96))*(10.764)</f>
        <v>426.63113999999996</v>
      </c>
      <c r="E142" s="40">
        <v>0</v>
      </c>
      <c r="F142" s="40">
        <v>720</v>
      </c>
      <c r="G142" s="128"/>
      <c r="H142" s="129"/>
      <c r="I142" s="34"/>
      <c r="N142" s="34"/>
    </row>
    <row r="143" spans="1:14" s="35" customFormat="1" x14ac:dyDescent="0.35">
      <c r="A143" s="75">
        <f>A142+1</f>
        <v>5</v>
      </c>
      <c r="B143" s="75"/>
      <c r="C143" s="40" t="s">
        <v>192</v>
      </c>
      <c r="D143" s="53">
        <f>(29.3+2.79+0.75*(2.7+1.8))*(10.764)</f>
        <v>381.74526000000003</v>
      </c>
      <c r="E143" s="40">
        <v>0</v>
      </c>
      <c r="F143" s="40">
        <v>670</v>
      </c>
      <c r="G143" s="128"/>
      <c r="H143" s="129"/>
      <c r="I143" s="34"/>
      <c r="N143" s="34"/>
    </row>
    <row r="144" spans="1:14" s="35" customFormat="1" x14ac:dyDescent="0.35">
      <c r="A144" s="75">
        <f>A143+1</f>
        <v>6</v>
      </c>
      <c r="B144" s="75"/>
      <c r="C144" s="40" t="s">
        <v>192</v>
      </c>
      <c r="D144" s="53">
        <f>(29.97+2.7+0.75*(1.84+2.7))*(10.764)</f>
        <v>388.31130000000002</v>
      </c>
      <c r="E144" s="40">
        <v>0</v>
      </c>
      <c r="F144" s="40">
        <v>710</v>
      </c>
      <c r="G144" s="130"/>
      <c r="H144" s="131"/>
      <c r="I144" s="34"/>
      <c r="N144" s="34"/>
    </row>
    <row r="145" spans="1:14" s="35" customFormat="1" x14ac:dyDescent="0.35">
      <c r="A145" s="136" t="s">
        <v>232</v>
      </c>
      <c r="B145" s="136"/>
      <c r="C145" s="136"/>
      <c r="D145" s="136"/>
      <c r="E145" s="136"/>
      <c r="F145" s="136"/>
      <c r="G145" s="136"/>
      <c r="H145" s="136"/>
      <c r="I145" s="34"/>
      <c r="L145" s="158"/>
      <c r="M145" s="158"/>
    </row>
    <row r="146" spans="1:14" s="35" customFormat="1" ht="15.75" customHeight="1" x14ac:dyDescent="0.35">
      <c r="A146" s="75">
        <v>1</v>
      </c>
      <c r="B146" s="75"/>
      <c r="C146" s="65" t="s">
        <v>191</v>
      </c>
      <c r="D146" s="53">
        <f>(50.03+2.7+0.75*(2.21+2.7+1.975))*(10.764)</f>
        <v>623.16832499999998</v>
      </c>
      <c r="E146" s="40">
        <v>0</v>
      </c>
      <c r="F146" s="40">
        <v>1070</v>
      </c>
      <c r="G146" s="126" t="str">
        <f>A145</f>
        <v>4th to 7th Floor</v>
      </c>
      <c r="H146" s="127"/>
      <c r="I146" s="34"/>
      <c r="N146" s="34"/>
    </row>
    <row r="147" spans="1:14" s="35" customFormat="1" ht="15.75" customHeight="1" x14ac:dyDescent="0.35">
      <c r="A147" s="75">
        <v>2</v>
      </c>
      <c r="B147" s="75"/>
      <c r="C147" s="65" t="s">
        <v>191</v>
      </c>
      <c r="D147" s="53">
        <f>(48.51+2.7+0.75*(2+2.73+2.9))*(10.764)</f>
        <v>612.82142999999996</v>
      </c>
      <c r="E147" s="40">
        <v>0</v>
      </c>
      <c r="F147" s="40">
        <v>1030</v>
      </c>
      <c r="G147" s="128"/>
      <c r="H147" s="129"/>
      <c r="I147" s="34"/>
      <c r="N147" s="34"/>
    </row>
    <row r="148" spans="1:14" s="35" customFormat="1" ht="15.75" customHeight="1" x14ac:dyDescent="0.35">
      <c r="A148" s="75">
        <v>3</v>
      </c>
      <c r="B148" s="75"/>
      <c r="C148" s="65" t="s">
        <v>192</v>
      </c>
      <c r="D148" s="53">
        <f>(29.02+2.7+0.75*(2.01+2.7))*(10.764)</f>
        <v>379.45790999999997</v>
      </c>
      <c r="E148" s="40">
        <v>0</v>
      </c>
      <c r="F148" s="40">
        <v>700</v>
      </c>
      <c r="G148" s="128"/>
      <c r="H148" s="129"/>
      <c r="I148" s="34"/>
      <c r="N148" s="34"/>
    </row>
    <row r="149" spans="1:14" s="35" customFormat="1" ht="15.75" customHeight="1" x14ac:dyDescent="0.35">
      <c r="A149" s="75">
        <v>4</v>
      </c>
      <c r="B149" s="75"/>
      <c r="C149" s="65" t="s">
        <v>192</v>
      </c>
      <c r="D149" s="53">
        <f>(33.39+2.75+0.75*(2.7+1.96))*(10.764)</f>
        <v>426.63113999999996</v>
      </c>
      <c r="E149" s="40">
        <v>0</v>
      </c>
      <c r="F149" s="40">
        <v>1070</v>
      </c>
      <c r="G149" s="128"/>
      <c r="H149" s="129"/>
      <c r="I149" s="34"/>
    </row>
    <row r="150" spans="1:14" s="35" customFormat="1" ht="15.75" customHeight="1" x14ac:dyDescent="0.35">
      <c r="A150" s="75">
        <v>5</v>
      </c>
      <c r="B150" s="75"/>
      <c r="C150" s="65" t="s">
        <v>192</v>
      </c>
      <c r="D150" s="53">
        <f>(29.3+2.79+0.75*(2.7+1.8))*(10.764)</f>
        <v>381.74526000000003</v>
      </c>
      <c r="E150" s="40">
        <v>0</v>
      </c>
      <c r="F150" s="40">
        <v>1030</v>
      </c>
      <c r="G150" s="128"/>
      <c r="H150" s="129"/>
      <c r="I150" s="34"/>
    </row>
    <row r="151" spans="1:14" s="35" customFormat="1" ht="15.75" customHeight="1" x14ac:dyDescent="0.35">
      <c r="A151" s="75">
        <v>6</v>
      </c>
      <c r="B151" s="75"/>
      <c r="C151" s="65" t="s">
        <v>192</v>
      </c>
      <c r="D151" s="53">
        <f>(29.97+2.7+0.75*(1.84+2.7))*(10.764)</f>
        <v>388.31130000000002</v>
      </c>
      <c r="E151" s="40">
        <v>0</v>
      </c>
      <c r="F151" s="40">
        <v>700</v>
      </c>
      <c r="G151" s="130"/>
      <c r="H151" s="131"/>
      <c r="I151" s="34"/>
    </row>
    <row r="152" spans="1:14" s="35" customFormat="1" x14ac:dyDescent="0.35">
      <c r="A152" s="88" t="s">
        <v>190</v>
      </c>
      <c r="B152" s="89"/>
      <c r="C152" s="89"/>
      <c r="D152" s="89"/>
      <c r="E152" s="89"/>
      <c r="F152" s="89"/>
      <c r="G152" s="89"/>
      <c r="H152" s="90"/>
      <c r="J152" s="34"/>
    </row>
    <row r="153" spans="1:14" s="35" customFormat="1" x14ac:dyDescent="0.35">
      <c r="A153" s="88" t="s">
        <v>240</v>
      </c>
      <c r="B153" s="89"/>
      <c r="C153" s="89"/>
      <c r="D153" s="89"/>
      <c r="E153" s="89"/>
      <c r="F153" s="89"/>
      <c r="G153" s="89"/>
      <c r="H153" s="90"/>
      <c r="J153" s="55"/>
    </row>
    <row r="154" spans="1:14" s="35" customFormat="1" ht="15.75" customHeight="1" x14ac:dyDescent="0.35">
      <c r="A154" s="91">
        <v>1</v>
      </c>
      <c r="B154" s="92"/>
      <c r="C154" s="65" t="s">
        <v>191</v>
      </c>
      <c r="D154" s="53">
        <f>(50.03)*(10.764)</f>
        <v>538.52292</v>
      </c>
      <c r="E154" s="53">
        <f>(11.835)*(10.764)</f>
        <v>127.39194000000001</v>
      </c>
      <c r="F154" s="40">
        <v>1300</v>
      </c>
      <c r="G154" s="126" t="str">
        <f>A153</f>
        <v>1st Floor For Society Office &amp; Residential</v>
      </c>
      <c r="H154" s="127"/>
      <c r="I154" s="34"/>
      <c r="J154" s="55"/>
      <c r="L154" s="158"/>
      <c r="M154" s="158"/>
      <c r="N154" s="34"/>
    </row>
    <row r="155" spans="1:14" s="35" customFormat="1" ht="15.75" customHeight="1" x14ac:dyDescent="0.35">
      <c r="A155" s="91">
        <f t="shared" ref="A155:A159" si="9">A154+1</f>
        <v>2</v>
      </c>
      <c r="B155" s="92"/>
      <c r="C155" s="65" t="s">
        <v>191</v>
      </c>
      <c r="D155" s="53">
        <f>(48.51)*(10.764)</f>
        <v>522.16163999999992</v>
      </c>
      <c r="E155" s="53">
        <f>(5.207)*(10.764)</f>
        <v>56.048147999999998</v>
      </c>
      <c r="F155" s="40">
        <v>1185</v>
      </c>
      <c r="G155" s="128"/>
      <c r="H155" s="129"/>
      <c r="I155" s="34"/>
      <c r="J155" s="55"/>
      <c r="L155" s="158"/>
      <c r="M155" s="158"/>
      <c r="N155" s="34"/>
    </row>
    <row r="156" spans="1:14" s="35" customFormat="1" ht="15.75" customHeight="1" x14ac:dyDescent="0.35">
      <c r="A156" s="91">
        <f t="shared" si="9"/>
        <v>3</v>
      </c>
      <c r="B156" s="92"/>
      <c r="C156" s="65" t="s">
        <v>192</v>
      </c>
      <c r="D156" s="53">
        <f>(29.02+2.7+0.75*(0.9))*(10.764)</f>
        <v>348.69977999999992</v>
      </c>
      <c r="E156" s="53">
        <f>(4*1.5)*(10.764)</f>
        <v>64.584000000000003</v>
      </c>
      <c r="F156" s="40">
        <v>790</v>
      </c>
      <c r="G156" s="128"/>
      <c r="H156" s="129"/>
      <c r="I156" s="34"/>
      <c r="J156" s="55"/>
      <c r="L156" s="158"/>
      <c r="M156" s="158"/>
      <c r="N156" s="34"/>
    </row>
    <row r="157" spans="1:14" s="35" customFormat="1" ht="15.75" customHeight="1" x14ac:dyDescent="0.35">
      <c r="A157" s="91">
        <f t="shared" si="9"/>
        <v>4</v>
      </c>
      <c r="B157" s="92"/>
      <c r="C157" s="65" t="s">
        <v>192</v>
      </c>
      <c r="D157" s="53">
        <f>(33.39+2.75+0.75*(2.7+1.96))*(10.764)</f>
        <v>426.63113999999996</v>
      </c>
      <c r="E157" s="65">
        <v>0</v>
      </c>
      <c r="F157" s="40">
        <v>720</v>
      </c>
      <c r="G157" s="128"/>
      <c r="H157" s="129"/>
      <c r="I157" s="34"/>
      <c r="J157" s="55"/>
      <c r="L157" s="158"/>
      <c r="M157" s="158"/>
      <c r="N157" s="34"/>
    </row>
    <row r="158" spans="1:14" s="35" customFormat="1" ht="15.75" customHeight="1" x14ac:dyDescent="0.35">
      <c r="A158" s="91">
        <f t="shared" si="9"/>
        <v>5</v>
      </c>
      <c r="B158" s="92"/>
      <c r="C158" s="65" t="s">
        <v>192</v>
      </c>
      <c r="D158" s="53">
        <f>(29.3+2.79+0.75*(2.7+1.8))*(10.764)</f>
        <v>381.74526000000003</v>
      </c>
      <c r="E158" s="65">
        <v>0</v>
      </c>
      <c r="F158" s="40">
        <v>670</v>
      </c>
      <c r="G158" s="128"/>
      <c r="H158" s="129"/>
      <c r="I158" s="34"/>
      <c r="J158" s="55"/>
      <c r="L158" s="158"/>
      <c r="M158" s="158"/>
      <c r="N158" s="34"/>
    </row>
    <row r="159" spans="1:14" s="64" customFormat="1" ht="15.75" customHeight="1" x14ac:dyDescent="0.35">
      <c r="A159" s="91">
        <f t="shared" si="9"/>
        <v>6</v>
      </c>
      <c r="B159" s="92"/>
      <c r="C159" s="65" t="s">
        <v>192</v>
      </c>
      <c r="D159" s="53">
        <f>(29.97+2.7+0.75*(1.84+2.7))*(10.764)</f>
        <v>388.31130000000002</v>
      </c>
      <c r="E159" s="65">
        <v>0</v>
      </c>
      <c r="F159" s="65">
        <v>670</v>
      </c>
      <c r="G159" s="130"/>
      <c r="H159" s="131"/>
      <c r="I159" s="34"/>
      <c r="J159" s="55"/>
      <c r="L159" s="158"/>
      <c r="M159" s="158"/>
      <c r="N159" s="34"/>
    </row>
    <row r="160" spans="1:14" s="35" customFormat="1" ht="15.75" customHeight="1" x14ac:dyDescent="0.35">
      <c r="A160" s="88" t="s">
        <v>233</v>
      </c>
      <c r="B160" s="89"/>
      <c r="C160" s="89"/>
      <c r="D160" s="89"/>
      <c r="E160" s="89"/>
      <c r="F160" s="89"/>
      <c r="G160" s="89"/>
      <c r="H160" s="90"/>
      <c r="I160" s="34"/>
      <c r="J160" s="55"/>
      <c r="L160" s="158"/>
      <c r="M160" s="158"/>
    </row>
    <row r="161" spans="1:14" s="35" customFormat="1" x14ac:dyDescent="0.35">
      <c r="A161" s="75">
        <v>1</v>
      </c>
      <c r="B161" s="75"/>
      <c r="C161" s="65" t="s">
        <v>191</v>
      </c>
      <c r="D161" s="53">
        <f>(50.03+2.7+0.75*(2.21+2.7+1.975))*(10.764)</f>
        <v>623.16832499999998</v>
      </c>
      <c r="E161" s="65">
        <v>0</v>
      </c>
      <c r="F161" s="40">
        <v>1125</v>
      </c>
      <c r="G161" s="126" t="str">
        <f>A160</f>
        <v>2nd Floor</v>
      </c>
      <c r="H161" s="127"/>
      <c r="I161" s="34"/>
      <c r="J161" s="55"/>
      <c r="N161" s="34"/>
    </row>
    <row r="162" spans="1:14" s="35" customFormat="1" x14ac:dyDescent="0.35">
      <c r="A162" s="75">
        <f>A161+1</f>
        <v>2</v>
      </c>
      <c r="B162" s="75"/>
      <c r="C162" s="65" t="s">
        <v>191</v>
      </c>
      <c r="D162" s="53">
        <f>(48.51+2.7+0.75*(2+2.73+2.9))*(10.764)</f>
        <v>612.82142999999996</v>
      </c>
      <c r="E162" s="65">
        <v>0</v>
      </c>
      <c r="F162" s="40">
        <v>1030</v>
      </c>
      <c r="G162" s="128"/>
      <c r="H162" s="129"/>
      <c r="I162" s="34"/>
      <c r="J162" s="55"/>
      <c r="N162" s="34"/>
    </row>
    <row r="163" spans="1:14" s="35" customFormat="1" x14ac:dyDescent="0.35">
      <c r="A163" s="75">
        <f>A162+1</f>
        <v>3</v>
      </c>
      <c r="B163" s="75"/>
      <c r="C163" s="65" t="s">
        <v>192</v>
      </c>
      <c r="D163" s="53">
        <f>(29.02+2.7+0.75*(2.01+2.7))*(10.764)</f>
        <v>379.45790999999997</v>
      </c>
      <c r="E163" s="65">
        <v>0</v>
      </c>
      <c r="F163" s="40">
        <v>700</v>
      </c>
      <c r="G163" s="128"/>
      <c r="H163" s="129"/>
      <c r="I163" s="34"/>
      <c r="J163" s="55"/>
      <c r="N163" s="34"/>
    </row>
    <row r="164" spans="1:14" s="35" customFormat="1" x14ac:dyDescent="0.35">
      <c r="A164" s="75">
        <f>A163+1</f>
        <v>4</v>
      </c>
      <c r="B164" s="75"/>
      <c r="C164" s="65" t="s">
        <v>192</v>
      </c>
      <c r="D164" s="53">
        <f>(33.39+2.75+0.75*(2.7+1.96))*(10.764)</f>
        <v>426.63113999999996</v>
      </c>
      <c r="E164" s="65">
        <v>0</v>
      </c>
      <c r="F164" s="40">
        <v>720</v>
      </c>
      <c r="G164" s="128"/>
      <c r="H164" s="129"/>
      <c r="I164" s="34"/>
      <c r="J164" s="55"/>
      <c r="N164" s="34"/>
    </row>
    <row r="165" spans="1:14" s="35" customFormat="1" x14ac:dyDescent="0.35">
      <c r="A165" s="75">
        <f>A164+1</f>
        <v>5</v>
      </c>
      <c r="B165" s="75"/>
      <c r="C165" s="65" t="s">
        <v>192</v>
      </c>
      <c r="D165" s="53">
        <f>(29.3+2.79+0.75*(2.7+1.8))*(10.764)</f>
        <v>381.74526000000003</v>
      </c>
      <c r="E165" s="65">
        <v>0</v>
      </c>
      <c r="F165" s="40">
        <v>670</v>
      </c>
      <c r="G165" s="128"/>
      <c r="H165" s="129"/>
      <c r="I165" s="34"/>
      <c r="J165" s="55"/>
      <c r="N165" s="34"/>
    </row>
    <row r="166" spans="1:14" s="35" customFormat="1" x14ac:dyDescent="0.35">
      <c r="A166" s="75">
        <f>A165+1</f>
        <v>6</v>
      </c>
      <c r="B166" s="75"/>
      <c r="C166" s="65" t="s">
        <v>192</v>
      </c>
      <c r="D166" s="53">
        <f>(29.97+2.7+0.75*(1.84+2.7))*(10.764)</f>
        <v>388.31130000000002</v>
      </c>
      <c r="E166" s="65">
        <v>0</v>
      </c>
      <c r="F166" s="40">
        <v>710</v>
      </c>
      <c r="G166" s="130"/>
      <c r="H166" s="131"/>
      <c r="I166" s="34"/>
      <c r="J166" s="55"/>
      <c r="N166" s="34"/>
    </row>
    <row r="167" spans="1:14" s="35" customFormat="1" x14ac:dyDescent="0.35">
      <c r="A167" s="136" t="s">
        <v>193</v>
      </c>
      <c r="B167" s="136"/>
      <c r="C167" s="136"/>
      <c r="D167" s="136"/>
      <c r="E167" s="136"/>
      <c r="F167" s="136"/>
      <c r="G167" s="136"/>
      <c r="H167" s="136"/>
      <c r="I167" s="34"/>
      <c r="J167" s="55"/>
      <c r="L167" s="158"/>
      <c r="M167" s="158"/>
    </row>
    <row r="168" spans="1:14" s="35" customFormat="1" x14ac:dyDescent="0.35">
      <c r="A168" s="75">
        <v>1</v>
      </c>
      <c r="B168" s="75"/>
      <c r="C168" s="67" t="s">
        <v>191</v>
      </c>
      <c r="D168" s="53">
        <f>(50.03+2.7+0.75*(2.21+2.7+1.975))*(10.764)</f>
        <v>623.16832499999998</v>
      </c>
      <c r="E168" s="67">
        <v>0</v>
      </c>
      <c r="F168" s="67">
        <v>1070</v>
      </c>
      <c r="G168" s="75" t="str">
        <f>A167</f>
        <v>3rd Floor</v>
      </c>
      <c r="H168" s="75"/>
      <c r="I168" s="34"/>
      <c r="J168" s="55"/>
      <c r="L168" s="35">
        <f>6*7</f>
        <v>42</v>
      </c>
      <c r="N168" s="34"/>
    </row>
    <row r="169" spans="1:14" s="35" customFormat="1" x14ac:dyDescent="0.35">
      <c r="A169" s="75">
        <f>A168+1</f>
        <v>2</v>
      </c>
      <c r="B169" s="75"/>
      <c r="C169" s="67" t="s">
        <v>191</v>
      </c>
      <c r="D169" s="53">
        <f>(48.51+2.7+0.75*(2+2.73+2.9))*(10.764)</f>
        <v>612.82142999999996</v>
      </c>
      <c r="E169" s="67">
        <v>0</v>
      </c>
      <c r="F169" s="67">
        <v>1030</v>
      </c>
      <c r="G169" s="75"/>
      <c r="H169" s="75"/>
      <c r="I169" s="34"/>
      <c r="J169" s="55"/>
      <c r="N169" s="34"/>
    </row>
    <row r="170" spans="1:14" s="35" customFormat="1" x14ac:dyDescent="0.35">
      <c r="A170" s="75">
        <f>A169+1</f>
        <v>3</v>
      </c>
      <c r="B170" s="75"/>
      <c r="C170" s="67" t="s">
        <v>192</v>
      </c>
      <c r="D170" s="53">
        <f>(29.02+2.7+0.75*(2.01+2.7))*(10.764)</f>
        <v>379.45790999999997</v>
      </c>
      <c r="E170" s="67">
        <v>0</v>
      </c>
      <c r="F170" s="67">
        <v>700</v>
      </c>
      <c r="G170" s="75"/>
      <c r="H170" s="75"/>
      <c r="I170" s="34"/>
      <c r="J170" s="55"/>
      <c r="N170" s="34"/>
    </row>
    <row r="171" spans="1:14" s="35" customFormat="1" x14ac:dyDescent="0.35">
      <c r="A171" s="75">
        <f>A170+1</f>
        <v>4</v>
      </c>
      <c r="B171" s="75"/>
      <c r="C171" s="67" t="s">
        <v>192</v>
      </c>
      <c r="D171" s="53">
        <f>(33.39+2.75+0.75*(2.7+1.96))*(10.764)</f>
        <v>426.63113999999996</v>
      </c>
      <c r="E171" s="67">
        <v>0</v>
      </c>
      <c r="F171" s="67">
        <v>720</v>
      </c>
      <c r="G171" s="75"/>
      <c r="H171" s="75"/>
      <c r="I171" s="34"/>
      <c r="J171" s="55"/>
      <c r="N171" s="34"/>
    </row>
    <row r="172" spans="1:14" s="35" customFormat="1" x14ac:dyDescent="0.35">
      <c r="A172" s="75">
        <f t="shared" ref="A172:A173" si="10">A171+1</f>
        <v>5</v>
      </c>
      <c r="B172" s="75"/>
      <c r="C172" s="67" t="s">
        <v>192</v>
      </c>
      <c r="D172" s="53">
        <f>(29.3+2.79+0.75*(2.7+1.8))*(10.764)</f>
        <v>381.74526000000003</v>
      </c>
      <c r="E172" s="67">
        <v>0</v>
      </c>
      <c r="F172" s="67">
        <v>670</v>
      </c>
      <c r="G172" s="75"/>
      <c r="H172" s="75"/>
      <c r="I172" s="34"/>
      <c r="J172" s="55"/>
      <c r="N172" s="34"/>
    </row>
    <row r="173" spans="1:14" s="35" customFormat="1" x14ac:dyDescent="0.35">
      <c r="A173" s="75">
        <f t="shared" si="10"/>
        <v>6</v>
      </c>
      <c r="B173" s="75"/>
      <c r="C173" s="67" t="s">
        <v>192</v>
      </c>
      <c r="D173" s="53">
        <f>(29.97+2.7+0.75*(1.84+2.7))*(10.764)</f>
        <v>388.31130000000002</v>
      </c>
      <c r="E173" s="67">
        <v>0</v>
      </c>
      <c r="F173" s="67">
        <v>710</v>
      </c>
      <c r="G173" s="75"/>
      <c r="H173" s="75"/>
      <c r="I173" s="34"/>
      <c r="J173" s="55"/>
      <c r="N173" s="34"/>
    </row>
    <row r="174" spans="1:14" s="35" customFormat="1" ht="15.75" customHeight="1" x14ac:dyDescent="0.35">
      <c r="A174" s="136" t="s">
        <v>232</v>
      </c>
      <c r="B174" s="136"/>
      <c r="C174" s="136"/>
      <c r="D174" s="136"/>
      <c r="E174" s="136"/>
      <c r="F174" s="136"/>
      <c r="G174" s="136"/>
      <c r="H174" s="136"/>
      <c r="I174" s="34"/>
      <c r="J174" s="55"/>
      <c r="L174" s="158"/>
      <c r="M174" s="158"/>
    </row>
    <row r="175" spans="1:14" s="35" customFormat="1" ht="15.75" customHeight="1" x14ac:dyDescent="0.35">
      <c r="A175" s="75">
        <v>1</v>
      </c>
      <c r="B175" s="75"/>
      <c r="C175" s="67" t="s">
        <v>191</v>
      </c>
      <c r="D175" s="53">
        <f>(50.03+2.7+0.75*(2.21+2.7+1.975))*(10.764)</f>
        <v>623.16832499999998</v>
      </c>
      <c r="E175" s="67">
        <v>0</v>
      </c>
      <c r="F175" s="67">
        <v>1070</v>
      </c>
      <c r="G175" s="75" t="str">
        <f>A174</f>
        <v>4th to 7th Floor</v>
      </c>
      <c r="H175" s="75"/>
      <c r="I175" s="34"/>
      <c r="J175" s="55"/>
      <c r="N175" s="34"/>
    </row>
    <row r="176" spans="1:14" s="35" customFormat="1" ht="15.75" customHeight="1" x14ac:dyDescent="0.35">
      <c r="A176" s="75">
        <v>2</v>
      </c>
      <c r="B176" s="75"/>
      <c r="C176" s="67" t="s">
        <v>191</v>
      </c>
      <c r="D176" s="53">
        <f>(48.51+2.7+0.75*(2+2.73+2.9))*(10.764)</f>
        <v>612.82142999999996</v>
      </c>
      <c r="E176" s="67">
        <v>0</v>
      </c>
      <c r="F176" s="67">
        <v>1030</v>
      </c>
      <c r="G176" s="75"/>
      <c r="H176" s="75"/>
      <c r="I176" s="34"/>
      <c r="J176" s="55"/>
      <c r="N176" s="34"/>
    </row>
    <row r="177" spans="1:14" s="35" customFormat="1" ht="15.75" customHeight="1" x14ac:dyDescent="0.35">
      <c r="A177" s="75">
        <v>3</v>
      </c>
      <c r="B177" s="75"/>
      <c r="C177" s="67" t="s">
        <v>192</v>
      </c>
      <c r="D177" s="53">
        <f>(29.02+2.7+0.75*(2.01+2.7))*(10.764)</f>
        <v>379.45790999999997</v>
      </c>
      <c r="E177" s="67">
        <v>0</v>
      </c>
      <c r="F177" s="67">
        <v>700</v>
      </c>
      <c r="G177" s="75"/>
      <c r="H177" s="75"/>
      <c r="I177" s="34"/>
      <c r="J177" s="55"/>
      <c r="N177" s="34"/>
    </row>
    <row r="178" spans="1:14" s="35" customFormat="1" ht="15.75" customHeight="1" x14ac:dyDescent="0.35">
      <c r="A178" s="75">
        <v>4</v>
      </c>
      <c r="B178" s="75"/>
      <c r="C178" s="67" t="s">
        <v>192</v>
      </c>
      <c r="D178" s="53">
        <f>(33.39+2.75+0.75*(2.7+1.96))*(10.764)</f>
        <v>426.63113999999996</v>
      </c>
      <c r="E178" s="67">
        <v>0</v>
      </c>
      <c r="F178" s="67">
        <v>1070</v>
      </c>
      <c r="G178" s="75"/>
      <c r="H178" s="75"/>
      <c r="I178" s="34"/>
      <c r="J178" s="55"/>
      <c r="N178" s="34"/>
    </row>
    <row r="179" spans="1:14" s="35" customFormat="1" ht="15.75" customHeight="1" x14ac:dyDescent="0.35">
      <c r="A179" s="75">
        <v>5</v>
      </c>
      <c r="B179" s="75"/>
      <c r="C179" s="67" t="s">
        <v>192</v>
      </c>
      <c r="D179" s="53">
        <f>(29.3+2.79+0.75*(2.7+1.8))*(10.764)</f>
        <v>381.74526000000003</v>
      </c>
      <c r="E179" s="67">
        <v>0</v>
      </c>
      <c r="F179" s="67">
        <v>1030</v>
      </c>
      <c r="G179" s="75"/>
      <c r="H179" s="75"/>
      <c r="I179" s="34"/>
      <c r="J179" s="55"/>
      <c r="N179" s="34"/>
    </row>
    <row r="180" spans="1:14" s="35" customFormat="1" ht="15.75" customHeight="1" x14ac:dyDescent="0.35">
      <c r="A180" s="75">
        <v>6</v>
      </c>
      <c r="B180" s="75"/>
      <c r="C180" s="67" t="s">
        <v>192</v>
      </c>
      <c r="D180" s="53">
        <f>(29.97+2.7+0.75*(1.84+2.7))*(10.764)</f>
        <v>388.31130000000002</v>
      </c>
      <c r="E180" s="67">
        <v>0</v>
      </c>
      <c r="F180" s="67">
        <v>700</v>
      </c>
      <c r="G180" s="75"/>
      <c r="H180" s="75"/>
      <c r="I180" s="34"/>
      <c r="J180" s="55"/>
      <c r="N180" s="34"/>
    </row>
    <row r="181" spans="1:14" s="33" customFormat="1" x14ac:dyDescent="0.35">
      <c r="A181" s="168" t="s">
        <v>70</v>
      </c>
      <c r="B181" s="168"/>
      <c r="C181" s="168"/>
      <c r="D181" s="168"/>
      <c r="E181" s="168"/>
      <c r="F181" s="168"/>
      <c r="G181" s="168"/>
      <c r="H181" s="168"/>
    </row>
    <row r="182" spans="1:14" s="33" customFormat="1" x14ac:dyDescent="0.35">
      <c r="A182" s="44">
        <v>1</v>
      </c>
      <c r="B182" s="116" t="s">
        <v>228</v>
      </c>
      <c r="C182" s="117"/>
      <c r="D182" s="117"/>
      <c r="E182" s="117"/>
      <c r="F182" s="117"/>
      <c r="G182" s="117"/>
      <c r="H182" s="118"/>
      <c r="I182" s="33" t="s">
        <v>224</v>
      </c>
    </row>
    <row r="183" spans="1:14" s="33" customFormat="1" x14ac:dyDescent="0.35">
      <c r="A183" s="44">
        <f>A182+1</f>
        <v>2</v>
      </c>
      <c r="B183" s="116" t="str">
        <f>(IF(F122="Saleable area Loading :","We have considered Saleable area of Flats as per our Calculation.","We considered Saleable area of Flat as per Builder area Sheet."))</f>
        <v>We considered Saleable area of Flat as per Builder area Sheet.</v>
      </c>
      <c r="C183" s="117"/>
      <c r="D183" s="117"/>
      <c r="E183" s="117"/>
      <c r="F183" s="117"/>
      <c r="G183" s="117"/>
      <c r="H183" s="118"/>
    </row>
    <row r="184" spans="1:14" s="33" customFormat="1" x14ac:dyDescent="0.35">
      <c r="A184" s="66">
        <f t="shared" ref="A184:A193" si="11">A183+1</f>
        <v>3</v>
      </c>
      <c r="B184" s="116" t="str">
        <f>(IF(F105="Saleable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84" s="117"/>
      <c r="D184" s="117"/>
      <c r="E184" s="117"/>
      <c r="F184" s="117"/>
      <c r="G184" s="117"/>
      <c r="H184" s="118"/>
    </row>
    <row r="185" spans="1:14" s="33" customFormat="1" x14ac:dyDescent="0.35">
      <c r="A185" s="66">
        <f t="shared" si="11"/>
        <v>4</v>
      </c>
      <c r="B185" s="69" t="s">
        <v>125</v>
      </c>
      <c r="C185" s="70"/>
      <c r="D185" s="70"/>
      <c r="E185" s="70"/>
      <c r="F185" s="70"/>
      <c r="G185" s="70"/>
      <c r="H185" s="71"/>
    </row>
    <row r="186" spans="1:14" s="33" customFormat="1" x14ac:dyDescent="0.35">
      <c r="A186" s="66">
        <f t="shared" si="11"/>
        <v>5</v>
      </c>
      <c r="B186" s="69" t="s">
        <v>201</v>
      </c>
      <c r="C186" s="70"/>
      <c r="D186" s="70"/>
      <c r="E186" s="70"/>
      <c r="F186" s="70"/>
      <c r="G186" s="70"/>
      <c r="H186" s="71"/>
    </row>
    <row r="187" spans="1:14" s="33" customFormat="1" x14ac:dyDescent="0.35">
      <c r="A187" s="66">
        <f t="shared" si="11"/>
        <v>6</v>
      </c>
      <c r="B187" s="69" t="s">
        <v>153</v>
      </c>
      <c r="C187" s="70"/>
      <c r="D187" s="70"/>
      <c r="E187" s="70"/>
      <c r="F187" s="70"/>
      <c r="G187" s="70"/>
      <c r="H187" s="71"/>
    </row>
    <row r="188" spans="1:14" s="33" customFormat="1" x14ac:dyDescent="0.35">
      <c r="A188" s="66">
        <f t="shared" si="11"/>
        <v>7</v>
      </c>
      <c r="B188" s="69" t="s">
        <v>126</v>
      </c>
      <c r="C188" s="70"/>
      <c r="D188" s="70"/>
      <c r="E188" s="70"/>
      <c r="F188" s="70"/>
      <c r="G188" s="70"/>
      <c r="H188" s="71"/>
    </row>
    <row r="189" spans="1:14" s="33" customFormat="1" ht="34.5" customHeight="1" x14ac:dyDescent="0.35">
      <c r="A189" s="66">
        <f t="shared" si="11"/>
        <v>8</v>
      </c>
      <c r="B189" s="69" t="s">
        <v>154</v>
      </c>
      <c r="C189" s="70"/>
      <c r="D189" s="70"/>
      <c r="E189" s="70"/>
      <c r="F189" s="70"/>
      <c r="G189" s="70"/>
      <c r="H189" s="71"/>
    </row>
    <row r="190" spans="1:14" s="33" customFormat="1" x14ac:dyDescent="0.35">
      <c r="A190" s="66">
        <f t="shared" si="11"/>
        <v>9</v>
      </c>
      <c r="B190" s="69" t="s">
        <v>127</v>
      </c>
      <c r="C190" s="70"/>
      <c r="D190" s="70"/>
      <c r="E190" s="70"/>
      <c r="F190" s="70"/>
      <c r="G190" s="70"/>
      <c r="H190" s="71"/>
    </row>
    <row r="191" spans="1:14" s="33" customFormat="1" x14ac:dyDescent="0.35">
      <c r="A191" s="66">
        <f t="shared" si="11"/>
        <v>10</v>
      </c>
      <c r="B191" s="69" t="s">
        <v>227</v>
      </c>
      <c r="C191" s="70"/>
      <c r="D191" s="70"/>
      <c r="E191" s="70"/>
      <c r="F191" s="70"/>
      <c r="G191" s="70"/>
      <c r="H191" s="71"/>
    </row>
    <row r="192" spans="1:14" s="33" customFormat="1" x14ac:dyDescent="0.35">
      <c r="A192" s="66">
        <f t="shared" si="11"/>
        <v>11</v>
      </c>
      <c r="B192" s="69" t="s">
        <v>234</v>
      </c>
      <c r="C192" s="70"/>
      <c r="D192" s="70"/>
      <c r="E192" s="70"/>
      <c r="F192" s="70"/>
      <c r="G192" s="70"/>
      <c r="H192" s="71"/>
    </row>
    <row r="193" spans="1:8" s="33" customFormat="1" ht="47.25" customHeight="1" x14ac:dyDescent="0.35">
      <c r="A193" s="66">
        <f t="shared" si="11"/>
        <v>12</v>
      </c>
      <c r="B193" s="69" t="s">
        <v>236</v>
      </c>
      <c r="C193" s="70"/>
      <c r="D193" s="70"/>
      <c r="E193" s="70"/>
      <c r="F193" s="70"/>
      <c r="G193" s="70"/>
      <c r="H193" s="71"/>
    </row>
    <row r="194" spans="1:8" x14ac:dyDescent="0.35">
      <c r="A194" s="105" t="s">
        <v>63</v>
      </c>
      <c r="B194" s="105"/>
      <c r="C194" s="105"/>
      <c r="D194" s="105"/>
      <c r="E194" s="105"/>
      <c r="F194" s="105"/>
      <c r="G194" s="105"/>
      <c r="H194" s="105"/>
    </row>
    <row r="195" spans="1:8" x14ac:dyDescent="0.35">
      <c r="A195" s="73" t="s">
        <v>64</v>
      </c>
      <c r="B195" s="73"/>
      <c r="C195" s="73"/>
      <c r="D195" s="73"/>
      <c r="E195" s="73"/>
      <c r="F195" s="73"/>
      <c r="G195" s="73"/>
      <c r="H195" s="73"/>
    </row>
    <row r="196" spans="1:8" ht="15.75" customHeight="1" x14ac:dyDescent="0.35">
      <c r="A196" s="74" t="s">
        <v>65</v>
      </c>
      <c r="B196" s="74"/>
      <c r="C196" s="74"/>
      <c r="D196" s="74"/>
      <c r="E196" s="74"/>
      <c r="F196" s="74"/>
      <c r="G196" s="74"/>
      <c r="H196" s="74"/>
    </row>
    <row r="197" spans="1:8" x14ac:dyDescent="0.35">
      <c r="A197" s="73" t="s">
        <v>66</v>
      </c>
      <c r="B197" s="73"/>
      <c r="C197" s="73"/>
      <c r="D197" s="73"/>
      <c r="E197" s="73"/>
      <c r="F197" s="73"/>
      <c r="G197" s="73"/>
      <c r="H197" s="73"/>
    </row>
    <row r="198" spans="1:8" x14ac:dyDescent="0.35">
      <c r="A198" s="73" t="s">
        <v>67</v>
      </c>
      <c r="B198" s="73"/>
      <c r="C198" s="73"/>
      <c r="D198" s="73"/>
      <c r="E198" s="73"/>
      <c r="F198" s="73"/>
      <c r="G198" s="73"/>
      <c r="H198" s="73"/>
    </row>
    <row r="199" spans="1:8" x14ac:dyDescent="0.35">
      <c r="A199" s="73" t="s">
        <v>128</v>
      </c>
      <c r="B199" s="73"/>
      <c r="C199" s="73"/>
      <c r="D199" s="73"/>
      <c r="E199" s="73"/>
      <c r="F199" s="73"/>
      <c r="G199" s="73"/>
      <c r="H199" s="73"/>
    </row>
    <row r="200" spans="1:8" x14ac:dyDescent="0.35">
      <c r="A200" s="97" t="s">
        <v>129</v>
      </c>
      <c r="B200" s="97"/>
      <c r="C200" s="97"/>
      <c r="D200" s="97"/>
      <c r="E200" s="97"/>
      <c r="F200" s="97"/>
      <c r="G200" s="97"/>
      <c r="H200" s="97"/>
    </row>
    <row r="201" spans="1:8" x14ac:dyDescent="0.35">
      <c r="A201" s="133" t="s">
        <v>80</v>
      </c>
      <c r="B201" s="133"/>
      <c r="C201" s="133" t="s">
        <v>242</v>
      </c>
      <c r="D201" s="133"/>
      <c r="E201" s="133" t="s">
        <v>107</v>
      </c>
      <c r="F201" s="133"/>
      <c r="G201" s="133" t="s">
        <v>241</v>
      </c>
      <c r="H201" s="133"/>
    </row>
    <row r="202" spans="1:8" x14ac:dyDescent="0.35">
      <c r="A202" s="132" t="s">
        <v>82</v>
      </c>
      <c r="B202" s="132"/>
      <c r="C202" s="132"/>
      <c r="D202" s="132"/>
      <c r="E202" s="132"/>
      <c r="F202" s="132"/>
      <c r="G202" s="132"/>
      <c r="H202" s="132"/>
    </row>
    <row r="203" spans="1:8" x14ac:dyDescent="0.35">
      <c r="A203" s="132"/>
      <c r="B203" s="132"/>
      <c r="C203" s="132"/>
      <c r="D203" s="132"/>
      <c r="E203" s="132"/>
      <c r="F203" s="132"/>
      <c r="G203" s="132"/>
      <c r="H203" s="132"/>
    </row>
    <row r="204" spans="1:8" x14ac:dyDescent="0.35">
      <c r="A204" s="132"/>
      <c r="B204" s="132"/>
      <c r="C204" s="132"/>
      <c r="D204" s="132"/>
      <c r="E204" s="132"/>
      <c r="F204" s="132"/>
      <c r="G204" s="132"/>
      <c r="H204" s="132"/>
    </row>
    <row r="205" spans="1:8" x14ac:dyDescent="0.35">
      <c r="A205" s="132"/>
      <c r="B205" s="132"/>
      <c r="C205" s="132"/>
      <c r="D205" s="132"/>
      <c r="E205" s="132"/>
      <c r="F205" s="132"/>
      <c r="G205" s="132"/>
      <c r="H205" s="132"/>
    </row>
    <row r="206" spans="1:8" x14ac:dyDescent="0.35">
      <c r="A206" s="36" t="s">
        <v>68</v>
      </c>
      <c r="B206" s="37"/>
      <c r="C206" s="37"/>
      <c r="D206" s="36" t="str">
        <f>E8</f>
        <v>Krishna Arcade</v>
      </c>
      <c r="F206" s="37"/>
      <c r="G206" s="37"/>
      <c r="H206" s="37"/>
    </row>
    <row r="207" spans="1:8" x14ac:dyDescent="0.35">
      <c r="A207" s="37"/>
      <c r="B207" s="37"/>
      <c r="C207" s="37"/>
      <c r="D207" s="37"/>
      <c r="E207" s="37"/>
      <c r="F207" s="37"/>
      <c r="G207" s="37"/>
      <c r="H207" s="37"/>
    </row>
    <row r="208" spans="1:8" x14ac:dyDescent="0.35">
      <c r="A208" s="37"/>
      <c r="B208" s="37"/>
      <c r="C208" s="37"/>
      <c r="D208" s="37"/>
      <c r="E208" s="37"/>
      <c r="F208" s="37"/>
      <c r="G208" s="37"/>
      <c r="H208" s="37"/>
    </row>
    <row r="209" ht="15" customHeight="1" x14ac:dyDescent="0.35"/>
    <row r="252" spans="1:1" x14ac:dyDescent="0.35">
      <c r="A252" s="39" t="s">
        <v>166</v>
      </c>
    </row>
    <row r="294" spans="1:1" x14ac:dyDescent="0.35">
      <c r="A294" s="39" t="s">
        <v>237</v>
      </c>
    </row>
    <row r="339" spans="1:1" x14ac:dyDescent="0.35">
      <c r="A339" s="39" t="s">
        <v>69</v>
      </c>
    </row>
  </sheetData>
  <mergeCells count="359">
    <mergeCell ref="B192:H192"/>
    <mergeCell ref="I48:K48"/>
    <mergeCell ref="M48:N48"/>
    <mergeCell ref="I49:K49"/>
    <mergeCell ref="M49:N49"/>
    <mergeCell ref="I55:M55"/>
    <mergeCell ref="I56:M56"/>
    <mergeCell ref="I57:M57"/>
    <mergeCell ref="A130:B130"/>
    <mergeCell ref="G125:H130"/>
    <mergeCell ref="B191:H191"/>
    <mergeCell ref="A107:H107"/>
    <mergeCell ref="A178:B178"/>
    <mergeCell ref="A179:B179"/>
    <mergeCell ref="A180:B180"/>
    <mergeCell ref="A172:B172"/>
    <mergeCell ref="G168:H173"/>
    <mergeCell ref="A145:H145"/>
    <mergeCell ref="L145:M145"/>
    <mergeCell ref="A146:B146"/>
    <mergeCell ref="A147:B147"/>
    <mergeCell ref="A160:H160"/>
    <mergeCell ref="L160:M160"/>
    <mergeCell ref="L154:M154"/>
    <mergeCell ref="L156:M156"/>
    <mergeCell ref="L157:M157"/>
    <mergeCell ref="L158:M158"/>
    <mergeCell ref="A149:B149"/>
    <mergeCell ref="A153:H153"/>
    <mergeCell ref="A154:B154"/>
    <mergeCell ref="A155:B155"/>
    <mergeCell ref="A157:B157"/>
    <mergeCell ref="A158:B158"/>
    <mergeCell ref="A177:B177"/>
    <mergeCell ref="A159:B159"/>
    <mergeCell ref="G154:H159"/>
    <mergeCell ref="G175:H180"/>
    <mergeCell ref="A148:B148"/>
    <mergeCell ref="L138:M138"/>
    <mergeCell ref="A139:B139"/>
    <mergeCell ref="A140:B140"/>
    <mergeCell ref="A141:B141"/>
    <mergeCell ref="A142:B142"/>
    <mergeCell ref="A143:B143"/>
    <mergeCell ref="A150:B150"/>
    <mergeCell ref="A151:B151"/>
    <mergeCell ref="G146:H151"/>
    <mergeCell ref="A152:H152"/>
    <mergeCell ref="L174:M174"/>
    <mergeCell ref="A175:B175"/>
    <mergeCell ref="A176:B176"/>
    <mergeCell ref="L167:M167"/>
    <mergeCell ref="A168:B168"/>
    <mergeCell ref="A169:B169"/>
    <mergeCell ref="A170:B170"/>
    <mergeCell ref="A171:B171"/>
    <mergeCell ref="L155:M155"/>
    <mergeCell ref="L159:M159"/>
    <mergeCell ref="B189:H189"/>
    <mergeCell ref="A47:B47"/>
    <mergeCell ref="C47:H47"/>
    <mergeCell ref="B187:H187"/>
    <mergeCell ref="A100:B100"/>
    <mergeCell ref="F81:H81"/>
    <mergeCell ref="A81:E81"/>
    <mergeCell ref="A83:E83"/>
    <mergeCell ref="A109:B109"/>
    <mergeCell ref="A110:B110"/>
    <mergeCell ref="A128:B128"/>
    <mergeCell ref="A167:H167"/>
    <mergeCell ref="A173:B173"/>
    <mergeCell ref="F83:H83"/>
    <mergeCell ref="A84:E84"/>
    <mergeCell ref="A101:B101"/>
    <mergeCell ref="E101:F101"/>
    <mergeCell ref="B185:H185"/>
    <mergeCell ref="B186:H186"/>
    <mergeCell ref="A181:H181"/>
    <mergeCell ref="A134:B134"/>
    <mergeCell ref="A90:E90"/>
    <mergeCell ref="G101:H101"/>
    <mergeCell ref="A38:B38"/>
    <mergeCell ref="C38:H38"/>
    <mergeCell ref="A135:B135"/>
    <mergeCell ref="A111:B111"/>
    <mergeCell ref="A85:E85"/>
    <mergeCell ref="F85:H85"/>
    <mergeCell ref="A86:E86"/>
    <mergeCell ref="A88:E88"/>
    <mergeCell ref="F82:H82"/>
    <mergeCell ref="A87:E87"/>
    <mergeCell ref="A82:E82"/>
    <mergeCell ref="A79:E79"/>
    <mergeCell ref="A127:B127"/>
    <mergeCell ref="A129:B129"/>
    <mergeCell ref="A125:B125"/>
    <mergeCell ref="F84:H84"/>
    <mergeCell ref="A121:H121"/>
    <mergeCell ref="C50:E50"/>
    <mergeCell ref="A57:C57"/>
    <mergeCell ref="D57:H57"/>
    <mergeCell ref="C49:E49"/>
    <mergeCell ref="A52:B52"/>
    <mergeCell ref="C52:E52"/>
    <mergeCell ref="A136:B136"/>
    <mergeCell ref="A133:B133"/>
    <mergeCell ref="G96:H96"/>
    <mergeCell ref="A96:B96"/>
    <mergeCell ref="C96:D96"/>
    <mergeCell ref="C100:D100"/>
    <mergeCell ref="E100:F100"/>
    <mergeCell ref="G100:H100"/>
    <mergeCell ref="A156:B156"/>
    <mergeCell ref="A126:B126"/>
    <mergeCell ref="A103:H103"/>
    <mergeCell ref="A112:B112"/>
    <mergeCell ref="E96:F96"/>
    <mergeCell ref="A144:B144"/>
    <mergeCell ref="G139:H144"/>
    <mergeCell ref="A166:B166"/>
    <mergeCell ref="G161:H166"/>
    <mergeCell ref="A138:H138"/>
    <mergeCell ref="A162:B162"/>
    <mergeCell ref="A163:B163"/>
    <mergeCell ref="A164:B164"/>
    <mergeCell ref="A161:B161"/>
    <mergeCell ref="L113:M113"/>
    <mergeCell ref="L114:M114"/>
    <mergeCell ref="L115:M115"/>
    <mergeCell ref="L119:M119"/>
    <mergeCell ref="L120:M120"/>
    <mergeCell ref="L116:M116"/>
    <mergeCell ref="A117:B117"/>
    <mergeCell ref="L117:M117"/>
    <mergeCell ref="A118:B118"/>
    <mergeCell ref="L118:M118"/>
    <mergeCell ref="A120:B120"/>
    <mergeCell ref="A37:B37"/>
    <mergeCell ref="C37:H37"/>
    <mergeCell ref="A44:D44"/>
    <mergeCell ref="L112:M112"/>
    <mergeCell ref="L111:M111"/>
    <mergeCell ref="L110:M110"/>
    <mergeCell ref="L109:M109"/>
    <mergeCell ref="A76:B76"/>
    <mergeCell ref="C99:D99"/>
    <mergeCell ref="E99:F99"/>
    <mergeCell ref="G99:H99"/>
    <mergeCell ref="F86:H86"/>
    <mergeCell ref="A80:E80"/>
    <mergeCell ref="A108:H108"/>
    <mergeCell ref="G105:H105"/>
    <mergeCell ref="F79:H79"/>
    <mergeCell ref="A59:C59"/>
    <mergeCell ref="E69:F78"/>
    <mergeCell ref="G69:H78"/>
    <mergeCell ref="A77:B77"/>
    <mergeCell ref="A78:B78"/>
    <mergeCell ref="D59:H59"/>
    <mergeCell ref="A75:B75"/>
    <mergeCell ref="A68:B68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6:H56"/>
    <mergeCell ref="A56:C56"/>
    <mergeCell ref="G49:H49"/>
    <mergeCell ref="A50:B51"/>
    <mergeCell ref="D54:H54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02:H205"/>
    <mergeCell ref="A201:B201"/>
    <mergeCell ref="E201:F201"/>
    <mergeCell ref="C201:D201"/>
    <mergeCell ref="G201:H201"/>
    <mergeCell ref="A93:H93"/>
    <mergeCell ref="A91:E91"/>
    <mergeCell ref="F91:H91"/>
    <mergeCell ref="A92:E92"/>
    <mergeCell ref="F92:H92"/>
    <mergeCell ref="A131:H131"/>
    <mergeCell ref="A99:B99"/>
    <mergeCell ref="A95:B95"/>
    <mergeCell ref="A197:H197"/>
    <mergeCell ref="A97:H97"/>
    <mergeCell ref="A200:H200"/>
    <mergeCell ref="A198:H198"/>
    <mergeCell ref="A194:H194"/>
    <mergeCell ref="A195:H195"/>
    <mergeCell ref="E98:F98"/>
    <mergeCell ref="B190:H190"/>
    <mergeCell ref="B188:H188"/>
    <mergeCell ref="B184:H184"/>
    <mergeCell ref="B182:H182"/>
    <mergeCell ref="B183:H183"/>
    <mergeCell ref="C98:D98"/>
    <mergeCell ref="G98:H98"/>
    <mergeCell ref="F87:H87"/>
    <mergeCell ref="C94:D94"/>
    <mergeCell ref="F90:H90"/>
    <mergeCell ref="F88:H88"/>
    <mergeCell ref="A104:H104"/>
    <mergeCell ref="G94:H94"/>
    <mergeCell ref="A89:E89"/>
    <mergeCell ref="C95:D95"/>
    <mergeCell ref="E95:F95"/>
    <mergeCell ref="C101:D101"/>
    <mergeCell ref="A124:H124"/>
    <mergeCell ref="F89:H89"/>
    <mergeCell ref="E94:F94"/>
    <mergeCell ref="A94:B94"/>
    <mergeCell ref="G109:H120"/>
    <mergeCell ref="A123:H123"/>
    <mergeCell ref="A116:B116"/>
    <mergeCell ref="A174:H174"/>
    <mergeCell ref="A165:B165"/>
    <mergeCell ref="A137:B137"/>
    <mergeCell ref="G132:H137"/>
    <mergeCell ref="A49:B49"/>
    <mergeCell ref="A53:H53"/>
    <mergeCell ref="A54:C54"/>
    <mergeCell ref="A55:C55"/>
    <mergeCell ref="D55:H55"/>
    <mergeCell ref="G52:H52"/>
    <mergeCell ref="C51:H51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B193:H193"/>
    <mergeCell ref="E41:H41"/>
    <mergeCell ref="A41:D41"/>
    <mergeCell ref="A199:H199"/>
    <mergeCell ref="A196:H196"/>
    <mergeCell ref="A132:B132"/>
    <mergeCell ref="A98:B98"/>
    <mergeCell ref="G122:H122"/>
    <mergeCell ref="A74:B74"/>
    <mergeCell ref="F80:H80"/>
    <mergeCell ref="G95:H95"/>
    <mergeCell ref="A48:B48"/>
    <mergeCell ref="C48:E48"/>
    <mergeCell ref="G48:H48"/>
    <mergeCell ref="G50:H50"/>
    <mergeCell ref="A106:H106"/>
    <mergeCell ref="A113:B113"/>
    <mergeCell ref="A114:B114"/>
    <mergeCell ref="A115:B115"/>
    <mergeCell ref="A102:B102"/>
    <mergeCell ref="C102:D102"/>
    <mergeCell ref="E102:F102"/>
    <mergeCell ref="G102:H102"/>
    <mergeCell ref="A119:B119"/>
  </mergeCells>
  <hyperlinks>
    <hyperlink ref="C38" r:id="rId1"/>
    <hyperlink ref="I104" r:id="rId2"/>
  </hyperlinks>
  <printOptions horizontalCentered="1"/>
  <pageMargins left="0.39370078740157499" right="0.39370078740157499" top="0.82677165354330695" bottom="0.78740157480314998" header="0.15748031496063" footer="0.196850393700787"/>
  <pageSetup paperSize="2" scale="93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78" max="16383" man="1"/>
    <brk id="205" max="16383" man="1"/>
    <brk id="251" max="16383" man="1"/>
    <brk id="293" max="16383" man="1"/>
    <brk id="338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"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73" t="s">
        <v>108</v>
      </c>
      <c r="C3" s="173"/>
      <c r="D3" s="173"/>
      <c r="E3" s="173"/>
      <c r="F3" s="173"/>
      <c r="G3" s="173"/>
      <c r="H3" s="173"/>
    </row>
    <row r="4" spans="1:9" x14ac:dyDescent="0.35">
      <c r="A4" s="2"/>
      <c r="B4" s="3" t="s">
        <v>109</v>
      </c>
      <c r="C4" s="3" t="s">
        <v>110</v>
      </c>
      <c r="D4" s="3" t="s">
        <v>71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2025-08-14T07:14:38Z</cp:lastPrinted>
  <dcterms:created xsi:type="dcterms:W3CDTF">2019-07-16T09:29:46Z</dcterms:created>
  <dcterms:modified xsi:type="dcterms:W3CDTF">2025-08-14T07:14:51Z</dcterms:modified>
</cp:coreProperties>
</file>