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4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2" i="1" l="1"/>
  <c r="J91" i="1"/>
  <c r="J88" i="1"/>
  <c r="J87" i="1"/>
  <c r="J86" i="1"/>
  <c r="J85" i="1"/>
  <c r="D167" i="1" l="1"/>
  <c r="J167" i="1" s="1"/>
  <c r="D166" i="1"/>
  <c r="J166" i="1" s="1"/>
  <c r="D165" i="1"/>
  <c r="J165" i="1" s="1"/>
  <c r="D164" i="1"/>
  <c r="J164" i="1" s="1"/>
  <c r="D163" i="1"/>
  <c r="J163" i="1" s="1"/>
  <c r="D162" i="1"/>
  <c r="J162" i="1" s="1"/>
  <c r="D161" i="1"/>
  <c r="J161" i="1" s="1"/>
  <c r="G160" i="1"/>
  <c r="D160" i="1"/>
  <c r="J160" i="1" s="1"/>
  <c r="D158" i="1"/>
  <c r="J158" i="1" s="1"/>
  <c r="D157" i="1"/>
  <c r="J157" i="1" s="1"/>
  <c r="D156" i="1"/>
  <c r="J156" i="1" s="1"/>
  <c r="D155" i="1"/>
  <c r="J155" i="1" s="1"/>
  <c r="D154" i="1"/>
  <c r="J154" i="1" s="1"/>
  <c r="D153" i="1"/>
  <c r="J153" i="1" s="1"/>
  <c r="D152" i="1"/>
  <c r="J152" i="1" s="1"/>
  <c r="D151" i="1"/>
  <c r="J151" i="1" s="1"/>
  <c r="D150" i="1"/>
  <c r="J150" i="1" s="1"/>
  <c r="G149" i="1"/>
  <c r="D149" i="1"/>
  <c r="J149" i="1" s="1"/>
  <c r="D147" i="1"/>
  <c r="J147" i="1" s="1"/>
  <c r="D146" i="1"/>
  <c r="J146" i="1" s="1"/>
  <c r="D145" i="1"/>
  <c r="J145" i="1" s="1"/>
  <c r="D144" i="1"/>
  <c r="J144" i="1" s="1"/>
  <c r="D143" i="1"/>
  <c r="J143" i="1" s="1"/>
  <c r="D142" i="1"/>
  <c r="J142" i="1" s="1"/>
  <c r="D141" i="1"/>
  <c r="J141" i="1" s="1"/>
  <c r="D140" i="1"/>
  <c r="J140" i="1" s="1"/>
  <c r="D139" i="1"/>
  <c r="J139" i="1" s="1"/>
  <c r="D138" i="1"/>
  <c r="J138" i="1" s="1"/>
  <c r="D137" i="1"/>
  <c r="J137" i="1" s="1"/>
  <c r="D136" i="1"/>
  <c r="J136" i="1" s="1"/>
  <c r="D181" i="1"/>
  <c r="J181" i="1" s="1"/>
  <c r="D180" i="1"/>
  <c r="J180" i="1" s="1"/>
  <c r="D179" i="1"/>
  <c r="J179" i="1" s="1"/>
  <c r="D178" i="1"/>
  <c r="J178" i="1" s="1"/>
  <c r="D177" i="1"/>
  <c r="J177" i="1" s="1"/>
  <c r="G176" i="1"/>
  <c r="D176" i="1"/>
  <c r="J176" i="1" s="1"/>
  <c r="I169" i="1"/>
  <c r="D174" i="1"/>
  <c r="J174" i="1" s="1"/>
  <c r="D173" i="1"/>
  <c r="J173" i="1" s="1"/>
  <c r="D172" i="1"/>
  <c r="J172" i="1" s="1"/>
  <c r="D171" i="1"/>
  <c r="J171" i="1" s="1"/>
  <c r="D170" i="1"/>
  <c r="J170" i="1" s="1"/>
  <c r="D169" i="1"/>
  <c r="J169" i="1" s="1"/>
  <c r="D124" i="1"/>
  <c r="D126" i="1"/>
  <c r="D125" i="1"/>
  <c r="D123" i="1"/>
  <c r="D122" i="1"/>
  <c r="D128" i="1"/>
  <c r="D127" i="1"/>
  <c r="D121" i="1"/>
  <c r="D120" i="1"/>
  <c r="D129" i="1"/>
  <c r="D119" i="1"/>
  <c r="D130" i="1"/>
  <c r="D118" i="1"/>
  <c r="A176" i="1"/>
  <c r="C112" i="1" l="1"/>
  <c r="C109" i="1"/>
  <c r="E112" i="1"/>
  <c r="E109" i="1"/>
  <c r="A177" i="1"/>
  <c r="B184" i="1" l="1"/>
  <c r="A178" i="1"/>
  <c r="C13" i="1" l="1"/>
  <c r="A179" i="1"/>
  <c r="E27" i="1" l="1"/>
  <c r="A180" i="1"/>
  <c r="G112" i="1" l="1"/>
  <c r="A181" i="1"/>
  <c r="G109" i="1" l="1"/>
  <c r="B18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5" i="1"/>
  <c r="G136" i="1"/>
  <c r="G169" i="1"/>
  <c r="A169" i="1"/>
  <c r="A170" i="1" s="1"/>
  <c r="A171" i="1" s="1"/>
  <c r="A172" i="1" s="1"/>
  <c r="A173" i="1" s="1"/>
  <c r="A174" i="1" s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G118" i="1"/>
  <c r="F106" i="1"/>
  <c r="J74" i="1"/>
  <c r="J73" i="1"/>
  <c r="J72" i="1"/>
  <c r="J71" i="1"/>
  <c r="D52" i="1"/>
  <c r="G47" i="1"/>
  <c r="G48" i="1" s="1"/>
  <c r="C47" i="1"/>
  <c r="E40" i="1"/>
  <c r="E41" i="1" s="1"/>
  <c r="E24" i="1"/>
  <c r="E22" i="1"/>
  <c r="E7" i="1"/>
  <c r="E3" i="1"/>
  <c r="D57" i="1" s="1"/>
  <c r="H64" i="1"/>
  <c r="D69" i="1" l="1"/>
  <c r="J67" i="1"/>
  <c r="D76" i="1"/>
  <c r="D74" i="1"/>
  <c r="D72" i="1"/>
  <c r="D70" i="1"/>
  <c r="J68" i="1"/>
  <c r="C67" i="1" s="1"/>
  <c r="D67" i="1" s="1"/>
  <c r="J66" i="1"/>
  <c r="J69" i="1"/>
  <c r="J70" i="1" s="1"/>
  <c r="J75" i="1" s="1"/>
  <c r="D75" i="1"/>
  <c r="D71" i="1"/>
  <c r="D73" i="1"/>
  <c r="H78" i="1"/>
  <c r="D85" i="1" l="1"/>
  <c r="D88" i="1"/>
  <c r="J83" i="1"/>
  <c r="J84" i="1" s="1"/>
  <c r="J89" i="1" s="1"/>
  <c r="J90" i="1" s="1"/>
  <c r="J80" i="1"/>
  <c r="D89" i="1"/>
  <c r="J81" i="1"/>
  <c r="D84" i="1"/>
  <c r="D87" i="1"/>
  <c r="D83" i="1"/>
  <c r="J82" i="1"/>
  <c r="C81" i="1" s="1"/>
  <c r="D90" i="1"/>
  <c r="D86" i="1"/>
  <c r="J76" i="1"/>
  <c r="C68" i="1" s="1"/>
  <c r="E67" i="1" s="1"/>
  <c r="I63" i="1" l="1"/>
  <c r="C65" i="1" s="1"/>
  <c r="C82" i="1"/>
  <c r="E81" i="1" s="1"/>
  <c r="C91" i="1" s="1"/>
  <c r="D81" i="1"/>
  <c r="G67" i="1"/>
  <c r="D68" i="1"/>
  <c r="D61" i="1" l="1"/>
  <c r="D62" i="1" s="1"/>
  <c r="G81" i="1"/>
  <c r="G91" i="1" s="1"/>
  <c r="D82" i="1"/>
  <c r="I77" i="1"/>
  <c r="C79" i="1" s="1"/>
  <c r="F62" i="1" l="1"/>
</calcChain>
</file>

<file path=xl/sharedStrings.xml><?xml version="1.0" encoding="utf-8"?>
<sst xmlns="http://schemas.openxmlformats.org/spreadsheetml/2006/main" count="374" uniqueCount="242">
  <si>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</si>
  <si>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</si>
  <si>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</si>
  <si>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</si>
  <si>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</si>
  <si>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</si>
  <si>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</si>
  <si>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</si>
  <si>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</si>
  <si>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</si>
  <si>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</si>
  <si>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</si>
  <si>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</si>
  <si>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</si>
  <si>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</si>
  <si>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</si>
  <si>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</si>
  <si>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</si>
  <si>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</si>
  <si>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</si>
  <si>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</si>
  <si>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</si>
  <si>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</si>
  <si>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</si>
  <si>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</si>
  <si>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</si>
  <si>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</si>
  <si>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</si>
  <si>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</si>
  <si>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</si>
  <si>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</si>
  <si>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</si>
  <si>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</si>
  <si>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</si>
  <si>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</si>
  <si>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</si>
  <si>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</si>
  <si>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</si>
  <si>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</si>
  <si>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</si>
  <si>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</si>
  <si>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</si>
  <si>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</si>
  <si>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</si>
  <si>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</si>
  <si>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</si>
  <si>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</si>
  <si>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</si>
  <si>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</si>
  <si>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</si>
  <si>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</si>
  <si>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</si>
  <si>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</si>
  <si>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</si>
  <si>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</si>
  <si>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</si>
  <si>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</si>
  <si>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</si>
  <si>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</si>
  <si>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</si>
  <si>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</si>
  <si>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</si>
  <si>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</si>
  <si>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</si>
  <si>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</si>
  <si>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</si>
  <si>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</si>
  <si>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</si>
  <si>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</si>
  <si>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</si>
  <si>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</si>
  <si>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</si>
  <si>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</si>
  <si>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</si>
  <si>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</si>
  <si>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</si>
  <si>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</si>
  <si>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</si>
  <si>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</si>
  <si>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</si>
  <si>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</si>
  <si>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</si>
  <si>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</si>
  <si>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</si>
  <si>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</si>
  <si>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</si>
  <si>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</si>
  <si>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</si>
  <si>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</si>
  <si>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</si>
  <si>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</si>
  <si>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</si>
  <si>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</si>
  <si>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</si>
  <si>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</si>
  <si>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</si>
  <si>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</si>
  <si>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</si>
  <si>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</si>
  <si>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</si>
  <si>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</si>
  <si>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</si>
  <si>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</si>
  <si>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</si>
  <si>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</si>
  <si>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</si>
  <si>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</si>
  <si>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</si>
  <si>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</si>
  <si>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</si>
  <si>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</si>
  <si>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</si>
  <si>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</si>
  <si>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</si>
  <si>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</si>
  <si>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</si>
  <si>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</si>
  <si>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</si>
  <si>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</si>
  <si>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</si>
  <si>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</si>
  <si>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</si>
  <si>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</si>
  <si>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</si>
  <si>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</si>
  <si>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</si>
  <si>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</si>
  <si>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</si>
  <si>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</si>
  <si>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</si>
  <si>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</si>
  <si>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</si>
  <si>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</si>
  <si>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</si>
  <si>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</si>
  <si>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</si>
  <si>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</si>
  <si>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</si>
  <si>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</si>
  <si>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</si>
  <si>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</si>
  <si>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</si>
  <si>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</si>
  <si>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</si>
  <si>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</si>
  <si>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</si>
  <si>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</si>
  <si>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</si>
  <si>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</si>
  <si>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</si>
  <si>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</si>
  <si>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</si>
  <si>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</si>
  <si>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</si>
  <si>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</si>
  <si>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</si>
  <si>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</si>
  <si>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</si>
  <si>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</si>
  <si>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</si>
  <si>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</si>
  <si>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</si>
  <si>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</si>
  <si>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</si>
  <si>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</si>
  <si>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</si>
  <si>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</si>
  <si>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Shop</t>
  </si>
  <si>
    <t>Ground Floor for Commercial &amp; Parking</t>
  </si>
  <si>
    <t>1st &amp; 2nd Floor for Parking</t>
  </si>
  <si>
    <t>3rd Floor for Recreational Area</t>
  </si>
  <si>
    <t xml:space="preserve">11th Floor </t>
  </si>
  <si>
    <t>1BHK</t>
  </si>
  <si>
    <t>3BHK</t>
  </si>
  <si>
    <t>2BHK</t>
  </si>
  <si>
    <t>12th, 13th &amp; 14th Floor</t>
  </si>
  <si>
    <t>4th, 5th, 6th, 7th, 9th Floor for Residential</t>
  </si>
  <si>
    <t>8th Floor (Part Refuge Area)</t>
  </si>
  <si>
    <t>10th Floor (Part Terrace Area)</t>
  </si>
  <si>
    <t>Flats - 102, Shops - 13</t>
  </si>
  <si>
    <t>Axis Sanpada</t>
  </si>
  <si>
    <t>M/s.Millennium Infra</t>
  </si>
  <si>
    <t>Millennium Flora</t>
  </si>
  <si>
    <t>8080522229/9323035239</t>
  </si>
  <si>
    <t>1 Building</t>
  </si>
  <si>
    <t>P52000033391</t>
  </si>
  <si>
    <t>Plot No</t>
  </si>
  <si>
    <t>Raigad</t>
  </si>
  <si>
    <t>09, Sector - 17</t>
  </si>
  <si>
    <t>2.1 KM from Khandeshwar Railway Station</t>
  </si>
  <si>
    <t>IIG road</t>
  </si>
  <si>
    <t>Panvel</t>
  </si>
  <si>
    <t>Asha Harmony</t>
  </si>
  <si>
    <t>MPEDA Regional Centre</t>
  </si>
  <si>
    <t>Internal road</t>
  </si>
  <si>
    <t>Aura luxisca</t>
  </si>
  <si>
    <t>More Hospital</t>
  </si>
  <si>
    <t>PMP/NRV/16092/JK-128/2022</t>
  </si>
  <si>
    <t>PMC/TP/N.Panvel/1709/21-22/16092/128/2022</t>
  </si>
  <si>
    <t>Valid Up to:  G/St + 1st to 14th Floor</t>
  </si>
  <si>
    <t>G/St + 1st to 14th Floor</t>
  </si>
  <si>
    <t>As per RERA - 31/08/2026</t>
  </si>
  <si>
    <t>Legal Charges</t>
  </si>
  <si>
    <t>Club membership</t>
  </si>
  <si>
    <t xml:space="preserve">Builder Saleable area </t>
  </si>
  <si>
    <t>We considered Gross carpet area = Net carpet + Balcony .</t>
  </si>
  <si>
    <t>50/- from 4th Floor</t>
  </si>
  <si>
    <t>New Panvel</t>
  </si>
  <si>
    <t>Builder Saleable area</t>
  </si>
  <si>
    <t>Panvel Municipal Corporation</t>
  </si>
  <si>
    <t>401,..,901</t>
  </si>
  <si>
    <t>402,..,902</t>
  </si>
  <si>
    <t>403,..,903</t>
  </si>
  <si>
    <t>404,..,904</t>
  </si>
  <si>
    <t>405,..,905</t>
  </si>
  <si>
    <t>406,..,906</t>
  </si>
  <si>
    <t>407,..,907</t>
  </si>
  <si>
    <t>408,..,908</t>
  </si>
  <si>
    <t>409,..,909</t>
  </si>
  <si>
    <t>410,..,910</t>
  </si>
  <si>
    <t>411,..,911</t>
  </si>
  <si>
    <t>412,..,912</t>
  </si>
  <si>
    <t>Shops</t>
  </si>
  <si>
    <t>Flats</t>
  </si>
  <si>
    <t xml:space="preserve">1.Vitrified tiles flooring 2. Granite Kitchen Platform  3. Decorative Enternace  etc. 
</t>
  </si>
  <si>
    <t>Mr smith pal</t>
  </si>
  <si>
    <t>cost sheet</t>
  </si>
  <si>
    <t>8000 to 8500</t>
  </si>
  <si>
    <t>16000 to 17000</t>
  </si>
  <si>
    <t>On Site, we meet Miss. Shaila - 7400449982.</t>
  </si>
  <si>
    <t>Location Link</t>
  </si>
  <si>
    <t>Latitude, Longitude</t>
  </si>
  <si>
    <t>https://goo.gl/maps/GejAYYv1z2cUVvYv5?coh=178572&amp;entry=tt</t>
  </si>
  <si>
    <t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</t>
  </si>
  <si>
    <t>Part I = G/St + 1st to 14th Floor</t>
  </si>
  <si>
    <t>Part II = G/St + 1st to 14th Floor</t>
  </si>
  <si>
    <t>Average Progress %
(Part I &amp; II)</t>
  </si>
  <si>
    <t>Average Disbursement %(Part I &amp; II)</t>
  </si>
  <si>
    <t>19.0077184,73.1041488</t>
  </si>
  <si>
    <t xml:space="preserve">Part I = Construction work is in process at the time of Visit.
Part II = Work is same as last visit (08/08/2024).
</t>
  </si>
  <si>
    <t>Pooja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</si>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</sst>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5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0" fontId="7" fillId="3" borderId="0" xfId="1" applyFont="1" applyFill="1"/>
    <xf numFmtId="14" fontId="7" fillId="3" borderId="0" xfId="1" applyNumberFormat="1" applyFont="1" applyFill="1"/>
    <xf numFmtId="0" fontId="7" fillId="3" borderId="0" xfId="1" applyFont="1" applyFill="1" applyAlignment="1">
      <alignment wrapText="1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29" xfId="1" applyFont="1" applyBorder="1" applyAlignment="1" applyProtection="1">
      <alignment horizontal="center" vertical="center" wrapText="1"/>
      <protection locked="0"/>
    </xf>
    <xf numFmtId="0" fontId="13" fillId="0" borderId="30" xfId="1" applyFont="1" applyBorder="1" applyAlignment="1" applyProtection="1">
      <alignment horizontal="center" vertical="center" wrapText="1"/>
      <protection locked="0"/>
    </xf>
    <xf numFmtId="0" fontId="13" fillId="0" borderId="31" xfId="1" applyFont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center" vertical="center" wrapText="1"/>
      <protection locked="0"/>
    </xf>
    <xf numFmtId="9" fontId="13" fillId="0" borderId="32" xfId="1" applyNumberFormat="1" applyFont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13" fillId="0" borderId="32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8" fontId="12" fillId="2" borderId="1" xfId="8" applyNumberFormat="1" applyFont="1" applyFill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8" fontId="12" fillId="2" borderId="1" xfId="8" applyNumberFormat="1" applyFont="1" applyFill="1" applyBorder="1" applyAlignment="1" applyProtection="1">
      <alignment horizontal="righ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4" fillId="0" borderId="8" xfId="9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" xfId="8" builtinId="3"/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246</xdr:row>
      <xdr:rowOff>65555</xdr:rowOff>
    </xdr:from>
    <xdr:to>
      <xdr:col>6</xdr:col>
      <xdr:colOff>25700</xdr:colOff>
      <xdr:row>260</xdr:row>
      <xdr:rowOff>121673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8079" y="49225761"/>
          <a:ext cx="4096797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435400</xdr:colOff>
      <xdr:row>261</xdr:row>
      <xdr:rowOff>75670</xdr:rowOff>
    </xdr:from>
    <xdr:to>
      <xdr:col>6</xdr:col>
      <xdr:colOff>4865</xdr:colOff>
      <xdr:row>275</xdr:row>
      <xdr:rowOff>131788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3429" y="52261464"/>
          <a:ext cx="4040612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265214</xdr:colOff>
      <xdr:row>204</xdr:row>
      <xdr:rowOff>104775</xdr:rowOff>
    </xdr:from>
    <xdr:to>
      <xdr:col>12</xdr:col>
      <xdr:colOff>312925</xdr:colOff>
      <xdr:row>207</xdr:row>
      <xdr:rowOff>0</xdr:rowOff>
    </xdr:to>
    <xdr:sp macro="" textlink="">
      <xdr:nvSpPr>
        <xdr:cNvPr id="50" name="Rectangle 49"/>
        <xdr:cNvSpPr/>
      </xdr:nvSpPr>
      <xdr:spPr>
        <a:xfrm>
          <a:off x="9466364" y="43957875"/>
          <a:ext cx="752561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solidFill>
                <a:srgbClr val="C00000"/>
              </a:solidFill>
            </a:rPr>
            <a:t>Part I</a:t>
          </a:r>
        </a:p>
      </xdr:txBody>
    </xdr:sp>
    <xdr:clientData/>
  </xdr:twoCellAnchor>
  <xdr:twoCellAnchor>
    <xdr:from>
      <xdr:col>11</xdr:col>
      <xdr:colOff>222250</xdr:colOff>
      <xdr:row>206</xdr:row>
      <xdr:rowOff>85644</xdr:rowOff>
    </xdr:from>
    <xdr:to>
      <xdr:col>11</xdr:col>
      <xdr:colOff>534383</xdr:colOff>
      <xdr:row>207</xdr:row>
      <xdr:rowOff>171450</xdr:rowOff>
    </xdr:to>
    <xdr:cxnSp macro="">
      <xdr:nvCxnSpPr>
        <xdr:cNvPr id="51" name="Straight Arrow Connector 50"/>
        <xdr:cNvCxnSpPr/>
      </xdr:nvCxnSpPr>
      <xdr:spPr>
        <a:xfrm flipH="1">
          <a:off x="9423400" y="44338794"/>
          <a:ext cx="312133" cy="28583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262040</xdr:colOff>
      <xdr:row>205</xdr:row>
      <xdr:rowOff>142876</xdr:rowOff>
    </xdr:from>
    <xdr:to>
      <xdr:col>13</xdr:col>
      <xdr:colOff>292101</xdr:colOff>
      <xdr:row>208</xdr:row>
      <xdr:rowOff>6351</xdr:rowOff>
    </xdr:to>
    <xdr:sp macro="" textlink="">
      <xdr:nvSpPr>
        <xdr:cNvPr id="52" name="Rectangle 51"/>
        <xdr:cNvSpPr/>
      </xdr:nvSpPr>
      <xdr:spPr>
        <a:xfrm>
          <a:off x="10168040" y="44196001"/>
          <a:ext cx="820636" cy="454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solidFill>
                <a:srgbClr val="C00000"/>
              </a:solidFill>
            </a:rPr>
            <a:t>Part II</a:t>
          </a:r>
        </a:p>
      </xdr:txBody>
    </xdr:sp>
    <xdr:clientData/>
  </xdr:twoCellAnchor>
  <xdr:twoCellAnchor>
    <xdr:from>
      <xdr:col>12</xdr:col>
      <xdr:colOff>523875</xdr:colOff>
      <xdr:row>207</xdr:row>
      <xdr:rowOff>66511</xdr:rowOff>
    </xdr:from>
    <xdr:to>
      <xdr:col>12</xdr:col>
      <xdr:colOff>561116</xdr:colOff>
      <xdr:row>209</xdr:row>
      <xdr:rowOff>50800</xdr:rowOff>
    </xdr:to>
    <xdr:cxnSp macro="">
      <xdr:nvCxnSpPr>
        <xdr:cNvPr id="53" name="Straight Arrow Connector 52"/>
        <xdr:cNvCxnSpPr/>
      </xdr:nvCxnSpPr>
      <xdr:spPr>
        <a:xfrm flipH="1">
          <a:off x="10429875" y="44519686"/>
          <a:ext cx="37241" cy="37481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57353</xdr:colOff>
      <xdr:row>204</xdr:row>
      <xdr:rowOff>155575</xdr:rowOff>
    </xdr:from>
    <xdr:to>
      <xdr:col>16</xdr:col>
      <xdr:colOff>96939</xdr:colOff>
      <xdr:row>207</xdr:row>
      <xdr:rowOff>12700</xdr:rowOff>
    </xdr:to>
    <xdr:sp macro="" textlink="">
      <xdr:nvSpPr>
        <xdr:cNvPr id="54" name="Rectangle 53"/>
        <xdr:cNvSpPr/>
      </xdr:nvSpPr>
      <xdr:spPr>
        <a:xfrm>
          <a:off x="12249353" y="44008675"/>
          <a:ext cx="820636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solidFill>
                <a:srgbClr val="C00000"/>
              </a:solidFill>
            </a:rPr>
            <a:t>Part II</a:t>
          </a:r>
        </a:p>
      </xdr:txBody>
    </xdr:sp>
    <xdr:clientData/>
  </xdr:twoCellAnchor>
  <xdr:twoCellAnchor>
    <xdr:from>
      <xdr:col>15</xdr:col>
      <xdr:colOff>281088</xdr:colOff>
      <xdr:row>206</xdr:row>
      <xdr:rowOff>79210</xdr:rowOff>
    </xdr:from>
    <xdr:to>
      <xdr:col>15</xdr:col>
      <xdr:colOff>318329</xdr:colOff>
      <xdr:row>208</xdr:row>
      <xdr:rowOff>63499</xdr:rowOff>
    </xdr:to>
    <xdr:cxnSp macro="">
      <xdr:nvCxnSpPr>
        <xdr:cNvPr id="55" name="Straight Arrow Connector 54"/>
        <xdr:cNvCxnSpPr/>
      </xdr:nvCxnSpPr>
      <xdr:spPr>
        <a:xfrm flipH="1">
          <a:off x="12473088" y="44332360"/>
          <a:ext cx="37241" cy="37481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1095375</xdr:colOff>
      <xdr:row>205</xdr:row>
      <xdr:rowOff>147638</xdr:rowOff>
    </xdr:from>
    <xdr:to>
      <xdr:col>17</xdr:col>
      <xdr:colOff>419100</xdr:colOff>
      <xdr:row>244</xdr:row>
      <xdr:rowOff>50212</xdr:rowOff>
    </xdr:to>
    <xdr:grpSp>
      <xdr:nvGrpSpPr>
        <xdr:cNvPr id="4" name="Group 3"/>
        <xdr:cNvGrpSpPr/>
      </xdr:nvGrpSpPr>
      <xdr:grpSpPr>
        <a:xfrm>
          <a:off x="7940675" y="43422888"/>
          <a:ext cx="6715125" cy="7573374"/>
          <a:chOff x="66675" y="44305538"/>
          <a:chExt cx="6381750" cy="7694024"/>
        </a:xfrm>
      </xdr:grpSpPr>
      <xdr:pic>
        <xdr:nvPicPr>
          <xdr:cNvPr id="31" name="Picture 30" descr="https://vsjcllp.vsjadon.com/upload/insp-21701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90826" y="50707765"/>
            <a:ext cx="971550" cy="12917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1701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6675" y="44305538"/>
            <a:ext cx="1657849" cy="22043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17018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05375" y="46596300"/>
            <a:ext cx="1533027" cy="2038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17018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5650" y="46596300"/>
            <a:ext cx="1533027" cy="2038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17018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725" y="46596300"/>
            <a:ext cx="1533027" cy="2038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17018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95450" y="46596300"/>
            <a:ext cx="1533027" cy="2038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17018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00225" y="44305538"/>
            <a:ext cx="1657849" cy="22043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17018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24375" y="48710850"/>
            <a:ext cx="1448167" cy="1933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https://vsjcllp.vsjadon.com/upload/insp-217018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2900" y="48696563"/>
            <a:ext cx="1454227" cy="1933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https://vsjcllp.vsjadon.com/upload/insp-217018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85950" y="48709263"/>
            <a:ext cx="2565019" cy="1933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" name="Group 4"/>
          <xdr:cNvGrpSpPr/>
        </xdr:nvGrpSpPr>
        <xdr:grpSpPr>
          <a:xfrm>
            <a:off x="3524250" y="44308713"/>
            <a:ext cx="2924175" cy="2204316"/>
            <a:chOff x="3524250" y="44099163"/>
            <a:chExt cx="2924175" cy="2204316"/>
          </a:xfrm>
        </xdr:grpSpPr>
        <xdr:pic>
          <xdr:nvPicPr>
            <xdr:cNvPr id="38" name="Picture 37" descr="https://vsjcllp.vsjadon.com/upload/insp-217018-102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24250" y="44099163"/>
              <a:ext cx="2924175" cy="220431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8" name="Rectangle 57"/>
            <xdr:cNvSpPr/>
          </xdr:nvSpPr>
          <xdr:spPr>
            <a:xfrm>
              <a:off x="3771900" y="44165838"/>
              <a:ext cx="752561" cy="4953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IN" sz="1800" b="1">
                  <a:solidFill>
                    <a:srgbClr val="C00000"/>
                  </a:solidFill>
                </a:rPr>
                <a:t>Part I</a:t>
              </a:r>
            </a:p>
          </xdr:txBody>
        </xdr:sp>
        <xdr:sp macro="" textlink="">
          <xdr:nvSpPr>
            <xdr:cNvPr id="59" name="Rectangle 58"/>
            <xdr:cNvSpPr/>
          </xdr:nvSpPr>
          <xdr:spPr>
            <a:xfrm>
              <a:off x="5353050" y="44765913"/>
              <a:ext cx="820636" cy="4540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IN" sz="1800" b="1">
                  <a:solidFill>
                    <a:srgbClr val="C00000"/>
                  </a:solidFill>
                </a:rPr>
                <a:t>Part II</a:t>
              </a:r>
            </a:p>
          </xdr:txBody>
        </xdr:sp>
      </xdr:grpSp>
    </xdr:grpSp>
    <xdr:clientData/>
  </xdr:twoCellAnchor>
  <xdr:twoCellAnchor editAs="oneCell">
    <xdr:from>
      <xdr:col>16</xdr:col>
      <xdr:colOff>136502</xdr:colOff>
      <xdr:row>559</xdr:row>
      <xdr:rowOff>151765</xdr:rowOff>
    </xdr:from>
    <xdr:to>
      <xdr:col>18</xdr:col>
      <xdr:colOff>535615</xdr:colOff>
      <xdr:row>570</xdr:row>
      <xdr:rowOff>111490</xdr:rowOff>
    </xdr:to>
    <xdr:pic>
      <xdr:nvPicPr>
        <xdr:cNvPr id="60" name="Picture 59" descr="https://vsjcllp.vsjadon.com/upload/insp-233957-851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09552" y="115413790"/>
          <a:ext cx="161831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1073150</xdr:colOff>
      <xdr:row>198</xdr:row>
      <xdr:rowOff>167770</xdr:rowOff>
    </xdr:from>
    <xdr:to>
      <xdr:col>9</xdr:col>
      <xdr:colOff>643002</xdr:colOff>
      <xdr:row>199</xdr:row>
      <xdr:rowOff>70298</xdr:rowOff>
    </xdr:to>
    <xdr:sp macro="" textlink="">
      <xdr:nvSpPr>
        <xdr:cNvPr id="40" name="Rectangle 39"/>
        <xdr:cNvSpPr/>
      </xdr:nvSpPr>
      <xdr:spPr>
        <a:xfrm>
          <a:off x="7918450" y="41817420"/>
          <a:ext cx="789052" cy="34702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solidFill>
                <a:sysClr val="windowText" lastClr="000000"/>
              </a:solidFill>
            </a:rPr>
            <a:t>Part II</a:t>
          </a:r>
        </a:p>
      </xdr:txBody>
    </xdr:sp>
    <xdr:clientData/>
  </xdr:twoCellAnchor>
  <xdr:twoCellAnchor>
    <xdr:from>
      <xdr:col>11</xdr:col>
      <xdr:colOff>523481</xdr:colOff>
      <xdr:row>196</xdr:row>
      <xdr:rowOff>120650</xdr:rowOff>
    </xdr:from>
    <xdr:to>
      <xdr:col>12</xdr:col>
      <xdr:colOff>575933</xdr:colOff>
      <xdr:row>198</xdr:row>
      <xdr:rowOff>214666</xdr:rowOff>
    </xdr:to>
    <xdr:sp macro="" textlink="">
      <xdr:nvSpPr>
        <xdr:cNvPr id="41" name="Rectangle 40"/>
        <xdr:cNvSpPr/>
      </xdr:nvSpPr>
      <xdr:spPr>
        <a:xfrm>
          <a:off x="10175481" y="41376600"/>
          <a:ext cx="789052" cy="4877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solidFill>
                <a:sysClr val="windowText" lastClr="000000"/>
              </a:solidFill>
            </a:rPr>
            <a:t>Part I</a:t>
          </a:r>
        </a:p>
      </xdr:txBody>
    </xdr:sp>
    <xdr:clientData/>
  </xdr:twoCellAnchor>
  <xdr:twoCellAnchor>
    <xdr:from>
      <xdr:col>9</xdr:col>
      <xdr:colOff>173531</xdr:colOff>
      <xdr:row>199</xdr:row>
      <xdr:rowOff>51540</xdr:rowOff>
    </xdr:from>
    <xdr:to>
      <xdr:col>9</xdr:col>
      <xdr:colOff>203491</xdr:colOff>
      <xdr:row>203</xdr:row>
      <xdr:rowOff>70746</xdr:rowOff>
    </xdr:to>
    <xdr:cxnSp macro="">
      <xdr:nvCxnSpPr>
        <xdr:cNvPr id="42" name="Straight Arrow Connector 41"/>
        <xdr:cNvCxnSpPr/>
      </xdr:nvCxnSpPr>
      <xdr:spPr>
        <a:xfrm flipH="1">
          <a:off x="8238031" y="42145690"/>
          <a:ext cx="29960" cy="806606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643323</xdr:colOff>
      <xdr:row>198</xdr:row>
      <xdr:rowOff>36462</xdr:rowOff>
    </xdr:from>
    <xdr:to>
      <xdr:col>12</xdr:col>
      <xdr:colOff>86487</xdr:colOff>
      <xdr:row>198</xdr:row>
      <xdr:rowOff>374111</xdr:rowOff>
    </xdr:to>
    <xdr:cxnSp macro="">
      <xdr:nvCxnSpPr>
        <xdr:cNvPr id="43" name="Straight Arrow Connector 42"/>
        <xdr:cNvCxnSpPr/>
      </xdr:nvCxnSpPr>
      <xdr:spPr>
        <a:xfrm flipH="1">
          <a:off x="10295323" y="41686112"/>
          <a:ext cx="179764" cy="33764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177800</xdr:colOff>
      <xdr:row>205</xdr:row>
      <xdr:rowOff>88900</xdr:rowOff>
    </xdr:from>
    <xdr:to>
      <xdr:col>7</xdr:col>
      <xdr:colOff>665875</xdr:colOff>
      <xdr:row>242</xdr:row>
      <xdr:rowOff>88008</xdr:rowOff>
    </xdr:to>
    <xdr:grpSp>
      <xdr:nvGrpSpPr>
        <xdr:cNvPr id="10" name="Group 9"/>
        <xdr:cNvGrpSpPr/>
      </xdr:nvGrpSpPr>
      <xdr:grpSpPr>
        <a:xfrm>
          <a:off x="177800" y="43364150"/>
          <a:ext cx="6463425" cy="7276208"/>
          <a:chOff x="177800" y="43364150"/>
          <a:chExt cx="6463425" cy="7276208"/>
        </a:xfrm>
      </xdr:grpSpPr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6089" y="48480358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4336415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2812" y="4336415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85349" y="46210254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21190" y="46210254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5803" y="48480358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0306" y="4336415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24321" y="4848035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378" y="46210254"/>
            <a:ext cx="28667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1" name="Rectangle 70"/>
          <xdr:cNvSpPr/>
        </xdr:nvSpPr>
        <xdr:spPr>
          <a:xfrm>
            <a:off x="641350" y="43472100"/>
            <a:ext cx="789052" cy="48771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600" b="1">
                <a:solidFill>
                  <a:sysClr val="windowText" lastClr="000000"/>
                </a:solidFill>
              </a:rPr>
              <a:t>Part I</a:t>
            </a:r>
          </a:p>
        </xdr:txBody>
      </xdr:sp>
      <xdr:cxnSp macro="">
        <xdr:nvCxnSpPr>
          <xdr:cNvPr id="72" name="Straight Arrow Connector 71"/>
          <xdr:cNvCxnSpPr/>
        </xdr:nvCxnSpPr>
        <xdr:spPr>
          <a:xfrm flipH="1">
            <a:off x="869950" y="43764200"/>
            <a:ext cx="114300" cy="469900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3" name="Rectangle 72"/>
          <xdr:cNvSpPr/>
        </xdr:nvSpPr>
        <xdr:spPr>
          <a:xfrm>
            <a:off x="3536006" y="43503850"/>
            <a:ext cx="789052" cy="34702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600" b="1">
                <a:solidFill>
                  <a:sysClr val="windowText" lastClr="000000"/>
                </a:solidFill>
              </a:rPr>
              <a:t>Part II</a:t>
            </a:r>
          </a:p>
        </xdr:txBody>
      </xdr:sp>
      <xdr:cxnSp macro="">
        <xdr:nvCxnSpPr>
          <xdr:cNvPr id="74" name="Straight Arrow Connector 73"/>
          <xdr:cNvCxnSpPr/>
        </xdr:nvCxnSpPr>
        <xdr:spPr>
          <a:xfrm flipH="1">
            <a:off x="3855587" y="43832120"/>
            <a:ext cx="29960" cy="806606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ejAYYv1z2cUVvYv5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45"/>
  <sheetViews>
    <sheetView tabSelected="1" view="pageBreakPreview" zoomScaleNormal="100" zoomScaleSheetLayoutView="100" workbookViewId="0">
      <selection activeCell="E6" sqref="E6:H6"/>
    </sheetView>
  </sheetViews>
  <sheetFormatPr defaultColWidth="9.1796875" defaultRowHeight="15.5" x14ac:dyDescent="0.35"/>
  <cols>
    <col min="1" max="1" width="11.453125" style="11" customWidth="1"/>
    <col min="2" max="2" width="12" style="11" customWidth="1"/>
    <col min="3" max="3" width="12.7265625" style="11" customWidth="1"/>
    <col min="4" max="4" width="14.1796875" style="11" customWidth="1"/>
    <col min="5" max="7" width="11.7265625" style="11" customWidth="1"/>
    <col min="8" max="8" width="12.453125" style="11" customWidth="1"/>
    <col min="9" max="9" width="17.453125" style="3" customWidth="1"/>
    <col min="10" max="10" width="11.453125" style="3" customWidth="1"/>
    <col min="11" max="11" width="11.26953125" style="3" bestFit="1" customWidth="1"/>
    <col min="12" max="12" width="10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49" t="s">
        <v>233</v>
      </c>
      <c r="B1" s="149"/>
      <c r="C1" s="149"/>
      <c r="D1" s="149"/>
      <c r="E1" s="149"/>
      <c r="F1" s="149"/>
      <c r="G1" s="149"/>
      <c r="H1" s="149"/>
    </row>
    <row r="2" spans="1:8" ht="16.5" customHeight="1" x14ac:dyDescent="0.35">
      <c r="A2" s="100" t="s">
        <v>0</v>
      </c>
      <c r="B2" s="100"/>
      <c r="C2" s="100"/>
      <c r="D2" s="100"/>
      <c r="E2" s="100"/>
      <c r="F2" s="100"/>
      <c r="G2" s="100"/>
      <c r="H2" s="100"/>
    </row>
    <row r="3" spans="1:8" x14ac:dyDescent="0.35">
      <c r="A3" s="104" t="s">
        <v>1</v>
      </c>
      <c r="B3" s="104"/>
      <c r="C3" s="104"/>
      <c r="D3" s="104"/>
      <c r="E3" s="148" t="str">
        <f ca="1">TEXT(TODAY(),"DD/MM/YYYY")</f>
        <v>14/08/2025</v>
      </c>
      <c r="F3" s="148"/>
      <c r="G3" s="148"/>
      <c r="H3" s="148"/>
    </row>
    <row r="4" spans="1:8" ht="15" customHeight="1" x14ac:dyDescent="0.35">
      <c r="A4" s="104" t="s">
        <v>2</v>
      </c>
      <c r="B4" s="104"/>
      <c r="C4" s="104"/>
      <c r="D4" s="104"/>
      <c r="E4" s="144" t="s">
        <v>180</v>
      </c>
      <c r="F4" s="144"/>
      <c r="G4" s="144"/>
      <c r="H4" s="144"/>
    </row>
    <row r="5" spans="1:8" x14ac:dyDescent="0.35">
      <c r="A5" s="104" t="s">
        <v>3</v>
      </c>
      <c r="B5" s="104"/>
      <c r="C5" s="104"/>
      <c r="D5" s="104"/>
      <c r="E5" s="148">
        <v>45881</v>
      </c>
      <c r="F5" s="148"/>
      <c r="G5" s="148"/>
      <c r="H5" s="148"/>
    </row>
    <row r="6" spans="1:8" ht="16.5" customHeight="1" x14ac:dyDescent="0.35">
      <c r="A6" s="104" t="s">
        <v>4</v>
      </c>
      <c r="B6" s="104"/>
      <c r="C6" s="104"/>
      <c r="D6" s="104"/>
      <c r="E6" s="143" t="s">
        <v>181</v>
      </c>
      <c r="F6" s="143"/>
      <c r="G6" s="143"/>
      <c r="H6" s="143"/>
    </row>
    <row r="7" spans="1:8" ht="15" customHeight="1" x14ac:dyDescent="0.35">
      <c r="A7" s="104" t="s">
        <v>5</v>
      </c>
      <c r="B7" s="104"/>
      <c r="C7" s="104"/>
      <c r="D7" s="104"/>
      <c r="E7" s="143" t="str">
        <f>E6</f>
        <v>M/s.Millennium Infra</v>
      </c>
      <c r="F7" s="143"/>
      <c r="G7" s="143"/>
      <c r="H7" s="143"/>
    </row>
    <row r="8" spans="1:8" x14ac:dyDescent="0.35">
      <c r="A8" s="104" t="s">
        <v>6</v>
      </c>
      <c r="B8" s="104"/>
      <c r="C8" s="104"/>
      <c r="D8" s="104"/>
      <c r="E8" s="137" t="s">
        <v>182</v>
      </c>
      <c r="F8" s="137"/>
      <c r="G8" s="137"/>
      <c r="H8" s="137"/>
    </row>
    <row r="9" spans="1:8" x14ac:dyDescent="0.35">
      <c r="A9" s="104" t="s">
        <v>132</v>
      </c>
      <c r="B9" s="104"/>
      <c r="C9" s="104"/>
      <c r="D9" s="104"/>
      <c r="E9" s="104" t="s">
        <v>183</v>
      </c>
      <c r="F9" s="104"/>
      <c r="G9" s="104"/>
      <c r="H9" s="104"/>
    </row>
    <row r="10" spans="1:8" x14ac:dyDescent="0.35">
      <c r="A10" s="145" t="s">
        <v>7</v>
      </c>
      <c r="B10" s="145"/>
      <c r="C10" s="145"/>
      <c r="D10" s="145"/>
      <c r="E10" s="145" t="s">
        <v>184</v>
      </c>
      <c r="F10" s="145"/>
      <c r="G10" s="145"/>
      <c r="H10" s="145"/>
    </row>
    <row r="11" spans="1:8" ht="32.25" customHeight="1" x14ac:dyDescent="0.35">
      <c r="A11" s="104" t="s">
        <v>8</v>
      </c>
      <c r="B11" s="104"/>
      <c r="C11" s="104"/>
      <c r="D11" s="104"/>
      <c r="E11" s="142" t="s">
        <v>113</v>
      </c>
      <c r="F11" s="142"/>
      <c r="G11" s="142"/>
      <c r="H11" s="142"/>
    </row>
    <row r="12" spans="1:8" x14ac:dyDescent="0.35">
      <c r="A12" s="104" t="s">
        <v>9</v>
      </c>
      <c r="B12" s="104"/>
      <c r="C12" s="104"/>
      <c r="D12" s="104"/>
      <c r="E12" s="142" t="s">
        <v>185</v>
      </c>
      <c r="F12" s="145"/>
      <c r="G12" s="145"/>
      <c r="H12" s="145"/>
    </row>
    <row r="13" spans="1:8" ht="34.5" customHeight="1" x14ac:dyDescent="0.35">
      <c r="A13" s="143" t="s">
        <v>10</v>
      </c>
      <c r="B13" s="143"/>
      <c r="C13" s="14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Millennium Flora, Plot No.09, Sector - 17, near Asha Harmony, IIG road, New Panvel, New Panvel, Panvel, Raigad - 410206.</v>
      </c>
      <c r="D13" s="143"/>
      <c r="E13" s="143"/>
      <c r="F13" s="143"/>
      <c r="G13" s="143"/>
      <c r="H13" s="143"/>
    </row>
    <row r="14" spans="1:8" x14ac:dyDescent="0.35">
      <c r="A14" s="143" t="s">
        <v>186</v>
      </c>
      <c r="B14" s="143"/>
      <c r="C14" s="142" t="s">
        <v>188</v>
      </c>
      <c r="D14" s="142"/>
      <c r="E14" s="142"/>
      <c r="F14" s="142"/>
      <c r="G14" s="142"/>
      <c r="H14" s="142"/>
    </row>
    <row r="15" spans="1:8" ht="15.75" customHeight="1" x14ac:dyDescent="0.35">
      <c r="A15" s="143" t="s">
        <v>11</v>
      </c>
      <c r="B15" s="143"/>
      <c r="C15" s="145" t="s">
        <v>190</v>
      </c>
      <c r="D15" s="145"/>
      <c r="E15" s="143" t="s">
        <v>78</v>
      </c>
      <c r="F15" s="143"/>
      <c r="G15" s="142" t="s">
        <v>207</v>
      </c>
      <c r="H15" s="142"/>
    </row>
    <row r="16" spans="1:8" x14ac:dyDescent="0.35">
      <c r="A16" s="104" t="s">
        <v>13</v>
      </c>
      <c r="B16" s="104"/>
      <c r="C16" s="142" t="s">
        <v>207</v>
      </c>
      <c r="D16" s="142"/>
      <c r="E16" s="143" t="s">
        <v>12</v>
      </c>
      <c r="F16" s="143"/>
      <c r="G16" s="146" t="s">
        <v>187</v>
      </c>
      <c r="H16" s="146"/>
    </row>
    <row r="17" spans="1:8" x14ac:dyDescent="0.35">
      <c r="A17" s="104" t="s">
        <v>79</v>
      </c>
      <c r="B17" s="104"/>
      <c r="C17" s="142" t="s">
        <v>191</v>
      </c>
      <c r="D17" s="142"/>
      <c r="E17" s="143" t="s">
        <v>14</v>
      </c>
      <c r="F17" s="143"/>
      <c r="G17" s="142">
        <v>410206</v>
      </c>
      <c r="H17" s="142"/>
    </row>
    <row r="18" spans="1:8" ht="32.25" customHeight="1" x14ac:dyDescent="0.35">
      <c r="A18" s="104" t="s">
        <v>133</v>
      </c>
      <c r="B18" s="104"/>
      <c r="C18" s="147" t="s">
        <v>192</v>
      </c>
      <c r="D18" s="147"/>
      <c r="E18" s="143" t="s">
        <v>15</v>
      </c>
      <c r="F18" s="143"/>
      <c r="G18" s="142" t="s">
        <v>189</v>
      </c>
      <c r="H18" s="142"/>
    </row>
    <row r="19" spans="1:8" ht="15" customHeight="1" x14ac:dyDescent="0.35">
      <c r="A19" s="143" t="s">
        <v>82</v>
      </c>
      <c r="B19" s="143"/>
      <c r="C19" s="143"/>
      <c r="D19" s="143"/>
      <c r="E19" s="145" t="s">
        <v>16</v>
      </c>
      <c r="F19" s="145"/>
      <c r="G19" s="145"/>
      <c r="H19" s="145"/>
    </row>
    <row r="20" spans="1:8" ht="18.75" customHeight="1" x14ac:dyDescent="0.35">
      <c r="A20" s="143"/>
      <c r="B20" s="143"/>
      <c r="C20" s="143"/>
      <c r="D20" s="143"/>
      <c r="E20" s="145"/>
      <c r="F20" s="145"/>
      <c r="G20" s="145"/>
      <c r="H20" s="145"/>
    </row>
    <row r="21" spans="1:8" ht="15" customHeight="1" x14ac:dyDescent="0.35">
      <c r="A21" s="143" t="s">
        <v>17</v>
      </c>
      <c r="B21" s="143"/>
      <c r="C21" s="143"/>
      <c r="D21" s="143"/>
      <c r="E21" s="142" t="s">
        <v>18</v>
      </c>
      <c r="F21" s="142"/>
      <c r="G21" s="142"/>
      <c r="H21" s="142"/>
    </row>
    <row r="22" spans="1:8" ht="15" customHeight="1" x14ac:dyDescent="0.35">
      <c r="A22" s="104" t="s">
        <v>19</v>
      </c>
      <c r="B22" s="104"/>
      <c r="C22" s="104"/>
      <c r="D22" s="104"/>
      <c r="E22" s="142" t="str">
        <f>IF(AND(G16="Mumbai"),"Upper Class","Middle Class")</f>
        <v>Middle Class</v>
      </c>
      <c r="F22" s="142"/>
      <c r="G22" s="142"/>
      <c r="H22" s="142"/>
    </row>
    <row r="23" spans="1:8" x14ac:dyDescent="0.35">
      <c r="A23" s="104" t="s">
        <v>20</v>
      </c>
      <c r="B23" s="104"/>
      <c r="C23" s="104"/>
      <c r="D23" s="104"/>
      <c r="E23" s="142" t="s">
        <v>21</v>
      </c>
      <c r="F23" s="142"/>
      <c r="G23" s="142"/>
      <c r="H23" s="142"/>
    </row>
    <row r="24" spans="1:8" ht="15.75" customHeight="1" x14ac:dyDescent="0.35">
      <c r="A24" s="104" t="s">
        <v>22</v>
      </c>
      <c r="B24" s="104"/>
      <c r="C24" s="104"/>
      <c r="D24" s="104"/>
      <c r="E24" s="142" t="str">
        <f>IF(AND(G16="Mumbai"),"Developed","Developing")</f>
        <v>Developing</v>
      </c>
      <c r="F24" s="142"/>
      <c r="G24" s="142"/>
      <c r="H24" s="142"/>
    </row>
    <row r="25" spans="1:8" x14ac:dyDescent="0.35">
      <c r="A25" s="104" t="s">
        <v>23</v>
      </c>
      <c r="B25" s="104"/>
      <c r="C25" s="104"/>
      <c r="D25" s="104"/>
      <c r="E25" s="142" t="s">
        <v>24</v>
      </c>
      <c r="F25" s="142"/>
      <c r="G25" s="142"/>
      <c r="H25" s="142"/>
    </row>
    <row r="26" spans="1:8" x14ac:dyDescent="0.35">
      <c r="A26" s="104" t="s">
        <v>87</v>
      </c>
      <c r="B26" s="104"/>
      <c r="C26" s="104"/>
      <c r="D26" s="104"/>
      <c r="E26" s="142" t="s">
        <v>88</v>
      </c>
      <c r="F26" s="142"/>
      <c r="G26" s="142"/>
      <c r="H26" s="142"/>
    </row>
    <row r="27" spans="1:8" ht="15" customHeight="1" x14ac:dyDescent="0.35">
      <c r="A27" s="143" t="s">
        <v>33</v>
      </c>
      <c r="B27" s="143"/>
      <c r="C27" s="143"/>
      <c r="D27" s="143"/>
      <c r="E27" s="144" t="str">
        <f>IF(ISNUMBER(SEARCH("Shop",D53)),"Residential + Commercial",IF(ISNUMBER(SEARCH("Office",D53)),"Residential + Commercial",IF(SEARCH("Flats",D53),"Residential","")))</f>
        <v>Residential + Commercial</v>
      </c>
      <c r="F27" s="144"/>
      <c r="G27" s="144"/>
      <c r="H27" s="144"/>
    </row>
    <row r="28" spans="1:8" x14ac:dyDescent="0.35">
      <c r="A28" s="143" t="s">
        <v>99</v>
      </c>
      <c r="B28" s="143"/>
      <c r="C28" s="143"/>
      <c r="D28" s="143"/>
      <c r="E28" s="143" t="s">
        <v>34</v>
      </c>
      <c r="F28" s="143"/>
      <c r="G28" s="143"/>
      <c r="H28" s="143"/>
    </row>
    <row r="29" spans="1:8" s="6" customFormat="1" x14ac:dyDescent="0.35">
      <c r="A29" s="136" t="s">
        <v>100</v>
      </c>
      <c r="B29" s="136"/>
      <c r="C29" s="134" t="s">
        <v>29</v>
      </c>
      <c r="D29" s="134"/>
      <c r="E29" s="134"/>
      <c r="F29" s="134" t="s">
        <v>31</v>
      </c>
      <c r="G29" s="134"/>
      <c r="H29" s="134"/>
    </row>
    <row r="30" spans="1:8" s="6" customFormat="1" x14ac:dyDescent="0.35">
      <c r="A30" s="135" t="s">
        <v>25</v>
      </c>
      <c r="B30" s="135" t="s">
        <v>30</v>
      </c>
      <c r="C30" s="133" t="s">
        <v>30</v>
      </c>
      <c r="D30" s="133"/>
      <c r="E30" s="133"/>
      <c r="F30" s="133" t="s">
        <v>193</v>
      </c>
      <c r="G30" s="133"/>
      <c r="H30" s="133"/>
    </row>
    <row r="31" spans="1:8" x14ac:dyDescent="0.35">
      <c r="A31" s="135" t="s">
        <v>26</v>
      </c>
      <c r="B31" s="135" t="s">
        <v>30</v>
      </c>
      <c r="C31" s="133" t="s">
        <v>30</v>
      </c>
      <c r="D31" s="133"/>
      <c r="E31" s="133"/>
      <c r="F31" s="133" t="s">
        <v>194</v>
      </c>
      <c r="G31" s="133"/>
      <c r="H31" s="133"/>
    </row>
    <row r="32" spans="1:8" s="6" customFormat="1" x14ac:dyDescent="0.35">
      <c r="A32" s="135" t="s">
        <v>28</v>
      </c>
      <c r="B32" s="135" t="s">
        <v>30</v>
      </c>
      <c r="C32" s="133" t="s">
        <v>30</v>
      </c>
      <c r="D32" s="133"/>
      <c r="E32" s="133"/>
      <c r="F32" s="133" t="s">
        <v>195</v>
      </c>
      <c r="G32" s="133"/>
      <c r="H32" s="133"/>
    </row>
    <row r="33" spans="1:8" x14ac:dyDescent="0.35">
      <c r="A33" s="135" t="s">
        <v>27</v>
      </c>
      <c r="B33" s="135" t="s">
        <v>30</v>
      </c>
      <c r="C33" s="133" t="s">
        <v>30</v>
      </c>
      <c r="D33" s="133"/>
      <c r="E33" s="133"/>
      <c r="F33" s="133" t="s">
        <v>196</v>
      </c>
      <c r="G33" s="133"/>
      <c r="H33" s="133"/>
    </row>
    <row r="34" spans="1:8" x14ac:dyDescent="0.35">
      <c r="A34" s="104" t="s">
        <v>32</v>
      </c>
      <c r="B34" s="104"/>
      <c r="C34" s="104"/>
      <c r="D34" s="104"/>
      <c r="E34" s="104"/>
      <c r="F34" s="104"/>
      <c r="G34" s="104"/>
      <c r="H34" s="104"/>
    </row>
    <row r="35" spans="1:8" ht="15.75" customHeight="1" x14ac:dyDescent="0.35">
      <c r="A35" s="100" t="s">
        <v>231</v>
      </c>
      <c r="B35" s="100"/>
      <c r="C35" s="141" t="s">
        <v>238</v>
      </c>
      <c r="D35" s="139"/>
      <c r="E35" s="139"/>
      <c r="F35" s="139"/>
      <c r="G35" s="139"/>
      <c r="H35" s="140"/>
    </row>
    <row r="36" spans="1:8" ht="15.75" customHeight="1" x14ac:dyDescent="0.35">
      <c r="A36" s="100" t="s">
        <v>230</v>
      </c>
      <c r="B36" s="100"/>
      <c r="C36" s="138" t="s">
        <v>232</v>
      </c>
      <c r="D36" s="139"/>
      <c r="E36" s="139"/>
      <c r="F36" s="139"/>
      <c r="G36" s="139"/>
      <c r="H36" s="140"/>
    </row>
    <row r="37" spans="1:8" x14ac:dyDescent="0.35">
      <c r="A37" s="137" t="s">
        <v>35</v>
      </c>
      <c r="B37" s="137"/>
      <c r="C37" s="137"/>
      <c r="D37" s="137"/>
      <c r="E37" s="137"/>
      <c r="F37" s="137"/>
      <c r="G37" s="137"/>
      <c r="H37" s="137"/>
    </row>
    <row r="38" spans="1:8" x14ac:dyDescent="0.35">
      <c r="A38" s="104" t="s">
        <v>36</v>
      </c>
      <c r="B38" s="104"/>
      <c r="C38" s="104"/>
      <c r="D38" s="104"/>
      <c r="E38" s="132">
        <v>2743.42</v>
      </c>
      <c r="F38" s="132"/>
      <c r="G38" s="132"/>
      <c r="H38" s="132"/>
    </row>
    <row r="39" spans="1:8" x14ac:dyDescent="0.35">
      <c r="A39" s="104" t="s">
        <v>37</v>
      </c>
      <c r="B39" s="104"/>
      <c r="C39" s="104"/>
      <c r="D39" s="104"/>
      <c r="E39" s="151">
        <v>1.5</v>
      </c>
      <c r="F39" s="151"/>
      <c r="G39" s="151"/>
      <c r="H39" s="151"/>
    </row>
    <row r="40" spans="1:8" x14ac:dyDescent="0.35">
      <c r="A40" s="104" t="s">
        <v>38</v>
      </c>
      <c r="B40" s="104"/>
      <c r="C40" s="104"/>
      <c r="D40" s="104"/>
      <c r="E40" s="151">
        <f>E42/E38-E39</f>
        <v>1.7165020303125296</v>
      </c>
      <c r="F40" s="151"/>
      <c r="G40" s="151"/>
      <c r="H40" s="151"/>
    </row>
    <row r="41" spans="1:8" x14ac:dyDescent="0.35">
      <c r="A41" s="104" t="s">
        <v>39</v>
      </c>
      <c r="B41" s="104"/>
      <c r="C41" s="104"/>
      <c r="D41" s="104"/>
      <c r="E41" s="151">
        <f>E39+E40</f>
        <v>3.2165020303125296</v>
      </c>
      <c r="F41" s="151"/>
      <c r="G41" s="151"/>
      <c r="H41" s="151"/>
    </row>
    <row r="42" spans="1:8" x14ac:dyDescent="0.35">
      <c r="A42" s="104" t="s">
        <v>98</v>
      </c>
      <c r="B42" s="104"/>
      <c r="C42" s="104"/>
      <c r="D42" s="104"/>
      <c r="E42" s="152">
        <v>8824.2160000000003</v>
      </c>
      <c r="F42" s="152"/>
      <c r="G42" s="152"/>
      <c r="H42" s="152"/>
    </row>
    <row r="43" spans="1:8" x14ac:dyDescent="0.35">
      <c r="A43" s="145" t="s">
        <v>40</v>
      </c>
      <c r="B43" s="145"/>
      <c r="C43" s="145"/>
      <c r="D43" s="145"/>
      <c r="E43" s="145" t="s">
        <v>184</v>
      </c>
      <c r="F43" s="145"/>
      <c r="G43" s="145"/>
      <c r="H43" s="145"/>
    </row>
    <row r="44" spans="1:8" x14ac:dyDescent="0.35">
      <c r="A44" s="79" t="s">
        <v>41</v>
      </c>
      <c r="B44" s="79"/>
      <c r="C44" s="79"/>
      <c r="D44" s="79"/>
      <c r="E44" s="79"/>
      <c r="F44" s="79"/>
      <c r="G44" s="79"/>
      <c r="H44" s="79"/>
    </row>
    <row r="45" spans="1:8" ht="33.75" customHeight="1" x14ac:dyDescent="0.35">
      <c r="A45" s="109" t="s">
        <v>160</v>
      </c>
      <c r="B45" s="110"/>
      <c r="C45" s="111" t="s">
        <v>209</v>
      </c>
      <c r="D45" s="112"/>
      <c r="E45" s="112"/>
      <c r="F45" s="112"/>
      <c r="G45" s="112"/>
      <c r="H45" s="113"/>
    </row>
    <row r="46" spans="1:8" x14ac:dyDescent="0.35">
      <c r="A46" s="142" t="s">
        <v>42</v>
      </c>
      <c r="B46" s="142"/>
      <c r="C46" s="168" t="s">
        <v>197</v>
      </c>
      <c r="D46" s="168"/>
      <c r="E46" s="168"/>
      <c r="F46" s="46" t="s">
        <v>43</v>
      </c>
      <c r="G46" s="157">
        <v>44575</v>
      </c>
      <c r="H46" s="157"/>
    </row>
    <row r="47" spans="1:8" x14ac:dyDescent="0.35">
      <c r="A47" s="145" t="s">
        <v>44</v>
      </c>
      <c r="B47" s="145"/>
      <c r="C47" s="168" t="str">
        <f>C46</f>
        <v>PMP/NRV/16092/JK-128/2022</v>
      </c>
      <c r="D47" s="168"/>
      <c r="E47" s="168"/>
      <c r="F47" s="46" t="s">
        <v>43</v>
      </c>
      <c r="G47" s="157">
        <f>G46</f>
        <v>44575</v>
      </c>
      <c r="H47" s="157"/>
    </row>
    <row r="48" spans="1:8" s="5" customFormat="1" ht="32.25" customHeight="1" x14ac:dyDescent="0.35">
      <c r="A48" s="142" t="s">
        <v>45</v>
      </c>
      <c r="B48" s="142"/>
      <c r="C48" s="168" t="s">
        <v>198</v>
      </c>
      <c r="D48" s="169"/>
      <c r="E48" s="169"/>
      <c r="F48" s="8" t="s">
        <v>43</v>
      </c>
      <c r="G48" s="157">
        <f>G47</f>
        <v>44575</v>
      </c>
      <c r="H48" s="157"/>
    </row>
    <row r="49" spans="1:14" s="5" customFormat="1" x14ac:dyDescent="0.35">
      <c r="A49" s="142"/>
      <c r="B49" s="142"/>
      <c r="C49" s="93" t="s">
        <v>199</v>
      </c>
      <c r="D49" s="94"/>
      <c r="E49" s="94"/>
      <c r="F49" s="94"/>
      <c r="G49" s="94"/>
      <c r="H49" s="95"/>
    </row>
    <row r="50" spans="1:14" x14ac:dyDescent="0.35">
      <c r="A50" s="80" t="s">
        <v>46</v>
      </c>
      <c r="B50" s="80"/>
      <c r="C50" s="173" t="s">
        <v>114</v>
      </c>
      <c r="D50" s="174"/>
      <c r="E50" s="174" t="s">
        <v>47</v>
      </c>
      <c r="F50" s="47" t="s">
        <v>43</v>
      </c>
      <c r="G50" s="176" t="s">
        <v>30</v>
      </c>
      <c r="H50" s="176"/>
    </row>
    <row r="51" spans="1:14" x14ac:dyDescent="0.35">
      <c r="A51" s="175" t="s">
        <v>49</v>
      </c>
      <c r="B51" s="175"/>
      <c r="C51" s="175"/>
      <c r="D51" s="175"/>
      <c r="E51" s="175"/>
      <c r="F51" s="175"/>
      <c r="G51" s="175"/>
      <c r="H51" s="175"/>
    </row>
    <row r="52" spans="1:14" x14ac:dyDescent="0.35">
      <c r="A52" s="143" t="s">
        <v>97</v>
      </c>
      <c r="B52" s="143"/>
      <c r="C52" s="143"/>
      <c r="D52" s="104">
        <f>E42</f>
        <v>8824.2160000000003</v>
      </c>
      <c r="E52" s="104"/>
      <c r="F52" s="104"/>
      <c r="G52" s="104"/>
      <c r="H52" s="104"/>
    </row>
    <row r="53" spans="1:14" x14ac:dyDescent="0.35">
      <c r="A53" s="142" t="s">
        <v>50</v>
      </c>
      <c r="B53" s="145"/>
      <c r="C53" s="145"/>
      <c r="D53" s="145" t="s">
        <v>179</v>
      </c>
      <c r="E53" s="145"/>
      <c r="F53" s="145"/>
      <c r="G53" s="145"/>
      <c r="H53" s="145"/>
      <c r="I53" s="34"/>
    </row>
    <row r="54" spans="1:14" ht="15.75" customHeight="1" x14ac:dyDescent="0.35">
      <c r="A54" s="154" t="s">
        <v>51</v>
      </c>
      <c r="B54" s="155"/>
      <c r="C54" s="156"/>
      <c r="D54" s="153" t="s">
        <v>200</v>
      </c>
      <c r="E54" s="153"/>
      <c r="F54" s="153"/>
      <c r="G54" s="153"/>
      <c r="H54" s="153"/>
    </row>
    <row r="55" spans="1:14" ht="15.75" customHeight="1" x14ac:dyDescent="0.35">
      <c r="A55" s="154" t="s">
        <v>95</v>
      </c>
      <c r="B55" s="155"/>
      <c r="C55" s="155"/>
      <c r="D55" s="170" t="s">
        <v>200</v>
      </c>
      <c r="E55" s="171"/>
      <c r="F55" s="171"/>
      <c r="G55" s="171"/>
      <c r="H55" s="172"/>
    </row>
    <row r="56" spans="1:14" ht="15.75" customHeight="1" x14ac:dyDescent="0.35">
      <c r="A56" s="104" t="s">
        <v>48</v>
      </c>
      <c r="B56" s="104"/>
      <c r="C56" s="104"/>
      <c r="D56" s="143" t="s">
        <v>201</v>
      </c>
      <c r="E56" s="143"/>
      <c r="F56" s="143"/>
      <c r="G56" s="143"/>
      <c r="H56" s="143"/>
      <c r="J56" s="33"/>
      <c r="K56" s="34"/>
      <c r="N56" s="34"/>
    </row>
    <row r="57" spans="1:14" ht="15.75" customHeight="1" x14ac:dyDescent="0.35">
      <c r="A57" s="104" t="s">
        <v>93</v>
      </c>
      <c r="B57" s="104"/>
      <c r="C57" s="104"/>
      <c r="D57" s="150" t="str">
        <f>(IF(G50="NA","60 Years After Completion",IF(G50&lt;&gt;"NA",""&amp;60-ROUNDDOWN((E3-G50)/360,0)&amp;" Years"," ")))</f>
        <v>60 Years After Completion</v>
      </c>
      <c r="E57" s="150"/>
      <c r="F57" s="150"/>
      <c r="G57" s="150"/>
      <c r="H57" s="150"/>
      <c r="N57" s="34"/>
    </row>
    <row r="58" spans="1:14" ht="15.75" customHeight="1" x14ac:dyDescent="0.35">
      <c r="A58" s="104" t="s">
        <v>94</v>
      </c>
      <c r="B58" s="104"/>
      <c r="C58" s="104"/>
      <c r="D58" s="143" t="s">
        <v>24</v>
      </c>
      <c r="E58" s="143"/>
      <c r="F58" s="143"/>
      <c r="G58" s="143"/>
      <c r="H58" s="143"/>
      <c r="J58" s="13"/>
      <c r="K58" s="13"/>
    </row>
    <row r="59" spans="1:14" ht="30" customHeight="1" x14ac:dyDescent="0.35">
      <c r="A59" s="104" t="s">
        <v>80</v>
      </c>
      <c r="B59" s="104"/>
      <c r="C59" s="104"/>
      <c r="D59" s="142" t="s">
        <v>224</v>
      </c>
      <c r="E59" s="143"/>
      <c r="F59" s="143"/>
      <c r="G59" s="143"/>
      <c r="H59" s="143"/>
    </row>
    <row r="60" spans="1:14" x14ac:dyDescent="0.35">
      <c r="A60" s="143" t="s">
        <v>159</v>
      </c>
      <c r="B60" s="143"/>
      <c r="C60" s="143"/>
      <c r="D60" s="143" t="s">
        <v>30</v>
      </c>
      <c r="E60" s="143"/>
      <c r="F60" s="143"/>
      <c r="G60" s="143"/>
      <c r="H60" s="143"/>
      <c r="I60" s="43"/>
      <c r="J60" s="43"/>
      <c r="K60" s="43"/>
      <c r="L60" s="43"/>
      <c r="M60" s="43"/>
      <c r="N60" s="43"/>
    </row>
    <row r="61" spans="1:14" ht="15.75" customHeight="1" x14ac:dyDescent="0.35">
      <c r="A61" s="158" t="s">
        <v>92</v>
      </c>
      <c r="B61" s="158"/>
      <c r="C61" s="158"/>
      <c r="D61" s="159" t="str">
        <f ca="1">(IF(G67&gt;95%,"Nothing",IF(G67&gt;0%,"Cement, Aggregate, Steel, etc",IF(G67=0%,"Work not yet Started"))))</f>
        <v>Cement, Aggregate, Steel, etc</v>
      </c>
      <c r="E61" s="159"/>
      <c r="F61" s="159"/>
      <c r="G61" s="159"/>
      <c r="H61" s="159"/>
      <c r="J61" s="13"/>
    </row>
    <row r="62" spans="1:14" ht="33.75" customHeight="1" thickBot="1" x14ac:dyDescent="0.4">
      <c r="A62" s="160" t="s">
        <v>127</v>
      </c>
      <c r="B62" s="160"/>
      <c r="C62" s="160"/>
      <c r="D62" s="159" t="str">
        <f ca="1">(IF(D61="Nothing","Yes",IF(D61="Cement, Aggregate, Steel, etc","Under Construction",IF(D61="Work not yet Started","Work not yet Started"))))</f>
        <v>Under Construction</v>
      </c>
      <c r="E62" s="159"/>
      <c r="F62" s="159" t="str">
        <f ca="1">(IF(D61="Nothing","Yes",IF(D61="Cement, Aggregate, Steel, etc","Under Construction",IF(D61="Work not yet Started","Work not yet Started"))))</f>
        <v>Under Construction</v>
      </c>
      <c r="G62" s="159"/>
      <c r="H62" s="159"/>
    </row>
    <row r="63" spans="1:14" ht="15.75" customHeight="1" x14ac:dyDescent="0.35">
      <c r="A63" s="73" t="s">
        <v>151</v>
      </c>
      <c r="B63" s="74"/>
      <c r="C63" s="75" t="s">
        <v>234</v>
      </c>
      <c r="D63" s="76"/>
      <c r="E63" s="76"/>
      <c r="F63" s="76"/>
      <c r="G63" s="76"/>
      <c r="H63" s="77"/>
      <c r="I63" s="36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Plinth, RCC, Brick, Plaster, Flooring, Painting work Completed. Finishing work is in process.</v>
      </c>
      <c r="J63" s="15"/>
    </row>
    <row r="64" spans="1:14" x14ac:dyDescent="0.35">
      <c r="A64" s="41" t="s">
        <v>153</v>
      </c>
      <c r="B64" s="45">
        <v>0</v>
      </c>
      <c r="C64" s="45" t="s">
        <v>77</v>
      </c>
      <c r="D64" s="45">
        <v>1</v>
      </c>
      <c r="E64" s="45" t="s">
        <v>76</v>
      </c>
      <c r="F64" s="45">
        <v>0</v>
      </c>
      <c r="G64" s="45" t="s">
        <v>86</v>
      </c>
      <c r="H64" s="42">
        <f ca="1">--TRIM(RIGHT(SUBSTITUTE(LEFT(C63,_xlfn.AGGREGATE(16,6,FIND({0,1,2,3,4,5,6,7,8,9},C63,ROW(INDIRECT("1:"&amp;LEN(C63)))),1))," ",REPT(" ",LEN(C63))),LEN(C63)))</f>
        <v>14</v>
      </c>
      <c r="I64" s="13"/>
      <c r="J64" s="16"/>
    </row>
    <row r="65" spans="1:10" ht="34" customHeight="1" x14ac:dyDescent="0.35">
      <c r="A65" s="78" t="s">
        <v>96</v>
      </c>
      <c r="B65" s="79"/>
      <c r="C65" s="80" t="str">
        <f ca="1">(IF($G$50="NA",I63,"All work Completed. OC Received."))</f>
        <v>Plinth, RCC, Brick, Plaster, Flooring, Painting work Completed. Finishing work is in process.</v>
      </c>
      <c r="D65" s="80"/>
      <c r="E65" s="80"/>
      <c r="F65" s="80"/>
      <c r="G65" s="80"/>
      <c r="H65" s="81"/>
      <c r="I65" s="13" t="s">
        <v>112</v>
      </c>
      <c r="J65" s="16"/>
    </row>
    <row r="66" spans="1:10" ht="15.75" customHeight="1" x14ac:dyDescent="0.35">
      <c r="A66" s="82" t="s">
        <v>52</v>
      </c>
      <c r="B66" s="83"/>
      <c r="C66" s="48" t="s">
        <v>150</v>
      </c>
      <c r="D66" s="48" t="s">
        <v>89</v>
      </c>
      <c r="E66" s="83" t="s">
        <v>91</v>
      </c>
      <c r="F66" s="83"/>
      <c r="G66" s="83" t="s">
        <v>90</v>
      </c>
      <c r="H66" s="84"/>
      <c r="I66" s="32" t="s">
        <v>152</v>
      </c>
      <c r="J66" s="17">
        <f ca="1">H64*25%</f>
        <v>3.5</v>
      </c>
    </row>
    <row r="67" spans="1:10" x14ac:dyDescent="0.35">
      <c r="A67" s="83" t="s">
        <v>139</v>
      </c>
      <c r="B67" s="83"/>
      <c r="C67" s="49">
        <f ca="1">J68</f>
        <v>14</v>
      </c>
      <c r="D67" s="64">
        <f ca="1">((100/H64)*C67)/100</f>
        <v>1</v>
      </c>
      <c r="E67" s="85">
        <f ca="1">(((C68/H64*10)+(40/(D64+F64+H64)*C69)+(7.5/(H64)*C70)+(7.5/(H64)*C71)+(10/H64*C72)+(10/H64*C73)+(5/H64*C74)+(5/H64*C75)+(5/H64*C76))/100)</f>
        <v>0.90357142857142858</v>
      </c>
      <c r="F67" s="85"/>
      <c r="G67" s="85">
        <f ca="1">((((C67/H64)*20)+((C68/H64)*25)+(30/(H64+F64+D64)*C69)+(5/H64*C70)+(5/H64*C71)+(5/H64*C72)+(5/H64*C73)+(0/H64*C74)+(0/H64*C75)+(5/H64*C76))/100)</f>
        <v>0.9464285714285714</v>
      </c>
      <c r="H67" s="85"/>
      <c r="I67" s="32" t="s">
        <v>107</v>
      </c>
      <c r="J67" s="35">
        <f ca="1">H64*50%</f>
        <v>7</v>
      </c>
    </row>
    <row r="68" spans="1:10" x14ac:dyDescent="0.35">
      <c r="A68" s="83" t="s">
        <v>53</v>
      </c>
      <c r="B68" s="83"/>
      <c r="C68" s="50">
        <f ca="1">J76</f>
        <v>14</v>
      </c>
      <c r="D68" s="64">
        <f ca="1">((100/H64)*C68)/100</f>
        <v>1</v>
      </c>
      <c r="E68" s="85"/>
      <c r="F68" s="85"/>
      <c r="G68" s="85"/>
      <c r="H68" s="85"/>
      <c r="I68" s="32" t="s">
        <v>108</v>
      </c>
      <c r="J68" s="35">
        <f ca="1">H64</f>
        <v>14</v>
      </c>
    </row>
    <row r="69" spans="1:10" ht="15.75" customHeight="1" x14ac:dyDescent="0.35">
      <c r="A69" s="83" t="s">
        <v>140</v>
      </c>
      <c r="B69" s="83"/>
      <c r="C69" s="50">
        <v>15</v>
      </c>
      <c r="D69" s="64">
        <f ca="1">((100/(D64+F64+H64))*C69)/100</f>
        <v>1</v>
      </c>
      <c r="E69" s="85"/>
      <c r="F69" s="85"/>
      <c r="G69" s="85"/>
      <c r="H69" s="85"/>
      <c r="I69" s="32" t="s">
        <v>109</v>
      </c>
      <c r="J69" s="38">
        <f ca="1">(IF(B64&gt;1,(H64/(B64+2)),H64/4))</f>
        <v>3.5</v>
      </c>
    </row>
    <row r="70" spans="1:10" ht="15.75" customHeight="1" x14ac:dyDescent="0.35">
      <c r="A70" s="83" t="s">
        <v>147</v>
      </c>
      <c r="B70" s="83" t="s">
        <v>141</v>
      </c>
      <c r="C70" s="49">
        <v>14</v>
      </c>
      <c r="D70" s="64">
        <f ca="1">((100/H64)*C70)/100</f>
        <v>1</v>
      </c>
      <c r="E70" s="85"/>
      <c r="F70" s="85"/>
      <c r="G70" s="85"/>
      <c r="H70" s="85"/>
      <c r="I70" s="32" t="s">
        <v>110</v>
      </c>
      <c r="J70" s="38">
        <f ca="1">(IF(B64&gt;1,(H64/(B64+2)+J69),H64/4+J69))</f>
        <v>7</v>
      </c>
    </row>
    <row r="71" spans="1:10" ht="15.75" customHeight="1" x14ac:dyDescent="0.35">
      <c r="A71" s="83" t="s">
        <v>148</v>
      </c>
      <c r="B71" s="83" t="s">
        <v>141</v>
      </c>
      <c r="C71" s="49">
        <v>14</v>
      </c>
      <c r="D71" s="64">
        <f ca="1">((100/H64)*C71)/100</f>
        <v>1</v>
      </c>
      <c r="E71" s="85"/>
      <c r="F71" s="85"/>
      <c r="G71" s="85"/>
      <c r="H71" s="85"/>
      <c r="I71" s="32" t="s">
        <v>157</v>
      </c>
      <c r="J71" s="38">
        <f>(IF(B64&gt;1,(H64/(B64+2)+J70),0))</f>
        <v>0</v>
      </c>
    </row>
    <row r="72" spans="1:10" ht="15" customHeight="1" x14ac:dyDescent="0.35">
      <c r="A72" s="83" t="s">
        <v>146</v>
      </c>
      <c r="B72" s="83" t="s">
        <v>143</v>
      </c>
      <c r="C72" s="63">
        <v>14</v>
      </c>
      <c r="D72" s="64">
        <f ca="1">((100/(H64))*C72)/100</f>
        <v>1</v>
      </c>
      <c r="E72" s="85"/>
      <c r="F72" s="85"/>
      <c r="G72" s="85"/>
      <c r="H72" s="85"/>
      <c r="I72" s="32" t="s">
        <v>154</v>
      </c>
      <c r="J72" s="38">
        <f>(IF(B64&gt;2,(H64/(B64+2)+J71),0))</f>
        <v>0</v>
      </c>
    </row>
    <row r="73" spans="1:10" ht="15.75" customHeight="1" x14ac:dyDescent="0.35">
      <c r="A73" s="83" t="s">
        <v>142</v>
      </c>
      <c r="B73" s="83" t="s">
        <v>142</v>
      </c>
      <c r="C73" s="49">
        <v>13</v>
      </c>
      <c r="D73" s="64">
        <f ca="1">((100/H64)*C73)/100</f>
        <v>0.9285714285714286</v>
      </c>
      <c r="E73" s="85"/>
      <c r="F73" s="85"/>
      <c r="G73" s="85"/>
      <c r="H73" s="85"/>
      <c r="I73" s="32" t="s">
        <v>155</v>
      </c>
      <c r="J73" s="39">
        <f>(IF(B64&gt;3,(H64/(B64+2)+J72),0))</f>
        <v>0</v>
      </c>
    </row>
    <row r="74" spans="1:10" ht="15.75" customHeight="1" x14ac:dyDescent="0.35">
      <c r="A74" s="83" t="s">
        <v>149</v>
      </c>
      <c r="B74" s="83"/>
      <c r="C74" s="49">
        <v>13</v>
      </c>
      <c r="D74" s="64">
        <f ca="1">((100/H64)*C74)/100</f>
        <v>0.9285714285714286</v>
      </c>
      <c r="E74" s="85"/>
      <c r="F74" s="85"/>
      <c r="G74" s="85"/>
      <c r="H74" s="85"/>
      <c r="I74" s="32" t="s">
        <v>156</v>
      </c>
      <c r="J74" s="38">
        <f>(IF(B64&gt;4,(H64/(B64+2)+J73),0))</f>
        <v>0</v>
      </c>
    </row>
    <row r="75" spans="1:10" ht="15.75" customHeight="1" x14ac:dyDescent="0.35">
      <c r="A75" s="83" t="s">
        <v>144</v>
      </c>
      <c r="B75" s="83" t="s">
        <v>144</v>
      </c>
      <c r="C75" s="49">
        <v>4</v>
      </c>
      <c r="D75" s="64">
        <f ca="1">((100/(H64))*C75)/100</f>
        <v>0.28571428571428575</v>
      </c>
      <c r="E75" s="85"/>
      <c r="F75" s="85"/>
      <c r="G75" s="85"/>
      <c r="H75" s="85"/>
      <c r="I75" s="32" t="s">
        <v>158</v>
      </c>
      <c r="J75" s="38">
        <f ca="1">(IF(B64=1,(H64/(B64+3)+J70),IF(B64=0,(H64/4+J70),IF(B64&gt;1,0))))</f>
        <v>10.5</v>
      </c>
    </row>
    <row r="76" spans="1:10" ht="16" thickBot="1" x14ac:dyDescent="0.4">
      <c r="A76" s="83" t="s">
        <v>145</v>
      </c>
      <c r="B76" s="83"/>
      <c r="C76" s="49">
        <v>0</v>
      </c>
      <c r="D76" s="64">
        <f ca="1">((100/(H64))*C76)/100</f>
        <v>0</v>
      </c>
      <c r="E76" s="85"/>
      <c r="F76" s="85"/>
      <c r="G76" s="85"/>
      <c r="H76" s="85"/>
      <c r="I76" s="37" t="s">
        <v>111</v>
      </c>
      <c r="J76" s="40">
        <f ca="1">(IF(B64&gt;1.5,(H64/(B64+2)+J70+MAX(0,J71-J70)+MAX(0,J72-J71)+MAX(0,J73-J72)+MAX(0,J74-J73)+MAX(0,J75-J74)),IF(B64=1,(H64/(B64+3)+J75),IF(B64=0,H64/4+J75))))</f>
        <v>14</v>
      </c>
    </row>
    <row r="77" spans="1:10" ht="15.75" customHeight="1" x14ac:dyDescent="0.35">
      <c r="A77" s="80" t="s">
        <v>151</v>
      </c>
      <c r="B77" s="80"/>
      <c r="C77" s="80" t="s">
        <v>235</v>
      </c>
      <c r="D77" s="80"/>
      <c r="E77" s="80"/>
      <c r="F77" s="80"/>
      <c r="G77" s="80"/>
      <c r="H77" s="80"/>
      <c r="I77" s="36" t="str">
        <f ca="1">(IF(E81&gt;99%,"All work completed. Please provide OC.",IF(E81&gt;89.8%,"Plinth, RCC, Brick, Plaster, Flooring, Painting work Completed. Finishing work is in process.",IF(E81&lt;94%,(IF(C81=0,"Work not yet Started.",IF(D81=25%,"Piling work in process",IF(D81=50%,"Excavation work in process",IF(D81=100%,"Excavation work Completed. ","0")))&amp;(IF(C82=0%,"",IF(C82=J83,"Footing work is process",IF(C82=J84,"Footing work Completed",IF(C82=J85,"1st Basement Completed",IF(C82=J86,"1st &amp; 2nd Basement Completed",IF(C82=J87,"1st to 3rd Basement Completed",IF(C82=J88,"1st to 4th Basement Completed",IF(C82=J89,"Plinth work is process",IF(C82=J90,"Plinth work completed","0")))))))))))&amp;(IF(C83=(D78+F78+H78),", RCC Slab Completed",IF(C83&gt;0,", RCC upto "&amp;C83&amp;" Slab Completed",""))&amp;(IF(C84=H78,", Brickwork Completed",IF(C84&gt;0,", Brickwork upto "&amp;C84&amp;" Floor Completed",""))&amp;(IF(C85=H78,", Internal Plaster Completed",IF(C85&gt;0,", Internal Plaster upto "&amp;C85&amp;" Floor Completed",""))&amp;(IF(C86=H78,", External Plaster Completed",IF(C86&gt;0,", External Plaster upto "&amp;C86&amp;" Floor Completed",""))&amp;(IF(C87=H78,", Flooring Completed",IF(C87&gt;0,", Flooring upto "&amp;C87&amp;" Floor Completed",""))&amp;(IF(C88=H78,", Painting Completed",IF(C88&gt;0,", Painting upto "&amp;C88&amp;" Floor Completed",""))&amp;(IF(C89&gt;0,", Finishing upto "&amp;C89&amp;" Floor Completed","")&amp;(IF(C83&gt;0.5,".",""))))))))))))))</f>
        <v>Excavation work Completed. Plinth work completed, RCC upto 10 Slab Completed, Brickwork upto 6 Floor Completed, Internal Plaster upto 6 Floor Completed, External Plaster upto 3 Floor Completed.</v>
      </c>
      <c r="J77" s="15"/>
    </row>
    <row r="78" spans="1:10" x14ac:dyDescent="0.35">
      <c r="A78" s="65" t="s">
        <v>153</v>
      </c>
      <c r="B78" s="65">
        <v>0</v>
      </c>
      <c r="C78" s="65" t="s">
        <v>77</v>
      </c>
      <c r="D78" s="65">
        <v>1</v>
      </c>
      <c r="E78" s="65" t="s">
        <v>76</v>
      </c>
      <c r="F78" s="65">
        <v>0</v>
      </c>
      <c r="G78" s="65" t="s">
        <v>86</v>
      </c>
      <c r="H78" s="65">
        <f ca="1">--TRIM(RIGHT(SUBSTITUTE(LEFT(C77,_xlfn.AGGREGATE(16,6,FIND({0,1,2,3,4,5,6,7,8,9},C77,ROW(INDIRECT("1:"&amp;LEN(C77)))),1))," ",REPT(" ",LEN(C77))),LEN(C77)))</f>
        <v>14</v>
      </c>
      <c r="I78" s="13"/>
      <c r="J78" s="16"/>
    </row>
    <row r="79" spans="1:10" ht="49.5" customHeight="1" x14ac:dyDescent="0.35">
      <c r="A79" s="79" t="s">
        <v>96</v>
      </c>
      <c r="B79" s="79"/>
      <c r="C79" s="80" t="str">
        <f ca="1">(IF($G$50="NA",I77,"All work Completed. OC Received."))</f>
        <v>Excavation work Completed. Plinth work completed, RCC upto 10 Slab Completed, Brickwork upto 6 Floor Completed, Internal Plaster upto 6 Floor Completed, External Plaster upto 3 Floor Completed.</v>
      </c>
      <c r="D79" s="80"/>
      <c r="E79" s="80"/>
      <c r="F79" s="80"/>
      <c r="G79" s="80"/>
      <c r="H79" s="80"/>
      <c r="I79" s="13" t="s">
        <v>112</v>
      </c>
      <c r="J79" s="16"/>
    </row>
    <row r="80" spans="1:10" ht="15.75" customHeight="1" x14ac:dyDescent="0.35">
      <c r="A80" s="82" t="s">
        <v>52</v>
      </c>
      <c r="B80" s="83"/>
      <c r="C80" s="59" t="s">
        <v>150</v>
      </c>
      <c r="D80" s="59" t="s">
        <v>89</v>
      </c>
      <c r="E80" s="83" t="s">
        <v>91</v>
      </c>
      <c r="F80" s="83"/>
      <c r="G80" s="83" t="s">
        <v>90</v>
      </c>
      <c r="H80" s="84"/>
      <c r="I80" s="32" t="s">
        <v>152</v>
      </c>
      <c r="J80" s="17">
        <f ca="1">H78*25%</f>
        <v>3.5</v>
      </c>
    </row>
    <row r="81" spans="1:14" x14ac:dyDescent="0.35">
      <c r="A81" s="82" t="s">
        <v>139</v>
      </c>
      <c r="B81" s="83"/>
      <c r="C81" s="49">
        <f ca="1">J82</f>
        <v>14</v>
      </c>
      <c r="D81" s="60">
        <f ca="1">((100/H78)*C81)/100</f>
        <v>1</v>
      </c>
      <c r="E81" s="85">
        <f ca="1">(((C82/H78*10)+(40/(D78+F78+H78)*C83)+(7.5/(H78)*C84)+(7.5/(H78)*C85)+(10/H78*C86)+(10/H78*C87)+(5/H78*C88)+(5/H78*C89)+(5/H78*C90))/100)</f>
        <v>0.45238095238095238</v>
      </c>
      <c r="F81" s="85"/>
      <c r="G81" s="85">
        <f ca="1">((((C81/H78)*20)+((C82/H78)*25)+(30/(H78+F78+D78)*C83)+(5/H78*C84)+(5/H78*C85)+(5/H78*C86)+(5/H78*C87)+(0/H78*C88)+(0/H78*C89)+(5/H78*C90))/100)</f>
        <v>0.70357142857142851</v>
      </c>
      <c r="H81" s="87"/>
      <c r="I81" s="32" t="s">
        <v>107</v>
      </c>
      <c r="J81" s="35">
        <f ca="1">H78*50%</f>
        <v>7</v>
      </c>
    </row>
    <row r="82" spans="1:14" x14ac:dyDescent="0.35">
      <c r="A82" s="82" t="s">
        <v>53</v>
      </c>
      <c r="B82" s="83"/>
      <c r="C82" s="50">
        <f ca="1">J90</f>
        <v>14</v>
      </c>
      <c r="D82" s="60">
        <f ca="1">((100/H78)*C82)/100</f>
        <v>1</v>
      </c>
      <c r="E82" s="85"/>
      <c r="F82" s="85"/>
      <c r="G82" s="85"/>
      <c r="H82" s="87"/>
      <c r="I82" s="32" t="s">
        <v>108</v>
      </c>
      <c r="J82" s="35">
        <f ca="1">H78</f>
        <v>14</v>
      </c>
    </row>
    <row r="83" spans="1:14" ht="15.75" customHeight="1" x14ac:dyDescent="0.35">
      <c r="A83" s="82" t="s">
        <v>140</v>
      </c>
      <c r="B83" s="83"/>
      <c r="C83" s="50">
        <v>10</v>
      </c>
      <c r="D83" s="60">
        <f ca="1">((100/(D78+F78+H78))*C83)/100</f>
        <v>0.66666666666666674</v>
      </c>
      <c r="E83" s="85"/>
      <c r="F83" s="85"/>
      <c r="G83" s="85"/>
      <c r="H83" s="87"/>
      <c r="I83" s="32" t="s">
        <v>109</v>
      </c>
      <c r="J83" s="38">
        <f ca="1">(IF(B78&gt;1,(H78/(B78+2)),H78/4))</f>
        <v>3.5</v>
      </c>
    </row>
    <row r="84" spans="1:14" ht="15.75" customHeight="1" x14ac:dyDescent="0.35">
      <c r="A84" s="82" t="s">
        <v>147</v>
      </c>
      <c r="B84" s="83" t="s">
        <v>141</v>
      </c>
      <c r="C84" s="49">
        <v>6</v>
      </c>
      <c r="D84" s="60">
        <f ca="1">((100/H78)*C84)/100</f>
        <v>0.4285714285714286</v>
      </c>
      <c r="E84" s="85"/>
      <c r="F84" s="85"/>
      <c r="G84" s="85"/>
      <c r="H84" s="87"/>
      <c r="I84" s="32" t="s">
        <v>110</v>
      </c>
      <c r="J84" s="38">
        <f ca="1">(IF(B78&gt;1,(H78/(B78+2)+J83),H78/4+J83))</f>
        <v>7</v>
      </c>
    </row>
    <row r="85" spans="1:14" ht="15.75" customHeight="1" x14ac:dyDescent="0.35">
      <c r="A85" s="82" t="s">
        <v>148</v>
      </c>
      <c r="B85" s="83" t="s">
        <v>141</v>
      </c>
      <c r="C85" s="49">
        <v>6</v>
      </c>
      <c r="D85" s="60">
        <f ca="1">((100/H78)*C85)/100</f>
        <v>0.4285714285714286</v>
      </c>
      <c r="E85" s="85"/>
      <c r="F85" s="85"/>
      <c r="G85" s="85"/>
      <c r="H85" s="87"/>
      <c r="I85" s="32" t="s">
        <v>157</v>
      </c>
      <c r="J85" s="38">
        <f>(IF(B78&gt;1,(H78/(B78+2)+J84),0))</f>
        <v>0</v>
      </c>
    </row>
    <row r="86" spans="1:14" ht="15" customHeight="1" x14ac:dyDescent="0.35">
      <c r="A86" s="82" t="s">
        <v>146</v>
      </c>
      <c r="B86" s="83" t="s">
        <v>143</v>
      </c>
      <c r="C86" s="49">
        <v>3</v>
      </c>
      <c r="D86" s="60">
        <f ca="1">((100/(H78))*C86)/100</f>
        <v>0.2142857142857143</v>
      </c>
      <c r="E86" s="85"/>
      <c r="F86" s="85"/>
      <c r="G86" s="85"/>
      <c r="H86" s="87"/>
      <c r="I86" s="32" t="s">
        <v>154</v>
      </c>
      <c r="J86" s="38">
        <f>(IF(B78&gt;2,(H78/(B78+2)+J85),0))</f>
        <v>0</v>
      </c>
    </row>
    <row r="87" spans="1:14" ht="15.75" customHeight="1" x14ac:dyDescent="0.35">
      <c r="A87" s="82" t="s">
        <v>142</v>
      </c>
      <c r="B87" s="83" t="s">
        <v>142</v>
      </c>
      <c r="C87" s="49">
        <v>0</v>
      </c>
      <c r="D87" s="60">
        <f ca="1">((100/H78)*C87)/100</f>
        <v>0</v>
      </c>
      <c r="E87" s="85"/>
      <c r="F87" s="85"/>
      <c r="G87" s="85"/>
      <c r="H87" s="87"/>
      <c r="I87" s="32" t="s">
        <v>155</v>
      </c>
      <c r="J87" s="39">
        <f>(IF(B78&gt;3,(H78/(B78+2)+J86),0))</f>
        <v>0</v>
      </c>
    </row>
    <row r="88" spans="1:14" ht="15.75" customHeight="1" x14ac:dyDescent="0.35">
      <c r="A88" s="82" t="s">
        <v>149</v>
      </c>
      <c r="B88" s="83"/>
      <c r="C88" s="49">
        <v>0</v>
      </c>
      <c r="D88" s="60">
        <f ca="1">((100/H78)*C88)/100</f>
        <v>0</v>
      </c>
      <c r="E88" s="85"/>
      <c r="F88" s="85"/>
      <c r="G88" s="85"/>
      <c r="H88" s="87"/>
      <c r="I88" s="32" t="s">
        <v>156</v>
      </c>
      <c r="J88" s="38">
        <f>(IF(B78&gt;4,(H78/(B78+2)+J87),0))</f>
        <v>0</v>
      </c>
    </row>
    <row r="89" spans="1:14" ht="15.75" customHeight="1" x14ac:dyDescent="0.35">
      <c r="A89" s="82" t="s">
        <v>144</v>
      </c>
      <c r="B89" s="83" t="s">
        <v>144</v>
      </c>
      <c r="C89" s="49">
        <v>0</v>
      </c>
      <c r="D89" s="60">
        <f ca="1">((100/(H78))*C89)/100</f>
        <v>0</v>
      </c>
      <c r="E89" s="85"/>
      <c r="F89" s="85"/>
      <c r="G89" s="85"/>
      <c r="H89" s="87"/>
      <c r="I89" s="32" t="s">
        <v>158</v>
      </c>
      <c r="J89" s="38">
        <f ca="1">(IF(B78=1,(H78/(B78+3)+J84),IF(B78=0,(H78/4+J84),IF(B78&gt;1,0))))</f>
        <v>10.5</v>
      </c>
    </row>
    <row r="90" spans="1:14" ht="16" thickBot="1" x14ac:dyDescent="0.4">
      <c r="A90" s="89" t="s">
        <v>145</v>
      </c>
      <c r="B90" s="90"/>
      <c r="C90" s="51">
        <v>0</v>
      </c>
      <c r="D90" s="61">
        <f ca="1">((100/(H78))*C90)/100</f>
        <v>0</v>
      </c>
      <c r="E90" s="86"/>
      <c r="F90" s="86"/>
      <c r="G90" s="86"/>
      <c r="H90" s="88"/>
      <c r="I90" s="37" t="s">
        <v>111</v>
      </c>
      <c r="J90" s="40">
        <f ca="1">(IF(B78&gt;1.5,(H78/(B78+2)+J84+MAX(0,J85-J84)+MAX(0,J86-J85)+MAX(0,J87-J86)+MAX(0,J88-J87)+MAX(0,J89-J88)),IF(B78=1,(H78/(B78+3)+J89),IF(B78=0,H78/4+J89))))</f>
        <v>14</v>
      </c>
    </row>
    <row r="91" spans="1:14" ht="15.75" customHeight="1" x14ac:dyDescent="0.35">
      <c r="A91" s="66" t="s">
        <v>236</v>
      </c>
      <c r="B91" s="67"/>
      <c r="C91" s="70">
        <f ca="1">AVERAGE(E67,E81)</f>
        <v>0.67797619047619051</v>
      </c>
      <c r="D91" s="67"/>
      <c r="E91" s="72" t="s">
        <v>237</v>
      </c>
      <c r="F91" s="67"/>
      <c r="G91" s="70">
        <f ca="1">AVERAGE(G67,G81)</f>
        <v>0.82499999999999996</v>
      </c>
      <c r="H91" s="67"/>
      <c r="I91" s="32" t="s">
        <v>152</v>
      </c>
      <c r="J91" s="17">
        <f>H89*25%</f>
        <v>0</v>
      </c>
    </row>
    <row r="92" spans="1:14" x14ac:dyDescent="0.35">
      <c r="A92" s="68"/>
      <c r="B92" s="69"/>
      <c r="C92" s="71"/>
      <c r="D92" s="69"/>
      <c r="E92" s="71"/>
      <c r="F92" s="69"/>
      <c r="G92" s="71"/>
      <c r="H92" s="69"/>
      <c r="I92" s="32" t="s">
        <v>107</v>
      </c>
      <c r="J92" s="35">
        <f>H89*50%</f>
        <v>0</v>
      </c>
    </row>
    <row r="93" spans="1:14" x14ac:dyDescent="0.35">
      <c r="A93" s="137" t="s">
        <v>54</v>
      </c>
      <c r="B93" s="137"/>
      <c r="C93" s="137"/>
      <c r="D93" s="137"/>
      <c r="E93" s="137"/>
      <c r="F93" s="137"/>
      <c r="G93" s="137"/>
      <c r="H93" s="137"/>
    </row>
    <row r="94" spans="1:14" ht="16.5" customHeight="1" x14ac:dyDescent="0.35">
      <c r="A94" s="104" t="s">
        <v>163</v>
      </c>
      <c r="B94" s="104"/>
      <c r="C94" s="104"/>
      <c r="D94" s="104"/>
      <c r="E94" s="104"/>
      <c r="F94" s="105">
        <v>8500</v>
      </c>
      <c r="G94" s="105"/>
      <c r="H94" s="105"/>
      <c r="J94" s="56" t="s">
        <v>225</v>
      </c>
      <c r="K94" s="57">
        <v>44943</v>
      </c>
      <c r="L94" s="56" t="s">
        <v>226</v>
      </c>
      <c r="M94" s="58" t="s">
        <v>227</v>
      </c>
      <c r="N94" s="56" t="s">
        <v>228</v>
      </c>
    </row>
    <row r="95" spans="1:14" x14ac:dyDescent="0.35">
      <c r="A95" s="104" t="s">
        <v>164</v>
      </c>
      <c r="B95" s="104"/>
      <c r="C95" s="104"/>
      <c r="D95" s="104"/>
      <c r="E95" s="104"/>
      <c r="F95" s="105">
        <v>17000</v>
      </c>
      <c r="G95" s="105"/>
      <c r="H95" s="105"/>
    </row>
    <row r="96" spans="1:14" hidden="1" x14ac:dyDescent="0.35">
      <c r="A96" s="104" t="s">
        <v>165</v>
      </c>
      <c r="B96" s="104"/>
      <c r="C96" s="104"/>
      <c r="D96" s="104"/>
      <c r="E96" s="104"/>
      <c r="F96" s="105"/>
      <c r="G96" s="105"/>
      <c r="H96" s="105"/>
    </row>
    <row r="97" spans="1:8" s="7" customFormat="1" x14ac:dyDescent="0.3">
      <c r="A97" s="104" t="s">
        <v>101</v>
      </c>
      <c r="B97" s="104"/>
      <c r="C97" s="104"/>
      <c r="D97" s="104"/>
      <c r="E97" s="104"/>
      <c r="F97" s="114" t="s">
        <v>206</v>
      </c>
      <c r="G97" s="114"/>
      <c r="H97" s="114"/>
    </row>
    <row r="98" spans="1:8" s="7" customFormat="1" x14ac:dyDescent="0.3">
      <c r="A98" s="104" t="s">
        <v>102</v>
      </c>
      <c r="B98" s="104"/>
      <c r="C98" s="104"/>
      <c r="D98" s="104"/>
      <c r="E98" s="104"/>
      <c r="F98" s="105">
        <v>450000</v>
      </c>
      <c r="G98" s="105"/>
      <c r="H98" s="105"/>
    </row>
    <row r="99" spans="1:8" s="7" customFormat="1" x14ac:dyDescent="0.3">
      <c r="A99" s="104" t="s">
        <v>203</v>
      </c>
      <c r="B99" s="104"/>
      <c r="C99" s="104"/>
      <c r="D99" s="104"/>
      <c r="E99" s="104"/>
      <c r="F99" s="105">
        <v>150000</v>
      </c>
      <c r="G99" s="105"/>
      <c r="H99" s="105"/>
    </row>
    <row r="100" spans="1:8" s="7" customFormat="1" hidden="1" x14ac:dyDescent="0.3">
      <c r="A100" s="104" t="s">
        <v>202</v>
      </c>
      <c r="B100" s="104"/>
      <c r="C100" s="104"/>
      <c r="D100" s="104"/>
      <c r="E100" s="104"/>
      <c r="F100" s="105">
        <v>10000</v>
      </c>
      <c r="G100" s="105"/>
      <c r="H100" s="105"/>
    </row>
    <row r="101" spans="1:8" s="7" customFormat="1" hidden="1" x14ac:dyDescent="0.3">
      <c r="A101" s="104" t="s">
        <v>103</v>
      </c>
      <c r="B101" s="104"/>
      <c r="C101" s="104"/>
      <c r="D101" s="104"/>
      <c r="E101" s="104"/>
      <c r="F101" s="105"/>
      <c r="G101" s="105"/>
      <c r="H101" s="105"/>
    </row>
    <row r="102" spans="1:8" s="7" customFormat="1" hidden="1" x14ac:dyDescent="0.3">
      <c r="A102" s="104" t="s">
        <v>104</v>
      </c>
      <c r="B102" s="104"/>
      <c r="C102" s="104"/>
      <c r="D102" s="104"/>
      <c r="E102" s="104"/>
      <c r="F102" s="105"/>
      <c r="G102" s="105"/>
      <c r="H102" s="105"/>
    </row>
    <row r="103" spans="1:8" s="7" customFormat="1" x14ac:dyDescent="0.3">
      <c r="A103" s="104" t="s">
        <v>105</v>
      </c>
      <c r="B103" s="104"/>
      <c r="C103" s="104"/>
      <c r="D103" s="104"/>
      <c r="E103" s="104"/>
      <c r="F103" s="105">
        <v>100000</v>
      </c>
      <c r="G103" s="105"/>
      <c r="H103" s="105"/>
    </row>
    <row r="104" spans="1:8" s="7" customFormat="1" hidden="1" x14ac:dyDescent="0.3">
      <c r="A104" s="104" t="s">
        <v>106</v>
      </c>
      <c r="B104" s="104"/>
      <c r="C104" s="104"/>
      <c r="D104" s="104"/>
      <c r="E104" s="104"/>
      <c r="F104" s="105"/>
      <c r="G104" s="105"/>
      <c r="H104" s="105"/>
    </row>
    <row r="105" spans="1:8" x14ac:dyDescent="0.35">
      <c r="A105" s="104" t="s">
        <v>55</v>
      </c>
      <c r="B105" s="104"/>
      <c r="C105" s="104"/>
      <c r="D105" s="104"/>
      <c r="E105" s="104"/>
      <c r="F105" s="105">
        <v>500000</v>
      </c>
      <c r="G105" s="105"/>
      <c r="H105" s="105"/>
    </row>
    <row r="106" spans="1:8" s="4" customFormat="1" x14ac:dyDescent="0.35">
      <c r="A106" s="137" t="s">
        <v>56</v>
      </c>
      <c r="B106" s="137"/>
      <c r="C106" s="137"/>
      <c r="D106" s="137"/>
      <c r="E106" s="137"/>
      <c r="F106" s="105">
        <f>F94*0.8</f>
        <v>6800</v>
      </c>
      <c r="G106" s="105"/>
      <c r="H106" s="105"/>
    </row>
    <row r="107" spans="1:8" s="1" customFormat="1" ht="15.75" customHeight="1" x14ac:dyDescent="0.35">
      <c r="A107" s="163" t="s">
        <v>81</v>
      </c>
      <c r="B107" s="163"/>
      <c r="C107" s="163"/>
      <c r="D107" s="163"/>
      <c r="E107" s="163"/>
      <c r="F107" s="163"/>
      <c r="G107" s="163"/>
      <c r="H107" s="163"/>
    </row>
    <row r="108" spans="1:8" s="1" customFormat="1" ht="15.75" customHeight="1" x14ac:dyDescent="0.35">
      <c r="A108" s="129" t="s">
        <v>57</v>
      </c>
      <c r="B108" s="129"/>
      <c r="C108" s="130" t="s">
        <v>84</v>
      </c>
      <c r="D108" s="130"/>
      <c r="E108" s="128" t="s">
        <v>58</v>
      </c>
      <c r="F108" s="128"/>
      <c r="G108" s="129" t="s">
        <v>59</v>
      </c>
      <c r="H108" s="129"/>
    </row>
    <row r="109" spans="1:8" s="1" customFormat="1" x14ac:dyDescent="0.35">
      <c r="A109" s="165" t="s">
        <v>222</v>
      </c>
      <c r="B109" s="165"/>
      <c r="C109" s="121">
        <f>COUNT(D118:D130)</f>
        <v>13</v>
      </c>
      <c r="D109" s="131"/>
      <c r="E109" s="119">
        <f>SUM(D118:D130)</f>
        <v>4968.2210759999998</v>
      </c>
      <c r="F109" s="120"/>
      <c r="G109" s="119">
        <f>SUM(F118:F130)</f>
        <v>10280</v>
      </c>
      <c r="H109" s="120"/>
    </row>
    <row r="110" spans="1:8" s="1" customFormat="1" x14ac:dyDescent="0.35">
      <c r="A110" s="163" t="s">
        <v>75</v>
      </c>
      <c r="B110" s="163"/>
      <c r="C110" s="163"/>
      <c r="D110" s="163"/>
      <c r="E110" s="163"/>
      <c r="F110" s="163"/>
      <c r="G110" s="163"/>
      <c r="H110" s="163"/>
    </row>
    <row r="111" spans="1:8" s="1" customFormat="1" ht="15.75" customHeight="1" x14ac:dyDescent="0.35">
      <c r="A111" s="129" t="s">
        <v>57</v>
      </c>
      <c r="B111" s="129"/>
      <c r="C111" s="130" t="s">
        <v>84</v>
      </c>
      <c r="D111" s="130"/>
      <c r="E111" s="128" t="s">
        <v>58</v>
      </c>
      <c r="F111" s="128"/>
      <c r="G111" s="129" t="s">
        <v>59</v>
      </c>
      <c r="H111" s="129"/>
    </row>
    <row r="112" spans="1:8" s="1" customFormat="1" x14ac:dyDescent="0.35">
      <c r="A112" s="165" t="s">
        <v>223</v>
      </c>
      <c r="B112" s="165"/>
      <c r="C112" s="121">
        <f>COUNT(D136:D147)*5+COUNT(D149:D158)+COUNT(D160:D167)+COUNT(D169:D174)+COUNT(D176:D181)*3</f>
        <v>102</v>
      </c>
      <c r="D112" s="121"/>
      <c r="E112" s="119">
        <f>SUM(D136:D147)*5+SUM(D149:D158)+SUM(D160:D167)+SUM(D169:D174)+SUM(D176:D181)*3</f>
        <v>63806.882255999997</v>
      </c>
      <c r="F112" s="119"/>
      <c r="G112" s="119">
        <f>SUM(F136:F147)*5+SUM(F149:F158)+SUM(F160:F167)+SUM(F169:F174)+SUM(F176:F181)*3</f>
        <v>115700</v>
      </c>
      <c r="H112" s="119"/>
    </row>
    <row r="113" spans="1:14" s="4" customFormat="1" x14ac:dyDescent="0.35">
      <c r="A113" s="100" t="s">
        <v>60</v>
      </c>
      <c r="B113" s="100"/>
      <c r="C113" s="100"/>
      <c r="D113" s="100"/>
      <c r="E113" s="100"/>
      <c r="F113" s="100"/>
      <c r="G113" s="100"/>
      <c r="H113" s="100"/>
    </row>
    <row r="114" spans="1:14" x14ac:dyDescent="0.35">
      <c r="A114" s="100" t="s">
        <v>61</v>
      </c>
      <c r="B114" s="100"/>
      <c r="C114" s="100"/>
      <c r="D114" s="100"/>
      <c r="E114" s="100"/>
      <c r="F114" s="100"/>
      <c r="G114" s="100"/>
      <c r="H114" s="100"/>
    </row>
    <row r="115" spans="1:14" ht="47.25" customHeight="1" x14ac:dyDescent="0.35">
      <c r="A115" s="96" t="s">
        <v>129</v>
      </c>
      <c r="B115" s="96" t="s">
        <v>128</v>
      </c>
      <c r="C115" s="96" t="s">
        <v>62</v>
      </c>
      <c r="D115" s="96" t="s">
        <v>63</v>
      </c>
      <c r="E115" s="122" t="s">
        <v>64</v>
      </c>
      <c r="F115" s="96" t="s">
        <v>204</v>
      </c>
      <c r="G115" s="124" t="s">
        <v>65</v>
      </c>
      <c r="H115" s="125"/>
    </row>
    <row r="116" spans="1:14" s="2" customFormat="1" x14ac:dyDescent="0.35">
      <c r="A116" s="97"/>
      <c r="B116" s="97"/>
      <c r="C116" s="97"/>
      <c r="D116" s="97"/>
      <c r="E116" s="123"/>
      <c r="F116" s="97"/>
      <c r="G116" s="126"/>
      <c r="H116" s="127"/>
    </row>
    <row r="117" spans="1:14" s="2" customFormat="1" x14ac:dyDescent="0.35">
      <c r="A117" s="164" t="s">
        <v>168</v>
      </c>
      <c r="B117" s="164"/>
      <c r="C117" s="164"/>
      <c r="D117" s="164"/>
      <c r="E117" s="164"/>
      <c r="F117" s="164"/>
      <c r="G117" s="164"/>
      <c r="H117" s="164"/>
      <c r="J117" s="30"/>
    </row>
    <row r="118" spans="1:14" s="2" customFormat="1" ht="15.75" customHeight="1" x14ac:dyDescent="0.35">
      <c r="A118" s="118">
        <v>1</v>
      </c>
      <c r="B118" s="118"/>
      <c r="C118" s="62" t="s">
        <v>167</v>
      </c>
      <c r="D118" s="62">
        <f>(36.735)*10.764</f>
        <v>395.41553999999996</v>
      </c>
      <c r="E118" s="62">
        <v>0</v>
      </c>
      <c r="F118" s="62">
        <v>815</v>
      </c>
      <c r="G118" s="118" t="str">
        <f>A117</f>
        <v>Ground Floor for Commercial &amp; Parking</v>
      </c>
      <c r="H118" s="118"/>
      <c r="I118" s="30"/>
      <c r="L118" s="98"/>
      <c r="M118" s="98"/>
      <c r="N118" s="30"/>
    </row>
    <row r="119" spans="1:14" s="2" customFormat="1" x14ac:dyDescent="0.35">
      <c r="A119" s="118">
        <f t="shared" ref="A119:A130" si="0">A118+1</f>
        <v>2</v>
      </c>
      <c r="B119" s="118"/>
      <c r="C119" s="62" t="s">
        <v>167</v>
      </c>
      <c r="D119" s="62">
        <f>(32.588)*10.764</f>
        <v>350.77723199999997</v>
      </c>
      <c r="E119" s="62">
        <v>0</v>
      </c>
      <c r="F119" s="62">
        <v>725</v>
      </c>
      <c r="G119" s="118"/>
      <c r="H119" s="118"/>
      <c r="I119" s="30"/>
      <c r="L119" s="98"/>
      <c r="M119" s="98"/>
      <c r="N119" s="30"/>
    </row>
    <row r="120" spans="1:14" s="2" customFormat="1" x14ac:dyDescent="0.35">
      <c r="A120" s="118">
        <f t="shared" si="0"/>
        <v>3</v>
      </c>
      <c r="B120" s="118"/>
      <c r="C120" s="62" t="s">
        <v>167</v>
      </c>
      <c r="D120" s="62">
        <f>(36.143)*10.764</f>
        <v>389.043252</v>
      </c>
      <c r="E120" s="62">
        <v>0</v>
      </c>
      <c r="F120" s="62">
        <v>805</v>
      </c>
      <c r="G120" s="118"/>
      <c r="H120" s="118"/>
      <c r="I120" s="30"/>
      <c r="L120" s="98"/>
      <c r="M120" s="98"/>
      <c r="N120" s="30"/>
    </row>
    <row r="121" spans="1:14" s="2" customFormat="1" x14ac:dyDescent="0.35">
      <c r="A121" s="118">
        <f t="shared" si="0"/>
        <v>4</v>
      </c>
      <c r="B121" s="118"/>
      <c r="C121" s="62" t="s">
        <v>167</v>
      </c>
      <c r="D121" s="62">
        <f>(36.143)*10.764</f>
        <v>389.043252</v>
      </c>
      <c r="E121" s="62">
        <v>0</v>
      </c>
      <c r="F121" s="62">
        <v>805</v>
      </c>
      <c r="G121" s="118"/>
      <c r="H121" s="118"/>
      <c r="I121" s="30"/>
      <c r="L121" s="98"/>
      <c r="M121" s="98"/>
      <c r="N121" s="30"/>
    </row>
    <row r="122" spans="1:14" s="2" customFormat="1" x14ac:dyDescent="0.35">
      <c r="A122" s="118">
        <f t="shared" si="0"/>
        <v>5</v>
      </c>
      <c r="B122" s="118"/>
      <c r="C122" s="62" t="s">
        <v>167</v>
      </c>
      <c r="D122" s="62">
        <f>(32.439)*10.764</f>
        <v>349.17339599999997</v>
      </c>
      <c r="E122" s="62">
        <v>0</v>
      </c>
      <c r="F122" s="62">
        <v>725</v>
      </c>
      <c r="G122" s="118"/>
      <c r="H122" s="118"/>
      <c r="I122" s="30"/>
      <c r="L122" s="98"/>
      <c r="M122" s="98"/>
      <c r="N122" s="30"/>
    </row>
    <row r="123" spans="1:14" s="2" customFormat="1" x14ac:dyDescent="0.35">
      <c r="A123" s="118">
        <f t="shared" si="0"/>
        <v>6</v>
      </c>
      <c r="B123" s="118"/>
      <c r="C123" s="62" t="s">
        <v>167</v>
      </c>
      <c r="D123" s="62">
        <f>(32.439)*10.764</f>
        <v>349.17339599999997</v>
      </c>
      <c r="E123" s="62">
        <v>0</v>
      </c>
      <c r="F123" s="62">
        <v>725</v>
      </c>
      <c r="G123" s="118"/>
      <c r="H123" s="118"/>
      <c r="I123" s="30"/>
      <c r="L123" s="98"/>
      <c r="M123" s="98"/>
      <c r="N123" s="30"/>
    </row>
    <row r="124" spans="1:14" s="2" customFormat="1" x14ac:dyDescent="0.35">
      <c r="A124" s="118">
        <f t="shared" si="0"/>
        <v>7</v>
      </c>
      <c r="B124" s="118"/>
      <c r="C124" s="62" t="s">
        <v>167</v>
      </c>
      <c r="D124" s="62">
        <f>(48.585)*10.764</f>
        <v>522.96893999999998</v>
      </c>
      <c r="E124" s="62">
        <v>0</v>
      </c>
      <c r="F124" s="62">
        <v>1080</v>
      </c>
      <c r="G124" s="118"/>
      <c r="H124" s="118"/>
      <c r="I124" s="30"/>
      <c r="L124" s="98"/>
      <c r="M124" s="98"/>
      <c r="N124" s="30"/>
    </row>
    <row r="125" spans="1:14" s="2" customFormat="1" x14ac:dyDescent="0.35">
      <c r="A125" s="118">
        <f t="shared" si="0"/>
        <v>8</v>
      </c>
      <c r="B125" s="118"/>
      <c r="C125" s="62" t="s">
        <v>167</v>
      </c>
      <c r="D125" s="62">
        <f>(32.439)*10.764</f>
        <v>349.17339599999997</v>
      </c>
      <c r="E125" s="62">
        <v>0</v>
      </c>
      <c r="F125" s="62">
        <v>725</v>
      </c>
      <c r="G125" s="118"/>
      <c r="H125" s="118"/>
      <c r="I125" s="30"/>
      <c r="L125" s="98"/>
      <c r="M125" s="98"/>
      <c r="N125" s="30"/>
    </row>
    <row r="126" spans="1:14" s="2" customFormat="1" x14ac:dyDescent="0.35">
      <c r="A126" s="118">
        <f t="shared" si="0"/>
        <v>9</v>
      </c>
      <c r="B126" s="118"/>
      <c r="C126" s="62" t="s">
        <v>167</v>
      </c>
      <c r="D126" s="62">
        <f>(32.439)*10.764</f>
        <v>349.17339599999997</v>
      </c>
      <c r="E126" s="62">
        <v>0</v>
      </c>
      <c r="F126" s="62">
        <v>725</v>
      </c>
      <c r="G126" s="118"/>
      <c r="H126" s="118"/>
      <c r="I126" s="30"/>
      <c r="L126" s="98"/>
      <c r="M126" s="98"/>
      <c r="N126" s="30"/>
    </row>
    <row r="127" spans="1:14" s="2" customFormat="1" x14ac:dyDescent="0.35">
      <c r="A127" s="118">
        <f t="shared" si="0"/>
        <v>10</v>
      </c>
      <c r="B127" s="118"/>
      <c r="C127" s="62" t="s">
        <v>167</v>
      </c>
      <c r="D127" s="62">
        <f>(36.143)*10.764</f>
        <v>389.043252</v>
      </c>
      <c r="E127" s="62">
        <v>0</v>
      </c>
      <c r="F127" s="62">
        <v>805</v>
      </c>
      <c r="G127" s="118"/>
      <c r="H127" s="118"/>
      <c r="I127" s="30"/>
      <c r="L127" s="98"/>
      <c r="M127" s="98"/>
      <c r="N127" s="30"/>
    </row>
    <row r="128" spans="1:14" s="2" customFormat="1" x14ac:dyDescent="0.35">
      <c r="A128" s="118">
        <f t="shared" si="0"/>
        <v>11</v>
      </c>
      <c r="B128" s="118"/>
      <c r="C128" s="62" t="s">
        <v>167</v>
      </c>
      <c r="D128" s="62">
        <f>(36.143)*10.764</f>
        <v>389.043252</v>
      </c>
      <c r="E128" s="62">
        <v>0</v>
      </c>
      <c r="F128" s="62">
        <v>805</v>
      </c>
      <c r="G128" s="118"/>
      <c r="H128" s="118"/>
      <c r="I128" s="30"/>
      <c r="L128" s="98"/>
      <c r="M128" s="98"/>
      <c r="N128" s="30"/>
    </row>
    <row r="129" spans="1:14" s="2" customFormat="1" x14ac:dyDescent="0.35">
      <c r="A129" s="118">
        <f t="shared" si="0"/>
        <v>12</v>
      </c>
      <c r="B129" s="118"/>
      <c r="C129" s="62" t="s">
        <v>167</v>
      </c>
      <c r="D129" s="62">
        <f>(32.588)*10.764</f>
        <v>350.77723199999997</v>
      </c>
      <c r="E129" s="62">
        <v>0</v>
      </c>
      <c r="F129" s="62">
        <v>725</v>
      </c>
      <c r="G129" s="118"/>
      <c r="H129" s="118"/>
      <c r="I129" s="30"/>
      <c r="L129" s="98"/>
      <c r="M129" s="98"/>
      <c r="N129" s="30"/>
    </row>
    <row r="130" spans="1:14" s="2" customFormat="1" x14ac:dyDescent="0.35">
      <c r="A130" s="118">
        <f t="shared" si="0"/>
        <v>13</v>
      </c>
      <c r="B130" s="118"/>
      <c r="C130" s="62" t="s">
        <v>167</v>
      </c>
      <c r="D130" s="62">
        <f>(36.735)*10.764</f>
        <v>395.41553999999996</v>
      </c>
      <c r="E130" s="62">
        <v>0</v>
      </c>
      <c r="F130" s="62">
        <v>815</v>
      </c>
      <c r="G130" s="118"/>
      <c r="H130" s="118"/>
      <c r="I130" s="30"/>
      <c r="L130" s="98"/>
      <c r="M130" s="98"/>
      <c r="N130" s="30"/>
    </row>
    <row r="131" spans="1:14" s="2" customFormat="1" x14ac:dyDescent="0.35">
      <c r="A131" s="91"/>
      <c r="B131" s="99"/>
      <c r="C131" s="99"/>
      <c r="D131" s="99"/>
      <c r="E131" s="99"/>
      <c r="F131" s="99"/>
      <c r="G131" s="99"/>
      <c r="H131" s="92"/>
      <c r="I131" s="30"/>
      <c r="N131" s="30"/>
    </row>
    <row r="132" spans="1:14" ht="47.25" customHeight="1" x14ac:dyDescent="0.35">
      <c r="A132" s="52" t="s">
        <v>130</v>
      </c>
      <c r="B132" s="52" t="s">
        <v>131</v>
      </c>
      <c r="C132" s="31" t="s">
        <v>62</v>
      </c>
      <c r="D132" s="31" t="s">
        <v>63</v>
      </c>
      <c r="E132" s="53" t="s">
        <v>64</v>
      </c>
      <c r="F132" s="31" t="s">
        <v>208</v>
      </c>
      <c r="G132" s="124" t="s">
        <v>65</v>
      </c>
      <c r="H132" s="125"/>
      <c r="I132" s="30"/>
    </row>
    <row r="133" spans="1:14" x14ac:dyDescent="0.35">
      <c r="A133" s="100" t="s">
        <v>169</v>
      </c>
      <c r="B133" s="100"/>
      <c r="C133" s="100"/>
      <c r="D133" s="100"/>
      <c r="E133" s="100"/>
      <c r="F133" s="100"/>
      <c r="G133" s="100"/>
      <c r="H133" s="100"/>
    </row>
    <row r="134" spans="1:14" x14ac:dyDescent="0.35">
      <c r="A134" s="100" t="s">
        <v>170</v>
      </c>
      <c r="B134" s="100"/>
      <c r="C134" s="100"/>
      <c r="D134" s="100"/>
      <c r="E134" s="100"/>
      <c r="F134" s="100"/>
      <c r="G134" s="100"/>
      <c r="H134" s="100"/>
    </row>
    <row r="135" spans="1:14" s="2" customFormat="1" ht="15.75" customHeight="1" x14ac:dyDescent="0.35">
      <c r="A135" s="101" t="s">
        <v>176</v>
      </c>
      <c r="B135" s="102"/>
      <c r="C135" s="102"/>
      <c r="D135" s="102"/>
      <c r="E135" s="102"/>
      <c r="F135" s="102"/>
      <c r="G135" s="102"/>
      <c r="H135" s="103"/>
      <c r="I135" s="30"/>
    </row>
    <row r="136" spans="1:14" s="2" customFormat="1" ht="15.75" customHeight="1" x14ac:dyDescent="0.35">
      <c r="A136" s="91" t="s">
        <v>210</v>
      </c>
      <c r="B136" s="92"/>
      <c r="C136" s="14" t="s">
        <v>172</v>
      </c>
      <c r="D136" s="14">
        <f>(36.075)*10.764</f>
        <v>388.31130000000002</v>
      </c>
      <c r="E136" s="14">
        <v>0</v>
      </c>
      <c r="F136" s="14">
        <v>740</v>
      </c>
      <c r="G136" s="178" t="str">
        <f>A135</f>
        <v>4th, 5th, 6th, 7th, 9th Floor for Residential</v>
      </c>
      <c r="H136" s="179"/>
      <c r="I136" s="30"/>
      <c r="J136" s="55">
        <f>F136/D136</f>
        <v>1.9056875244166214</v>
      </c>
    </row>
    <row r="137" spans="1:14" s="2" customFormat="1" x14ac:dyDescent="0.35">
      <c r="A137" s="91" t="s">
        <v>211</v>
      </c>
      <c r="B137" s="92"/>
      <c r="C137" s="14" t="s">
        <v>173</v>
      </c>
      <c r="D137" s="14">
        <f>(77.938+3.63)*10.764</f>
        <v>877.99795199999994</v>
      </c>
      <c r="E137" s="14">
        <v>0</v>
      </c>
      <c r="F137" s="14">
        <v>1580</v>
      </c>
      <c r="G137" s="180"/>
      <c r="H137" s="181"/>
      <c r="I137" s="30"/>
      <c r="J137" s="55">
        <f t="shared" ref="J137:J181" si="1">F137/D137</f>
        <v>1.799548616714769</v>
      </c>
    </row>
    <row r="138" spans="1:14" s="2" customFormat="1" ht="15.75" customHeight="1" x14ac:dyDescent="0.35">
      <c r="A138" s="91" t="s">
        <v>212</v>
      </c>
      <c r="B138" s="92"/>
      <c r="C138" s="14" t="s">
        <v>174</v>
      </c>
      <c r="D138" s="14">
        <f>(60.103+3.63)*10.764</f>
        <v>686.02201200000002</v>
      </c>
      <c r="E138" s="14">
        <v>0</v>
      </c>
      <c r="F138" s="14">
        <v>1210</v>
      </c>
      <c r="G138" s="180"/>
      <c r="H138" s="181"/>
      <c r="I138" s="30"/>
      <c r="J138" s="55">
        <f t="shared" si="1"/>
        <v>1.7637918008963245</v>
      </c>
    </row>
    <row r="139" spans="1:14" s="2" customFormat="1" ht="15.75" customHeight="1" x14ac:dyDescent="0.35">
      <c r="A139" s="91" t="s">
        <v>213</v>
      </c>
      <c r="B139" s="92"/>
      <c r="C139" s="14" t="s">
        <v>174</v>
      </c>
      <c r="D139" s="14">
        <f>(60.103+3.63)*10.764</f>
        <v>686.02201200000002</v>
      </c>
      <c r="E139" s="14">
        <v>0</v>
      </c>
      <c r="F139" s="14">
        <v>1210</v>
      </c>
      <c r="G139" s="180"/>
      <c r="H139" s="181"/>
      <c r="I139" s="30"/>
      <c r="J139" s="55">
        <f t="shared" si="1"/>
        <v>1.7637918008963245</v>
      </c>
    </row>
    <row r="140" spans="1:14" s="2" customFormat="1" ht="15.75" customHeight="1" x14ac:dyDescent="0.35">
      <c r="A140" s="91" t="s">
        <v>214</v>
      </c>
      <c r="B140" s="92"/>
      <c r="C140" s="14" t="s">
        <v>173</v>
      </c>
      <c r="D140" s="14">
        <f>(77.938+3.63)*10.764</f>
        <v>877.99795199999994</v>
      </c>
      <c r="E140" s="14">
        <v>0</v>
      </c>
      <c r="F140" s="14">
        <v>1580</v>
      </c>
      <c r="G140" s="180"/>
      <c r="H140" s="181"/>
      <c r="I140" s="30"/>
      <c r="J140" s="55">
        <f t="shared" si="1"/>
        <v>1.799548616714769</v>
      </c>
    </row>
    <row r="141" spans="1:14" s="2" customFormat="1" ht="15.75" customHeight="1" x14ac:dyDescent="0.35">
      <c r="A141" s="91" t="s">
        <v>215</v>
      </c>
      <c r="B141" s="92"/>
      <c r="C141" s="14" t="s">
        <v>172</v>
      </c>
      <c r="D141" s="14">
        <f>(36.075)*10.764</f>
        <v>388.31130000000002</v>
      </c>
      <c r="E141" s="14">
        <v>0</v>
      </c>
      <c r="F141" s="14">
        <v>740</v>
      </c>
      <c r="G141" s="180"/>
      <c r="H141" s="181"/>
      <c r="I141" s="30"/>
      <c r="J141" s="55">
        <f t="shared" si="1"/>
        <v>1.9056875244166214</v>
      </c>
    </row>
    <row r="142" spans="1:14" s="2" customFormat="1" ht="15.75" customHeight="1" x14ac:dyDescent="0.35">
      <c r="A142" s="91" t="s">
        <v>216</v>
      </c>
      <c r="B142" s="92"/>
      <c r="C142" s="14" t="s">
        <v>172</v>
      </c>
      <c r="D142" s="14">
        <f>(36.075)*10.764</f>
        <v>388.31130000000002</v>
      </c>
      <c r="E142" s="14">
        <v>0</v>
      </c>
      <c r="F142" s="14">
        <v>740</v>
      </c>
      <c r="G142" s="180"/>
      <c r="H142" s="181"/>
      <c r="I142" s="30"/>
      <c r="J142" s="55">
        <f t="shared" si="1"/>
        <v>1.9056875244166214</v>
      </c>
    </row>
    <row r="143" spans="1:14" s="2" customFormat="1" ht="15.75" customHeight="1" x14ac:dyDescent="0.35">
      <c r="A143" s="91" t="s">
        <v>217</v>
      </c>
      <c r="B143" s="92"/>
      <c r="C143" s="14" t="s">
        <v>173</v>
      </c>
      <c r="D143" s="14">
        <f>(67.577+3.27)*10.764</f>
        <v>762.59710799999993</v>
      </c>
      <c r="E143" s="14">
        <v>0</v>
      </c>
      <c r="F143" s="14">
        <v>1390</v>
      </c>
      <c r="G143" s="180"/>
      <c r="H143" s="181"/>
      <c r="I143" s="30"/>
      <c r="J143" s="55">
        <f t="shared" si="1"/>
        <v>1.8227186877818584</v>
      </c>
    </row>
    <row r="144" spans="1:14" s="2" customFormat="1" ht="15.75" customHeight="1" x14ac:dyDescent="0.35">
      <c r="A144" s="91" t="s">
        <v>218</v>
      </c>
      <c r="B144" s="92"/>
      <c r="C144" s="14" t="s">
        <v>174</v>
      </c>
      <c r="D144" s="14">
        <f>(51.269+3.27)*10.764</f>
        <v>587.05779599999994</v>
      </c>
      <c r="E144" s="14">
        <v>0</v>
      </c>
      <c r="F144" s="14">
        <v>1040</v>
      </c>
      <c r="G144" s="180"/>
      <c r="H144" s="181"/>
      <c r="I144" s="30"/>
      <c r="J144" s="55">
        <f t="shared" si="1"/>
        <v>1.771546186910701</v>
      </c>
    </row>
    <row r="145" spans="1:10" s="2" customFormat="1" ht="15.75" customHeight="1" x14ac:dyDescent="0.35">
      <c r="A145" s="91" t="s">
        <v>219</v>
      </c>
      <c r="B145" s="92"/>
      <c r="C145" s="14" t="s">
        <v>174</v>
      </c>
      <c r="D145" s="14">
        <f>(51.269+3.27)*10.764</f>
        <v>587.05779599999994</v>
      </c>
      <c r="E145" s="14">
        <v>0</v>
      </c>
      <c r="F145" s="14">
        <v>1040</v>
      </c>
      <c r="G145" s="180"/>
      <c r="H145" s="181"/>
      <c r="I145" s="30"/>
      <c r="J145" s="55">
        <f t="shared" si="1"/>
        <v>1.771546186910701</v>
      </c>
    </row>
    <row r="146" spans="1:10" s="2" customFormat="1" ht="15.75" customHeight="1" x14ac:dyDescent="0.35">
      <c r="A146" s="91" t="s">
        <v>220</v>
      </c>
      <c r="B146" s="92"/>
      <c r="C146" s="14" t="s">
        <v>173</v>
      </c>
      <c r="D146" s="14">
        <f>(67.577+3.27)*10.764</f>
        <v>762.59710799999993</v>
      </c>
      <c r="E146" s="14">
        <v>0</v>
      </c>
      <c r="F146" s="14">
        <v>1390</v>
      </c>
      <c r="G146" s="180"/>
      <c r="H146" s="181"/>
      <c r="I146" s="30"/>
      <c r="J146" s="55">
        <f t="shared" si="1"/>
        <v>1.8227186877818584</v>
      </c>
    </row>
    <row r="147" spans="1:10" s="2" customFormat="1" ht="15.75" customHeight="1" x14ac:dyDescent="0.35">
      <c r="A147" s="91" t="s">
        <v>221</v>
      </c>
      <c r="B147" s="92"/>
      <c r="C147" s="14" t="s">
        <v>172</v>
      </c>
      <c r="D147" s="14">
        <f>(36.075)*10.764</f>
        <v>388.31130000000002</v>
      </c>
      <c r="E147" s="14">
        <v>0</v>
      </c>
      <c r="F147" s="14">
        <v>740</v>
      </c>
      <c r="G147" s="182"/>
      <c r="H147" s="183"/>
      <c r="I147" s="30"/>
      <c r="J147" s="55">
        <f t="shared" si="1"/>
        <v>1.9056875244166214</v>
      </c>
    </row>
    <row r="148" spans="1:10" s="2" customFormat="1" ht="15.75" customHeight="1" x14ac:dyDescent="0.35">
      <c r="A148" s="101" t="s">
        <v>177</v>
      </c>
      <c r="B148" s="102"/>
      <c r="C148" s="102"/>
      <c r="D148" s="102"/>
      <c r="E148" s="102"/>
      <c r="F148" s="102"/>
      <c r="G148" s="102"/>
      <c r="H148" s="103"/>
      <c r="I148" s="30"/>
      <c r="J148" s="55"/>
    </row>
    <row r="149" spans="1:10" s="2" customFormat="1" ht="15.75" customHeight="1" x14ac:dyDescent="0.35">
      <c r="A149" s="91">
        <v>801</v>
      </c>
      <c r="B149" s="92"/>
      <c r="C149" s="14" t="s">
        <v>172</v>
      </c>
      <c r="D149" s="14">
        <f>(36.075)*10.764</f>
        <v>388.31130000000002</v>
      </c>
      <c r="E149" s="14">
        <v>0</v>
      </c>
      <c r="F149" s="14">
        <v>740</v>
      </c>
      <c r="G149" s="178" t="str">
        <f>A148</f>
        <v>8th Floor (Part Refuge Area)</v>
      </c>
      <c r="H149" s="179"/>
      <c r="I149" s="30"/>
      <c r="J149" s="55">
        <f t="shared" si="1"/>
        <v>1.9056875244166214</v>
      </c>
    </row>
    <row r="150" spans="1:10" s="2" customFormat="1" x14ac:dyDescent="0.35">
      <c r="A150" s="91">
        <v>802</v>
      </c>
      <c r="B150" s="92"/>
      <c r="C150" s="14" t="s">
        <v>173</v>
      </c>
      <c r="D150" s="14">
        <f>(77.938+3.63)*10.764</f>
        <v>877.99795199999994</v>
      </c>
      <c r="E150" s="14">
        <v>0</v>
      </c>
      <c r="F150" s="14">
        <v>1580</v>
      </c>
      <c r="G150" s="180"/>
      <c r="H150" s="181"/>
      <c r="I150" s="30"/>
      <c r="J150" s="55">
        <f t="shared" si="1"/>
        <v>1.799548616714769</v>
      </c>
    </row>
    <row r="151" spans="1:10" s="2" customFormat="1" ht="15.75" customHeight="1" x14ac:dyDescent="0.35">
      <c r="A151" s="91">
        <v>803</v>
      </c>
      <c r="B151" s="92"/>
      <c r="C151" s="14" t="s">
        <v>174</v>
      </c>
      <c r="D151" s="14">
        <f>(60.103+3.63)*10.764</f>
        <v>686.02201200000002</v>
      </c>
      <c r="E151" s="14">
        <v>0</v>
      </c>
      <c r="F151" s="14">
        <v>1210</v>
      </c>
      <c r="G151" s="180"/>
      <c r="H151" s="181"/>
      <c r="I151" s="30"/>
      <c r="J151" s="55">
        <f t="shared" si="1"/>
        <v>1.7637918008963245</v>
      </c>
    </row>
    <row r="152" spans="1:10" s="2" customFormat="1" ht="15.75" customHeight="1" x14ac:dyDescent="0.35">
      <c r="A152" s="91">
        <v>804</v>
      </c>
      <c r="B152" s="92"/>
      <c r="C152" s="14" t="s">
        <v>174</v>
      </c>
      <c r="D152" s="14">
        <f>(60.103+3.63)*10.764</f>
        <v>686.02201200000002</v>
      </c>
      <c r="E152" s="14">
        <v>0</v>
      </c>
      <c r="F152" s="14">
        <v>1210</v>
      </c>
      <c r="G152" s="180"/>
      <c r="H152" s="181"/>
      <c r="I152" s="30"/>
      <c r="J152" s="55">
        <f t="shared" si="1"/>
        <v>1.7637918008963245</v>
      </c>
    </row>
    <row r="153" spans="1:10" s="2" customFormat="1" ht="15.75" customHeight="1" x14ac:dyDescent="0.35">
      <c r="A153" s="91">
        <v>805</v>
      </c>
      <c r="B153" s="92"/>
      <c r="C153" s="14" t="s">
        <v>173</v>
      </c>
      <c r="D153" s="14">
        <f>(77.938+3.63)*10.764</f>
        <v>877.99795199999994</v>
      </c>
      <c r="E153" s="14">
        <v>0</v>
      </c>
      <c r="F153" s="14">
        <v>1580</v>
      </c>
      <c r="G153" s="180"/>
      <c r="H153" s="181"/>
      <c r="I153" s="30"/>
      <c r="J153" s="55">
        <f t="shared" si="1"/>
        <v>1.799548616714769</v>
      </c>
    </row>
    <row r="154" spans="1:10" s="2" customFormat="1" ht="15.75" customHeight="1" x14ac:dyDescent="0.35">
      <c r="A154" s="91">
        <v>806</v>
      </c>
      <c r="B154" s="92"/>
      <c r="C154" s="14" t="s">
        <v>173</v>
      </c>
      <c r="D154" s="14">
        <f>(67.577+3.27)*10.764</f>
        <v>762.59710799999993</v>
      </c>
      <c r="E154" s="14">
        <v>0</v>
      </c>
      <c r="F154" s="14">
        <v>1390</v>
      </c>
      <c r="G154" s="180"/>
      <c r="H154" s="181"/>
      <c r="I154" s="30"/>
      <c r="J154" s="55">
        <f t="shared" si="1"/>
        <v>1.8227186877818584</v>
      </c>
    </row>
    <row r="155" spans="1:10" s="2" customFormat="1" ht="15.75" customHeight="1" x14ac:dyDescent="0.35">
      <c r="A155" s="91">
        <v>807</v>
      </c>
      <c r="B155" s="92"/>
      <c r="C155" s="14" t="s">
        <v>174</v>
      </c>
      <c r="D155" s="14">
        <f>(51.269+3.27)*10.764</f>
        <v>587.05779599999994</v>
      </c>
      <c r="E155" s="14">
        <v>0</v>
      </c>
      <c r="F155" s="14">
        <v>1040</v>
      </c>
      <c r="G155" s="180"/>
      <c r="H155" s="181"/>
      <c r="I155" s="30"/>
      <c r="J155" s="55">
        <f t="shared" si="1"/>
        <v>1.771546186910701</v>
      </c>
    </row>
    <row r="156" spans="1:10" s="2" customFormat="1" ht="15.75" customHeight="1" x14ac:dyDescent="0.35">
      <c r="A156" s="91">
        <v>808</v>
      </c>
      <c r="B156" s="92"/>
      <c r="C156" s="14" t="s">
        <v>174</v>
      </c>
      <c r="D156" s="14">
        <f>(51.269+3.27)*10.764</f>
        <v>587.05779599999994</v>
      </c>
      <c r="E156" s="14">
        <v>0</v>
      </c>
      <c r="F156" s="14">
        <v>1040</v>
      </c>
      <c r="G156" s="180"/>
      <c r="H156" s="181"/>
      <c r="I156" s="30"/>
      <c r="J156" s="55">
        <f t="shared" si="1"/>
        <v>1.771546186910701</v>
      </c>
    </row>
    <row r="157" spans="1:10" s="2" customFormat="1" ht="15.75" customHeight="1" x14ac:dyDescent="0.35">
      <c r="A157" s="91">
        <v>809</v>
      </c>
      <c r="B157" s="92"/>
      <c r="C157" s="14" t="s">
        <v>173</v>
      </c>
      <c r="D157" s="14">
        <f>(67.577+3.27)*10.764</f>
        <v>762.59710799999993</v>
      </c>
      <c r="E157" s="14">
        <v>0</v>
      </c>
      <c r="F157" s="14">
        <v>1390</v>
      </c>
      <c r="G157" s="180"/>
      <c r="H157" s="181"/>
      <c r="I157" s="30"/>
      <c r="J157" s="55">
        <f t="shared" si="1"/>
        <v>1.8227186877818584</v>
      </c>
    </row>
    <row r="158" spans="1:10" s="2" customFormat="1" ht="15.75" customHeight="1" x14ac:dyDescent="0.35">
      <c r="A158" s="91">
        <v>810</v>
      </c>
      <c r="B158" s="92"/>
      <c r="C158" s="14" t="s">
        <v>172</v>
      </c>
      <c r="D158" s="14">
        <f>(36.075)*10.764</f>
        <v>388.31130000000002</v>
      </c>
      <c r="E158" s="14">
        <v>0</v>
      </c>
      <c r="F158" s="14">
        <v>740</v>
      </c>
      <c r="G158" s="182"/>
      <c r="H158" s="183"/>
      <c r="I158" s="30"/>
      <c r="J158" s="55">
        <f t="shared" si="1"/>
        <v>1.9056875244166214</v>
      </c>
    </row>
    <row r="159" spans="1:10" s="2" customFormat="1" ht="15.75" customHeight="1" x14ac:dyDescent="0.35">
      <c r="A159" s="164" t="s">
        <v>178</v>
      </c>
      <c r="B159" s="164"/>
      <c r="C159" s="164"/>
      <c r="D159" s="164"/>
      <c r="E159" s="164"/>
      <c r="F159" s="164"/>
      <c r="G159" s="164"/>
      <c r="H159" s="164"/>
      <c r="I159" s="30"/>
      <c r="J159" s="55"/>
    </row>
    <row r="160" spans="1:10" s="2" customFormat="1" ht="15.75" customHeight="1" x14ac:dyDescent="0.35">
      <c r="A160" s="118">
        <v>1001</v>
      </c>
      <c r="B160" s="118"/>
      <c r="C160" s="62" t="s">
        <v>172</v>
      </c>
      <c r="D160" s="62">
        <f>(36.075)*10.764</f>
        <v>388.31130000000002</v>
      </c>
      <c r="E160" s="62">
        <v>0</v>
      </c>
      <c r="F160" s="62">
        <v>740</v>
      </c>
      <c r="G160" s="118" t="str">
        <f>A159</f>
        <v>10th Floor (Part Terrace Area)</v>
      </c>
      <c r="H160" s="118"/>
      <c r="I160" s="30"/>
      <c r="J160" s="55">
        <f t="shared" si="1"/>
        <v>1.9056875244166214</v>
      </c>
    </row>
    <row r="161" spans="1:14" s="2" customFormat="1" x14ac:dyDescent="0.35">
      <c r="A161" s="118">
        <v>1002</v>
      </c>
      <c r="B161" s="118"/>
      <c r="C161" s="62" t="s">
        <v>173</v>
      </c>
      <c r="D161" s="62">
        <f>(77.938+3.63)*10.764</f>
        <v>877.99795199999994</v>
      </c>
      <c r="E161" s="62">
        <v>0</v>
      </c>
      <c r="F161" s="62">
        <v>1580</v>
      </c>
      <c r="G161" s="118"/>
      <c r="H161" s="118"/>
      <c r="I161" s="30"/>
      <c r="J161" s="55">
        <f t="shared" si="1"/>
        <v>1.799548616714769</v>
      </c>
    </row>
    <row r="162" spans="1:14" s="2" customFormat="1" ht="15.75" customHeight="1" x14ac:dyDescent="0.35">
      <c r="A162" s="118">
        <v>1003</v>
      </c>
      <c r="B162" s="118"/>
      <c r="C162" s="62" t="s">
        <v>174</v>
      </c>
      <c r="D162" s="62">
        <f>(60.103+3.63)*10.764</f>
        <v>686.02201200000002</v>
      </c>
      <c r="E162" s="62">
        <v>0</v>
      </c>
      <c r="F162" s="62">
        <v>1210</v>
      </c>
      <c r="G162" s="118"/>
      <c r="H162" s="118"/>
      <c r="I162" s="30"/>
      <c r="J162" s="55">
        <f t="shared" si="1"/>
        <v>1.7637918008963245</v>
      </c>
    </row>
    <row r="163" spans="1:14" s="2" customFormat="1" ht="15.75" customHeight="1" x14ac:dyDescent="0.35">
      <c r="A163" s="118">
        <v>1004</v>
      </c>
      <c r="B163" s="118"/>
      <c r="C163" s="62" t="s">
        <v>174</v>
      </c>
      <c r="D163" s="62">
        <f>(60.103+3.63)*10.764</f>
        <v>686.02201200000002</v>
      </c>
      <c r="E163" s="62">
        <v>0</v>
      </c>
      <c r="F163" s="62">
        <v>1210</v>
      </c>
      <c r="G163" s="118"/>
      <c r="H163" s="118"/>
      <c r="I163" s="30"/>
      <c r="J163" s="55">
        <f t="shared" si="1"/>
        <v>1.7637918008963245</v>
      </c>
    </row>
    <row r="164" spans="1:14" s="2" customFormat="1" ht="15.75" customHeight="1" x14ac:dyDescent="0.35">
      <c r="A164" s="118">
        <v>1005</v>
      </c>
      <c r="B164" s="118"/>
      <c r="C164" s="62" t="s">
        <v>173</v>
      </c>
      <c r="D164" s="62">
        <f>(77.938+3.63)*10.764</f>
        <v>877.99795199999994</v>
      </c>
      <c r="E164" s="62">
        <v>0</v>
      </c>
      <c r="F164" s="62">
        <v>1580</v>
      </c>
      <c r="G164" s="118"/>
      <c r="H164" s="118"/>
      <c r="I164" s="30"/>
      <c r="J164" s="55">
        <f t="shared" si="1"/>
        <v>1.799548616714769</v>
      </c>
    </row>
    <row r="165" spans="1:14" s="2" customFormat="1" ht="15.75" customHeight="1" x14ac:dyDescent="0.35">
      <c r="A165" s="118">
        <v>1006</v>
      </c>
      <c r="B165" s="118"/>
      <c r="C165" s="62" t="s">
        <v>172</v>
      </c>
      <c r="D165" s="62">
        <f>(36.075)*10.764</f>
        <v>388.31130000000002</v>
      </c>
      <c r="E165" s="62">
        <v>0</v>
      </c>
      <c r="F165" s="62">
        <v>740</v>
      </c>
      <c r="G165" s="118"/>
      <c r="H165" s="118"/>
      <c r="I165" s="30"/>
      <c r="J165" s="55">
        <f t="shared" si="1"/>
        <v>1.9056875244166214</v>
      </c>
    </row>
    <row r="166" spans="1:14" s="2" customFormat="1" ht="15.75" customHeight="1" x14ac:dyDescent="0.35">
      <c r="A166" s="118">
        <v>1007</v>
      </c>
      <c r="B166" s="118"/>
      <c r="C166" s="62" t="s">
        <v>172</v>
      </c>
      <c r="D166" s="62">
        <f>(36.075)*10.764</f>
        <v>388.31130000000002</v>
      </c>
      <c r="E166" s="62">
        <v>0</v>
      </c>
      <c r="F166" s="62">
        <v>740</v>
      </c>
      <c r="G166" s="118"/>
      <c r="H166" s="118"/>
      <c r="I166" s="30"/>
      <c r="J166" s="55">
        <f t="shared" si="1"/>
        <v>1.9056875244166214</v>
      </c>
    </row>
    <row r="167" spans="1:14" s="2" customFormat="1" ht="15.75" customHeight="1" x14ac:dyDescent="0.35">
      <c r="A167" s="118">
        <v>1008</v>
      </c>
      <c r="B167" s="118"/>
      <c r="C167" s="62" t="s">
        <v>172</v>
      </c>
      <c r="D167" s="62">
        <f>(36.075)*10.764</f>
        <v>388.31130000000002</v>
      </c>
      <c r="E167" s="62">
        <v>0</v>
      </c>
      <c r="F167" s="62">
        <v>740</v>
      </c>
      <c r="G167" s="118"/>
      <c r="H167" s="118"/>
      <c r="I167" s="30"/>
      <c r="J167" s="55">
        <f t="shared" si="1"/>
        <v>1.9056875244166214</v>
      </c>
    </row>
    <row r="168" spans="1:14" s="2" customFormat="1" x14ac:dyDescent="0.35">
      <c r="A168" s="164" t="s">
        <v>171</v>
      </c>
      <c r="B168" s="164"/>
      <c r="C168" s="164"/>
      <c r="D168" s="164"/>
      <c r="E168" s="164"/>
      <c r="F168" s="164"/>
      <c r="G168" s="164"/>
      <c r="H168" s="164"/>
      <c r="I168" s="30"/>
      <c r="J168" s="55"/>
      <c r="L168" s="98"/>
      <c r="M168" s="98"/>
    </row>
    <row r="169" spans="1:14" s="2" customFormat="1" x14ac:dyDescent="0.35">
      <c r="A169" s="118">
        <f>LEFT(A168,SUM(LEN(A168)-LEN(SUBSTITUTE(A168,{"0","1","2","3","4","5","6","7","8","9"},""))))*100+1</f>
        <v>1101</v>
      </c>
      <c r="B169" s="118"/>
      <c r="C169" s="14" t="s">
        <v>172</v>
      </c>
      <c r="D169" s="14">
        <f>(36.075)*10.764</f>
        <v>388.31130000000002</v>
      </c>
      <c r="E169" s="14">
        <v>0</v>
      </c>
      <c r="F169" s="14">
        <v>740</v>
      </c>
      <c r="G169" s="178" t="str">
        <f>A168</f>
        <v xml:space="preserve">11th Floor </v>
      </c>
      <c r="H169" s="179"/>
      <c r="I169" s="30">
        <f>(4.75*2.75+3.475*2.1+3.475*2.75+1.2*1.8+1.9*1.2)*10.764</f>
        <v>369.810675</v>
      </c>
      <c r="J169" s="55">
        <f t="shared" si="1"/>
        <v>1.9056875244166214</v>
      </c>
      <c r="N169" s="30"/>
    </row>
    <row r="170" spans="1:14" s="2" customFormat="1" x14ac:dyDescent="0.35">
      <c r="A170" s="118">
        <f>A169+1</f>
        <v>1102</v>
      </c>
      <c r="B170" s="118"/>
      <c r="C170" s="14" t="s">
        <v>173</v>
      </c>
      <c r="D170" s="14">
        <f>(77.938+3.63)*10.764</f>
        <v>877.99795199999994</v>
      </c>
      <c r="E170" s="14">
        <v>0</v>
      </c>
      <c r="F170" s="14">
        <v>1580</v>
      </c>
      <c r="G170" s="180"/>
      <c r="H170" s="181"/>
      <c r="I170" s="30"/>
      <c r="J170" s="55">
        <f t="shared" si="1"/>
        <v>1.799548616714769</v>
      </c>
      <c r="N170" s="30"/>
    </row>
    <row r="171" spans="1:14" s="2" customFormat="1" x14ac:dyDescent="0.35">
      <c r="A171" s="118">
        <f>A170+1</f>
        <v>1103</v>
      </c>
      <c r="B171" s="118"/>
      <c r="C171" s="14" t="s">
        <v>174</v>
      </c>
      <c r="D171" s="14">
        <f>(60.103+3.63)*10.764</f>
        <v>686.02201200000002</v>
      </c>
      <c r="E171" s="14">
        <v>0</v>
      </c>
      <c r="F171" s="14">
        <v>1210</v>
      </c>
      <c r="G171" s="180"/>
      <c r="H171" s="181"/>
      <c r="I171" s="30"/>
      <c r="J171" s="55">
        <f t="shared" si="1"/>
        <v>1.7637918008963245</v>
      </c>
      <c r="N171" s="30"/>
    </row>
    <row r="172" spans="1:14" s="2" customFormat="1" x14ac:dyDescent="0.35">
      <c r="A172" s="118">
        <f>A171+1</f>
        <v>1104</v>
      </c>
      <c r="B172" s="118"/>
      <c r="C172" s="14" t="s">
        <v>174</v>
      </c>
      <c r="D172" s="14">
        <f>(60.103+3.63)*10.764</f>
        <v>686.02201200000002</v>
      </c>
      <c r="E172" s="14">
        <v>0</v>
      </c>
      <c r="F172" s="14">
        <v>1210</v>
      </c>
      <c r="G172" s="180"/>
      <c r="H172" s="181"/>
      <c r="I172" s="30"/>
      <c r="J172" s="55">
        <f t="shared" si="1"/>
        <v>1.7637918008963245</v>
      </c>
      <c r="N172" s="30"/>
    </row>
    <row r="173" spans="1:14" s="2" customFormat="1" x14ac:dyDescent="0.35">
      <c r="A173" s="118">
        <f>A172+1</f>
        <v>1105</v>
      </c>
      <c r="B173" s="118"/>
      <c r="C173" s="14" t="s">
        <v>173</v>
      </c>
      <c r="D173" s="14">
        <f>(77.938+3.63)*10.764</f>
        <v>877.99795199999994</v>
      </c>
      <c r="E173" s="14">
        <v>0</v>
      </c>
      <c r="F173" s="14">
        <v>1580</v>
      </c>
      <c r="G173" s="180"/>
      <c r="H173" s="181"/>
      <c r="I173" s="30"/>
      <c r="J173" s="55">
        <f t="shared" si="1"/>
        <v>1.799548616714769</v>
      </c>
      <c r="N173" s="30"/>
    </row>
    <row r="174" spans="1:14" s="2" customFormat="1" x14ac:dyDescent="0.35">
      <c r="A174" s="118">
        <f>A173+1</f>
        <v>1106</v>
      </c>
      <c r="B174" s="118"/>
      <c r="C174" s="14" t="s">
        <v>172</v>
      </c>
      <c r="D174" s="14">
        <f>(36.075)*10.764</f>
        <v>388.31130000000002</v>
      </c>
      <c r="E174" s="14">
        <v>0</v>
      </c>
      <c r="F174" s="14">
        <v>740</v>
      </c>
      <c r="G174" s="182"/>
      <c r="H174" s="183"/>
      <c r="I174" s="30"/>
      <c r="J174" s="55">
        <f t="shared" si="1"/>
        <v>1.9056875244166214</v>
      </c>
      <c r="N174" s="30"/>
    </row>
    <row r="175" spans="1:14" s="2" customFormat="1" ht="15.75" customHeight="1" x14ac:dyDescent="0.35">
      <c r="A175" s="101" t="s">
        <v>175</v>
      </c>
      <c r="B175" s="102"/>
      <c r="C175" s="102"/>
      <c r="D175" s="102"/>
      <c r="E175" s="102"/>
      <c r="F175" s="102"/>
      <c r="G175" s="102"/>
      <c r="H175" s="103"/>
      <c r="I175" s="30"/>
      <c r="J175" s="55"/>
    </row>
    <row r="176" spans="1:14" s="2" customFormat="1" ht="15.75" customHeight="1" x14ac:dyDescent="0.35">
      <c r="A176" s="91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10^ROW(INDIRECT("1:"&amp;LEN((LEFT(A175,SUM(LEN(A175)-LEN(SUBSTITUTE(A175,{"0","1","2"},""))))))))/10))*100+1&amp;""&amp;" ,..,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",LEN(A175))),LEN(A175)))))))/10))*100+1</f>
        <v>1201 ,.., 1401</v>
      </c>
      <c r="B176" s="92"/>
      <c r="C176" s="14" t="s">
        <v>172</v>
      </c>
      <c r="D176" s="14">
        <f>(36.075)*10.764</f>
        <v>388.31130000000002</v>
      </c>
      <c r="E176" s="14">
        <v>0</v>
      </c>
      <c r="F176" s="14">
        <v>740</v>
      </c>
      <c r="G176" s="178" t="str">
        <f>A175</f>
        <v>12th, 13th &amp; 14th Floor</v>
      </c>
      <c r="H176" s="179"/>
      <c r="I176" s="30"/>
      <c r="J176" s="55">
        <f t="shared" si="1"/>
        <v>1.9056875244166214</v>
      </c>
    </row>
    <row r="177" spans="1:10" s="2" customFormat="1" x14ac:dyDescent="0.35">
      <c r="A177" s="91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,..,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1202 ,.., 1402</v>
      </c>
      <c r="B177" s="92"/>
      <c r="C177" s="14" t="s">
        <v>173</v>
      </c>
      <c r="D177" s="14">
        <f>(77.938+3.63)*10.764</f>
        <v>877.99795199999994</v>
      </c>
      <c r="E177" s="14">
        <v>0</v>
      </c>
      <c r="F177" s="14">
        <v>1580</v>
      </c>
      <c r="G177" s="180"/>
      <c r="H177" s="181"/>
      <c r="I177" s="30"/>
      <c r="J177" s="55">
        <f t="shared" si="1"/>
        <v>1.799548616714769</v>
      </c>
    </row>
    <row r="178" spans="1:10" s="2" customFormat="1" ht="15.75" customHeight="1" x14ac:dyDescent="0.35">
      <c r="A178" s="91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,..,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1203 ,.., 1403</v>
      </c>
      <c r="B178" s="92"/>
      <c r="C178" s="14" t="s">
        <v>174</v>
      </c>
      <c r="D178" s="14">
        <f>(60.103+3.63)*10.764</f>
        <v>686.02201200000002</v>
      </c>
      <c r="E178" s="14">
        <v>0</v>
      </c>
      <c r="F178" s="14">
        <v>1210</v>
      </c>
      <c r="G178" s="180"/>
      <c r="H178" s="181"/>
      <c r="I178" s="30"/>
      <c r="J178" s="55">
        <f t="shared" si="1"/>
        <v>1.7637918008963245</v>
      </c>
    </row>
    <row r="179" spans="1:10" s="2" customFormat="1" ht="15.75" customHeight="1" x14ac:dyDescent="0.35">
      <c r="A179" s="91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,..,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1204 ,.., 1404</v>
      </c>
      <c r="B179" s="92"/>
      <c r="C179" s="14" t="s">
        <v>174</v>
      </c>
      <c r="D179" s="14">
        <f>(60.103+3.63)*10.764</f>
        <v>686.02201200000002</v>
      </c>
      <c r="E179" s="14">
        <v>0</v>
      </c>
      <c r="F179" s="14">
        <v>1210</v>
      </c>
      <c r="G179" s="180"/>
      <c r="H179" s="181"/>
      <c r="I179" s="30"/>
      <c r="J179" s="55">
        <f t="shared" si="1"/>
        <v>1.7637918008963245</v>
      </c>
    </row>
    <row r="180" spans="1:10" s="2" customFormat="1" ht="15.75" customHeight="1" x14ac:dyDescent="0.35">
      <c r="A180" s="91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,..,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1205 ,.., 1405</v>
      </c>
      <c r="B180" s="92"/>
      <c r="C180" s="14" t="s">
        <v>173</v>
      </c>
      <c r="D180" s="14">
        <f>(77.938+3.63)*10.764</f>
        <v>877.99795199999994</v>
      </c>
      <c r="E180" s="14">
        <v>0</v>
      </c>
      <c r="F180" s="14">
        <v>1580</v>
      </c>
      <c r="G180" s="180"/>
      <c r="H180" s="181"/>
      <c r="I180" s="30"/>
      <c r="J180" s="55">
        <f t="shared" si="1"/>
        <v>1.799548616714769</v>
      </c>
    </row>
    <row r="181" spans="1:10" s="2" customFormat="1" ht="15.75" customHeight="1" x14ac:dyDescent="0.35">
      <c r="A181" s="91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,..,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1206 ,.., 1406</v>
      </c>
      <c r="B181" s="92"/>
      <c r="C181" s="14" t="s">
        <v>172</v>
      </c>
      <c r="D181" s="14">
        <f>(36.075)*10.764</f>
        <v>388.31130000000002</v>
      </c>
      <c r="E181" s="14">
        <v>0</v>
      </c>
      <c r="F181" s="14">
        <v>740</v>
      </c>
      <c r="G181" s="182"/>
      <c r="H181" s="183"/>
      <c r="I181" s="30"/>
      <c r="J181" s="55">
        <f t="shared" si="1"/>
        <v>1.9056875244166214</v>
      </c>
    </row>
    <row r="182" spans="1:10" s="1" customFormat="1" x14ac:dyDescent="0.35">
      <c r="A182" s="166" t="s">
        <v>73</v>
      </c>
      <c r="B182" s="166"/>
      <c r="C182" s="166"/>
      <c r="D182" s="166"/>
      <c r="E182" s="166"/>
      <c r="F182" s="166"/>
      <c r="G182" s="166"/>
      <c r="H182" s="166"/>
    </row>
    <row r="183" spans="1:10" s="1" customFormat="1" ht="31.5" customHeight="1" x14ac:dyDescent="0.35">
      <c r="A183" s="54" t="s">
        <v>162</v>
      </c>
      <c r="B183" s="106" t="s">
        <v>239</v>
      </c>
      <c r="C183" s="107"/>
      <c r="D183" s="107"/>
      <c r="E183" s="107"/>
      <c r="F183" s="107"/>
      <c r="G183" s="107"/>
      <c r="H183" s="108"/>
    </row>
    <row r="184" spans="1:10" s="1" customFormat="1" x14ac:dyDescent="0.35">
      <c r="A184" s="54" t="s">
        <v>162</v>
      </c>
      <c r="B184" s="106" t="str">
        <f>(IF(F132="Saleable area Loading :","We have considered Saleable area of Flats as per our Calculation.","We considered Saleable area of Flat as per Builder area Sheet."))</f>
        <v>We considered Saleable area of Flat as per Builder area Sheet.</v>
      </c>
      <c r="C184" s="107"/>
      <c r="D184" s="107"/>
      <c r="E184" s="107"/>
      <c r="F184" s="107"/>
      <c r="G184" s="107"/>
      <c r="H184" s="108"/>
    </row>
    <row r="185" spans="1:10" s="1" customFormat="1" x14ac:dyDescent="0.35">
      <c r="A185" s="54" t="s">
        <v>162</v>
      </c>
      <c r="B185" s="106" t="str">
        <f>(IF(F115="Saleable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85" s="107"/>
      <c r="D185" s="107"/>
      <c r="E185" s="107"/>
      <c r="F185" s="107"/>
      <c r="G185" s="107"/>
      <c r="H185" s="108"/>
    </row>
    <row r="186" spans="1:10" s="1" customFormat="1" x14ac:dyDescent="0.35">
      <c r="A186" s="54" t="s">
        <v>162</v>
      </c>
      <c r="B186" s="106" t="s">
        <v>134</v>
      </c>
      <c r="C186" s="107"/>
      <c r="D186" s="107"/>
      <c r="E186" s="107"/>
      <c r="F186" s="107"/>
      <c r="G186" s="107"/>
      <c r="H186" s="108"/>
    </row>
    <row r="187" spans="1:10" s="1" customFormat="1" x14ac:dyDescent="0.35">
      <c r="A187" s="54" t="s">
        <v>162</v>
      </c>
      <c r="B187" s="106" t="s">
        <v>205</v>
      </c>
      <c r="C187" s="107"/>
      <c r="D187" s="107"/>
      <c r="E187" s="107"/>
      <c r="F187" s="107"/>
      <c r="G187" s="107"/>
      <c r="H187" s="108"/>
    </row>
    <row r="188" spans="1:10" s="1" customFormat="1" x14ac:dyDescent="0.35">
      <c r="A188" s="54" t="s">
        <v>162</v>
      </c>
      <c r="B188" s="106" t="s">
        <v>161</v>
      </c>
      <c r="C188" s="107"/>
      <c r="D188" s="107"/>
      <c r="E188" s="107"/>
      <c r="F188" s="107"/>
      <c r="G188" s="107"/>
      <c r="H188" s="108"/>
    </row>
    <row r="189" spans="1:10" s="1" customFormat="1" x14ac:dyDescent="0.35">
      <c r="A189" s="44" t="s">
        <v>162</v>
      </c>
      <c r="B189" s="115" t="s">
        <v>135</v>
      </c>
      <c r="C189" s="116"/>
      <c r="D189" s="116"/>
      <c r="E189" s="116"/>
      <c r="F189" s="116"/>
      <c r="G189" s="116"/>
      <c r="H189" s="117"/>
    </row>
    <row r="190" spans="1:10" s="1" customFormat="1" ht="34.5" customHeight="1" x14ac:dyDescent="0.35">
      <c r="A190" s="54" t="s">
        <v>162</v>
      </c>
      <c r="B190" s="106" t="s">
        <v>166</v>
      </c>
      <c r="C190" s="107"/>
      <c r="D190" s="107"/>
      <c r="E190" s="107"/>
      <c r="F190" s="107"/>
      <c r="G190" s="107"/>
      <c r="H190" s="108"/>
    </row>
    <row r="191" spans="1:10" s="1" customFormat="1" x14ac:dyDescent="0.35">
      <c r="A191" s="54" t="s">
        <v>162</v>
      </c>
      <c r="B191" s="106" t="s">
        <v>136</v>
      </c>
      <c r="C191" s="107"/>
      <c r="D191" s="107"/>
      <c r="E191" s="107"/>
      <c r="F191" s="107"/>
      <c r="G191" s="107"/>
      <c r="H191" s="108"/>
    </row>
    <row r="192" spans="1:10" s="1" customFormat="1" hidden="1" x14ac:dyDescent="0.35">
      <c r="A192" s="54" t="s">
        <v>162</v>
      </c>
      <c r="B192" s="106" t="s">
        <v>229</v>
      </c>
      <c r="C192" s="107"/>
      <c r="D192" s="107"/>
      <c r="E192" s="107"/>
      <c r="F192" s="107"/>
      <c r="G192" s="107"/>
      <c r="H192" s="108"/>
    </row>
    <row r="193" spans="1:8" x14ac:dyDescent="0.35">
      <c r="A193" s="167" t="s">
        <v>66</v>
      </c>
      <c r="B193" s="167"/>
      <c r="C193" s="167"/>
      <c r="D193" s="167"/>
      <c r="E193" s="167"/>
      <c r="F193" s="167"/>
      <c r="G193" s="167"/>
      <c r="H193" s="167"/>
    </row>
    <row r="194" spans="1:8" x14ac:dyDescent="0.35">
      <c r="A194" s="104" t="s">
        <v>67</v>
      </c>
      <c r="B194" s="104"/>
      <c r="C194" s="104"/>
      <c r="D194" s="104"/>
      <c r="E194" s="104"/>
      <c r="F194" s="104"/>
      <c r="G194" s="104"/>
      <c r="H194" s="104"/>
    </row>
    <row r="195" spans="1:8" ht="15.75" customHeight="1" x14ac:dyDescent="0.35">
      <c r="A195" s="177" t="s">
        <v>68</v>
      </c>
      <c r="B195" s="177"/>
      <c r="C195" s="177"/>
      <c r="D195" s="177"/>
      <c r="E195" s="177"/>
      <c r="F195" s="177"/>
      <c r="G195" s="177"/>
      <c r="H195" s="177"/>
    </row>
    <row r="196" spans="1:8" x14ac:dyDescent="0.35">
      <c r="A196" s="104" t="s">
        <v>69</v>
      </c>
      <c r="B196" s="104"/>
      <c r="C196" s="104"/>
      <c r="D196" s="104"/>
      <c r="E196" s="104"/>
      <c r="F196" s="104"/>
      <c r="G196" s="104"/>
      <c r="H196" s="104"/>
    </row>
    <row r="197" spans="1:8" x14ac:dyDescent="0.35">
      <c r="A197" s="104" t="s">
        <v>70</v>
      </c>
      <c r="B197" s="104"/>
      <c r="C197" s="104"/>
      <c r="D197" s="104"/>
      <c r="E197" s="104"/>
      <c r="F197" s="104"/>
      <c r="G197" s="104"/>
      <c r="H197" s="104"/>
    </row>
    <row r="198" spans="1:8" x14ac:dyDescent="0.35">
      <c r="A198" s="104" t="s">
        <v>137</v>
      </c>
      <c r="B198" s="104"/>
      <c r="C198" s="104"/>
      <c r="D198" s="104"/>
      <c r="E198" s="104"/>
      <c r="F198" s="104"/>
      <c r="G198" s="104"/>
      <c r="H198" s="104"/>
    </row>
    <row r="199" spans="1:8" ht="35.25" customHeight="1" x14ac:dyDescent="0.35">
      <c r="A199" s="143" t="s">
        <v>138</v>
      </c>
      <c r="B199" s="143"/>
      <c r="C199" s="143"/>
      <c r="D199" s="143"/>
      <c r="E199" s="143"/>
      <c r="F199" s="143"/>
      <c r="G199" s="143"/>
      <c r="H199" s="143"/>
    </row>
    <row r="200" spans="1:8" x14ac:dyDescent="0.35">
      <c r="A200" s="162" t="s">
        <v>83</v>
      </c>
      <c r="B200" s="162"/>
      <c r="C200" s="162" t="s">
        <v>241</v>
      </c>
      <c r="D200" s="162"/>
      <c r="E200" s="162" t="s">
        <v>115</v>
      </c>
      <c r="F200" s="162"/>
      <c r="G200" s="162" t="s">
        <v>240</v>
      </c>
      <c r="H200" s="162"/>
    </row>
    <row r="201" spans="1:8" x14ac:dyDescent="0.35">
      <c r="A201" s="161" t="s">
        <v>85</v>
      </c>
      <c r="B201" s="161"/>
      <c r="C201" s="161"/>
      <c r="D201" s="161"/>
      <c r="E201" s="161"/>
      <c r="F201" s="161"/>
      <c r="G201" s="161"/>
      <c r="H201" s="161"/>
    </row>
    <row r="202" spans="1:8" x14ac:dyDescent="0.35">
      <c r="A202" s="161"/>
      <c r="B202" s="161"/>
      <c r="C202" s="161"/>
      <c r="D202" s="161"/>
      <c r="E202" s="161"/>
      <c r="F202" s="161"/>
      <c r="G202" s="161"/>
      <c r="H202" s="161"/>
    </row>
    <row r="203" spans="1:8" x14ac:dyDescent="0.35">
      <c r="A203" s="161"/>
      <c r="B203" s="161"/>
      <c r="C203" s="161"/>
      <c r="D203" s="161"/>
      <c r="E203" s="161"/>
      <c r="F203" s="161"/>
      <c r="G203" s="161"/>
      <c r="H203" s="161"/>
    </row>
    <row r="204" spans="1:8" x14ac:dyDescent="0.35">
      <c r="A204" s="161"/>
      <c r="B204" s="161"/>
      <c r="C204" s="161"/>
      <c r="D204" s="161"/>
      <c r="E204" s="161"/>
      <c r="F204" s="161"/>
      <c r="G204" s="161"/>
      <c r="H204" s="161"/>
    </row>
    <row r="205" spans="1:8" x14ac:dyDescent="0.35">
      <c r="A205" s="9" t="s">
        <v>71</v>
      </c>
      <c r="B205" s="10"/>
      <c r="C205" s="10"/>
      <c r="D205" s="9" t="str">
        <f>E8</f>
        <v>Millennium Flora</v>
      </c>
      <c r="F205" s="10"/>
      <c r="G205" s="10"/>
      <c r="H205" s="10"/>
    </row>
    <row r="206" spans="1:8" x14ac:dyDescent="0.35">
      <c r="A206" s="10"/>
      <c r="B206" s="10"/>
      <c r="C206" s="10"/>
      <c r="D206" s="10"/>
      <c r="E206" s="10"/>
      <c r="F206" s="10"/>
      <c r="G206" s="10"/>
      <c r="H206" s="10"/>
    </row>
    <row r="207" spans="1:8" x14ac:dyDescent="0.35">
      <c r="A207" s="10"/>
      <c r="B207" s="10"/>
      <c r="C207" s="10"/>
      <c r="D207" s="10"/>
      <c r="E207" s="10"/>
      <c r="F207" s="10"/>
      <c r="G207" s="10"/>
      <c r="H207" s="10"/>
    </row>
    <row r="208" spans="1:8" ht="15" customHeight="1" x14ac:dyDescent="0.35"/>
    <row r="245" spans="1:1" x14ac:dyDescent="0.35">
      <c r="A245" s="12" t="s">
        <v>72</v>
      </c>
    </row>
  </sheetData>
  <mergeCells count="336">
    <mergeCell ref="E39:H39"/>
    <mergeCell ref="A39:D39"/>
    <mergeCell ref="A198:H198"/>
    <mergeCell ref="A174:B174"/>
    <mergeCell ref="A195:H195"/>
    <mergeCell ref="A169:B169"/>
    <mergeCell ref="A111:B111"/>
    <mergeCell ref="G132:H132"/>
    <mergeCell ref="A72:B72"/>
    <mergeCell ref="F94:H94"/>
    <mergeCell ref="A93:H93"/>
    <mergeCell ref="G109:H109"/>
    <mergeCell ref="G118:H130"/>
    <mergeCell ref="G136:H147"/>
    <mergeCell ref="G149:H158"/>
    <mergeCell ref="G160:H167"/>
    <mergeCell ref="G169:H174"/>
    <mergeCell ref="G176:H181"/>
    <mergeCell ref="B191:H191"/>
    <mergeCell ref="B192:H192"/>
    <mergeCell ref="A46:B46"/>
    <mergeCell ref="C46:E46"/>
    <mergeCell ref="G46:H46"/>
    <mergeCell ref="G48:H48"/>
    <mergeCell ref="D52:H52"/>
    <mergeCell ref="C48:E48"/>
    <mergeCell ref="A55:C55"/>
    <mergeCell ref="D55:H55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A201:H204"/>
    <mergeCell ref="A200:B200"/>
    <mergeCell ref="E200:F200"/>
    <mergeCell ref="C200:D200"/>
    <mergeCell ref="G200:H200"/>
    <mergeCell ref="A107:H107"/>
    <mergeCell ref="A105:E105"/>
    <mergeCell ref="F105:H105"/>
    <mergeCell ref="A106:E106"/>
    <mergeCell ref="F106:H106"/>
    <mergeCell ref="A168:H168"/>
    <mergeCell ref="A112:B112"/>
    <mergeCell ref="A138:B138"/>
    <mergeCell ref="A109:B109"/>
    <mergeCell ref="A196:H196"/>
    <mergeCell ref="A110:H110"/>
    <mergeCell ref="A199:H199"/>
    <mergeCell ref="A197:H197"/>
    <mergeCell ref="A182:H182"/>
    <mergeCell ref="C115:C116"/>
    <mergeCell ref="A135:H135"/>
    <mergeCell ref="A193:H193"/>
    <mergeCell ref="A194:H194"/>
    <mergeCell ref="C111:D111"/>
    <mergeCell ref="A61:C61"/>
    <mergeCell ref="D61:H61"/>
    <mergeCell ref="A67:B67"/>
    <mergeCell ref="G66:H66"/>
    <mergeCell ref="A65:B65"/>
    <mergeCell ref="A63:B63"/>
    <mergeCell ref="C63:H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56:C56"/>
    <mergeCell ref="A57:C57"/>
    <mergeCell ref="D56:H56"/>
    <mergeCell ref="E67:F76"/>
    <mergeCell ref="G67:H76"/>
    <mergeCell ref="A75:B75"/>
    <mergeCell ref="A76:B76"/>
    <mergeCell ref="D57:H5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3:B73"/>
    <mergeCell ref="A66:B66"/>
    <mergeCell ref="A69:B6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A74:B74"/>
    <mergeCell ref="C112:D112"/>
    <mergeCell ref="E112:F112"/>
    <mergeCell ref="G112:H112"/>
    <mergeCell ref="F100:H100"/>
    <mergeCell ref="A94:E94"/>
    <mergeCell ref="A117:H117"/>
    <mergeCell ref="E115:E116"/>
    <mergeCell ref="G115:H116"/>
    <mergeCell ref="E111:F111"/>
    <mergeCell ref="E108:F108"/>
    <mergeCell ref="A113:H113"/>
    <mergeCell ref="A108:B108"/>
    <mergeCell ref="F101:H101"/>
    <mergeCell ref="C108:D108"/>
    <mergeCell ref="F104:H104"/>
    <mergeCell ref="F102:H102"/>
    <mergeCell ref="F96:H96"/>
    <mergeCell ref="A96:E96"/>
    <mergeCell ref="G111:H111"/>
    <mergeCell ref="A114:H114"/>
    <mergeCell ref="G108:H108"/>
    <mergeCell ref="A103:E103"/>
    <mergeCell ref="C109:D109"/>
    <mergeCell ref="A149:B149"/>
    <mergeCell ref="A154:B154"/>
    <mergeCell ref="L124:M124"/>
    <mergeCell ref="L123:M123"/>
    <mergeCell ref="L122:M122"/>
    <mergeCell ref="L121:M121"/>
    <mergeCell ref="L120:M120"/>
    <mergeCell ref="L119:M119"/>
    <mergeCell ref="L118:M118"/>
    <mergeCell ref="A140:B140"/>
    <mergeCell ref="A139:B139"/>
    <mergeCell ref="L128:M128"/>
    <mergeCell ref="L129:M129"/>
    <mergeCell ref="L130:M130"/>
    <mergeCell ref="L125:M125"/>
    <mergeCell ref="L126:M126"/>
    <mergeCell ref="L127:M127"/>
    <mergeCell ref="A137:B137"/>
    <mergeCell ref="A143:B143"/>
    <mergeCell ref="A144:B144"/>
    <mergeCell ref="A145:B145"/>
    <mergeCell ref="A146:B146"/>
    <mergeCell ref="A147:B147"/>
    <mergeCell ref="E109:F109"/>
    <mergeCell ref="B115:B116"/>
    <mergeCell ref="A115:A116"/>
    <mergeCell ref="A148:H148"/>
    <mergeCell ref="A102:E102"/>
    <mergeCell ref="A101:E101"/>
    <mergeCell ref="A123:B123"/>
    <mergeCell ref="A141:B141"/>
    <mergeCell ref="A136:B136"/>
    <mergeCell ref="A126:B126"/>
    <mergeCell ref="A127:B127"/>
    <mergeCell ref="A128:B128"/>
    <mergeCell ref="A142:B142"/>
    <mergeCell ref="B189:H189"/>
    <mergeCell ref="B185:H185"/>
    <mergeCell ref="B183:H183"/>
    <mergeCell ref="B184:H184"/>
    <mergeCell ref="B186:H186"/>
    <mergeCell ref="B187:H187"/>
    <mergeCell ref="A173:B173"/>
    <mergeCell ref="A170:B170"/>
    <mergeCell ref="A171:B171"/>
    <mergeCell ref="A172:B172"/>
    <mergeCell ref="A179:B179"/>
    <mergeCell ref="A180:B180"/>
    <mergeCell ref="A181:B181"/>
    <mergeCell ref="A177:B177"/>
    <mergeCell ref="A178:B178"/>
    <mergeCell ref="A176:B176"/>
    <mergeCell ref="A175:H175"/>
    <mergeCell ref="B190:H190"/>
    <mergeCell ref="A45:B45"/>
    <mergeCell ref="C45:H45"/>
    <mergeCell ref="B188:H188"/>
    <mergeCell ref="F95:H95"/>
    <mergeCell ref="A95:E95"/>
    <mergeCell ref="D115:D116"/>
    <mergeCell ref="A97:E97"/>
    <mergeCell ref="A124:B124"/>
    <mergeCell ref="A118:B118"/>
    <mergeCell ref="A119:B119"/>
    <mergeCell ref="A120:B120"/>
    <mergeCell ref="A121:B121"/>
    <mergeCell ref="A122:B122"/>
    <mergeCell ref="A98:E98"/>
    <mergeCell ref="F98:H98"/>
    <mergeCell ref="F97:H97"/>
    <mergeCell ref="F103:H103"/>
    <mergeCell ref="A104:E104"/>
    <mergeCell ref="A153:B153"/>
    <mergeCell ref="A167:B167"/>
    <mergeCell ref="A125:B125"/>
    <mergeCell ref="A129:B129"/>
    <mergeCell ref="A130:B130"/>
    <mergeCell ref="A155:B155"/>
    <mergeCell ref="A163:B163"/>
    <mergeCell ref="C49:H49"/>
    <mergeCell ref="F115:F116"/>
    <mergeCell ref="L168:M168"/>
    <mergeCell ref="A131:H131"/>
    <mergeCell ref="A133:H133"/>
    <mergeCell ref="A134:H134"/>
    <mergeCell ref="A156:B156"/>
    <mergeCell ref="A157:B157"/>
    <mergeCell ref="A158:B158"/>
    <mergeCell ref="A150:B150"/>
    <mergeCell ref="A151:B151"/>
    <mergeCell ref="A152:B152"/>
    <mergeCell ref="A164:B164"/>
    <mergeCell ref="A165:B165"/>
    <mergeCell ref="A166:B166"/>
    <mergeCell ref="A159:H159"/>
    <mergeCell ref="A160:B160"/>
    <mergeCell ref="A161:B161"/>
    <mergeCell ref="A162:B162"/>
    <mergeCell ref="A99:E99"/>
    <mergeCell ref="F99:H99"/>
    <mergeCell ref="A100:E100"/>
    <mergeCell ref="A91:B92"/>
    <mergeCell ref="C91:D92"/>
    <mergeCell ref="E91:F92"/>
    <mergeCell ref="G91:H92"/>
    <mergeCell ref="A77:B77"/>
    <mergeCell ref="C77:H77"/>
    <mergeCell ref="A79:B79"/>
    <mergeCell ref="C79:H79"/>
    <mergeCell ref="A80:B80"/>
    <mergeCell ref="E80:F80"/>
    <mergeCell ref="G80:H80"/>
    <mergeCell ref="A81:B81"/>
    <mergeCell ref="E81:F90"/>
    <mergeCell ref="G81:H90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04" max="16383" man="1"/>
    <brk id="24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7265625" style="18"/>
  </cols>
  <sheetData>
    <row r="1" spans="1:9" ht="15" customHeight="1" x14ac:dyDescent="0.35"/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184" t="s">
        <v>116</v>
      </c>
      <c r="C3" s="184"/>
      <c r="D3" s="184"/>
      <c r="E3" s="184"/>
      <c r="F3" s="184"/>
      <c r="G3" s="184"/>
      <c r="H3" s="184"/>
    </row>
    <row r="4" spans="1:9" x14ac:dyDescent="0.35">
      <c r="A4" s="19"/>
      <c r="B4" s="20" t="s">
        <v>117</v>
      </c>
      <c r="C4" s="20" t="s">
        <v>118</v>
      </c>
      <c r="D4" s="20" t="s">
        <v>74</v>
      </c>
      <c r="E4" s="20" t="s">
        <v>119</v>
      </c>
      <c r="F4" s="20" t="s">
        <v>125</v>
      </c>
      <c r="G4" s="20" t="s">
        <v>126</v>
      </c>
      <c r="H4" s="20" t="s">
        <v>120</v>
      </c>
    </row>
    <row r="5" spans="1:9" ht="15" customHeight="1" x14ac:dyDescent="0.35">
      <c r="A5" s="19"/>
      <c r="B5" s="22" t="s">
        <v>121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5">
      <c r="A6" s="19"/>
      <c r="B6" s="22" t="s">
        <v>121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5">
      <c r="A7" s="19"/>
      <c r="B7" s="22" t="s">
        <v>121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5">
      <c r="A8" s="19"/>
      <c r="B8" s="22" t="s">
        <v>121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5">
      <c r="A9" s="19"/>
      <c r="B9" s="22" t="s">
        <v>121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5">
      <c r="A10" s="19"/>
      <c r="B10" s="22" t="s">
        <v>122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5">
      <c r="A11" s="19"/>
      <c r="B11" s="22" t="s">
        <v>122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5">
      <c r="A12" s="19"/>
      <c r="B12" s="27" t="s">
        <v>123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5">
      <c r="B13" s="27" t="s">
        <v>124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2025-08-14T07:56:22Z</cp:lastPrinted>
  <dcterms:created xsi:type="dcterms:W3CDTF">2019-07-16T09:29:46Z</dcterms:created>
  <dcterms:modified xsi:type="dcterms:W3CDTF">2025-08-14T07:56:39Z</dcterms:modified>
</cp:coreProperties>
</file>