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D58" i="1"/>
  <c r="D158" i="1"/>
  <c r="D157" i="1"/>
  <c r="D156" i="1"/>
  <c r="D155" i="1"/>
  <c r="D154" i="1"/>
  <c r="D153" i="1"/>
  <c r="D152" i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4" i="1"/>
  <c r="D123" i="1"/>
  <c r="D122" i="1"/>
  <c r="D121" i="1"/>
  <c r="D120" i="1"/>
  <c r="D119" i="1"/>
  <c r="D118" i="1"/>
  <c r="D117" i="1"/>
  <c r="G151" i="1"/>
  <c r="G152" i="1" s="1"/>
  <c r="G153" i="1" s="1"/>
  <c r="G154" i="1" s="1"/>
  <c r="G155" i="1" s="1"/>
  <c r="G156" i="1" s="1"/>
  <c r="G157" i="1" s="1"/>
  <c r="G158" i="1" s="1"/>
  <c r="A151" i="1"/>
  <c r="A152" i="1" s="1"/>
  <c r="A153" i="1" s="1"/>
  <c r="A154" i="1" s="1"/>
  <c r="A155" i="1" s="1"/>
  <c r="A156" i="1" s="1"/>
  <c r="A157" i="1" s="1"/>
  <c r="A158" i="1" s="1"/>
  <c r="D111" i="1"/>
  <c r="J111" i="1" s="1"/>
  <c r="D110" i="1"/>
  <c r="J110" i="1" s="1"/>
  <c r="D106" i="1"/>
  <c r="J106" i="1" s="1"/>
  <c r="D107" i="1"/>
  <c r="J107" i="1" s="1"/>
  <c r="D108" i="1"/>
  <c r="J108" i="1" s="1"/>
  <c r="D105" i="1"/>
  <c r="J105" i="1" s="1"/>
  <c r="D109" i="1"/>
  <c r="J109" i="1" s="1"/>
  <c r="D104" i="1"/>
  <c r="J104" i="1" s="1"/>
  <c r="D103" i="1"/>
  <c r="J103" i="1" s="1"/>
  <c r="D102" i="1"/>
  <c r="J102" i="1" s="1"/>
  <c r="D101" i="1"/>
  <c r="J101" i="1" s="1"/>
  <c r="F127" i="1" l="1"/>
  <c r="J127" i="1" s="1"/>
  <c r="F128" i="1"/>
  <c r="J128" i="1" s="1"/>
  <c r="F136" i="1"/>
  <c r="J136" i="1" s="1"/>
  <c r="F145" i="1"/>
  <c r="J145" i="1" s="1"/>
  <c r="F154" i="1"/>
  <c r="J154" i="1" s="1"/>
  <c r="F120" i="1"/>
  <c r="J120" i="1" s="1"/>
  <c r="F129" i="1"/>
  <c r="I129" i="1" s="1"/>
  <c r="K129" i="1" s="1"/>
  <c r="F137" i="1"/>
  <c r="J137" i="1" s="1"/>
  <c r="F146" i="1"/>
  <c r="J146" i="1" s="1"/>
  <c r="F155" i="1"/>
  <c r="J155" i="1" s="1"/>
  <c r="F135" i="1"/>
  <c r="J135" i="1" s="1"/>
  <c r="F130" i="1"/>
  <c r="J130" i="1" s="1"/>
  <c r="F156" i="1"/>
  <c r="J156" i="1" s="1"/>
  <c r="F118" i="1"/>
  <c r="J118" i="1" s="1"/>
  <c r="F144" i="1"/>
  <c r="J144" i="1" s="1"/>
  <c r="F153" i="1"/>
  <c r="J153" i="1" s="1"/>
  <c r="F119" i="1"/>
  <c r="J119" i="1" s="1"/>
  <c r="F121" i="1"/>
  <c r="J121" i="1" s="1"/>
  <c r="F139" i="1"/>
  <c r="J139" i="1" s="1"/>
  <c r="F147" i="1"/>
  <c r="J147" i="1" s="1"/>
  <c r="F122" i="1"/>
  <c r="J122" i="1" s="1"/>
  <c r="F131" i="1"/>
  <c r="J131" i="1" s="1"/>
  <c r="F140" i="1"/>
  <c r="J140" i="1" s="1"/>
  <c r="F148" i="1"/>
  <c r="J148" i="1" s="1"/>
  <c r="F157" i="1"/>
  <c r="J157" i="1" s="1"/>
  <c r="F123" i="1"/>
  <c r="J123" i="1" s="1"/>
  <c r="F132" i="1"/>
  <c r="J132" i="1" s="1"/>
  <c r="F141" i="1"/>
  <c r="J141" i="1" s="1"/>
  <c r="F149" i="1"/>
  <c r="J149" i="1" s="1"/>
  <c r="F158" i="1"/>
  <c r="J158" i="1" s="1"/>
  <c r="F124" i="1"/>
  <c r="J124" i="1" s="1"/>
  <c r="F133" i="1"/>
  <c r="J133" i="1" s="1"/>
  <c r="F142" i="1"/>
  <c r="J142" i="1" s="1"/>
  <c r="F151" i="1"/>
  <c r="J151" i="1" s="1"/>
  <c r="F117" i="1"/>
  <c r="J117" i="1" s="1"/>
  <c r="F126" i="1"/>
  <c r="J126" i="1" s="1"/>
  <c r="F134" i="1"/>
  <c r="J134" i="1" s="1"/>
  <c r="F143" i="1"/>
  <c r="J143" i="1" s="1"/>
  <c r="F152" i="1"/>
  <c r="J152" i="1" s="1"/>
  <c r="E96" i="1"/>
  <c r="E93" i="1"/>
  <c r="C96" i="1"/>
  <c r="C93" i="1"/>
  <c r="K93" i="1" l="1"/>
  <c r="J129" i="1"/>
  <c r="L151" i="1"/>
  <c r="K151" i="1"/>
  <c r="B161" i="1"/>
  <c r="A126" i="1"/>
  <c r="A139" i="1"/>
  <c r="C14" i="1" l="1"/>
  <c r="A127" i="1"/>
  <c r="A140" i="1"/>
  <c r="E28" i="1" l="1"/>
  <c r="A128" i="1"/>
  <c r="A141" i="1"/>
  <c r="G96" i="1" l="1"/>
  <c r="J93" i="1" s="1"/>
  <c r="A142" i="1"/>
  <c r="A129" i="1"/>
  <c r="B162" i="1" l="1"/>
  <c r="A130" i="1"/>
  <c r="A14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2" i="1"/>
  <c r="G139" i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26" i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17" i="1"/>
  <c r="G118" i="1" s="1"/>
  <c r="G119" i="1" s="1"/>
  <c r="G120" i="1" s="1"/>
  <c r="G121" i="1" s="1"/>
  <c r="G122" i="1" s="1"/>
  <c r="G123" i="1" s="1"/>
  <c r="G124" i="1" s="1"/>
  <c r="A117" i="1"/>
  <c r="A118" i="1" s="1"/>
  <c r="A119" i="1" s="1"/>
  <c r="A120" i="1" s="1"/>
  <c r="A121" i="1" s="1"/>
  <c r="A122" i="1" s="1"/>
  <c r="A123" i="1" s="1"/>
  <c r="A124" i="1" s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G101" i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F90" i="1"/>
  <c r="J75" i="1"/>
  <c r="J74" i="1"/>
  <c r="J73" i="1"/>
  <c r="J72" i="1"/>
  <c r="C64" i="1"/>
  <c r="D53" i="1"/>
  <c r="G48" i="1"/>
  <c r="C48" i="1"/>
  <c r="E41" i="1"/>
  <c r="E42" i="1" s="1"/>
  <c r="E25" i="1"/>
  <c r="E23" i="1"/>
  <c r="E7" i="1"/>
  <c r="E3" i="1"/>
  <c r="A144" i="1"/>
  <c r="H65" i="1"/>
  <c r="A131" i="1"/>
  <c r="D70" i="1" l="1"/>
  <c r="J68" i="1"/>
  <c r="D77" i="1"/>
  <c r="D75" i="1"/>
  <c r="D73" i="1"/>
  <c r="D71" i="1"/>
  <c r="J69" i="1"/>
  <c r="C68" i="1" s="1"/>
  <c r="J67" i="1"/>
  <c r="J70" i="1"/>
  <c r="J71" i="1" s="1"/>
  <c r="J76" i="1" s="1"/>
  <c r="J77" i="1" s="1"/>
  <c r="C69" i="1" s="1"/>
  <c r="D76" i="1"/>
  <c r="D72" i="1"/>
  <c r="D74" i="1"/>
  <c r="A132" i="1"/>
  <c r="A145" i="1"/>
  <c r="D68" i="1" l="1"/>
  <c r="E68" i="1"/>
  <c r="D69" i="1"/>
  <c r="G68" i="1"/>
  <c r="D62" i="1" s="1"/>
  <c r="A146" i="1"/>
  <c r="A133" i="1"/>
  <c r="I64" i="1" l="1"/>
  <c r="C66" i="1" s="1"/>
  <c r="F63" i="1"/>
  <c r="D63" i="1"/>
  <c r="A134" i="1"/>
  <c r="A147" i="1"/>
  <c r="A135" i="1" l="1"/>
  <c r="A148" i="1"/>
  <c r="A149" i="1"/>
  <c r="A136" i="1"/>
  <c r="A137" i="1"/>
</calcChain>
</file>

<file path=xl/sharedStrings.xml><?xml version="1.0" encoding="utf-8"?>
<sst xmlns="http://schemas.openxmlformats.org/spreadsheetml/2006/main" count="314" uniqueCount="225">
  <si>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</si>
  <si>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</si>
  <si>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</si>
  <si>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</si>
  <si>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</si>
  <si>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</si>
  <si>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</si>
  <si>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</si>
  <si>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</si>
  <si>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</si>
  <si>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</si>
  <si>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</si>
  <si>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</si>
  <si>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</si>
  <si>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</si>
  <si>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</si>
  <si>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</si>
  <si>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</si>
  <si>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</si>
  <si>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</si>
  <si>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</si>
  <si>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</si>
  <si>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</si>
  <si>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</si>
  <si>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</si>
  <si>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</si>
  <si>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</si>
  <si>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</si>
  <si>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</si>
  <si>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</si>
  <si>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</si>
  <si>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</si>
  <si>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</si>
  <si>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</si>
  <si>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</si>
  <si>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</si>
  <si>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</si>
  <si>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</si>
  <si>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</si>
  <si>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</si>
  <si>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</si>
  <si>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</si>
  <si>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</si>
  <si>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</si>
  <si>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</si>
  <si>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</si>
  <si>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</si>
  <si>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</si>
  <si>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</si>
  <si>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</si>
  <si>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</si>
  <si>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</si>
  <si>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</si>
  <si>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</si>
  <si>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</si>
  <si>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</si>
  <si>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</si>
  <si>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</si>
  <si>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</si>
  <si>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</si>
  <si>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</si>
  <si>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</si>
  <si>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</si>
  <si>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</si>
  <si>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</si>
  <si>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</si>
  <si>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</si>
  <si>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</si>
  <si>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</si>
  <si>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</si>
  <si>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</si>
  <si>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</si>
  <si>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</si>
  <si>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</si>
  <si>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</si>
  <si>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</si>
  <si>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</si>
  <si>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</si>
  <si>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</si>
  <si>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</si>
  <si>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</si>
  <si>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</si>
  <si>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</si>
  <si>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</si>
  <si>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</si>
  <si>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</si>
  <si>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</si>
  <si>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</si>
  <si>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</si>
  <si>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</si>
  <si>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</si>
  <si>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</si>
  <si>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</si>
  <si>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</si>
  <si>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</si>
  <si>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</si>
  <si>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</si>
  <si>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</si>
  <si>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</si>
  <si>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</si>
  <si>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</si>
  <si>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</si>
  <si>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</si>
  <si>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</si>
  <si>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</si>
  <si>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</si>
  <si>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</si>
  <si>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</si>
  <si>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</si>
  <si>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</si>
  <si>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</si>
  <si>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</si>
  <si>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</si>
  <si>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</si>
  <si>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</si>
  <si>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</si>
  <si>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</si>
  <si>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</si>
  <si>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</si>
  <si>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</si>
  <si>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</si>
  <si>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</si>
  <si>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</si>
  <si>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</si>
  <si>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</si>
  <si>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</si>
  <si>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</si>
  <si>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</si>
  <si>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</si>
  <si>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</si>
  <si>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</si>
  <si>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</si>
  <si>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</si>
  <si>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</si>
  <si>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</si>
  <si>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</si>
  <si>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</si>
  <si>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</si>
  <si>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</si>
  <si>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</si>
  <si>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</si>
  <si>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</si>
  <si>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</si>
  <si>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</si>
  <si>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</si>
  <si>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</si>
  <si>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</si>
  <si>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</si>
  <si>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</si>
  <si>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</si>
  <si>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</si>
  <si>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</si>
  <si>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</si>
  <si>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</si>
  <si>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</si>
  <si>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</si>
  <si>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</si>
  <si>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</si>
  <si>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</si>
  <si>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</si>
  <si>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</si>
  <si>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</si>
  <si>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</si>
  <si>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</si>
  <si>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</si>
  <si>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</si>
  <si>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</si>
  <si>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</si>
  <si>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</si>
  <si>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</si>
  <si>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9819953493/9820688219</t>
  </si>
  <si>
    <t>P52000033202</t>
  </si>
  <si>
    <t>Plot No</t>
  </si>
  <si>
    <t>08, Sector No.17</t>
  </si>
  <si>
    <t>New Panvel</t>
  </si>
  <si>
    <t>Raigad</t>
  </si>
  <si>
    <t>Panvel</t>
  </si>
  <si>
    <t>Millennium Flora</t>
  </si>
  <si>
    <t>Internal Road</t>
  </si>
  <si>
    <t>Sadguru Universal</t>
  </si>
  <si>
    <t>Open Plot</t>
  </si>
  <si>
    <t>Khandeshwar</t>
  </si>
  <si>
    <t>2.00KM from Khandeshwar Railway Station</t>
  </si>
  <si>
    <t>On Site, we meet Mr.Mahadev Patil.(9819722722).</t>
  </si>
  <si>
    <t>Gr/St + 1st to 12th Floor</t>
  </si>
  <si>
    <t>As per RERA - 31/12/2027</t>
  </si>
  <si>
    <t>1 Building</t>
  </si>
  <si>
    <t xml:space="preserve">Panvel Municipal Corporation </t>
  </si>
  <si>
    <t>PMC/TP/N.Panvel/17/08/21-22/16232/96/2022</t>
  </si>
  <si>
    <t>PMP/NRV/16232/96/2022</t>
  </si>
  <si>
    <t>Valid Up to:  Gr/St + 1st to 12th Floor</t>
  </si>
  <si>
    <t>Ground Floor for Commercial &amp; Parking</t>
  </si>
  <si>
    <t>Shop</t>
  </si>
  <si>
    <t>3rd Floor for Residential</t>
  </si>
  <si>
    <t>1st &amp; 2nd Floor for Parking</t>
  </si>
  <si>
    <t>4th, 5th, 6th, 7th, 9th, 10th Floor</t>
  </si>
  <si>
    <t>8th &amp; 11th Floor</t>
  </si>
  <si>
    <t>12th Floor</t>
  </si>
  <si>
    <t>2BHK</t>
  </si>
  <si>
    <t>1BHK</t>
  </si>
  <si>
    <t xml:space="preserve">We considered Gross carpet area = Net carpet + balcony </t>
  </si>
  <si>
    <t>Flats</t>
  </si>
  <si>
    <t>Flats - 110, Shops - 11</t>
  </si>
  <si>
    <t>Approved Plans, CC, Sale Plan, Builder Saleable Area</t>
  </si>
  <si>
    <t>NMS 17 West</t>
  </si>
  <si>
    <t>Builder Saleable area</t>
  </si>
  <si>
    <t>M/s.Varun Realty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</si>
  <si>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</si>
  <si>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Location Link</t>
  </si>
  <si>
    <t>https://maps.app.goo.gl/Yi7FSz1GCKadNd1bA</t>
  </si>
  <si>
    <t>Latitude, Longitude :</t>
  </si>
  <si>
    <t>19.008909, 73.106381</t>
  </si>
  <si>
    <t>Saleable area
Loading :</t>
  </si>
  <si>
    <t>50/- from 7th Floor</t>
  </si>
  <si>
    <t xml:space="preserve">Flat No. 404 </t>
  </si>
  <si>
    <t>8000 to 9600</t>
  </si>
  <si>
    <t>BSA &amp; Loading</t>
  </si>
  <si>
    <t xml:space="preserve"> smith Pal</t>
  </si>
  <si>
    <t>Staff Case</t>
  </si>
  <si>
    <t>Please Check Note</t>
  </si>
  <si>
    <t>Site Person - Contact Details ( Name &amp; Contact No.)</t>
  </si>
  <si>
    <t>Construction work was stopped. Work is same as last visit (08/08/2024).</t>
  </si>
  <si>
    <t>Pooja</t>
  </si>
  <si>
    <t>Mayur Ranvare</t>
  </si>
  <si>
    <t>Work is same as last visit (10/05/2025).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</si>
</sst>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3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2" fillId="2" borderId="4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center" wrapText="1"/>
      <protection locked="0"/>
    </xf>
    <xf numFmtId="1" fontId="12" fillId="2" borderId="1" xfId="1" applyNumberFormat="1" applyFont="1" applyFill="1" applyBorder="1" applyAlignment="1" applyProtection="1">
      <alignment horizont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5" xfId="10" applyFont="1" applyFill="1" applyBorder="1" applyAlignment="1" applyProtection="1">
      <alignment horizontal="center" vertical="top" wrapText="1"/>
      <protection locked="0"/>
    </xf>
    <xf numFmtId="1" fontId="16" fillId="0" borderId="0" xfId="1" applyNumberFormat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13" fillId="2" borderId="5" xfId="1" applyFont="1" applyFill="1" applyBorder="1" applyAlignment="1" applyProtection="1">
      <alignment horizontal="left" vertical="top"/>
      <protection locked="0"/>
    </xf>
    <xf numFmtId="0" fontId="13" fillId="2" borderId="18" xfId="1" applyFont="1" applyFill="1" applyBorder="1" applyAlignment="1" applyProtection="1">
      <alignment horizontal="left" vertical="top"/>
      <protection locked="0"/>
    </xf>
    <xf numFmtId="0" fontId="13" fillId="2" borderId="6" xfId="1" applyFont="1" applyFill="1" applyBorder="1" applyAlignment="1" applyProtection="1">
      <alignment horizontal="left" vertical="top"/>
      <protection locked="0"/>
    </xf>
    <xf numFmtId="168" fontId="12" fillId="2" borderId="1" xfId="8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8" fontId="12" fillId="2" borderId="1" xfId="8" applyNumberFormat="1" applyFont="1" applyFill="1" applyBorder="1" applyAlignment="1" applyProtection="1">
      <alignment horizontal="righ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8" fillId="2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167" fontId="12" fillId="2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167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3" xfId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0" fontId="12" fillId="2" borderId="15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2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13" fillId="2" borderId="1" xfId="1" applyNumberFormat="1" applyFont="1" applyFill="1" applyBorder="1" applyAlignment="1" applyProtection="1">
      <alignment horizontal="left" vertical="top" wrapText="1"/>
      <protection locked="0"/>
    </xf>
    <xf numFmtId="164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2" borderId="19" xfId="1" applyFont="1" applyFill="1" applyBorder="1" applyAlignment="1" applyProtection="1">
      <alignment horizontal="left" vertical="top" wrapText="1"/>
      <protection locked="0"/>
    </xf>
    <xf numFmtId="0" fontId="13" fillId="2" borderId="14" xfId="1" applyFont="1" applyFill="1" applyBorder="1" applyAlignment="1" applyProtection="1">
      <alignment horizontal="left" vertical="top" wrapText="1"/>
      <protection locked="0"/>
    </xf>
    <xf numFmtId="0" fontId="13" fillId="2" borderId="12" xfId="1" applyFont="1" applyFill="1" applyBorder="1" applyAlignment="1" applyProtection="1">
      <alignment horizontal="left" vertical="top" wrapText="1"/>
      <protection locked="0"/>
    </xf>
    <xf numFmtId="0" fontId="13" fillId="2" borderId="13" xfId="1" applyFont="1" applyFill="1" applyBorder="1" applyAlignment="1" applyProtection="1">
      <alignment horizontal="left" vertical="top" wrapText="1"/>
      <protection locked="0"/>
    </xf>
    <xf numFmtId="0" fontId="13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2" xfId="1" applyFont="1" applyFill="1" applyBorder="1" applyAlignment="1" applyProtection="1">
      <alignment horizontal="left" vertical="top"/>
      <protection locked="0"/>
    </xf>
    <xf numFmtId="0" fontId="12" fillId="2" borderId="16" xfId="1" applyFont="1" applyFill="1" applyBorder="1" applyAlignment="1" applyProtection="1">
      <alignment horizontal="left" vertical="top" wrapText="1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0" fontId="12" fillId="2" borderId="17" xfId="1" applyFont="1" applyFill="1" applyBorder="1" applyAlignment="1" applyProtection="1">
      <alignment horizontal="left" vertical="top" wrapText="1"/>
      <protection locked="0"/>
    </xf>
    <xf numFmtId="0" fontId="13" fillId="2" borderId="4" xfId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/>
      <protection locked="0"/>
    </xf>
    <xf numFmtId="0" fontId="12" fillId="2" borderId="18" xfId="1" applyFont="1" applyFill="1" applyBorder="1" applyAlignment="1" applyProtection="1">
      <alignment horizontal="left" vertical="top"/>
      <protection locked="0"/>
    </xf>
    <xf numFmtId="0" fontId="12" fillId="2" borderId="6" xfId="1" applyFont="1" applyFill="1" applyBorder="1" applyAlignment="1" applyProtection="1">
      <alignment horizontal="left" vertical="top"/>
      <protection locked="0"/>
    </xf>
    <xf numFmtId="0" fontId="12" fillId="2" borderId="18" xfId="1" applyFont="1" applyFill="1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 vertical="top"/>
      <protection locked="0"/>
    </xf>
    <xf numFmtId="0" fontId="12" fillId="2" borderId="2" xfId="1" applyFont="1" applyFill="1" applyBorder="1" applyAlignment="1" applyProtection="1">
      <alignment horizontal="left" vertical="top" wrapText="1"/>
      <protection locked="0"/>
    </xf>
    <xf numFmtId="0" fontId="12" fillId="2" borderId="4" xfId="1" applyFont="1" applyFill="1" applyBorder="1" applyAlignment="1" applyProtection="1">
      <alignment horizontal="center" vertical="top" wrapText="1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7" fillId="2" borderId="1" xfId="1" applyFont="1" applyFill="1" applyBorder="1" applyAlignment="1" applyProtection="1">
      <protection locked="0"/>
    </xf>
    <xf numFmtId="0" fontId="24" fillId="2" borderId="1" xfId="9" applyFill="1" applyBorder="1" applyAlignment="1" applyProtection="1"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</cellXfs>
  <cellStyles count="11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480391</xdr:colOff>
      <xdr:row>225</xdr:row>
      <xdr:rowOff>16566</xdr:rowOff>
    </xdr:from>
    <xdr:to>
      <xdr:col>7</xdr:col>
      <xdr:colOff>445966</xdr:colOff>
      <xdr:row>239</xdr:row>
      <xdr:rowOff>113609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0391" y="51882262"/>
          <a:ext cx="607814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480391</xdr:colOff>
      <xdr:row>240</xdr:row>
      <xdr:rowOff>192095</xdr:rowOff>
    </xdr:from>
    <xdr:to>
      <xdr:col>7</xdr:col>
      <xdr:colOff>445966</xdr:colOff>
      <xdr:row>255</xdr:row>
      <xdr:rowOff>90355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0391" y="55039530"/>
          <a:ext cx="607814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182</xdr:row>
      <xdr:rowOff>114300</xdr:rowOff>
    </xdr:from>
    <xdr:to>
      <xdr:col>7</xdr:col>
      <xdr:colOff>652747</xdr:colOff>
      <xdr:row>219</xdr:row>
      <xdr:rowOff>128762</xdr:rowOff>
    </xdr:to>
    <xdr:grpSp>
      <xdr:nvGrpSpPr>
        <xdr:cNvPr id="2" name="Group 1"/>
        <xdr:cNvGrpSpPr/>
      </xdr:nvGrpSpPr>
      <xdr:grpSpPr>
        <a:xfrm>
          <a:off x="190500" y="37725350"/>
          <a:ext cx="6437597" cy="7291562"/>
          <a:chOff x="190500" y="37725350"/>
          <a:chExt cx="6437597" cy="7291562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1418" y="4285691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77253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5769" y="40579131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7639" y="40579131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0092" y="377253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552" y="40579131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7951" y="428569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9684" y="377253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517072</xdr:colOff>
      <xdr:row>3</xdr:row>
      <xdr:rowOff>0</xdr:rowOff>
    </xdr:from>
    <xdr:to>
      <xdr:col>12</xdr:col>
      <xdr:colOff>457230</xdr:colOff>
      <xdr:row>31</xdr:row>
      <xdr:rowOff>66000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937" b="8061"/>
        <a:stretch/>
      </xdr:blipFill>
      <xdr:spPr>
        <a:xfrm>
          <a:off x="517072" y="571500"/>
          <a:ext cx="7288015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i7FSz1GCKadNd1b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25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0" customWidth="1"/>
    <col min="2" max="2" width="12" style="10" customWidth="1"/>
    <col min="3" max="3" width="12.7265625" style="10" customWidth="1"/>
    <col min="4" max="4" width="14.1796875" style="10" customWidth="1"/>
    <col min="5" max="7" width="11.7265625" style="10" customWidth="1"/>
    <col min="8" max="8" width="12.54296875" style="10" customWidth="1"/>
    <col min="9" max="9" width="17.453125" style="3" customWidth="1"/>
    <col min="10" max="10" width="11.453125" style="3" customWidth="1"/>
    <col min="11" max="11" width="11" style="3" bestFit="1" customWidth="1"/>
    <col min="12" max="12" width="14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30" t="s">
        <v>207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3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35">
      <c r="A3" s="121" t="s">
        <v>1</v>
      </c>
      <c r="B3" s="121"/>
      <c r="C3" s="121"/>
      <c r="D3" s="121"/>
      <c r="E3" s="129" t="str">
        <f ca="1">TEXT(TODAY(),"DD/MM/YYYY")</f>
        <v>16/08/2025</v>
      </c>
      <c r="F3" s="129"/>
      <c r="G3" s="129"/>
      <c r="H3" s="129"/>
    </row>
    <row r="4" spans="1:8" ht="15" customHeight="1" x14ac:dyDescent="0.35">
      <c r="A4" s="121" t="s">
        <v>2</v>
      </c>
      <c r="B4" s="121"/>
      <c r="C4" s="121"/>
      <c r="D4" s="121"/>
      <c r="E4" s="133" t="s">
        <v>169</v>
      </c>
      <c r="F4" s="133"/>
      <c r="G4" s="133"/>
      <c r="H4" s="133"/>
    </row>
    <row r="5" spans="1:8" x14ac:dyDescent="0.35">
      <c r="A5" s="121" t="s">
        <v>3</v>
      </c>
      <c r="B5" s="121"/>
      <c r="C5" s="121"/>
      <c r="D5" s="121"/>
      <c r="E5" s="129">
        <v>45881</v>
      </c>
      <c r="F5" s="129"/>
      <c r="G5" s="129"/>
      <c r="H5" s="129"/>
    </row>
    <row r="6" spans="1:8" ht="16.5" customHeight="1" x14ac:dyDescent="0.35">
      <c r="A6" s="121" t="s">
        <v>4</v>
      </c>
      <c r="B6" s="121"/>
      <c r="C6" s="121"/>
      <c r="D6" s="121"/>
      <c r="E6" s="127" t="s">
        <v>206</v>
      </c>
      <c r="F6" s="127"/>
      <c r="G6" s="127"/>
      <c r="H6" s="127"/>
    </row>
    <row r="7" spans="1:8" ht="15" customHeight="1" x14ac:dyDescent="0.35">
      <c r="A7" s="121" t="s">
        <v>5</v>
      </c>
      <c r="B7" s="121"/>
      <c r="C7" s="121"/>
      <c r="D7" s="121"/>
      <c r="E7" s="127" t="str">
        <f>E6</f>
        <v>M/s.Varun Realty</v>
      </c>
      <c r="F7" s="127"/>
      <c r="G7" s="127"/>
      <c r="H7" s="127"/>
    </row>
    <row r="8" spans="1:8" x14ac:dyDescent="0.35">
      <c r="A8" s="121" t="s">
        <v>6</v>
      </c>
      <c r="B8" s="121"/>
      <c r="C8" s="121"/>
      <c r="D8" s="121"/>
      <c r="E8" s="132" t="s">
        <v>204</v>
      </c>
      <c r="F8" s="132"/>
      <c r="G8" s="132"/>
      <c r="H8" s="132"/>
    </row>
    <row r="9" spans="1:8" x14ac:dyDescent="0.35">
      <c r="A9" s="121" t="s">
        <v>133</v>
      </c>
      <c r="B9" s="121"/>
      <c r="C9" s="121"/>
      <c r="D9" s="121"/>
      <c r="E9" s="114" t="s">
        <v>170</v>
      </c>
      <c r="F9" s="114"/>
      <c r="G9" s="114"/>
      <c r="H9" s="114"/>
    </row>
    <row r="10" spans="1:8" hidden="1" x14ac:dyDescent="0.35">
      <c r="A10" s="121" t="s">
        <v>220</v>
      </c>
      <c r="B10" s="121"/>
      <c r="C10" s="121"/>
      <c r="D10" s="121"/>
      <c r="E10" s="114">
        <v>9137965916</v>
      </c>
      <c r="F10" s="114"/>
      <c r="G10" s="114"/>
      <c r="H10" s="114"/>
    </row>
    <row r="11" spans="1:8" x14ac:dyDescent="0.35">
      <c r="A11" s="114" t="s">
        <v>7</v>
      </c>
      <c r="B11" s="114"/>
      <c r="C11" s="114"/>
      <c r="D11" s="114"/>
      <c r="E11" s="114" t="s">
        <v>134</v>
      </c>
      <c r="F11" s="114"/>
      <c r="G11" s="114"/>
      <c r="H11" s="114"/>
    </row>
    <row r="12" spans="1:8" x14ac:dyDescent="0.35">
      <c r="A12" s="121" t="s">
        <v>8</v>
      </c>
      <c r="B12" s="121"/>
      <c r="C12" s="121"/>
      <c r="D12" s="121"/>
      <c r="E12" s="127" t="s">
        <v>203</v>
      </c>
      <c r="F12" s="127"/>
      <c r="G12" s="127"/>
      <c r="H12" s="127"/>
    </row>
    <row r="13" spans="1:8" x14ac:dyDescent="0.35">
      <c r="A13" s="121" t="s">
        <v>9</v>
      </c>
      <c r="B13" s="121"/>
      <c r="C13" s="121"/>
      <c r="D13" s="121"/>
      <c r="E13" s="127" t="s">
        <v>171</v>
      </c>
      <c r="F13" s="114"/>
      <c r="G13" s="114"/>
      <c r="H13" s="114"/>
    </row>
    <row r="14" spans="1:8" ht="32.25" customHeight="1" x14ac:dyDescent="0.35">
      <c r="A14" s="127" t="s">
        <v>10</v>
      </c>
      <c r="B14" s="127"/>
      <c r="C14" s="12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NMS 17 West, Plot No.08, Sector No.17, near Millennium Flora, Internal Road, New Panvel, Khandeshwar, Panvel, Raigad - 410206.</v>
      </c>
      <c r="D14" s="127"/>
      <c r="E14" s="127"/>
      <c r="F14" s="127"/>
      <c r="G14" s="127"/>
      <c r="H14" s="127"/>
    </row>
    <row r="15" spans="1:8" x14ac:dyDescent="0.35">
      <c r="A15" s="127" t="s">
        <v>172</v>
      </c>
      <c r="B15" s="127"/>
      <c r="C15" s="127" t="s">
        <v>173</v>
      </c>
      <c r="D15" s="127"/>
      <c r="E15" s="127"/>
      <c r="F15" s="127"/>
      <c r="G15" s="127"/>
      <c r="H15" s="127"/>
    </row>
    <row r="16" spans="1:8" ht="15.75" customHeight="1" x14ac:dyDescent="0.35">
      <c r="A16" s="127" t="s">
        <v>11</v>
      </c>
      <c r="B16" s="127"/>
      <c r="C16" s="114" t="s">
        <v>178</v>
      </c>
      <c r="D16" s="114"/>
      <c r="E16" s="127" t="s">
        <v>78</v>
      </c>
      <c r="F16" s="127"/>
      <c r="G16" s="127" t="s">
        <v>174</v>
      </c>
      <c r="H16" s="127"/>
    </row>
    <row r="17" spans="1:8" x14ac:dyDescent="0.35">
      <c r="A17" s="114" t="s">
        <v>13</v>
      </c>
      <c r="B17" s="114"/>
      <c r="C17" s="127" t="s">
        <v>181</v>
      </c>
      <c r="D17" s="127"/>
      <c r="E17" s="127" t="s">
        <v>12</v>
      </c>
      <c r="F17" s="127"/>
      <c r="G17" s="128" t="s">
        <v>175</v>
      </c>
      <c r="H17" s="128"/>
    </row>
    <row r="18" spans="1:8" x14ac:dyDescent="0.35">
      <c r="A18" s="114" t="s">
        <v>79</v>
      </c>
      <c r="B18" s="114"/>
      <c r="C18" s="127" t="s">
        <v>176</v>
      </c>
      <c r="D18" s="127"/>
      <c r="E18" s="127" t="s">
        <v>14</v>
      </c>
      <c r="F18" s="127"/>
      <c r="G18" s="127">
        <v>410206</v>
      </c>
      <c r="H18" s="127"/>
    </row>
    <row r="19" spans="1:8" ht="48" customHeight="1" x14ac:dyDescent="0.35">
      <c r="A19" s="114" t="s">
        <v>135</v>
      </c>
      <c r="B19" s="114"/>
      <c r="C19" s="127" t="s">
        <v>177</v>
      </c>
      <c r="D19" s="127"/>
      <c r="E19" s="127" t="s">
        <v>15</v>
      </c>
      <c r="F19" s="127"/>
      <c r="G19" s="127" t="s">
        <v>182</v>
      </c>
      <c r="H19" s="127"/>
    </row>
    <row r="20" spans="1:8" ht="15" customHeight="1" x14ac:dyDescent="0.35">
      <c r="A20" s="124" t="s">
        <v>82</v>
      </c>
      <c r="B20" s="124"/>
      <c r="C20" s="124"/>
      <c r="D20" s="124"/>
      <c r="E20" s="126" t="s">
        <v>16</v>
      </c>
      <c r="F20" s="126"/>
      <c r="G20" s="126"/>
      <c r="H20" s="126"/>
    </row>
    <row r="21" spans="1:8" ht="18.75" customHeight="1" x14ac:dyDescent="0.35">
      <c r="A21" s="124"/>
      <c r="B21" s="124"/>
      <c r="C21" s="124"/>
      <c r="D21" s="124"/>
      <c r="E21" s="126"/>
      <c r="F21" s="126"/>
      <c r="G21" s="126"/>
      <c r="H21" s="126"/>
    </row>
    <row r="22" spans="1:8" ht="15" customHeight="1" x14ac:dyDescent="0.35">
      <c r="A22" s="124" t="s">
        <v>17</v>
      </c>
      <c r="B22" s="124"/>
      <c r="C22" s="124"/>
      <c r="D22" s="124"/>
      <c r="E22" s="123" t="s">
        <v>18</v>
      </c>
      <c r="F22" s="123"/>
      <c r="G22" s="123"/>
      <c r="H22" s="123"/>
    </row>
    <row r="23" spans="1:8" ht="15" customHeight="1" x14ac:dyDescent="0.35">
      <c r="A23" s="95" t="s">
        <v>19</v>
      </c>
      <c r="B23" s="95"/>
      <c r="C23" s="95"/>
      <c r="D23" s="95"/>
      <c r="E23" s="123" t="str">
        <f>IF(AND(G17="Mumbai"),"Upper Class","Middle Class")</f>
        <v>Middle Class</v>
      </c>
      <c r="F23" s="123"/>
      <c r="G23" s="123"/>
      <c r="H23" s="123"/>
    </row>
    <row r="24" spans="1:8" x14ac:dyDescent="0.35">
      <c r="A24" s="95" t="s">
        <v>20</v>
      </c>
      <c r="B24" s="95"/>
      <c r="C24" s="95"/>
      <c r="D24" s="95"/>
      <c r="E24" s="123" t="s">
        <v>21</v>
      </c>
      <c r="F24" s="123"/>
      <c r="G24" s="123"/>
      <c r="H24" s="123"/>
    </row>
    <row r="25" spans="1:8" ht="15.75" customHeight="1" x14ac:dyDescent="0.35">
      <c r="A25" s="95" t="s">
        <v>22</v>
      </c>
      <c r="B25" s="95"/>
      <c r="C25" s="95"/>
      <c r="D25" s="95"/>
      <c r="E25" s="123" t="str">
        <f>IF(AND(G17="Mumbai"),"Developed","Developing")</f>
        <v>Developing</v>
      </c>
      <c r="F25" s="123"/>
      <c r="G25" s="123"/>
      <c r="H25" s="123"/>
    </row>
    <row r="26" spans="1:8" x14ac:dyDescent="0.35">
      <c r="A26" s="95" t="s">
        <v>23</v>
      </c>
      <c r="B26" s="95"/>
      <c r="C26" s="95"/>
      <c r="D26" s="95"/>
      <c r="E26" s="123" t="s">
        <v>24</v>
      </c>
      <c r="F26" s="123"/>
      <c r="G26" s="123"/>
      <c r="H26" s="123"/>
    </row>
    <row r="27" spans="1:8" x14ac:dyDescent="0.35">
      <c r="A27" s="95" t="s">
        <v>87</v>
      </c>
      <c r="B27" s="95"/>
      <c r="C27" s="95"/>
      <c r="D27" s="95"/>
      <c r="E27" s="123" t="s">
        <v>88</v>
      </c>
      <c r="F27" s="123"/>
      <c r="G27" s="123"/>
      <c r="H27" s="123"/>
    </row>
    <row r="28" spans="1:8" ht="15" customHeight="1" x14ac:dyDescent="0.35">
      <c r="A28" s="124" t="s">
        <v>33</v>
      </c>
      <c r="B28" s="124"/>
      <c r="C28" s="124"/>
      <c r="D28" s="124"/>
      <c r="E28" s="125" t="str">
        <f>IF(ISNUMBER(SEARCH("Shop",D54)),"Residential + Commercial",IF(ISNUMBER(SEARCH("Office",D54)),"Residential + Commercial",IF(SEARCH("Flats",D54),"Residential","")))</f>
        <v>Residential + Commercial</v>
      </c>
      <c r="F28" s="125"/>
      <c r="G28" s="125"/>
      <c r="H28" s="125"/>
    </row>
    <row r="29" spans="1:8" x14ac:dyDescent="0.35">
      <c r="A29" s="124" t="s">
        <v>99</v>
      </c>
      <c r="B29" s="124"/>
      <c r="C29" s="124"/>
      <c r="D29" s="124"/>
      <c r="E29" s="124" t="s">
        <v>34</v>
      </c>
      <c r="F29" s="124"/>
      <c r="G29" s="124"/>
      <c r="H29" s="124"/>
    </row>
    <row r="30" spans="1:8" s="6" customFormat="1" x14ac:dyDescent="0.35">
      <c r="A30" s="120" t="s">
        <v>100</v>
      </c>
      <c r="B30" s="120"/>
      <c r="C30" s="117" t="s">
        <v>29</v>
      </c>
      <c r="D30" s="117"/>
      <c r="E30" s="117"/>
      <c r="F30" s="117" t="s">
        <v>31</v>
      </c>
      <c r="G30" s="117"/>
      <c r="H30" s="117"/>
    </row>
    <row r="31" spans="1:8" s="6" customFormat="1" x14ac:dyDescent="0.35">
      <c r="A31" s="119" t="s">
        <v>25</v>
      </c>
      <c r="B31" s="119" t="s">
        <v>30</v>
      </c>
      <c r="C31" s="116" t="s">
        <v>30</v>
      </c>
      <c r="D31" s="116"/>
      <c r="E31" s="116"/>
      <c r="F31" s="116" t="s">
        <v>180</v>
      </c>
      <c r="G31" s="116"/>
      <c r="H31" s="116"/>
    </row>
    <row r="32" spans="1:8" x14ac:dyDescent="0.35">
      <c r="A32" s="119" t="s">
        <v>26</v>
      </c>
      <c r="B32" s="119" t="s">
        <v>30</v>
      </c>
      <c r="C32" s="116" t="s">
        <v>30</v>
      </c>
      <c r="D32" s="116"/>
      <c r="E32" s="116"/>
      <c r="F32" s="116" t="s">
        <v>179</v>
      </c>
      <c r="G32" s="116"/>
      <c r="H32" s="116"/>
    </row>
    <row r="33" spans="1:8" s="6" customFormat="1" x14ac:dyDescent="0.35">
      <c r="A33" s="119" t="s">
        <v>28</v>
      </c>
      <c r="B33" s="119" t="s">
        <v>30</v>
      </c>
      <c r="C33" s="116" t="s">
        <v>30</v>
      </c>
      <c r="D33" s="116"/>
      <c r="E33" s="116"/>
      <c r="F33" s="116" t="s">
        <v>178</v>
      </c>
      <c r="G33" s="116"/>
      <c r="H33" s="116"/>
    </row>
    <row r="34" spans="1:8" x14ac:dyDescent="0.35">
      <c r="A34" s="119" t="s">
        <v>27</v>
      </c>
      <c r="B34" s="119" t="s">
        <v>30</v>
      </c>
      <c r="C34" s="116" t="s">
        <v>30</v>
      </c>
      <c r="D34" s="116"/>
      <c r="E34" s="116"/>
      <c r="F34" s="116" t="s">
        <v>180</v>
      </c>
      <c r="G34" s="116"/>
      <c r="H34" s="116"/>
    </row>
    <row r="35" spans="1:8" x14ac:dyDescent="0.35">
      <c r="A35" s="121" t="s">
        <v>32</v>
      </c>
      <c r="B35" s="121"/>
      <c r="C35" s="121"/>
      <c r="D35" s="121"/>
      <c r="E35" s="121"/>
      <c r="F35" s="121"/>
      <c r="G35" s="121"/>
      <c r="H35" s="121"/>
    </row>
    <row r="36" spans="1:8" ht="15.75" customHeight="1" x14ac:dyDescent="0.35">
      <c r="A36" s="118" t="s">
        <v>210</v>
      </c>
      <c r="B36" s="118"/>
      <c r="C36" s="183" t="s">
        <v>211</v>
      </c>
      <c r="D36" s="183"/>
      <c r="E36" s="183"/>
      <c r="F36" s="183"/>
      <c r="G36" s="183"/>
      <c r="H36" s="183"/>
    </row>
    <row r="37" spans="1:8" ht="15.75" customHeight="1" x14ac:dyDescent="0.35">
      <c r="A37" s="118" t="s">
        <v>208</v>
      </c>
      <c r="B37" s="118"/>
      <c r="C37" s="184" t="s">
        <v>209</v>
      </c>
      <c r="D37" s="183"/>
      <c r="E37" s="183"/>
      <c r="F37" s="183"/>
      <c r="G37" s="183"/>
      <c r="H37" s="183"/>
    </row>
    <row r="38" spans="1:8" x14ac:dyDescent="0.35">
      <c r="A38" s="122" t="s">
        <v>35</v>
      </c>
      <c r="B38" s="122"/>
      <c r="C38" s="122"/>
      <c r="D38" s="122"/>
      <c r="E38" s="122"/>
      <c r="F38" s="122"/>
      <c r="G38" s="122"/>
      <c r="H38" s="122"/>
    </row>
    <row r="39" spans="1:8" x14ac:dyDescent="0.35">
      <c r="A39" s="114" t="s">
        <v>36</v>
      </c>
      <c r="B39" s="114"/>
      <c r="C39" s="114"/>
      <c r="D39" s="114"/>
      <c r="E39" s="115">
        <v>2443.7199999999998</v>
      </c>
      <c r="F39" s="115"/>
      <c r="G39" s="115"/>
      <c r="H39" s="115"/>
    </row>
    <row r="40" spans="1:8" x14ac:dyDescent="0.35">
      <c r="A40" s="114" t="s">
        <v>37</v>
      </c>
      <c r="B40" s="114"/>
      <c r="C40" s="114"/>
      <c r="D40" s="114"/>
      <c r="E40" s="144">
        <v>1.5</v>
      </c>
      <c r="F40" s="144"/>
      <c r="G40" s="144"/>
      <c r="H40" s="144"/>
    </row>
    <row r="41" spans="1:8" x14ac:dyDescent="0.35">
      <c r="A41" s="114" t="s">
        <v>38</v>
      </c>
      <c r="B41" s="114"/>
      <c r="C41" s="114"/>
      <c r="D41" s="114"/>
      <c r="E41" s="144">
        <f>E43/E39-E40</f>
        <v>1.7160067438168043</v>
      </c>
      <c r="F41" s="144"/>
      <c r="G41" s="144"/>
      <c r="H41" s="144"/>
    </row>
    <row r="42" spans="1:8" x14ac:dyDescent="0.35">
      <c r="A42" s="114" t="s">
        <v>39</v>
      </c>
      <c r="B42" s="114"/>
      <c r="C42" s="114"/>
      <c r="D42" s="114"/>
      <c r="E42" s="144">
        <f>E40+E41</f>
        <v>3.2160067438168043</v>
      </c>
      <c r="F42" s="144"/>
      <c r="G42" s="144"/>
      <c r="H42" s="144"/>
    </row>
    <row r="43" spans="1:8" x14ac:dyDescent="0.35">
      <c r="A43" s="114" t="s">
        <v>98</v>
      </c>
      <c r="B43" s="114"/>
      <c r="C43" s="114"/>
      <c r="D43" s="114"/>
      <c r="E43" s="145">
        <v>7859.02</v>
      </c>
      <c r="F43" s="145"/>
      <c r="G43" s="145"/>
      <c r="H43" s="145"/>
    </row>
    <row r="44" spans="1:8" x14ac:dyDescent="0.35">
      <c r="A44" s="114" t="s">
        <v>40</v>
      </c>
      <c r="B44" s="114"/>
      <c r="C44" s="114"/>
      <c r="D44" s="114"/>
      <c r="E44" s="114" t="s">
        <v>186</v>
      </c>
      <c r="F44" s="114"/>
      <c r="G44" s="114"/>
      <c r="H44" s="114"/>
    </row>
    <row r="45" spans="1:8" x14ac:dyDescent="0.35">
      <c r="A45" s="146" t="s">
        <v>41</v>
      </c>
      <c r="B45" s="146"/>
      <c r="C45" s="146"/>
      <c r="D45" s="146"/>
      <c r="E45" s="146"/>
      <c r="F45" s="146"/>
      <c r="G45" s="146"/>
      <c r="H45" s="146"/>
    </row>
    <row r="46" spans="1:8" ht="33.75" customHeight="1" x14ac:dyDescent="0.35">
      <c r="A46" s="89" t="s">
        <v>163</v>
      </c>
      <c r="B46" s="90"/>
      <c r="C46" s="91" t="s">
        <v>187</v>
      </c>
      <c r="D46" s="92"/>
      <c r="E46" s="92"/>
      <c r="F46" s="92"/>
      <c r="G46" s="92"/>
      <c r="H46" s="93"/>
    </row>
    <row r="47" spans="1:8" x14ac:dyDescent="0.35">
      <c r="A47" s="127" t="s">
        <v>42</v>
      </c>
      <c r="B47" s="127"/>
      <c r="C47" s="127" t="s">
        <v>189</v>
      </c>
      <c r="D47" s="127"/>
      <c r="E47" s="127"/>
      <c r="F47" s="64" t="s">
        <v>43</v>
      </c>
      <c r="G47" s="134">
        <v>44575</v>
      </c>
      <c r="H47" s="134"/>
    </row>
    <row r="48" spans="1:8" x14ac:dyDescent="0.35">
      <c r="A48" s="114" t="s">
        <v>44</v>
      </c>
      <c r="B48" s="114"/>
      <c r="C48" s="127" t="str">
        <f>C47</f>
        <v>PMP/NRV/16232/96/2022</v>
      </c>
      <c r="D48" s="127"/>
      <c r="E48" s="127"/>
      <c r="F48" s="64" t="s">
        <v>43</v>
      </c>
      <c r="G48" s="134">
        <f>G47</f>
        <v>44575</v>
      </c>
      <c r="H48" s="134"/>
    </row>
    <row r="49" spans="1:14" s="5" customFormat="1" ht="33.75" customHeight="1" x14ac:dyDescent="0.35">
      <c r="A49" s="127" t="s">
        <v>45</v>
      </c>
      <c r="B49" s="127"/>
      <c r="C49" s="127" t="s">
        <v>188</v>
      </c>
      <c r="D49" s="114"/>
      <c r="E49" s="114"/>
      <c r="F49" s="65" t="s">
        <v>43</v>
      </c>
      <c r="G49" s="134">
        <v>44575</v>
      </c>
      <c r="H49" s="134"/>
    </row>
    <row r="50" spans="1:14" s="5" customFormat="1" ht="15.75" customHeight="1" x14ac:dyDescent="0.35">
      <c r="A50" s="127"/>
      <c r="B50" s="127"/>
      <c r="C50" s="89" t="s">
        <v>190</v>
      </c>
      <c r="D50" s="176"/>
      <c r="E50" s="176"/>
      <c r="F50" s="176"/>
      <c r="G50" s="176"/>
      <c r="H50" s="90"/>
    </row>
    <row r="51" spans="1:14" x14ac:dyDescent="0.35">
      <c r="A51" s="140" t="s">
        <v>46</v>
      </c>
      <c r="B51" s="140"/>
      <c r="C51" s="140" t="s">
        <v>115</v>
      </c>
      <c r="D51" s="132"/>
      <c r="E51" s="132" t="s">
        <v>47</v>
      </c>
      <c r="F51" s="66" t="s">
        <v>43</v>
      </c>
      <c r="G51" s="143" t="s">
        <v>30</v>
      </c>
      <c r="H51" s="143"/>
    </row>
    <row r="52" spans="1:14" x14ac:dyDescent="0.35">
      <c r="A52" s="141" t="s">
        <v>49</v>
      </c>
      <c r="B52" s="141"/>
      <c r="C52" s="141"/>
      <c r="D52" s="141"/>
      <c r="E52" s="141"/>
      <c r="F52" s="141"/>
      <c r="G52" s="141"/>
      <c r="H52" s="141"/>
    </row>
    <row r="53" spans="1:14" x14ac:dyDescent="0.35">
      <c r="A53" s="142" t="s">
        <v>97</v>
      </c>
      <c r="B53" s="142"/>
      <c r="C53" s="142"/>
      <c r="D53" s="121">
        <f>E43</f>
        <v>7859.02</v>
      </c>
      <c r="E53" s="121"/>
      <c r="F53" s="121"/>
      <c r="G53" s="121"/>
      <c r="H53" s="121"/>
    </row>
    <row r="54" spans="1:14" x14ac:dyDescent="0.35">
      <c r="A54" s="127" t="s">
        <v>50</v>
      </c>
      <c r="B54" s="114"/>
      <c r="C54" s="114"/>
      <c r="D54" s="114" t="s">
        <v>202</v>
      </c>
      <c r="E54" s="114"/>
      <c r="F54" s="114"/>
      <c r="G54" s="114"/>
      <c r="H54" s="114"/>
      <c r="I54" s="40"/>
    </row>
    <row r="55" spans="1:14" ht="15.75" customHeight="1" x14ac:dyDescent="0.35">
      <c r="A55" s="164" t="s">
        <v>51</v>
      </c>
      <c r="B55" s="165"/>
      <c r="C55" s="166"/>
      <c r="D55" s="163" t="s">
        <v>184</v>
      </c>
      <c r="E55" s="163"/>
      <c r="F55" s="163"/>
      <c r="G55" s="163"/>
      <c r="H55" s="163"/>
      <c r="I55" s="41"/>
    </row>
    <row r="56" spans="1:14" ht="15.75" customHeight="1" x14ac:dyDescent="0.35">
      <c r="A56" s="164" t="s">
        <v>95</v>
      </c>
      <c r="B56" s="165"/>
      <c r="C56" s="165"/>
      <c r="D56" s="173" t="s">
        <v>184</v>
      </c>
      <c r="E56" s="174"/>
      <c r="F56" s="174"/>
      <c r="G56" s="174"/>
      <c r="H56" s="175"/>
      <c r="I56" s="41"/>
    </row>
    <row r="57" spans="1:14" ht="15.75" customHeight="1" x14ac:dyDescent="0.35">
      <c r="A57" s="121" t="s">
        <v>48</v>
      </c>
      <c r="B57" s="121"/>
      <c r="C57" s="121"/>
      <c r="D57" s="137" t="s">
        <v>185</v>
      </c>
      <c r="E57" s="137"/>
      <c r="F57" s="137"/>
      <c r="G57" s="137"/>
      <c r="H57" s="137"/>
      <c r="J57" s="39"/>
      <c r="K57" s="40"/>
      <c r="N57" s="40"/>
    </row>
    <row r="58" spans="1:14" ht="15.75" customHeight="1" x14ac:dyDescent="0.35">
      <c r="A58" s="121" t="s">
        <v>93</v>
      </c>
      <c r="B58" s="121"/>
      <c r="C58" s="121"/>
      <c r="D58" s="139" t="str">
        <f>(IF(G51="NA","60 Years After Completion",IF(G51&lt;&gt;"NA",""&amp;60-ROUNDDOWN((E3-G51)/360,0)&amp;" Years"," ")))</f>
        <v>60 Years After Completion</v>
      </c>
      <c r="E58" s="139"/>
      <c r="F58" s="139"/>
      <c r="G58" s="139"/>
      <c r="H58" s="139"/>
      <c r="N58" s="40"/>
    </row>
    <row r="59" spans="1:14" ht="15.75" customHeight="1" x14ac:dyDescent="0.35">
      <c r="A59" s="121" t="s">
        <v>94</v>
      </c>
      <c r="B59" s="121"/>
      <c r="C59" s="121"/>
      <c r="D59" s="142" t="s">
        <v>24</v>
      </c>
      <c r="E59" s="142"/>
      <c r="F59" s="142"/>
      <c r="G59" s="142"/>
      <c r="H59" s="142"/>
      <c r="J59" s="12"/>
      <c r="K59" s="12"/>
    </row>
    <row r="60" spans="1:14" ht="15" hidden="1" customHeight="1" x14ac:dyDescent="0.35">
      <c r="A60" s="121" t="s">
        <v>80</v>
      </c>
      <c r="B60" s="121"/>
      <c r="C60" s="121"/>
      <c r="D60" s="127" t="s">
        <v>161</v>
      </c>
      <c r="E60" s="142"/>
      <c r="F60" s="142"/>
      <c r="G60" s="142"/>
      <c r="H60" s="142"/>
    </row>
    <row r="61" spans="1:14" x14ac:dyDescent="0.35">
      <c r="A61" s="142" t="s">
        <v>162</v>
      </c>
      <c r="B61" s="142"/>
      <c r="C61" s="142"/>
      <c r="D61" s="142" t="s">
        <v>30</v>
      </c>
      <c r="E61" s="142"/>
      <c r="F61" s="142"/>
      <c r="G61" s="142"/>
      <c r="H61" s="142"/>
      <c r="I61" s="56"/>
      <c r="J61" s="56"/>
      <c r="K61" s="56"/>
      <c r="L61" s="56"/>
      <c r="M61" s="56"/>
      <c r="N61" s="56"/>
    </row>
    <row r="62" spans="1:14" ht="15.75" customHeight="1" x14ac:dyDescent="0.35">
      <c r="A62" s="177" t="s">
        <v>92</v>
      </c>
      <c r="B62" s="177"/>
      <c r="C62" s="177"/>
      <c r="D62" s="178" t="str">
        <f ca="1">(IF(G68&gt;95%,"Nothing",IF(G68&gt;0%,"Cement, Aggregate, Steel, etc",IF(G68=0%,"Work not yet Started"))))</f>
        <v>Cement, Aggregate, Steel, etc</v>
      </c>
      <c r="E62" s="178"/>
      <c r="F62" s="178"/>
      <c r="G62" s="178"/>
      <c r="H62" s="178"/>
      <c r="J62" s="12"/>
    </row>
    <row r="63" spans="1:14" ht="33.75" customHeight="1" thickBot="1" x14ac:dyDescent="0.4">
      <c r="A63" s="171" t="s">
        <v>128</v>
      </c>
      <c r="B63" s="171"/>
      <c r="C63" s="171"/>
      <c r="D63" s="172" t="str">
        <f ca="1">(IF(D62="Nothing","Yes",IF(D62="Cement, Aggregate, Steel, etc","Under Construction",IF(D62="Work not yet Started","Work not yet Started"))))</f>
        <v>Under Construction</v>
      </c>
      <c r="E63" s="172"/>
      <c r="F63" s="172" t="str">
        <f ca="1">(IF(D62="Nothing","Yes",IF(D62="Cement, Aggregate, Steel, etc","Under Construction",IF(D62="Work not yet Started","Work not yet Started"))))</f>
        <v>Under Construction</v>
      </c>
      <c r="G63" s="172"/>
      <c r="H63" s="172"/>
    </row>
    <row r="64" spans="1:14" ht="15.75" customHeight="1" x14ac:dyDescent="0.35">
      <c r="A64" s="158" t="s">
        <v>153</v>
      </c>
      <c r="B64" s="159"/>
      <c r="C64" s="160" t="str">
        <f>D56</f>
        <v>Gr/St + 1st to 12th Floor</v>
      </c>
      <c r="D64" s="161"/>
      <c r="E64" s="161"/>
      <c r="F64" s="161"/>
      <c r="G64" s="161"/>
      <c r="H64" s="162"/>
      <c r="I64" s="46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upto 11 Floor Completed, External Plaster upto 8 Floor Completed, Flooring upto 5 Floor Completed.</v>
      </c>
      <c r="J64" s="14"/>
    </row>
    <row r="65" spans="1:14" x14ac:dyDescent="0.35">
      <c r="A65" s="67" t="s">
        <v>155</v>
      </c>
      <c r="B65" s="68">
        <v>0</v>
      </c>
      <c r="C65" s="68" t="s">
        <v>77</v>
      </c>
      <c r="D65" s="68">
        <v>1</v>
      </c>
      <c r="E65" s="68" t="s">
        <v>76</v>
      </c>
      <c r="F65" s="68">
        <v>0</v>
      </c>
      <c r="G65" s="68" t="s">
        <v>86</v>
      </c>
      <c r="H65" s="69">
        <f ca="1">--TRIM(RIGHT(SUBSTITUTE(LEFT(C64,_xlfn.AGGREGATE(16,6,FIND({0,1,2,3,4,5,6,7,8,9},C64,ROW(INDIRECT("1:"&amp;LEN(C64)))),1))," ",REPT(" ",LEN(C64))),LEN(C64)))</f>
        <v>12</v>
      </c>
      <c r="I65" s="47"/>
      <c r="J65" s="15"/>
    </row>
    <row r="66" spans="1:14" ht="49.5" customHeight="1" x14ac:dyDescent="0.35">
      <c r="A66" s="180" t="s">
        <v>96</v>
      </c>
      <c r="B66" s="132"/>
      <c r="C66" s="140" t="str">
        <f ca="1">(IF($G$51="NA",I64,"All work Completed. OC Received."))</f>
        <v>Excavation work Completed. Plinth work completed, RCC Slab Completed, Brickwork Completed, Internal Plaster upto 11 Floor Completed, External Plaster upto 8 Floor Completed, Flooring upto 5 Floor Completed.</v>
      </c>
      <c r="D66" s="140"/>
      <c r="E66" s="140"/>
      <c r="F66" s="140"/>
      <c r="G66" s="140"/>
      <c r="H66" s="167"/>
      <c r="I66" s="47" t="s">
        <v>114</v>
      </c>
      <c r="J66" s="15"/>
    </row>
    <row r="67" spans="1:14" ht="15.75" customHeight="1" x14ac:dyDescent="0.35">
      <c r="A67" s="135" t="s">
        <v>52</v>
      </c>
      <c r="B67" s="136"/>
      <c r="C67" s="70" t="s">
        <v>152</v>
      </c>
      <c r="D67" s="70" t="s">
        <v>89</v>
      </c>
      <c r="E67" s="136" t="s">
        <v>91</v>
      </c>
      <c r="F67" s="136"/>
      <c r="G67" s="136" t="s">
        <v>90</v>
      </c>
      <c r="H67" s="179"/>
      <c r="I67" s="38" t="s">
        <v>154</v>
      </c>
      <c r="J67" s="16">
        <f ca="1">H65*25%</f>
        <v>3</v>
      </c>
    </row>
    <row r="68" spans="1:14" x14ac:dyDescent="0.35">
      <c r="A68" s="136" t="s">
        <v>141</v>
      </c>
      <c r="B68" s="136"/>
      <c r="C68" s="71">
        <f ca="1">J69</f>
        <v>12</v>
      </c>
      <c r="D68" s="82">
        <f ca="1">((100/H65)*C68)/100</f>
        <v>1</v>
      </c>
      <c r="E68" s="138">
        <f ca="1">(((C69/H65*10)+(40/(D65+F65+H65)*C70)+(7.5/(H65)*C71)+(7.5/(H65)*C72)+(10/H65*C73)+(10/H65*C74)+(5/H65*C75)+(5/H65*C76)+(5/H65*C77))/100)</f>
        <v>0.75208333333333344</v>
      </c>
      <c r="F68" s="138"/>
      <c r="G68" s="138">
        <f ca="1">((((C68/H65)*20)+((C69/H65)*25)+(30/(H65+F65+D65)*C70)+(5/H65*C71)+(5/H65*C72)+(5/H65*C73)+(5/H65*C74)+(0/H65*C75)+(0/H65*C76)+(5/H65*C77))/100)</f>
        <v>0.89999999999999991</v>
      </c>
      <c r="H68" s="138"/>
      <c r="I68" s="38" t="s">
        <v>109</v>
      </c>
      <c r="J68" s="45">
        <f ca="1">H65*50%</f>
        <v>6</v>
      </c>
    </row>
    <row r="69" spans="1:14" x14ac:dyDescent="0.35">
      <c r="A69" s="136" t="s">
        <v>53</v>
      </c>
      <c r="B69" s="136"/>
      <c r="C69" s="72">
        <f ca="1">J77</f>
        <v>12</v>
      </c>
      <c r="D69" s="82">
        <f ca="1">((100/H65)*C69)/100</f>
        <v>1</v>
      </c>
      <c r="E69" s="138"/>
      <c r="F69" s="138"/>
      <c r="G69" s="138"/>
      <c r="H69" s="138"/>
      <c r="I69" s="38" t="s">
        <v>110</v>
      </c>
      <c r="J69" s="45">
        <f ca="1">H65</f>
        <v>12</v>
      </c>
    </row>
    <row r="70" spans="1:14" ht="15.75" customHeight="1" x14ac:dyDescent="0.35">
      <c r="A70" s="136" t="s">
        <v>142</v>
      </c>
      <c r="B70" s="136"/>
      <c r="C70" s="72">
        <v>13</v>
      </c>
      <c r="D70" s="82">
        <f ca="1">((100/(D65+F65+H65))*C70)/100</f>
        <v>1</v>
      </c>
      <c r="E70" s="138"/>
      <c r="F70" s="138"/>
      <c r="G70" s="138"/>
      <c r="H70" s="138"/>
      <c r="I70" s="38" t="s">
        <v>111</v>
      </c>
      <c r="J70" s="49">
        <f ca="1">(IF(B65&gt;1,(H65/(B65+2)),H65/4))</f>
        <v>3</v>
      </c>
    </row>
    <row r="71" spans="1:14" ht="15.75" customHeight="1" x14ac:dyDescent="0.35">
      <c r="A71" s="136" t="s">
        <v>149</v>
      </c>
      <c r="B71" s="136" t="s">
        <v>143</v>
      </c>
      <c r="C71" s="71">
        <v>12</v>
      </c>
      <c r="D71" s="82">
        <f ca="1">((100/H65)*C71)/100</f>
        <v>1</v>
      </c>
      <c r="E71" s="138"/>
      <c r="F71" s="138"/>
      <c r="G71" s="138"/>
      <c r="H71" s="138"/>
      <c r="I71" s="38" t="s">
        <v>112</v>
      </c>
      <c r="J71" s="49">
        <f ca="1">(IF(B65&gt;1,(H65/(B65+2)+J70),H65/4+J70))</f>
        <v>6</v>
      </c>
    </row>
    <row r="72" spans="1:14" ht="15.75" customHeight="1" x14ac:dyDescent="0.35">
      <c r="A72" s="136" t="s">
        <v>150</v>
      </c>
      <c r="B72" s="136" t="s">
        <v>143</v>
      </c>
      <c r="C72" s="71">
        <v>11</v>
      </c>
      <c r="D72" s="82">
        <f ca="1">((100/H65)*C72)/100</f>
        <v>0.91666666666666674</v>
      </c>
      <c r="E72" s="138"/>
      <c r="F72" s="138"/>
      <c r="G72" s="138"/>
      <c r="H72" s="138"/>
      <c r="I72" s="38" t="s">
        <v>159</v>
      </c>
      <c r="J72" s="49">
        <f>(IF(B65&gt;1,(H65/(B65+2)+J71),0))</f>
        <v>0</v>
      </c>
    </row>
    <row r="73" spans="1:14" ht="15" customHeight="1" x14ac:dyDescent="0.35">
      <c r="A73" s="136" t="s">
        <v>148</v>
      </c>
      <c r="B73" s="136" t="s">
        <v>145</v>
      </c>
      <c r="C73" s="71">
        <v>8</v>
      </c>
      <c r="D73" s="82">
        <f ca="1">((100/(H65))*C73)/100</f>
        <v>0.66666666666666674</v>
      </c>
      <c r="E73" s="138"/>
      <c r="F73" s="138"/>
      <c r="G73" s="138"/>
      <c r="H73" s="138"/>
      <c r="I73" s="38" t="s">
        <v>156</v>
      </c>
      <c r="J73" s="49">
        <f>(IF(B65&gt;2,(H65/(B65+2)+J72),0))</f>
        <v>0</v>
      </c>
    </row>
    <row r="74" spans="1:14" ht="15.75" customHeight="1" x14ac:dyDescent="0.35">
      <c r="A74" s="136" t="s">
        <v>144</v>
      </c>
      <c r="B74" s="136" t="s">
        <v>144</v>
      </c>
      <c r="C74" s="71">
        <v>5</v>
      </c>
      <c r="D74" s="82">
        <f ca="1">((100/H65)*C74)/100</f>
        <v>0.41666666666666674</v>
      </c>
      <c r="E74" s="138"/>
      <c r="F74" s="138"/>
      <c r="G74" s="138"/>
      <c r="H74" s="138"/>
      <c r="I74" s="38" t="s">
        <v>157</v>
      </c>
      <c r="J74" s="50">
        <f>(IF(B65&gt;3,(H65/(B65+2)+J73),0))</f>
        <v>0</v>
      </c>
    </row>
    <row r="75" spans="1:14" ht="15.75" customHeight="1" x14ac:dyDescent="0.35">
      <c r="A75" s="136" t="s">
        <v>151</v>
      </c>
      <c r="B75" s="136"/>
      <c r="C75" s="71">
        <v>0</v>
      </c>
      <c r="D75" s="82">
        <f ca="1">((100/H65)*C75)/100</f>
        <v>0</v>
      </c>
      <c r="E75" s="138"/>
      <c r="F75" s="138"/>
      <c r="G75" s="138"/>
      <c r="H75" s="138"/>
      <c r="I75" s="38" t="s">
        <v>158</v>
      </c>
      <c r="J75" s="49">
        <f>(IF(B65&gt;4,(H65/(B65+2)+J74),0))</f>
        <v>0</v>
      </c>
    </row>
    <row r="76" spans="1:14" ht="15.75" customHeight="1" x14ac:dyDescent="0.35">
      <c r="A76" s="136" t="s">
        <v>146</v>
      </c>
      <c r="B76" s="136" t="s">
        <v>146</v>
      </c>
      <c r="C76" s="71">
        <v>0</v>
      </c>
      <c r="D76" s="82">
        <f ca="1">((100/(H65))*C76)/100</f>
        <v>0</v>
      </c>
      <c r="E76" s="138"/>
      <c r="F76" s="138"/>
      <c r="G76" s="138"/>
      <c r="H76" s="138"/>
      <c r="I76" s="38" t="s">
        <v>160</v>
      </c>
      <c r="J76" s="49">
        <f ca="1">(IF(B65=1,(H65/(B65+3)+J71),IF(B65=0,(H65/4+J71),IF(B65&gt;1,0))))</f>
        <v>9</v>
      </c>
    </row>
    <row r="77" spans="1:14" ht="16" thickBot="1" x14ac:dyDescent="0.4">
      <c r="A77" s="136" t="s">
        <v>147</v>
      </c>
      <c r="B77" s="136"/>
      <c r="C77" s="71">
        <v>0</v>
      </c>
      <c r="D77" s="82">
        <f ca="1">((100/(H65))*C77)/100</f>
        <v>0</v>
      </c>
      <c r="E77" s="138"/>
      <c r="F77" s="138"/>
      <c r="G77" s="138"/>
      <c r="H77" s="138"/>
      <c r="I77" s="48" t="s">
        <v>113</v>
      </c>
      <c r="J77" s="51">
        <f ca="1">(IF(B65&gt;1.5,(H65/(B65+2)+J71+MAX(0,J72-J71)+MAX(0,J73-J72)+MAX(0,J74-J73)+MAX(0,J75-J74)+MAX(0,J76-J75)),IF(B65=1,(H65/(B65+3)+J76),IF(B65=0,H65/4+J76))))</f>
        <v>12</v>
      </c>
    </row>
    <row r="78" spans="1:14" x14ac:dyDescent="0.35">
      <c r="A78" s="122" t="s">
        <v>54</v>
      </c>
      <c r="B78" s="122"/>
      <c r="C78" s="122"/>
      <c r="D78" s="122"/>
      <c r="E78" s="122"/>
      <c r="F78" s="122"/>
      <c r="G78" s="122"/>
      <c r="H78" s="122"/>
    </row>
    <row r="79" spans="1:14" x14ac:dyDescent="0.35">
      <c r="A79" s="95" t="s">
        <v>166</v>
      </c>
      <c r="B79" s="95"/>
      <c r="C79" s="95"/>
      <c r="D79" s="95"/>
      <c r="E79" s="95"/>
      <c r="F79" s="94">
        <v>9600</v>
      </c>
      <c r="G79" s="94"/>
      <c r="H79" s="94"/>
      <c r="I79" s="79" t="s">
        <v>215</v>
      </c>
      <c r="J79" s="79" t="s">
        <v>216</v>
      </c>
      <c r="K79" s="79"/>
      <c r="L79" s="79" t="s">
        <v>214</v>
      </c>
      <c r="M79" s="79" t="s">
        <v>217</v>
      </c>
      <c r="N79" s="80">
        <v>45234</v>
      </c>
    </row>
    <row r="80" spans="1:14" x14ac:dyDescent="0.35">
      <c r="A80" s="95" t="s">
        <v>167</v>
      </c>
      <c r="B80" s="95"/>
      <c r="C80" s="95"/>
      <c r="D80" s="95"/>
      <c r="E80" s="95"/>
      <c r="F80" s="94">
        <v>16000</v>
      </c>
      <c r="G80" s="94"/>
      <c r="H80" s="94"/>
      <c r="I80" s="79" t="s">
        <v>218</v>
      </c>
      <c r="J80" s="3" t="s">
        <v>219</v>
      </c>
    </row>
    <row r="81" spans="1:11" s="7" customFormat="1" x14ac:dyDescent="0.3">
      <c r="A81" s="95" t="s">
        <v>101</v>
      </c>
      <c r="B81" s="95"/>
      <c r="C81" s="95"/>
      <c r="D81" s="95"/>
      <c r="E81" s="95"/>
      <c r="F81" s="111" t="s">
        <v>213</v>
      </c>
      <c r="G81" s="111"/>
      <c r="H81" s="111"/>
    </row>
    <row r="82" spans="1:11" s="7" customFormat="1" x14ac:dyDescent="0.3">
      <c r="A82" s="95" t="s">
        <v>102</v>
      </c>
      <c r="B82" s="95"/>
      <c r="C82" s="95"/>
      <c r="D82" s="95"/>
      <c r="E82" s="95"/>
      <c r="F82" s="94">
        <v>350000</v>
      </c>
      <c r="G82" s="94"/>
      <c r="H82" s="94"/>
    </row>
    <row r="83" spans="1:11" s="7" customFormat="1" x14ac:dyDescent="0.3">
      <c r="A83" s="95" t="s">
        <v>103</v>
      </c>
      <c r="B83" s="95"/>
      <c r="C83" s="95"/>
      <c r="D83" s="95"/>
      <c r="E83" s="95"/>
      <c r="F83" s="94">
        <v>150000</v>
      </c>
      <c r="G83" s="94"/>
      <c r="H83" s="94"/>
    </row>
    <row r="84" spans="1:11" s="7" customFormat="1" hidden="1" x14ac:dyDescent="0.3">
      <c r="A84" s="95" t="s">
        <v>104</v>
      </c>
      <c r="B84" s="95"/>
      <c r="C84" s="95"/>
      <c r="D84" s="95"/>
      <c r="E84" s="95"/>
      <c r="F84" s="94">
        <v>10000</v>
      </c>
      <c r="G84" s="94"/>
      <c r="H84" s="94"/>
    </row>
    <row r="85" spans="1:11" s="7" customFormat="1" hidden="1" x14ac:dyDescent="0.3">
      <c r="A85" s="95" t="s">
        <v>105</v>
      </c>
      <c r="B85" s="95"/>
      <c r="C85" s="95"/>
      <c r="D85" s="95"/>
      <c r="E85" s="95"/>
      <c r="F85" s="94"/>
      <c r="G85" s="94"/>
      <c r="H85" s="94"/>
    </row>
    <row r="86" spans="1:11" s="7" customFormat="1" hidden="1" x14ac:dyDescent="0.3">
      <c r="A86" s="95" t="s">
        <v>106</v>
      </c>
      <c r="B86" s="95"/>
      <c r="C86" s="95"/>
      <c r="D86" s="95"/>
      <c r="E86" s="95"/>
      <c r="F86" s="94"/>
      <c r="G86" s="94"/>
      <c r="H86" s="94"/>
    </row>
    <row r="87" spans="1:11" s="7" customFormat="1" x14ac:dyDescent="0.3">
      <c r="A87" s="95" t="s">
        <v>107</v>
      </c>
      <c r="B87" s="95"/>
      <c r="C87" s="95"/>
      <c r="D87" s="95"/>
      <c r="E87" s="95"/>
      <c r="F87" s="94">
        <v>100000</v>
      </c>
      <c r="G87" s="94"/>
      <c r="H87" s="94"/>
    </row>
    <row r="88" spans="1:11" s="7" customFormat="1" hidden="1" x14ac:dyDescent="0.3">
      <c r="A88" s="95" t="s">
        <v>108</v>
      </c>
      <c r="B88" s="95"/>
      <c r="C88" s="95"/>
      <c r="D88" s="95"/>
      <c r="E88" s="95"/>
      <c r="F88" s="94"/>
      <c r="G88" s="94"/>
      <c r="H88" s="94"/>
    </row>
    <row r="89" spans="1:11" x14ac:dyDescent="0.35">
      <c r="A89" s="95" t="s">
        <v>55</v>
      </c>
      <c r="B89" s="95"/>
      <c r="C89" s="95"/>
      <c r="D89" s="95"/>
      <c r="E89" s="95"/>
      <c r="F89" s="94">
        <v>500000</v>
      </c>
      <c r="G89" s="94"/>
      <c r="H89" s="94"/>
    </row>
    <row r="90" spans="1:11" s="4" customFormat="1" x14ac:dyDescent="0.35">
      <c r="A90" s="122" t="s">
        <v>56</v>
      </c>
      <c r="B90" s="122"/>
      <c r="C90" s="122"/>
      <c r="D90" s="122"/>
      <c r="E90" s="122"/>
      <c r="F90" s="94">
        <f>F79*0.8</f>
        <v>7680</v>
      </c>
      <c r="G90" s="94"/>
      <c r="H90" s="94"/>
    </row>
    <row r="91" spans="1:11" s="1" customFormat="1" ht="15.75" customHeight="1" x14ac:dyDescent="0.35">
      <c r="A91" s="149" t="s">
        <v>81</v>
      </c>
      <c r="B91" s="149"/>
      <c r="C91" s="149"/>
      <c r="D91" s="149"/>
      <c r="E91" s="149"/>
      <c r="F91" s="149"/>
      <c r="G91" s="149"/>
      <c r="H91" s="149"/>
    </row>
    <row r="92" spans="1:11" s="1" customFormat="1" ht="15.75" customHeight="1" x14ac:dyDescent="0.35">
      <c r="A92" s="106" t="s">
        <v>57</v>
      </c>
      <c r="B92" s="106"/>
      <c r="C92" s="113" t="s">
        <v>84</v>
      </c>
      <c r="D92" s="113"/>
      <c r="E92" s="112" t="s">
        <v>58</v>
      </c>
      <c r="F92" s="112"/>
      <c r="G92" s="106" t="s">
        <v>59</v>
      </c>
      <c r="H92" s="106"/>
    </row>
    <row r="93" spans="1:11" s="1" customFormat="1" x14ac:dyDescent="0.35">
      <c r="A93" s="150" t="s">
        <v>192</v>
      </c>
      <c r="B93" s="150"/>
      <c r="C93" s="107">
        <f>COUNT(D101:D111)</f>
        <v>11</v>
      </c>
      <c r="D93" s="108"/>
      <c r="E93" s="109">
        <f>SUM(D101:D111)</f>
        <v>3768.1211879999996</v>
      </c>
      <c r="F93" s="110"/>
      <c r="G93" s="109">
        <f>SUM(F101:F111)</f>
        <v>8110</v>
      </c>
      <c r="H93" s="110"/>
      <c r="J93" s="74">
        <f>G93+G96</f>
        <v>95648.813408800008</v>
      </c>
      <c r="K93" s="74">
        <f>E93+E96</f>
        <v>61626.86440559999</v>
      </c>
    </row>
    <row r="94" spans="1:11" s="1" customFormat="1" x14ac:dyDescent="0.35">
      <c r="A94" s="149" t="s">
        <v>75</v>
      </c>
      <c r="B94" s="149"/>
      <c r="C94" s="149"/>
      <c r="D94" s="149"/>
      <c r="E94" s="149"/>
      <c r="F94" s="149"/>
      <c r="G94" s="149"/>
      <c r="H94" s="149"/>
    </row>
    <row r="95" spans="1:11" s="1" customFormat="1" ht="15.75" customHeight="1" x14ac:dyDescent="0.35">
      <c r="A95" s="106" t="s">
        <v>57</v>
      </c>
      <c r="B95" s="106"/>
      <c r="C95" s="113" t="s">
        <v>84</v>
      </c>
      <c r="D95" s="113"/>
      <c r="E95" s="112" t="s">
        <v>58</v>
      </c>
      <c r="F95" s="112"/>
      <c r="G95" s="106" t="s">
        <v>59</v>
      </c>
      <c r="H95" s="106"/>
    </row>
    <row r="96" spans="1:11" s="1" customFormat="1" x14ac:dyDescent="0.35">
      <c r="A96" s="150" t="s">
        <v>201</v>
      </c>
      <c r="B96" s="150"/>
      <c r="C96" s="108">
        <f>COUNT(D117:D124)+COUNT(D126:D137)*6+COUNT(D139:D149)*2+COUNT(D151:D158)</f>
        <v>110</v>
      </c>
      <c r="D96" s="108"/>
      <c r="E96" s="109">
        <f>SUM(D117:D124)+SUM(D126:D137)*6+SUM(D139:D149)*2+SUM(D151:D158)</f>
        <v>57858.743217599993</v>
      </c>
      <c r="F96" s="109"/>
      <c r="G96" s="109">
        <f>SUM(F117:F124)+SUM(F126:F137)*6+SUM(F139:F149)*2+SUM(F151:F158)</f>
        <v>87538.813408800008</v>
      </c>
      <c r="H96" s="109"/>
    </row>
    <row r="97" spans="1:14" s="4" customFormat="1" x14ac:dyDescent="0.35">
      <c r="A97" s="101" t="s">
        <v>60</v>
      </c>
      <c r="B97" s="101"/>
      <c r="C97" s="101"/>
      <c r="D97" s="101"/>
      <c r="E97" s="101"/>
      <c r="F97" s="101"/>
      <c r="G97" s="101"/>
      <c r="H97" s="101"/>
    </row>
    <row r="98" spans="1:14" x14ac:dyDescent="0.35">
      <c r="A98" s="101" t="s">
        <v>61</v>
      </c>
      <c r="B98" s="101"/>
      <c r="C98" s="101"/>
      <c r="D98" s="101"/>
      <c r="E98" s="101"/>
      <c r="F98" s="101"/>
      <c r="G98" s="101"/>
      <c r="H98" s="101"/>
    </row>
    <row r="99" spans="1:14" ht="47.25" customHeight="1" x14ac:dyDescent="0.35">
      <c r="A99" s="61" t="s">
        <v>130</v>
      </c>
      <c r="B99" s="61" t="s">
        <v>129</v>
      </c>
      <c r="C99" s="61" t="s">
        <v>62</v>
      </c>
      <c r="D99" s="61" t="s">
        <v>63</v>
      </c>
      <c r="E99" s="63" t="s">
        <v>64</v>
      </c>
      <c r="F99" s="31" t="s">
        <v>205</v>
      </c>
      <c r="G99" s="102" t="s">
        <v>65</v>
      </c>
      <c r="H99" s="103"/>
    </row>
    <row r="100" spans="1:14" s="2" customFormat="1" x14ac:dyDescent="0.35">
      <c r="A100" s="154" t="s">
        <v>191</v>
      </c>
      <c r="B100" s="155"/>
      <c r="C100" s="155"/>
      <c r="D100" s="155"/>
      <c r="E100" s="155"/>
      <c r="F100" s="155"/>
      <c r="G100" s="155"/>
      <c r="H100" s="156"/>
      <c r="J100" s="33"/>
    </row>
    <row r="101" spans="1:14" s="2" customFormat="1" x14ac:dyDescent="0.35">
      <c r="A101" s="83">
        <v>1</v>
      </c>
      <c r="B101" s="84"/>
      <c r="C101" s="32" t="s">
        <v>192</v>
      </c>
      <c r="D101" s="32">
        <f>33.663*10.764</f>
        <v>362.34853199999992</v>
      </c>
      <c r="E101" s="32">
        <v>0</v>
      </c>
      <c r="F101" s="32">
        <v>770</v>
      </c>
      <c r="G101" s="83" t="str">
        <f>A100</f>
        <v>Ground Floor for Commercial &amp; Parking</v>
      </c>
      <c r="H101" s="84"/>
      <c r="I101" s="33"/>
      <c r="J101" s="73">
        <f>F101/D101</f>
        <v>2.1250258577010053</v>
      </c>
      <c r="L101" s="97"/>
      <c r="M101" s="97"/>
      <c r="N101" s="33"/>
    </row>
    <row r="102" spans="1:14" s="2" customFormat="1" x14ac:dyDescent="0.35">
      <c r="A102" s="83">
        <f t="shared" ref="A102:A111" si="0">A101+1</f>
        <v>2</v>
      </c>
      <c r="B102" s="84"/>
      <c r="C102" s="60" t="s">
        <v>192</v>
      </c>
      <c r="D102" s="32">
        <f>30.388*10.764</f>
        <v>327.09643199999999</v>
      </c>
      <c r="E102" s="44">
        <v>0</v>
      </c>
      <c r="F102" s="55">
        <v>700</v>
      </c>
      <c r="G102" s="83" t="str">
        <f t="shared" ref="G102:G111" si="1">G101</f>
        <v>Ground Floor for Commercial &amp; Parking</v>
      </c>
      <c r="H102" s="84"/>
      <c r="I102" s="33"/>
      <c r="J102" s="73">
        <f t="shared" ref="J102:J158" si="2">F102/D102</f>
        <v>2.1400416865445968</v>
      </c>
      <c r="L102" s="97"/>
      <c r="M102" s="97"/>
      <c r="N102" s="33"/>
    </row>
    <row r="103" spans="1:14" s="2" customFormat="1" x14ac:dyDescent="0.35">
      <c r="A103" s="83">
        <f t="shared" si="0"/>
        <v>3</v>
      </c>
      <c r="B103" s="84"/>
      <c r="C103" s="60" t="s">
        <v>192</v>
      </c>
      <c r="D103" s="32">
        <f>29.238*10.764</f>
        <v>314.71783199999999</v>
      </c>
      <c r="E103" s="44">
        <v>0</v>
      </c>
      <c r="F103" s="55">
        <v>675</v>
      </c>
      <c r="G103" s="83" t="str">
        <f t="shared" si="1"/>
        <v>Ground Floor for Commercial &amp; Parking</v>
      </c>
      <c r="H103" s="84"/>
      <c r="I103" s="33"/>
      <c r="J103" s="73">
        <f t="shared" si="2"/>
        <v>2.1447783740452304</v>
      </c>
      <c r="L103" s="97"/>
      <c r="M103" s="97"/>
      <c r="N103" s="33"/>
    </row>
    <row r="104" spans="1:14" s="2" customFormat="1" x14ac:dyDescent="0.35">
      <c r="A104" s="83">
        <f t="shared" si="0"/>
        <v>4</v>
      </c>
      <c r="B104" s="84"/>
      <c r="C104" s="60" t="s">
        <v>192</v>
      </c>
      <c r="D104" s="32">
        <f>27.638*10.764</f>
        <v>297.49543199999999</v>
      </c>
      <c r="E104" s="44">
        <v>0</v>
      </c>
      <c r="F104" s="55">
        <v>640</v>
      </c>
      <c r="G104" s="83" t="str">
        <f t="shared" si="1"/>
        <v>Ground Floor for Commercial &amp; Parking</v>
      </c>
      <c r="H104" s="84"/>
      <c r="I104" s="33"/>
      <c r="J104" s="73">
        <f t="shared" si="2"/>
        <v>2.1512935365004191</v>
      </c>
      <c r="L104" s="97"/>
      <c r="M104" s="97"/>
      <c r="N104" s="33"/>
    </row>
    <row r="105" spans="1:14" s="2" customFormat="1" x14ac:dyDescent="0.35">
      <c r="A105" s="83">
        <f t="shared" si="0"/>
        <v>5</v>
      </c>
      <c r="B105" s="84"/>
      <c r="C105" s="60" t="s">
        <v>192</v>
      </c>
      <c r="D105" s="32">
        <f>34.17*10.764</f>
        <v>367.80588</v>
      </c>
      <c r="E105" s="44">
        <v>0</v>
      </c>
      <c r="F105" s="55">
        <v>795</v>
      </c>
      <c r="G105" s="83" t="str">
        <f t="shared" si="1"/>
        <v>Ground Floor for Commercial &amp; Parking</v>
      </c>
      <c r="H105" s="84"/>
      <c r="I105" s="33"/>
      <c r="J105" s="73">
        <f t="shared" si="2"/>
        <v>2.1614662604088872</v>
      </c>
      <c r="L105" s="97"/>
      <c r="M105" s="97"/>
      <c r="N105" s="33"/>
    </row>
    <row r="106" spans="1:14" s="2" customFormat="1" x14ac:dyDescent="0.35">
      <c r="A106" s="83">
        <f t="shared" si="0"/>
        <v>6</v>
      </c>
      <c r="B106" s="84"/>
      <c r="C106" s="60" t="s">
        <v>192</v>
      </c>
      <c r="D106" s="60">
        <f t="shared" ref="D106:D108" si="3">34.17*10.764</f>
        <v>367.80588</v>
      </c>
      <c r="E106" s="44">
        <v>0</v>
      </c>
      <c r="F106" s="55">
        <v>795</v>
      </c>
      <c r="G106" s="83" t="str">
        <f t="shared" si="1"/>
        <v>Ground Floor for Commercial &amp; Parking</v>
      </c>
      <c r="H106" s="84"/>
      <c r="I106" s="33"/>
      <c r="J106" s="73">
        <f t="shared" si="2"/>
        <v>2.1614662604088872</v>
      </c>
      <c r="L106" s="97"/>
      <c r="M106" s="97"/>
      <c r="N106" s="33"/>
    </row>
    <row r="107" spans="1:14" s="2" customFormat="1" x14ac:dyDescent="0.35">
      <c r="A107" s="83">
        <f t="shared" si="0"/>
        <v>7</v>
      </c>
      <c r="B107" s="84"/>
      <c r="C107" s="60" t="s">
        <v>192</v>
      </c>
      <c r="D107" s="60">
        <f t="shared" si="3"/>
        <v>367.80588</v>
      </c>
      <c r="E107" s="44">
        <v>0</v>
      </c>
      <c r="F107" s="55">
        <v>795</v>
      </c>
      <c r="G107" s="83" t="str">
        <f t="shared" si="1"/>
        <v>Ground Floor for Commercial &amp; Parking</v>
      </c>
      <c r="H107" s="84"/>
      <c r="I107" s="33"/>
      <c r="J107" s="73">
        <f t="shared" si="2"/>
        <v>2.1614662604088872</v>
      </c>
      <c r="L107" s="97"/>
      <c r="M107" s="97"/>
      <c r="N107" s="33"/>
    </row>
    <row r="108" spans="1:14" s="62" customFormat="1" x14ac:dyDescent="0.35">
      <c r="A108" s="83">
        <f t="shared" si="0"/>
        <v>8</v>
      </c>
      <c r="B108" s="84"/>
      <c r="C108" s="60" t="s">
        <v>192</v>
      </c>
      <c r="D108" s="60">
        <f t="shared" si="3"/>
        <v>367.80588</v>
      </c>
      <c r="E108" s="60">
        <v>0</v>
      </c>
      <c r="F108" s="60">
        <v>795</v>
      </c>
      <c r="G108" s="83" t="str">
        <f t="shared" si="1"/>
        <v>Ground Floor for Commercial &amp; Parking</v>
      </c>
      <c r="H108" s="84"/>
      <c r="I108" s="33"/>
      <c r="J108" s="73">
        <f t="shared" si="2"/>
        <v>2.1614662604088872</v>
      </c>
      <c r="L108" s="97"/>
      <c r="M108" s="97"/>
      <c r="N108" s="33"/>
    </row>
    <row r="109" spans="1:14" s="62" customFormat="1" x14ac:dyDescent="0.35">
      <c r="A109" s="83">
        <f t="shared" si="0"/>
        <v>9</v>
      </c>
      <c r="B109" s="84"/>
      <c r="C109" s="60" t="s">
        <v>192</v>
      </c>
      <c r="D109" s="60">
        <f>27.638*10.764</f>
        <v>297.49543199999999</v>
      </c>
      <c r="E109" s="60">
        <v>0</v>
      </c>
      <c r="F109" s="60">
        <v>640</v>
      </c>
      <c r="G109" s="83" t="str">
        <f t="shared" si="1"/>
        <v>Ground Floor for Commercial &amp; Parking</v>
      </c>
      <c r="H109" s="84"/>
      <c r="I109" s="33"/>
      <c r="J109" s="73">
        <f t="shared" si="2"/>
        <v>2.1512935365004191</v>
      </c>
      <c r="L109" s="97"/>
      <c r="M109" s="97"/>
      <c r="N109" s="33"/>
    </row>
    <row r="110" spans="1:14" s="62" customFormat="1" x14ac:dyDescent="0.35">
      <c r="A110" s="83">
        <f t="shared" si="0"/>
        <v>10</v>
      </c>
      <c r="B110" s="84"/>
      <c r="C110" s="60" t="s">
        <v>192</v>
      </c>
      <c r="D110" s="60">
        <f>33.667*10.764</f>
        <v>362.39158800000001</v>
      </c>
      <c r="E110" s="60">
        <v>0</v>
      </c>
      <c r="F110" s="60">
        <v>780</v>
      </c>
      <c r="G110" s="83" t="str">
        <f t="shared" si="1"/>
        <v>Ground Floor for Commercial &amp; Parking</v>
      </c>
      <c r="H110" s="84"/>
      <c r="I110" s="33"/>
      <c r="J110" s="73">
        <f t="shared" si="2"/>
        <v>2.152367841385987</v>
      </c>
      <c r="L110" s="97"/>
      <c r="M110" s="97"/>
      <c r="N110" s="33"/>
    </row>
    <row r="111" spans="1:14" s="62" customFormat="1" x14ac:dyDescent="0.35">
      <c r="A111" s="83">
        <f t="shared" si="0"/>
        <v>11</v>
      </c>
      <c r="B111" s="84"/>
      <c r="C111" s="60" t="s">
        <v>192</v>
      </c>
      <c r="D111" s="60">
        <f>31.155*10.764</f>
        <v>335.35242</v>
      </c>
      <c r="E111" s="60">
        <v>0</v>
      </c>
      <c r="F111" s="60">
        <v>725</v>
      </c>
      <c r="G111" s="83" t="str">
        <f t="shared" si="1"/>
        <v>Ground Floor for Commercial &amp; Parking</v>
      </c>
      <c r="H111" s="84"/>
      <c r="I111" s="33"/>
      <c r="J111" s="73">
        <f t="shared" si="2"/>
        <v>2.1619047806483698</v>
      </c>
      <c r="L111" s="97"/>
      <c r="M111" s="97"/>
      <c r="N111" s="33"/>
    </row>
    <row r="112" spans="1:14" s="35" customFormat="1" x14ac:dyDescent="0.35">
      <c r="A112" s="83"/>
      <c r="B112" s="96"/>
      <c r="C112" s="96"/>
      <c r="D112" s="96"/>
      <c r="E112" s="96"/>
      <c r="F112" s="96"/>
      <c r="G112" s="96"/>
      <c r="H112" s="84"/>
      <c r="I112" s="33"/>
      <c r="J112" s="73"/>
      <c r="N112" s="33"/>
    </row>
    <row r="113" spans="1:16" ht="47.25" customHeight="1" x14ac:dyDescent="0.35">
      <c r="A113" s="99" t="s">
        <v>131</v>
      </c>
      <c r="B113" s="99" t="s">
        <v>132</v>
      </c>
      <c r="C113" s="99" t="s">
        <v>62</v>
      </c>
      <c r="D113" s="99" t="s">
        <v>63</v>
      </c>
      <c r="E113" s="99" t="s">
        <v>64</v>
      </c>
      <c r="F113" s="61" t="s">
        <v>212</v>
      </c>
      <c r="G113" s="102" t="s">
        <v>65</v>
      </c>
      <c r="H113" s="103"/>
      <c r="I113" s="33"/>
      <c r="J113" s="73"/>
    </row>
    <row r="114" spans="1:16" s="78" customFormat="1" ht="15" customHeight="1" x14ac:dyDescent="0.35">
      <c r="A114" s="100"/>
      <c r="B114" s="100"/>
      <c r="C114" s="100"/>
      <c r="D114" s="100"/>
      <c r="E114" s="100"/>
      <c r="F114" s="76">
        <v>0.5</v>
      </c>
      <c r="G114" s="104"/>
      <c r="H114" s="105"/>
      <c r="I114" s="77"/>
    </row>
    <row r="115" spans="1:16" s="4" customFormat="1" x14ac:dyDescent="0.35">
      <c r="A115" s="101" t="s">
        <v>194</v>
      </c>
      <c r="B115" s="101"/>
      <c r="C115" s="101"/>
      <c r="D115" s="101"/>
      <c r="E115" s="101"/>
      <c r="F115" s="101"/>
      <c r="G115" s="101"/>
      <c r="H115" s="101"/>
      <c r="J115" s="73"/>
    </row>
    <row r="116" spans="1:16" s="2" customFormat="1" x14ac:dyDescent="0.35">
      <c r="A116" s="98" t="s">
        <v>193</v>
      </c>
      <c r="B116" s="98"/>
      <c r="C116" s="98"/>
      <c r="D116" s="98"/>
      <c r="E116" s="98"/>
      <c r="F116" s="98"/>
      <c r="G116" s="98"/>
      <c r="H116" s="98"/>
      <c r="I116" s="33"/>
      <c r="J116" s="73"/>
      <c r="L116" s="97"/>
      <c r="M116" s="97"/>
    </row>
    <row r="117" spans="1:16" s="2" customFormat="1" x14ac:dyDescent="0.35">
      <c r="A117" s="85">
        <f>LEFT(A116,SUM(LEN(A116)-LEN(SUBSTITUTE(A116,{"0","1","2","3","4","5","6","7","8","9"},""))))*100+1</f>
        <v>301</v>
      </c>
      <c r="B117" s="85"/>
      <c r="C117" s="13" t="s">
        <v>198</v>
      </c>
      <c r="D117" s="13">
        <f>(53.205+6.54)*10.764</f>
        <v>643.09517999999991</v>
      </c>
      <c r="E117" s="13">
        <v>0</v>
      </c>
      <c r="F117" s="57">
        <f>D117*(($F$114)+1)+(IF(E117&lt;101,E117,IF(E117&lt;201,E117/2,IF(E117&lt;=301,E117/3,E117/4))))</f>
        <v>964.64276999999993</v>
      </c>
      <c r="G117" s="85" t="str">
        <f>A116</f>
        <v>3rd Floor for Residential</v>
      </c>
      <c r="H117" s="85"/>
      <c r="I117" s="33"/>
      <c r="J117" s="73">
        <f t="shared" si="2"/>
        <v>1.5</v>
      </c>
      <c r="L117" s="42"/>
      <c r="M117" s="42"/>
      <c r="N117" s="33"/>
    </row>
    <row r="118" spans="1:16" s="2" customFormat="1" x14ac:dyDescent="0.35">
      <c r="A118" s="85">
        <f t="shared" ref="A118:A124" si="4">A117+1</f>
        <v>302</v>
      </c>
      <c r="B118" s="85"/>
      <c r="C118" s="13" t="s">
        <v>198</v>
      </c>
      <c r="D118" s="13">
        <f>(54.418+5.7)*10.764</f>
        <v>647.11015199999997</v>
      </c>
      <c r="E118" s="43">
        <v>0</v>
      </c>
      <c r="F118" s="75">
        <f t="shared" ref="F118:F158" si="5">D118*(($F$114)+1)+(IF(E118&lt;101,E118,IF(E118&lt;201,E118/2,IF(E118&lt;=301,E118/3,E118/4))))</f>
        <v>970.66522799999996</v>
      </c>
      <c r="G118" s="85" t="str">
        <f t="shared" ref="G118:G124" si="6">G117</f>
        <v>3rd Floor for Residential</v>
      </c>
      <c r="H118" s="85"/>
      <c r="I118" s="33"/>
      <c r="J118" s="73">
        <f t="shared" si="2"/>
        <v>1.5</v>
      </c>
      <c r="L118" s="42"/>
      <c r="M118" s="42"/>
      <c r="N118" s="33"/>
    </row>
    <row r="119" spans="1:16" s="2" customFormat="1" x14ac:dyDescent="0.35">
      <c r="A119" s="85">
        <f t="shared" si="4"/>
        <v>303</v>
      </c>
      <c r="B119" s="85"/>
      <c r="C119" s="13" t="s">
        <v>198</v>
      </c>
      <c r="D119" s="60">
        <f>(54.418+5.7)*10.764</f>
        <v>647.11015199999997</v>
      </c>
      <c r="E119" s="43">
        <v>0</v>
      </c>
      <c r="F119" s="75">
        <f t="shared" si="5"/>
        <v>970.66522799999996</v>
      </c>
      <c r="G119" s="85" t="str">
        <f t="shared" si="6"/>
        <v>3rd Floor for Residential</v>
      </c>
      <c r="H119" s="85"/>
      <c r="I119" s="33"/>
      <c r="J119" s="73">
        <f t="shared" si="2"/>
        <v>1.5</v>
      </c>
      <c r="L119" s="42"/>
      <c r="M119" s="42"/>
      <c r="N119" s="33"/>
    </row>
    <row r="120" spans="1:16" s="2" customFormat="1" x14ac:dyDescent="0.35">
      <c r="A120" s="85">
        <f t="shared" si="4"/>
        <v>304</v>
      </c>
      <c r="B120" s="85"/>
      <c r="C120" s="32" t="s">
        <v>198</v>
      </c>
      <c r="D120" s="32">
        <f>(52.288+5.64)*10.764</f>
        <v>623.53699199999994</v>
      </c>
      <c r="E120" s="43">
        <v>0</v>
      </c>
      <c r="F120" s="75">
        <f t="shared" si="5"/>
        <v>935.30548799999997</v>
      </c>
      <c r="G120" s="85" t="str">
        <f t="shared" si="6"/>
        <v>3rd Floor for Residential</v>
      </c>
      <c r="H120" s="85"/>
      <c r="I120" s="33"/>
      <c r="J120" s="73">
        <f t="shared" si="2"/>
        <v>1.5</v>
      </c>
      <c r="L120" s="42"/>
      <c r="M120" s="42"/>
      <c r="N120" s="33"/>
    </row>
    <row r="121" spans="1:16" s="2" customFormat="1" x14ac:dyDescent="0.35">
      <c r="A121" s="85">
        <f t="shared" si="4"/>
        <v>305</v>
      </c>
      <c r="B121" s="85"/>
      <c r="C121" s="32" t="s">
        <v>198</v>
      </c>
      <c r="D121" s="32">
        <f>(46.752+2.99)*10.764</f>
        <v>535.42288800000006</v>
      </c>
      <c r="E121" s="43">
        <v>0</v>
      </c>
      <c r="F121" s="75">
        <f t="shared" si="5"/>
        <v>803.13433200000009</v>
      </c>
      <c r="G121" s="85" t="str">
        <f t="shared" si="6"/>
        <v>3rd Floor for Residential</v>
      </c>
      <c r="H121" s="85"/>
      <c r="I121" s="33"/>
      <c r="J121" s="73">
        <f t="shared" si="2"/>
        <v>1.5</v>
      </c>
      <c r="L121" s="42"/>
      <c r="M121" s="42"/>
      <c r="N121" s="33"/>
    </row>
    <row r="122" spans="1:16" s="2" customFormat="1" x14ac:dyDescent="0.35">
      <c r="A122" s="85">
        <f t="shared" si="4"/>
        <v>306</v>
      </c>
      <c r="B122" s="85"/>
      <c r="C122" s="32" t="s">
        <v>198</v>
      </c>
      <c r="D122" s="32">
        <f>(46.412+2.05)*10.764</f>
        <v>521.64496799999995</v>
      </c>
      <c r="E122" s="43">
        <v>0</v>
      </c>
      <c r="F122" s="75">
        <f t="shared" si="5"/>
        <v>782.46745199999987</v>
      </c>
      <c r="G122" s="85" t="str">
        <f t="shared" si="6"/>
        <v>3rd Floor for Residential</v>
      </c>
      <c r="H122" s="85"/>
      <c r="I122" s="33"/>
      <c r="J122" s="73">
        <f t="shared" si="2"/>
        <v>1.5</v>
      </c>
      <c r="L122" s="42"/>
      <c r="M122" s="42"/>
      <c r="N122" s="33"/>
    </row>
    <row r="123" spans="1:16" s="62" customFormat="1" x14ac:dyDescent="0.35">
      <c r="A123" s="85">
        <f t="shared" si="4"/>
        <v>307</v>
      </c>
      <c r="B123" s="85"/>
      <c r="C123" s="60" t="s">
        <v>198</v>
      </c>
      <c r="D123" s="60">
        <f>(46.412+2.05)*10.764</f>
        <v>521.64496799999995</v>
      </c>
      <c r="E123" s="60">
        <v>0</v>
      </c>
      <c r="F123" s="75">
        <f t="shared" si="5"/>
        <v>782.46745199999987</v>
      </c>
      <c r="G123" s="85" t="str">
        <f t="shared" si="6"/>
        <v>3rd Floor for Residential</v>
      </c>
      <c r="H123" s="85"/>
      <c r="I123" s="33"/>
      <c r="J123" s="73">
        <f t="shared" si="2"/>
        <v>1.5</v>
      </c>
      <c r="N123" s="33"/>
    </row>
    <row r="124" spans="1:16" s="62" customFormat="1" x14ac:dyDescent="0.35">
      <c r="A124" s="85">
        <f t="shared" si="4"/>
        <v>308</v>
      </c>
      <c r="B124" s="85"/>
      <c r="C124" s="60" t="s">
        <v>198</v>
      </c>
      <c r="D124" s="60">
        <f>(45.515+2.4)*10.764</f>
        <v>515.75705999999991</v>
      </c>
      <c r="E124" s="60">
        <v>0</v>
      </c>
      <c r="F124" s="75">
        <f t="shared" si="5"/>
        <v>773.63558999999987</v>
      </c>
      <c r="G124" s="85" t="str">
        <f t="shared" si="6"/>
        <v>3rd Floor for Residential</v>
      </c>
      <c r="H124" s="85"/>
      <c r="I124" s="33"/>
      <c r="J124" s="73">
        <f t="shared" si="2"/>
        <v>1.5</v>
      </c>
      <c r="N124" s="33"/>
    </row>
    <row r="125" spans="1:16" s="2" customFormat="1" ht="15.75" customHeight="1" x14ac:dyDescent="0.35">
      <c r="A125" s="154" t="s">
        <v>195</v>
      </c>
      <c r="B125" s="155"/>
      <c r="C125" s="155"/>
      <c r="D125" s="155"/>
      <c r="E125" s="155"/>
      <c r="F125" s="155"/>
      <c r="G125" s="155"/>
      <c r="H125" s="156"/>
      <c r="I125" s="33"/>
      <c r="J125" s="73"/>
      <c r="L125" s="42"/>
      <c r="M125" s="42"/>
      <c r="P125" s="34"/>
    </row>
    <row r="126" spans="1:16" s="2" customFormat="1" x14ac:dyDescent="0.35">
      <c r="A126" s="83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10^ROW(INDIRECT("1:"&amp;LEN((LEFT(A125,SUM(LEN(A125)-LEN(SUBSTITUTE(A125,{"0","1","2"},""))))))))/10))*100+1&amp;""&amp;" ,..,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",LEN(A125))),LEN(A125)))))))/10))*100+1</f>
        <v>401 ,.., 1001</v>
      </c>
      <c r="B126" s="84"/>
      <c r="C126" s="13" t="s">
        <v>199</v>
      </c>
      <c r="D126" s="13">
        <f>(33.625+2.4)*10.764</f>
        <v>387.77309999999994</v>
      </c>
      <c r="E126" s="43">
        <v>0</v>
      </c>
      <c r="F126" s="75">
        <f t="shared" si="5"/>
        <v>581.65964999999994</v>
      </c>
      <c r="G126" s="83" t="str">
        <f>A125</f>
        <v>4th, 5th, 6th, 7th, 9th, 10th Floor</v>
      </c>
      <c r="H126" s="84"/>
      <c r="I126" s="33"/>
      <c r="J126" s="73">
        <f t="shared" si="2"/>
        <v>1.5</v>
      </c>
      <c r="M126" s="42"/>
      <c r="N126" s="42"/>
      <c r="O126" s="54"/>
      <c r="P126" s="54"/>
    </row>
    <row r="127" spans="1:16" s="2" customFormat="1" x14ac:dyDescent="0.35">
      <c r="A127" s="83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,..,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402 ,.., 1002</v>
      </c>
      <c r="B127" s="84"/>
      <c r="C127" s="60" t="s">
        <v>198</v>
      </c>
      <c r="D127" s="13">
        <f>(53.205+6.54)*10.764</f>
        <v>643.09517999999991</v>
      </c>
      <c r="E127" s="43">
        <v>0</v>
      </c>
      <c r="F127" s="75">
        <f t="shared" si="5"/>
        <v>964.64276999999993</v>
      </c>
      <c r="G127" s="83" t="str">
        <f t="shared" ref="G127:G137" si="7">G126</f>
        <v>4th, 5th, 6th, 7th, 9th, 10th Floor</v>
      </c>
      <c r="H127" s="84"/>
      <c r="I127" s="33"/>
      <c r="J127" s="73">
        <f t="shared" si="2"/>
        <v>1.5</v>
      </c>
      <c r="M127" s="42"/>
      <c r="N127" s="52"/>
    </row>
    <row r="128" spans="1:16" s="2" customFormat="1" ht="15.75" customHeight="1" x14ac:dyDescent="0.35">
      <c r="A128" s="83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403 ,.., 1003</v>
      </c>
      <c r="B128" s="84"/>
      <c r="C128" s="60" t="s">
        <v>198</v>
      </c>
      <c r="D128" s="13">
        <f>(52.418+5.7)*10.764</f>
        <v>625.58215199999995</v>
      </c>
      <c r="E128" s="43">
        <v>0</v>
      </c>
      <c r="F128" s="75">
        <f t="shared" si="5"/>
        <v>938.37322799999993</v>
      </c>
      <c r="G128" s="83" t="str">
        <f t="shared" si="7"/>
        <v>4th, 5th, 6th, 7th, 9th, 10th Floor</v>
      </c>
      <c r="H128" s="84"/>
      <c r="I128" s="33"/>
      <c r="J128" s="73">
        <f t="shared" si="2"/>
        <v>1.5</v>
      </c>
      <c r="M128" s="42"/>
      <c r="N128" s="52"/>
    </row>
    <row r="129" spans="1:16" s="2" customFormat="1" ht="15.75" customHeight="1" x14ac:dyDescent="0.35">
      <c r="A129" s="83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404 ,.., 1004</v>
      </c>
      <c r="B129" s="84"/>
      <c r="C129" s="60" t="s">
        <v>198</v>
      </c>
      <c r="D129" s="32">
        <f>(52.418+5.7)*10.764</f>
        <v>625.58215199999995</v>
      </c>
      <c r="E129" s="43">
        <v>0</v>
      </c>
      <c r="F129" s="75">
        <f>1.7*D129</f>
        <v>1063.4896583999998</v>
      </c>
      <c r="G129" s="83" t="str">
        <f t="shared" si="7"/>
        <v>4th, 5th, 6th, 7th, 9th, 10th Floor</v>
      </c>
      <c r="H129" s="84"/>
      <c r="I129" s="33">
        <f>9600*F129</f>
        <v>10209500.720639998</v>
      </c>
      <c r="J129" s="73">
        <f t="shared" si="2"/>
        <v>1.7</v>
      </c>
      <c r="K129" s="33">
        <f>600000+I129</f>
        <v>10809500.720639998</v>
      </c>
      <c r="M129" s="42"/>
      <c r="N129" s="52"/>
    </row>
    <row r="130" spans="1:16" s="2" customFormat="1" ht="15.75" customHeight="1" x14ac:dyDescent="0.35">
      <c r="A130" s="83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405 ,.., 1005</v>
      </c>
      <c r="B130" s="84"/>
      <c r="C130" s="60" t="s">
        <v>198</v>
      </c>
      <c r="D130" s="32">
        <f>(52.288+5.64)*10.764</f>
        <v>623.53699199999994</v>
      </c>
      <c r="E130" s="43">
        <v>0</v>
      </c>
      <c r="F130" s="75">
        <f t="shared" si="5"/>
        <v>935.30548799999997</v>
      </c>
      <c r="G130" s="83" t="str">
        <f t="shared" si="7"/>
        <v>4th, 5th, 6th, 7th, 9th, 10th Floor</v>
      </c>
      <c r="H130" s="84"/>
      <c r="I130" s="33"/>
      <c r="J130" s="73">
        <f t="shared" si="2"/>
        <v>1.5</v>
      </c>
      <c r="M130" s="42"/>
      <c r="N130" s="52"/>
    </row>
    <row r="131" spans="1:16" s="36" customFormat="1" ht="15.75" customHeight="1" x14ac:dyDescent="0.35">
      <c r="A131" s="83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406 ,.., 1006</v>
      </c>
      <c r="B131" s="84"/>
      <c r="C131" s="37" t="s">
        <v>199</v>
      </c>
      <c r="D131" s="37">
        <f>(33.902+2.52)*10.764</f>
        <v>392.04640800000004</v>
      </c>
      <c r="E131" s="43">
        <v>0</v>
      </c>
      <c r="F131" s="75">
        <f t="shared" si="5"/>
        <v>588.06961200000001</v>
      </c>
      <c r="G131" s="83" t="str">
        <f t="shared" si="7"/>
        <v>4th, 5th, 6th, 7th, 9th, 10th Floor</v>
      </c>
      <c r="H131" s="84"/>
      <c r="I131" s="33"/>
      <c r="J131" s="73">
        <f t="shared" si="2"/>
        <v>1.4999999999999998</v>
      </c>
      <c r="M131" s="42"/>
      <c r="N131" s="52"/>
    </row>
    <row r="132" spans="1:16" s="62" customFormat="1" ht="15.75" customHeight="1" x14ac:dyDescent="0.35">
      <c r="A132" s="83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407 ,.., 1007</v>
      </c>
      <c r="B132" s="84"/>
      <c r="C132" s="60" t="s">
        <v>199</v>
      </c>
      <c r="D132" s="60">
        <f>(33.902+2.52)*10.764</f>
        <v>392.04640800000004</v>
      </c>
      <c r="E132" s="60">
        <v>0</v>
      </c>
      <c r="F132" s="75">
        <f t="shared" si="5"/>
        <v>588.06961200000001</v>
      </c>
      <c r="G132" s="83" t="str">
        <f t="shared" si="7"/>
        <v>4th, 5th, 6th, 7th, 9th, 10th Floor</v>
      </c>
      <c r="H132" s="84"/>
      <c r="I132" s="33"/>
      <c r="J132" s="73">
        <f t="shared" si="2"/>
        <v>1.4999999999999998</v>
      </c>
    </row>
    <row r="133" spans="1:16" s="62" customFormat="1" ht="15.75" customHeight="1" x14ac:dyDescent="0.35">
      <c r="A133" s="83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408 ,.., 1008</v>
      </c>
      <c r="B133" s="84"/>
      <c r="C133" s="60" t="s">
        <v>198</v>
      </c>
      <c r="D133" s="60">
        <f>(46.752+2.99)*10.764</f>
        <v>535.42288800000006</v>
      </c>
      <c r="E133" s="60">
        <v>0</v>
      </c>
      <c r="F133" s="75">
        <f t="shared" si="5"/>
        <v>803.13433200000009</v>
      </c>
      <c r="G133" s="83" t="str">
        <f t="shared" si="7"/>
        <v>4th, 5th, 6th, 7th, 9th, 10th Floor</v>
      </c>
      <c r="H133" s="84"/>
      <c r="I133" s="33"/>
      <c r="J133" s="73">
        <f t="shared" si="2"/>
        <v>1.5</v>
      </c>
    </row>
    <row r="134" spans="1:16" s="62" customFormat="1" ht="15.75" customHeight="1" x14ac:dyDescent="0.35">
      <c r="A134" s="83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409 ,.., 1009</v>
      </c>
      <c r="B134" s="84"/>
      <c r="C134" s="60" t="s">
        <v>198</v>
      </c>
      <c r="D134" s="60">
        <f>(46.412+2.05)*10.764</f>
        <v>521.64496799999995</v>
      </c>
      <c r="E134" s="60">
        <v>0</v>
      </c>
      <c r="F134" s="75">
        <f t="shared" si="5"/>
        <v>782.46745199999987</v>
      </c>
      <c r="G134" s="83" t="str">
        <f t="shared" si="7"/>
        <v>4th, 5th, 6th, 7th, 9th, 10th Floor</v>
      </c>
      <c r="H134" s="84"/>
      <c r="I134" s="33"/>
      <c r="J134" s="73">
        <f t="shared" si="2"/>
        <v>1.5</v>
      </c>
    </row>
    <row r="135" spans="1:16" s="62" customFormat="1" ht="15.75" customHeight="1" x14ac:dyDescent="0.35">
      <c r="A135" s="83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410 ,.., 1010</v>
      </c>
      <c r="B135" s="84"/>
      <c r="C135" s="60" t="s">
        <v>198</v>
      </c>
      <c r="D135" s="60">
        <f>(46.412+2.05)*10.764</f>
        <v>521.64496799999995</v>
      </c>
      <c r="E135" s="60">
        <v>0</v>
      </c>
      <c r="F135" s="75">
        <f t="shared" si="5"/>
        <v>782.46745199999987</v>
      </c>
      <c r="G135" s="83" t="str">
        <f t="shared" si="7"/>
        <v>4th, 5th, 6th, 7th, 9th, 10th Floor</v>
      </c>
      <c r="H135" s="84"/>
      <c r="I135" s="33"/>
      <c r="J135" s="73">
        <f t="shared" si="2"/>
        <v>1.5</v>
      </c>
    </row>
    <row r="136" spans="1:16" s="62" customFormat="1" ht="15.75" customHeight="1" x14ac:dyDescent="0.35">
      <c r="A136" s="83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,..,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411 ,.., 1011</v>
      </c>
      <c r="B136" s="84"/>
      <c r="C136" s="60" t="s">
        <v>198</v>
      </c>
      <c r="D136" s="60">
        <f>(45.515+2.4)*10.764</f>
        <v>515.75705999999991</v>
      </c>
      <c r="E136" s="60">
        <v>0</v>
      </c>
      <c r="F136" s="75">
        <f t="shared" si="5"/>
        <v>773.63558999999987</v>
      </c>
      <c r="G136" s="83" t="str">
        <f t="shared" si="7"/>
        <v>4th, 5th, 6th, 7th, 9th, 10th Floor</v>
      </c>
      <c r="H136" s="84"/>
      <c r="I136" s="33"/>
      <c r="J136" s="73">
        <f t="shared" si="2"/>
        <v>1.5</v>
      </c>
    </row>
    <row r="137" spans="1:16" s="62" customFormat="1" ht="15.75" customHeight="1" x14ac:dyDescent="0.35">
      <c r="A137" s="83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,..,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412 ,.., 1012</v>
      </c>
      <c r="B137" s="84"/>
      <c r="C137" s="60" t="s">
        <v>199</v>
      </c>
      <c r="D137" s="60">
        <f>(33.625+2.4)*10.764</f>
        <v>387.77309999999994</v>
      </c>
      <c r="E137" s="60">
        <v>0</v>
      </c>
      <c r="F137" s="75">
        <f t="shared" si="5"/>
        <v>581.65964999999994</v>
      </c>
      <c r="G137" s="83" t="str">
        <f t="shared" si="7"/>
        <v>4th, 5th, 6th, 7th, 9th, 10th Floor</v>
      </c>
      <c r="H137" s="84"/>
      <c r="I137" s="33"/>
      <c r="J137" s="73">
        <f t="shared" si="2"/>
        <v>1.5</v>
      </c>
    </row>
    <row r="138" spans="1:16" s="36" customFormat="1" x14ac:dyDescent="0.35">
      <c r="A138" s="154" t="s">
        <v>196</v>
      </c>
      <c r="B138" s="155"/>
      <c r="C138" s="155"/>
      <c r="D138" s="155"/>
      <c r="E138" s="155"/>
      <c r="F138" s="155"/>
      <c r="G138" s="155"/>
      <c r="H138" s="156"/>
      <c r="I138" s="33"/>
      <c r="J138" s="73"/>
      <c r="M138" s="42"/>
      <c r="N138" s="42"/>
      <c r="P138" s="34"/>
    </row>
    <row r="139" spans="1:16" s="36" customFormat="1" x14ac:dyDescent="0.35">
      <c r="A139" s="83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10^ROW(INDIRECT("1:"&amp;LEN((LEFT(A138,SUM(LEN(A138)-LEN(SUBSTITUTE(A138,{"0","1","2"},""))))))))/10))*100+1&amp;""&amp;" &amp;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",LEN(A138))),LEN(A138)))))))/10))*100+1</f>
        <v>801 &amp; 1101</v>
      </c>
      <c r="B139" s="84"/>
      <c r="C139" s="37" t="s">
        <v>199</v>
      </c>
      <c r="D139" s="37">
        <f>(33.6252+2.4)*10.764</f>
        <v>387.77525279999998</v>
      </c>
      <c r="E139" s="43">
        <v>0</v>
      </c>
      <c r="F139" s="75">
        <f t="shared" si="5"/>
        <v>581.66287919999991</v>
      </c>
      <c r="G139" s="83" t="str">
        <f>A138</f>
        <v>8th &amp; 11th Floor</v>
      </c>
      <c r="H139" s="84"/>
      <c r="I139" s="33"/>
      <c r="J139" s="73">
        <f t="shared" si="2"/>
        <v>1.4999999999999998</v>
      </c>
      <c r="M139" s="42"/>
      <c r="N139" s="42"/>
      <c r="O139" s="52"/>
      <c r="P139" s="52"/>
    </row>
    <row r="140" spans="1:16" s="36" customFormat="1" x14ac:dyDescent="0.35">
      <c r="A140" s="83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&amp;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802 &amp; 1102</v>
      </c>
      <c r="B140" s="84"/>
      <c r="C140" s="53" t="s">
        <v>198</v>
      </c>
      <c r="D140" s="37">
        <f>(53.205+6.54)*10.764</f>
        <v>643.09517999999991</v>
      </c>
      <c r="E140" s="43">
        <v>0</v>
      </c>
      <c r="F140" s="75">
        <f t="shared" si="5"/>
        <v>964.64276999999993</v>
      </c>
      <c r="G140" s="83" t="str">
        <f t="shared" ref="G140:G149" si="8">G139</f>
        <v>8th &amp; 11th Floor</v>
      </c>
      <c r="H140" s="84"/>
      <c r="I140" s="33"/>
      <c r="J140" s="73">
        <f t="shared" si="2"/>
        <v>1.5</v>
      </c>
      <c r="M140" s="42"/>
      <c r="N140" s="52"/>
    </row>
    <row r="141" spans="1:16" s="36" customFormat="1" x14ac:dyDescent="0.35">
      <c r="A141" s="83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&amp;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803 &amp; 1103</v>
      </c>
      <c r="B141" s="84"/>
      <c r="C141" s="60" t="s">
        <v>198</v>
      </c>
      <c r="D141" s="37">
        <f>(52.418+5.7)*10.764</f>
        <v>625.58215199999995</v>
      </c>
      <c r="E141" s="43">
        <v>0</v>
      </c>
      <c r="F141" s="75">
        <f t="shared" si="5"/>
        <v>938.37322799999993</v>
      </c>
      <c r="G141" s="83" t="str">
        <f t="shared" si="8"/>
        <v>8th &amp; 11th Floor</v>
      </c>
      <c r="H141" s="84"/>
      <c r="I141" s="33"/>
      <c r="J141" s="73">
        <f t="shared" si="2"/>
        <v>1.5</v>
      </c>
      <c r="M141" s="42"/>
      <c r="N141" s="52"/>
    </row>
    <row r="142" spans="1:16" s="36" customFormat="1" x14ac:dyDescent="0.35">
      <c r="A142" s="83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&amp;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804 &amp; 1104</v>
      </c>
      <c r="B142" s="84"/>
      <c r="C142" s="60" t="s">
        <v>198</v>
      </c>
      <c r="D142" s="37">
        <f>(52.418+5.7)*10.764</f>
        <v>625.58215199999995</v>
      </c>
      <c r="E142" s="43">
        <v>0</v>
      </c>
      <c r="F142" s="75">
        <f t="shared" si="5"/>
        <v>938.37322799999993</v>
      </c>
      <c r="G142" s="83" t="str">
        <f t="shared" si="8"/>
        <v>8th &amp; 11th Floor</v>
      </c>
      <c r="H142" s="84"/>
      <c r="I142" s="33"/>
      <c r="J142" s="73">
        <f t="shared" si="2"/>
        <v>1.5</v>
      </c>
      <c r="M142" s="42"/>
      <c r="N142" s="52"/>
    </row>
    <row r="143" spans="1:16" s="36" customFormat="1" x14ac:dyDescent="0.35">
      <c r="A143" s="83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&amp;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805 &amp; 1105</v>
      </c>
      <c r="B143" s="84"/>
      <c r="C143" s="60" t="s">
        <v>198</v>
      </c>
      <c r="D143" s="60">
        <f>(52.288+5.64)*10.764</f>
        <v>623.53699199999994</v>
      </c>
      <c r="E143" s="43">
        <v>0</v>
      </c>
      <c r="F143" s="75">
        <f t="shared" si="5"/>
        <v>935.30548799999997</v>
      </c>
      <c r="G143" s="83" t="str">
        <f t="shared" si="8"/>
        <v>8th &amp; 11th Floor</v>
      </c>
      <c r="H143" s="84"/>
      <c r="I143" s="33"/>
      <c r="J143" s="73">
        <f t="shared" si="2"/>
        <v>1.5</v>
      </c>
      <c r="M143" s="42"/>
      <c r="N143" s="52"/>
    </row>
    <row r="144" spans="1:16" s="36" customFormat="1" x14ac:dyDescent="0.35">
      <c r="A144" s="83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&amp;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806 &amp; 1106</v>
      </c>
      <c r="B144" s="84"/>
      <c r="C144" s="37" t="s">
        <v>199</v>
      </c>
      <c r="D144" s="37">
        <f>(33.902+2.52)*10.764</f>
        <v>392.04640800000004</v>
      </c>
      <c r="E144" s="43">
        <v>0</v>
      </c>
      <c r="F144" s="75">
        <f t="shared" si="5"/>
        <v>588.06961200000001</v>
      </c>
      <c r="G144" s="83" t="str">
        <f t="shared" si="8"/>
        <v>8th &amp; 11th Floor</v>
      </c>
      <c r="H144" s="84"/>
      <c r="I144" s="33"/>
      <c r="J144" s="73">
        <f t="shared" si="2"/>
        <v>1.4999999999999998</v>
      </c>
      <c r="M144" s="42"/>
      <c r="N144" s="52"/>
    </row>
    <row r="145" spans="1:14" s="59" customFormat="1" x14ac:dyDescent="0.35">
      <c r="A145" s="83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&amp;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807 &amp; 1107</v>
      </c>
      <c r="B145" s="84"/>
      <c r="C145" s="60" t="s">
        <v>198</v>
      </c>
      <c r="D145" s="60">
        <f>(46.752+2.99)*10.764</f>
        <v>535.42288800000006</v>
      </c>
      <c r="E145" s="60">
        <v>0</v>
      </c>
      <c r="F145" s="75">
        <f t="shared" si="5"/>
        <v>803.13433200000009</v>
      </c>
      <c r="G145" s="83" t="str">
        <f t="shared" si="8"/>
        <v>8th &amp; 11th Floor</v>
      </c>
      <c r="H145" s="84"/>
      <c r="I145" s="33"/>
      <c r="J145" s="73">
        <f t="shared" si="2"/>
        <v>1.5</v>
      </c>
    </row>
    <row r="146" spans="1:14" s="62" customFormat="1" x14ac:dyDescent="0.35">
      <c r="A146" s="83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&amp;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808 &amp; 1108</v>
      </c>
      <c r="B146" s="84"/>
      <c r="C146" s="60" t="s">
        <v>198</v>
      </c>
      <c r="D146" s="60">
        <f>(46.412+2.05)*10.764</f>
        <v>521.64496799999995</v>
      </c>
      <c r="E146" s="60">
        <v>0</v>
      </c>
      <c r="F146" s="75">
        <f t="shared" si="5"/>
        <v>782.46745199999987</v>
      </c>
      <c r="G146" s="83" t="str">
        <f t="shared" si="8"/>
        <v>8th &amp; 11th Floor</v>
      </c>
      <c r="H146" s="84"/>
      <c r="I146" s="33"/>
      <c r="J146" s="73">
        <f t="shared" si="2"/>
        <v>1.5</v>
      </c>
    </row>
    <row r="147" spans="1:14" s="62" customFormat="1" x14ac:dyDescent="0.35">
      <c r="A147" s="83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&amp;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809 &amp; 1109</v>
      </c>
      <c r="B147" s="84"/>
      <c r="C147" s="60" t="s">
        <v>198</v>
      </c>
      <c r="D147" s="60">
        <f>(46.412+2.05)*10.764</f>
        <v>521.64496799999995</v>
      </c>
      <c r="E147" s="60">
        <v>0</v>
      </c>
      <c r="F147" s="75">
        <f t="shared" si="5"/>
        <v>782.46745199999987</v>
      </c>
      <c r="G147" s="83" t="str">
        <f t="shared" si="8"/>
        <v>8th &amp; 11th Floor</v>
      </c>
      <c r="H147" s="84"/>
      <c r="I147" s="33"/>
      <c r="J147" s="73">
        <f t="shared" si="2"/>
        <v>1.5</v>
      </c>
    </row>
    <row r="148" spans="1:14" s="62" customFormat="1" x14ac:dyDescent="0.35">
      <c r="A148" s="83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&amp;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810 &amp; 1110</v>
      </c>
      <c r="B148" s="84"/>
      <c r="C148" s="60" t="s">
        <v>198</v>
      </c>
      <c r="D148" s="60">
        <f>(45.515+2.4)*10.764</f>
        <v>515.75705999999991</v>
      </c>
      <c r="E148" s="60">
        <v>0</v>
      </c>
      <c r="F148" s="75">
        <f t="shared" si="5"/>
        <v>773.63558999999987</v>
      </c>
      <c r="G148" s="83" t="str">
        <f t="shared" si="8"/>
        <v>8th &amp; 11th Floor</v>
      </c>
      <c r="H148" s="84"/>
      <c r="I148" s="33"/>
      <c r="J148" s="73">
        <f t="shared" si="2"/>
        <v>1.5</v>
      </c>
    </row>
    <row r="149" spans="1:14" s="62" customFormat="1" x14ac:dyDescent="0.35">
      <c r="A149" s="83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&amp;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811 &amp; 1111</v>
      </c>
      <c r="B149" s="84"/>
      <c r="C149" s="60" t="s">
        <v>199</v>
      </c>
      <c r="D149" s="60">
        <f>(33.625+2.4)*10.764</f>
        <v>387.77309999999994</v>
      </c>
      <c r="E149" s="60">
        <v>0</v>
      </c>
      <c r="F149" s="75">
        <f t="shared" si="5"/>
        <v>581.65964999999994</v>
      </c>
      <c r="G149" s="83" t="str">
        <f t="shared" si="8"/>
        <v>8th &amp; 11th Floor</v>
      </c>
      <c r="H149" s="84"/>
      <c r="I149" s="33"/>
      <c r="J149" s="73">
        <f t="shared" si="2"/>
        <v>1.5</v>
      </c>
    </row>
    <row r="150" spans="1:14" s="62" customFormat="1" x14ac:dyDescent="0.35">
      <c r="A150" s="98" t="s">
        <v>197</v>
      </c>
      <c r="B150" s="98"/>
      <c r="C150" s="98"/>
      <c r="D150" s="98"/>
      <c r="E150" s="98"/>
      <c r="F150" s="98"/>
      <c r="G150" s="98"/>
      <c r="H150" s="98"/>
      <c r="I150" s="33"/>
      <c r="J150" s="73"/>
      <c r="L150" s="97"/>
      <c r="M150" s="97"/>
    </row>
    <row r="151" spans="1:14" s="62" customFormat="1" x14ac:dyDescent="0.35">
      <c r="A151" s="85">
        <f>LEFT(A150,SUM(LEN(A150)-LEN(SUBSTITUTE(A150,{"0","1","2","3","4","5","6","7","8","9"},""))))*100+1</f>
        <v>1201</v>
      </c>
      <c r="B151" s="85"/>
      <c r="C151" s="60" t="s">
        <v>198</v>
      </c>
      <c r="D151" s="60">
        <f>(53.205+6.54)*10.764</f>
        <v>643.09517999999991</v>
      </c>
      <c r="E151" s="60">
        <v>0</v>
      </c>
      <c r="F151" s="75">
        <f t="shared" si="5"/>
        <v>964.64276999999993</v>
      </c>
      <c r="G151" s="85" t="str">
        <f>A150</f>
        <v>12th Floor</v>
      </c>
      <c r="H151" s="85"/>
      <c r="I151" s="33"/>
      <c r="J151" s="73">
        <f t="shared" si="2"/>
        <v>1.5</v>
      </c>
      <c r="K151" s="62">
        <f>350*F151</f>
        <v>337624.96949999995</v>
      </c>
      <c r="L151" s="62">
        <f>100*F151</f>
        <v>96464.276999999987</v>
      </c>
      <c r="N151" s="33"/>
    </row>
    <row r="152" spans="1:14" s="62" customFormat="1" x14ac:dyDescent="0.35">
      <c r="A152" s="83">
        <f t="shared" ref="A152:A158" si="9">A151+1</f>
        <v>1202</v>
      </c>
      <c r="B152" s="84"/>
      <c r="C152" s="60" t="s">
        <v>198</v>
      </c>
      <c r="D152" s="60">
        <f>(52.418+5.7)*10.764</f>
        <v>625.58215199999995</v>
      </c>
      <c r="E152" s="60">
        <v>0</v>
      </c>
      <c r="F152" s="75">
        <f t="shared" si="5"/>
        <v>938.37322799999993</v>
      </c>
      <c r="G152" s="85" t="str">
        <f t="shared" ref="G152:G158" si="10">G151</f>
        <v>12th Floor</v>
      </c>
      <c r="H152" s="85"/>
      <c r="I152" s="33"/>
      <c r="J152" s="73">
        <f t="shared" si="2"/>
        <v>1.5</v>
      </c>
      <c r="N152" s="33"/>
    </row>
    <row r="153" spans="1:14" s="62" customFormat="1" x14ac:dyDescent="0.35">
      <c r="A153" s="83">
        <f t="shared" si="9"/>
        <v>1203</v>
      </c>
      <c r="B153" s="84"/>
      <c r="C153" s="60" t="s">
        <v>198</v>
      </c>
      <c r="D153" s="60">
        <f>(52.418+5.7)*10.764</f>
        <v>625.58215199999995</v>
      </c>
      <c r="E153" s="60">
        <v>0</v>
      </c>
      <c r="F153" s="75">
        <f t="shared" si="5"/>
        <v>938.37322799999993</v>
      </c>
      <c r="G153" s="85" t="str">
        <f t="shared" si="10"/>
        <v>12th Floor</v>
      </c>
      <c r="H153" s="85"/>
      <c r="I153" s="33"/>
      <c r="J153" s="73">
        <f t="shared" si="2"/>
        <v>1.5</v>
      </c>
      <c r="N153" s="33"/>
    </row>
    <row r="154" spans="1:14" s="62" customFormat="1" x14ac:dyDescent="0.35">
      <c r="A154" s="83">
        <f t="shared" si="9"/>
        <v>1204</v>
      </c>
      <c r="B154" s="84"/>
      <c r="C154" s="60" t="s">
        <v>198</v>
      </c>
      <c r="D154" s="60">
        <f>(52.288+5.64)*10.764</f>
        <v>623.53699199999994</v>
      </c>
      <c r="E154" s="60">
        <v>0</v>
      </c>
      <c r="F154" s="75">
        <f t="shared" si="5"/>
        <v>935.30548799999997</v>
      </c>
      <c r="G154" s="85" t="str">
        <f t="shared" si="10"/>
        <v>12th Floor</v>
      </c>
      <c r="H154" s="85"/>
      <c r="I154" s="33"/>
      <c r="J154" s="73">
        <f t="shared" si="2"/>
        <v>1.5</v>
      </c>
      <c r="N154" s="33"/>
    </row>
    <row r="155" spans="1:14" s="62" customFormat="1" x14ac:dyDescent="0.35">
      <c r="A155" s="83">
        <f t="shared" si="9"/>
        <v>1205</v>
      </c>
      <c r="B155" s="84"/>
      <c r="C155" s="60" t="s">
        <v>198</v>
      </c>
      <c r="D155" s="60">
        <f>(46.752+2.99)*10.764</f>
        <v>535.42288800000006</v>
      </c>
      <c r="E155" s="60">
        <v>0</v>
      </c>
      <c r="F155" s="75">
        <f t="shared" si="5"/>
        <v>803.13433200000009</v>
      </c>
      <c r="G155" s="85" t="str">
        <f t="shared" si="10"/>
        <v>12th Floor</v>
      </c>
      <c r="H155" s="85"/>
      <c r="I155" s="33"/>
      <c r="J155" s="73">
        <f t="shared" si="2"/>
        <v>1.5</v>
      </c>
      <c r="N155" s="33"/>
    </row>
    <row r="156" spans="1:14" s="62" customFormat="1" x14ac:dyDescent="0.35">
      <c r="A156" s="83">
        <f t="shared" si="9"/>
        <v>1206</v>
      </c>
      <c r="B156" s="84"/>
      <c r="C156" s="60" t="s">
        <v>198</v>
      </c>
      <c r="D156" s="60">
        <f>(46.412+2.05)*10.764</f>
        <v>521.64496799999995</v>
      </c>
      <c r="E156" s="60">
        <v>0</v>
      </c>
      <c r="F156" s="75">
        <f t="shared" si="5"/>
        <v>782.46745199999987</v>
      </c>
      <c r="G156" s="85" t="str">
        <f t="shared" si="10"/>
        <v>12th Floor</v>
      </c>
      <c r="H156" s="85"/>
      <c r="I156" s="33"/>
      <c r="J156" s="73">
        <f t="shared" si="2"/>
        <v>1.5</v>
      </c>
      <c r="N156" s="33"/>
    </row>
    <row r="157" spans="1:14" s="62" customFormat="1" x14ac:dyDescent="0.35">
      <c r="A157" s="83">
        <f t="shared" si="9"/>
        <v>1207</v>
      </c>
      <c r="B157" s="84"/>
      <c r="C157" s="60" t="s">
        <v>198</v>
      </c>
      <c r="D157" s="60">
        <f>(46.412+2.05)*10.764</f>
        <v>521.64496799999995</v>
      </c>
      <c r="E157" s="60">
        <v>0</v>
      </c>
      <c r="F157" s="75">
        <f t="shared" si="5"/>
        <v>782.46745199999987</v>
      </c>
      <c r="G157" s="85" t="str">
        <f t="shared" si="10"/>
        <v>12th Floor</v>
      </c>
      <c r="H157" s="85"/>
      <c r="I157" s="33"/>
      <c r="J157" s="73">
        <f t="shared" si="2"/>
        <v>1.5</v>
      </c>
      <c r="N157" s="33"/>
    </row>
    <row r="158" spans="1:14" s="62" customFormat="1" x14ac:dyDescent="0.35">
      <c r="A158" s="83">
        <f t="shared" si="9"/>
        <v>1208</v>
      </c>
      <c r="B158" s="84"/>
      <c r="C158" s="60" t="s">
        <v>198</v>
      </c>
      <c r="D158" s="60">
        <f>(45.515+2.4)*10.764</f>
        <v>515.75705999999991</v>
      </c>
      <c r="E158" s="60">
        <v>0</v>
      </c>
      <c r="F158" s="75">
        <f t="shared" si="5"/>
        <v>773.63558999999987</v>
      </c>
      <c r="G158" s="85" t="str">
        <f t="shared" si="10"/>
        <v>12th Floor</v>
      </c>
      <c r="H158" s="85"/>
      <c r="I158" s="33"/>
      <c r="J158" s="73">
        <f t="shared" si="2"/>
        <v>1.5</v>
      </c>
      <c r="N158" s="33"/>
    </row>
    <row r="159" spans="1:14" s="1" customFormat="1" x14ac:dyDescent="0.35">
      <c r="A159" s="153" t="s">
        <v>73</v>
      </c>
      <c r="B159" s="153"/>
      <c r="C159" s="153"/>
      <c r="D159" s="153"/>
      <c r="E159" s="153"/>
      <c r="F159" s="153"/>
      <c r="G159" s="153"/>
      <c r="H159" s="153"/>
    </row>
    <row r="160" spans="1:14" s="1" customFormat="1" x14ac:dyDescent="0.35">
      <c r="A160" s="81" t="s">
        <v>165</v>
      </c>
      <c r="B160" s="185" t="s">
        <v>224</v>
      </c>
      <c r="C160" s="185"/>
      <c r="D160" s="185"/>
      <c r="E160" s="185"/>
      <c r="F160" s="185"/>
      <c r="G160" s="185"/>
      <c r="H160" s="185"/>
      <c r="I160" s="1" t="s">
        <v>221</v>
      </c>
    </row>
    <row r="161" spans="1:8" s="1" customFormat="1" x14ac:dyDescent="0.35">
      <c r="A161" s="81" t="s">
        <v>165</v>
      </c>
      <c r="B161" s="185" t="str">
        <f>(IF(F113="Saleable area Loading :","We have considered Saleable area of Flats as per our Calculation.","We considered Saleable area of Flat as per Builder area Sheet."))</f>
        <v>We considered Saleable area of Flat as per Builder area Sheet.</v>
      </c>
      <c r="C161" s="185"/>
      <c r="D161" s="185"/>
      <c r="E161" s="185"/>
      <c r="F161" s="185"/>
      <c r="G161" s="185"/>
      <c r="H161" s="185"/>
    </row>
    <row r="162" spans="1:8" s="1" customFormat="1" x14ac:dyDescent="0.35">
      <c r="A162" s="81" t="s">
        <v>165</v>
      </c>
      <c r="B162" s="185" t="str">
        <f>(IF(F99="Saleable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62" s="185"/>
      <c r="D162" s="185"/>
      <c r="E162" s="185"/>
      <c r="F162" s="185"/>
      <c r="G162" s="185"/>
      <c r="H162" s="185"/>
    </row>
    <row r="163" spans="1:8" s="1" customFormat="1" x14ac:dyDescent="0.35">
      <c r="A163" s="81" t="s">
        <v>165</v>
      </c>
      <c r="B163" s="185" t="s">
        <v>136</v>
      </c>
      <c r="C163" s="185"/>
      <c r="D163" s="185"/>
      <c r="E163" s="185"/>
      <c r="F163" s="185"/>
      <c r="G163" s="185"/>
      <c r="H163" s="185"/>
    </row>
    <row r="164" spans="1:8" s="1" customFormat="1" x14ac:dyDescent="0.35">
      <c r="A164" s="81" t="s">
        <v>165</v>
      </c>
      <c r="B164" s="185" t="s">
        <v>200</v>
      </c>
      <c r="C164" s="185"/>
      <c r="D164" s="185"/>
      <c r="E164" s="185"/>
      <c r="F164" s="185"/>
      <c r="G164" s="185"/>
      <c r="H164" s="185"/>
    </row>
    <row r="165" spans="1:8" s="1" customFormat="1" x14ac:dyDescent="0.35">
      <c r="A165" s="81" t="s">
        <v>165</v>
      </c>
      <c r="B165" s="186" t="s">
        <v>164</v>
      </c>
      <c r="C165" s="186"/>
      <c r="D165" s="186"/>
      <c r="E165" s="186"/>
      <c r="F165" s="186"/>
      <c r="G165" s="186"/>
      <c r="H165" s="186"/>
    </row>
    <row r="166" spans="1:8" s="1" customFormat="1" x14ac:dyDescent="0.35">
      <c r="A166" s="81" t="s">
        <v>165</v>
      </c>
      <c r="B166" s="186" t="s">
        <v>137</v>
      </c>
      <c r="C166" s="186"/>
      <c r="D166" s="186"/>
      <c r="E166" s="186"/>
      <c r="F166" s="186"/>
      <c r="G166" s="186"/>
      <c r="H166" s="186"/>
    </row>
    <row r="167" spans="1:8" s="1" customFormat="1" ht="32.25" customHeight="1" x14ac:dyDescent="0.35">
      <c r="A167" s="81" t="s">
        <v>165</v>
      </c>
      <c r="B167" s="186" t="s">
        <v>168</v>
      </c>
      <c r="C167" s="186"/>
      <c r="D167" s="186"/>
      <c r="E167" s="186"/>
      <c r="F167" s="186"/>
      <c r="G167" s="186"/>
      <c r="H167" s="186"/>
    </row>
    <row r="168" spans="1:8" s="1" customFormat="1" x14ac:dyDescent="0.35">
      <c r="A168" s="58" t="s">
        <v>165</v>
      </c>
      <c r="B168" s="86" t="s">
        <v>138</v>
      </c>
      <c r="C168" s="87"/>
      <c r="D168" s="87"/>
      <c r="E168" s="87"/>
      <c r="F168" s="87"/>
      <c r="G168" s="87"/>
      <c r="H168" s="88"/>
    </row>
    <row r="169" spans="1:8" s="1" customFormat="1" hidden="1" x14ac:dyDescent="0.35">
      <c r="A169" s="58" t="s">
        <v>165</v>
      </c>
      <c r="B169" s="168" t="s">
        <v>183</v>
      </c>
      <c r="C169" s="169"/>
      <c r="D169" s="169"/>
      <c r="E169" s="169"/>
      <c r="F169" s="169"/>
      <c r="G169" s="169"/>
      <c r="H169" s="170"/>
    </row>
    <row r="170" spans="1:8" x14ac:dyDescent="0.35">
      <c r="A170" s="157" t="s">
        <v>66</v>
      </c>
      <c r="B170" s="157"/>
      <c r="C170" s="157"/>
      <c r="D170" s="157"/>
      <c r="E170" s="157"/>
      <c r="F170" s="157"/>
      <c r="G170" s="157"/>
      <c r="H170" s="157"/>
    </row>
    <row r="171" spans="1:8" x14ac:dyDescent="0.35">
      <c r="A171" s="151" t="s">
        <v>67</v>
      </c>
      <c r="B171" s="151"/>
      <c r="C171" s="151"/>
      <c r="D171" s="151"/>
      <c r="E171" s="151"/>
      <c r="F171" s="151"/>
      <c r="G171" s="151"/>
      <c r="H171" s="151"/>
    </row>
    <row r="172" spans="1:8" ht="15.75" customHeight="1" x14ac:dyDescent="0.35">
      <c r="A172" s="181" t="s">
        <v>68</v>
      </c>
      <c r="B172" s="181"/>
      <c r="C172" s="181"/>
      <c r="D172" s="181"/>
      <c r="E172" s="181"/>
      <c r="F172" s="181"/>
      <c r="G172" s="181"/>
      <c r="H172" s="181"/>
    </row>
    <row r="173" spans="1:8" x14ac:dyDescent="0.35">
      <c r="A173" s="151" t="s">
        <v>69</v>
      </c>
      <c r="B173" s="151"/>
      <c r="C173" s="151"/>
      <c r="D173" s="151"/>
      <c r="E173" s="151"/>
      <c r="F173" s="151"/>
      <c r="G173" s="151"/>
      <c r="H173" s="151"/>
    </row>
    <row r="174" spans="1:8" x14ac:dyDescent="0.35">
      <c r="A174" s="151" t="s">
        <v>70</v>
      </c>
      <c r="B174" s="151"/>
      <c r="C174" s="151"/>
      <c r="D174" s="151"/>
      <c r="E174" s="151"/>
      <c r="F174" s="151"/>
      <c r="G174" s="151"/>
      <c r="H174" s="151"/>
    </row>
    <row r="175" spans="1:8" x14ac:dyDescent="0.35">
      <c r="A175" s="151" t="s">
        <v>139</v>
      </c>
      <c r="B175" s="151"/>
      <c r="C175" s="151"/>
      <c r="D175" s="151"/>
      <c r="E175" s="151"/>
      <c r="F175" s="151"/>
      <c r="G175" s="151"/>
      <c r="H175" s="151"/>
    </row>
    <row r="176" spans="1:8" x14ac:dyDescent="0.35">
      <c r="A176" s="152" t="s">
        <v>140</v>
      </c>
      <c r="B176" s="152"/>
      <c r="C176" s="152"/>
      <c r="D176" s="152"/>
      <c r="E176" s="152"/>
      <c r="F176" s="152"/>
      <c r="G176" s="152"/>
      <c r="H176" s="152"/>
    </row>
    <row r="177" spans="1:8" x14ac:dyDescent="0.35">
      <c r="A177" s="148" t="s">
        <v>83</v>
      </c>
      <c r="B177" s="148"/>
      <c r="C177" s="148" t="s">
        <v>223</v>
      </c>
      <c r="D177" s="148"/>
      <c r="E177" s="148" t="s">
        <v>116</v>
      </c>
      <c r="F177" s="148"/>
      <c r="G177" s="148" t="s">
        <v>222</v>
      </c>
      <c r="H177" s="148"/>
    </row>
    <row r="178" spans="1:8" x14ac:dyDescent="0.35">
      <c r="A178" s="147" t="s">
        <v>85</v>
      </c>
      <c r="B178" s="147"/>
      <c r="C178" s="147"/>
      <c r="D178" s="147"/>
      <c r="E178" s="147"/>
      <c r="F178" s="147"/>
      <c r="G178" s="147"/>
      <c r="H178" s="147"/>
    </row>
    <row r="179" spans="1:8" x14ac:dyDescent="0.35">
      <c r="A179" s="147"/>
      <c r="B179" s="147"/>
      <c r="C179" s="147"/>
      <c r="D179" s="147"/>
      <c r="E179" s="147"/>
      <c r="F179" s="147"/>
      <c r="G179" s="147"/>
      <c r="H179" s="147"/>
    </row>
    <row r="180" spans="1:8" x14ac:dyDescent="0.35">
      <c r="A180" s="147"/>
      <c r="B180" s="147"/>
      <c r="C180" s="147"/>
      <c r="D180" s="147"/>
      <c r="E180" s="147"/>
      <c r="F180" s="147"/>
      <c r="G180" s="147"/>
      <c r="H180" s="147"/>
    </row>
    <row r="181" spans="1:8" x14ac:dyDescent="0.35">
      <c r="A181" s="147"/>
      <c r="B181" s="147"/>
      <c r="C181" s="147"/>
      <c r="D181" s="147"/>
      <c r="E181" s="147"/>
      <c r="F181" s="147"/>
      <c r="G181" s="147"/>
      <c r="H181" s="147"/>
    </row>
    <row r="182" spans="1:8" x14ac:dyDescent="0.35">
      <c r="A182" s="8" t="s">
        <v>71</v>
      </c>
      <c r="B182" s="9"/>
      <c r="C182" s="9"/>
      <c r="D182" s="8" t="str">
        <f>E8</f>
        <v>NMS 17 West</v>
      </c>
      <c r="F182" s="9"/>
      <c r="G182" s="9"/>
      <c r="H182" s="9"/>
    </row>
    <row r="183" spans="1:8" x14ac:dyDescent="0.35">
      <c r="A183" s="9"/>
      <c r="B183" s="9"/>
      <c r="C183" s="9"/>
      <c r="D183" s="9"/>
      <c r="E183" s="9"/>
      <c r="F183" s="9"/>
      <c r="G183" s="9"/>
      <c r="H183" s="9"/>
    </row>
    <row r="184" spans="1:8" x14ac:dyDescent="0.35">
      <c r="A184" s="9"/>
      <c r="B184" s="9"/>
      <c r="C184" s="9"/>
      <c r="D184" s="9"/>
      <c r="E184" s="9"/>
      <c r="F184" s="9"/>
      <c r="G184" s="9"/>
      <c r="H184" s="9"/>
    </row>
    <row r="185" spans="1:8" ht="15" customHeight="1" x14ac:dyDescent="0.35"/>
    <row r="225" spans="1:1" x14ac:dyDescent="0.35">
      <c r="A225" s="11" t="s">
        <v>72</v>
      </c>
    </row>
  </sheetData>
  <mergeCells count="348">
    <mergeCell ref="A72:B72"/>
    <mergeCell ref="A175:H175"/>
    <mergeCell ref="A122:B122"/>
    <mergeCell ref="A172:H172"/>
    <mergeCell ref="G134:H134"/>
    <mergeCell ref="A117:B117"/>
    <mergeCell ref="A95:B95"/>
    <mergeCell ref="A73:B73"/>
    <mergeCell ref="F79:H79"/>
    <mergeCell ref="A78:H78"/>
    <mergeCell ref="G93:H93"/>
    <mergeCell ref="C95:D95"/>
    <mergeCell ref="G95:H95"/>
    <mergeCell ref="B161:H161"/>
    <mergeCell ref="B163:H163"/>
    <mergeCell ref="B164:H164"/>
    <mergeCell ref="G139:H139"/>
    <mergeCell ref="A145:B145"/>
    <mergeCell ref="G145:H145"/>
    <mergeCell ref="A154:B154"/>
    <mergeCell ref="A79:E79"/>
    <mergeCell ref="A100:H100"/>
    <mergeCell ref="G99:H99"/>
    <mergeCell ref="F82:H82"/>
    <mergeCell ref="A69:B69"/>
    <mergeCell ref="A71:B71"/>
    <mergeCell ref="D60:H60"/>
    <mergeCell ref="A63:C63"/>
    <mergeCell ref="D63:H63"/>
    <mergeCell ref="A61:C61"/>
    <mergeCell ref="D61:H61"/>
    <mergeCell ref="E40:H40"/>
    <mergeCell ref="A40:D40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C50:H50"/>
    <mergeCell ref="A62:C62"/>
    <mergeCell ref="D62:H62"/>
    <mergeCell ref="A68:B68"/>
    <mergeCell ref="G67:H67"/>
    <mergeCell ref="A66:B66"/>
    <mergeCell ref="A64:B64"/>
    <mergeCell ref="C64:H64"/>
    <mergeCell ref="D55:H55"/>
    <mergeCell ref="A55:C55"/>
    <mergeCell ref="A59:C59"/>
    <mergeCell ref="D59:H59"/>
    <mergeCell ref="C66:H66"/>
    <mergeCell ref="B168:H168"/>
    <mergeCell ref="B169:H169"/>
    <mergeCell ref="B166:H166"/>
    <mergeCell ref="G144:H144"/>
    <mergeCell ref="B162:H162"/>
    <mergeCell ref="A141:B141"/>
    <mergeCell ref="G141:H141"/>
    <mergeCell ref="G140:H140"/>
    <mergeCell ref="A138:H138"/>
    <mergeCell ref="A139:B139"/>
    <mergeCell ref="A140:B140"/>
    <mergeCell ref="A143:B143"/>
    <mergeCell ref="G143:H143"/>
    <mergeCell ref="A144:B144"/>
    <mergeCell ref="A142:B142"/>
    <mergeCell ref="G142:H142"/>
    <mergeCell ref="B160:H160"/>
    <mergeCell ref="A178:H181"/>
    <mergeCell ref="A177:B177"/>
    <mergeCell ref="E177:F177"/>
    <mergeCell ref="C177:D177"/>
    <mergeCell ref="G177:H177"/>
    <mergeCell ref="A91:H91"/>
    <mergeCell ref="A89:E89"/>
    <mergeCell ref="F89:H89"/>
    <mergeCell ref="A90:E90"/>
    <mergeCell ref="F90:H90"/>
    <mergeCell ref="A116:H116"/>
    <mergeCell ref="A96:B96"/>
    <mergeCell ref="A128:B128"/>
    <mergeCell ref="A93:B93"/>
    <mergeCell ref="A173:H173"/>
    <mergeCell ref="A94:H94"/>
    <mergeCell ref="A176:H176"/>
    <mergeCell ref="A174:H174"/>
    <mergeCell ref="A159:H159"/>
    <mergeCell ref="G133:H133"/>
    <mergeCell ref="A125:H125"/>
    <mergeCell ref="A170:H170"/>
    <mergeCell ref="A171:H171"/>
    <mergeCell ref="E95:F95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8:H48"/>
    <mergeCell ref="A49:B50"/>
    <mergeCell ref="A74:B74"/>
    <mergeCell ref="A67:B67"/>
    <mergeCell ref="A70:B70"/>
    <mergeCell ref="A75:B75"/>
    <mergeCell ref="E67:F67"/>
    <mergeCell ref="A60:C60"/>
    <mergeCell ref="A57:C57"/>
    <mergeCell ref="A58:C58"/>
    <mergeCell ref="D57:H57"/>
    <mergeCell ref="E68:F77"/>
    <mergeCell ref="G68:H77"/>
    <mergeCell ref="A76:B76"/>
    <mergeCell ref="A77:B77"/>
    <mergeCell ref="D58:H58"/>
    <mergeCell ref="A51:B51"/>
    <mergeCell ref="C51:E51"/>
    <mergeCell ref="A48:B48"/>
    <mergeCell ref="A52:H52"/>
    <mergeCell ref="A53:C53"/>
    <mergeCell ref="A54:C54"/>
    <mergeCell ref="D54:H54"/>
    <mergeCell ref="G51:H5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6:H36"/>
    <mergeCell ref="C37:H37"/>
    <mergeCell ref="F81:H81"/>
    <mergeCell ref="F87:H87"/>
    <mergeCell ref="E92:F92"/>
    <mergeCell ref="A97:H97"/>
    <mergeCell ref="A92:B92"/>
    <mergeCell ref="F85:H85"/>
    <mergeCell ref="C92:D92"/>
    <mergeCell ref="F88:H88"/>
    <mergeCell ref="F86:H86"/>
    <mergeCell ref="A83:E83"/>
    <mergeCell ref="F83:H83"/>
    <mergeCell ref="A84:E84"/>
    <mergeCell ref="A86:E86"/>
    <mergeCell ref="A85:E85"/>
    <mergeCell ref="C96:D96"/>
    <mergeCell ref="E96:F96"/>
    <mergeCell ref="G96:H96"/>
    <mergeCell ref="F84:H84"/>
    <mergeCell ref="L110:M110"/>
    <mergeCell ref="L111:M111"/>
    <mergeCell ref="L150:M150"/>
    <mergeCell ref="L116:M116"/>
    <mergeCell ref="A98:H98"/>
    <mergeCell ref="G92:H92"/>
    <mergeCell ref="A87:E87"/>
    <mergeCell ref="C93:D93"/>
    <mergeCell ref="E93:F93"/>
    <mergeCell ref="A88:E88"/>
    <mergeCell ref="L107:M107"/>
    <mergeCell ref="L106:M106"/>
    <mergeCell ref="G103:H103"/>
    <mergeCell ref="G101:H101"/>
    <mergeCell ref="G107:H107"/>
    <mergeCell ref="G106:H106"/>
    <mergeCell ref="G102:H102"/>
    <mergeCell ref="G105:H105"/>
    <mergeCell ref="G104:H104"/>
    <mergeCell ref="L105:M105"/>
    <mergeCell ref="L104:M104"/>
    <mergeCell ref="L103:M103"/>
    <mergeCell ref="L102:M102"/>
    <mergeCell ref="L101:M101"/>
    <mergeCell ref="A110:B110"/>
    <mergeCell ref="G110:H110"/>
    <mergeCell ref="A111:B111"/>
    <mergeCell ref="G111:H111"/>
    <mergeCell ref="G113:H114"/>
    <mergeCell ref="E113:E114"/>
    <mergeCell ref="G108:H108"/>
    <mergeCell ref="A109:B109"/>
    <mergeCell ref="G109:H109"/>
    <mergeCell ref="A118:B118"/>
    <mergeCell ref="A119:B119"/>
    <mergeCell ref="A120:B120"/>
    <mergeCell ref="G121:H121"/>
    <mergeCell ref="G119:H119"/>
    <mergeCell ref="G118:H118"/>
    <mergeCell ref="D113:D114"/>
    <mergeCell ref="B113:B114"/>
    <mergeCell ref="C113:C114"/>
    <mergeCell ref="A113:A114"/>
    <mergeCell ref="A115:H115"/>
    <mergeCell ref="L108:M108"/>
    <mergeCell ref="L109:M109"/>
    <mergeCell ref="A157:B157"/>
    <mergeCell ref="G157:H157"/>
    <mergeCell ref="A158:B158"/>
    <mergeCell ref="G158:H158"/>
    <mergeCell ref="A156:B156"/>
    <mergeCell ref="G156:H156"/>
    <mergeCell ref="G148:H148"/>
    <mergeCell ref="A149:B149"/>
    <mergeCell ref="G149:H149"/>
    <mergeCell ref="G153:H153"/>
    <mergeCell ref="A153:B153"/>
    <mergeCell ref="A150:H150"/>
    <mergeCell ref="A155:B155"/>
    <mergeCell ref="G155:H155"/>
    <mergeCell ref="A152:B152"/>
    <mergeCell ref="G152:H152"/>
    <mergeCell ref="A148:B148"/>
    <mergeCell ref="A151:B151"/>
    <mergeCell ref="G151:H151"/>
    <mergeCell ref="A136:B136"/>
    <mergeCell ref="G136:H136"/>
    <mergeCell ref="A137:B137"/>
    <mergeCell ref="A147:B147"/>
    <mergeCell ref="G147:H147"/>
    <mergeCell ref="G122:H122"/>
    <mergeCell ref="B167:H167"/>
    <mergeCell ref="A46:B46"/>
    <mergeCell ref="C46:H46"/>
    <mergeCell ref="B165:H165"/>
    <mergeCell ref="F80:H80"/>
    <mergeCell ref="A80:E80"/>
    <mergeCell ref="G127:H127"/>
    <mergeCell ref="G120:H120"/>
    <mergeCell ref="G117:H117"/>
    <mergeCell ref="A81:E81"/>
    <mergeCell ref="A107:B107"/>
    <mergeCell ref="A101:B101"/>
    <mergeCell ref="A102:B102"/>
    <mergeCell ref="A103:B103"/>
    <mergeCell ref="A104:B104"/>
    <mergeCell ref="A105:B105"/>
    <mergeCell ref="A82:E82"/>
    <mergeCell ref="A108:B108"/>
    <mergeCell ref="A106:B106"/>
    <mergeCell ref="A112:H112"/>
    <mergeCell ref="A121:B121"/>
    <mergeCell ref="A127:B127"/>
    <mergeCell ref="G154:H154"/>
    <mergeCell ref="A123:B123"/>
    <mergeCell ref="G123:H123"/>
    <mergeCell ref="A124:B124"/>
    <mergeCell ref="G124:H124"/>
    <mergeCell ref="A132:B132"/>
    <mergeCell ref="A133:B133"/>
    <mergeCell ref="A134:B134"/>
    <mergeCell ref="A135:B135"/>
    <mergeCell ref="G135:H135"/>
    <mergeCell ref="G128:H128"/>
    <mergeCell ref="A126:B126"/>
    <mergeCell ref="G126:H126"/>
    <mergeCell ref="A130:B130"/>
    <mergeCell ref="A129:B129"/>
    <mergeCell ref="A131:B131"/>
    <mergeCell ref="G130:H130"/>
    <mergeCell ref="G129:H129"/>
    <mergeCell ref="G131:H131"/>
    <mergeCell ref="G132:H132"/>
    <mergeCell ref="G137:H137"/>
    <mergeCell ref="A146:B146"/>
    <mergeCell ref="G146:H146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7" max="16383" man="1"/>
    <brk id="181" max="16383" man="1"/>
    <brk id="22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82" t="s">
        <v>117</v>
      </c>
      <c r="C3" s="182"/>
      <c r="D3" s="182"/>
      <c r="E3" s="182"/>
      <c r="F3" s="182"/>
      <c r="G3" s="182"/>
      <c r="H3" s="182"/>
    </row>
    <row r="4" spans="1:9" x14ac:dyDescent="0.35">
      <c r="A4" s="19"/>
      <c r="B4" s="20" t="s">
        <v>118</v>
      </c>
      <c r="C4" s="20" t="s">
        <v>119</v>
      </c>
      <c r="D4" s="20" t="s">
        <v>74</v>
      </c>
      <c r="E4" s="20" t="s">
        <v>120</v>
      </c>
      <c r="F4" s="20" t="s">
        <v>126</v>
      </c>
      <c r="G4" s="20" t="s">
        <v>127</v>
      </c>
      <c r="H4" s="20" t="s">
        <v>121</v>
      </c>
    </row>
    <row r="5" spans="1:9" ht="15" customHeight="1" x14ac:dyDescent="0.35">
      <c r="A5" s="19"/>
      <c r="B5" s="22" t="s">
        <v>122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122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122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122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122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123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123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124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A13" s="17"/>
      <c r="B13" s="27" t="s">
        <v>125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35">
      <c r="B14" s="17"/>
      <c r="C14" s="17"/>
      <c r="D14" s="17"/>
      <c r="E14" s="17"/>
    </row>
    <row r="15" spans="1:9" ht="15" customHeight="1" x14ac:dyDescent="0.35">
      <c r="B15" s="17"/>
      <c r="C15" s="17"/>
      <c r="D15" s="17"/>
      <c r="E15" s="17"/>
    </row>
    <row r="16" spans="1:9" ht="15" customHeight="1" x14ac:dyDescent="0.3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4" zoomScale="70" zoomScaleNormal="70" workbookViewId="0">
      <selection activeCell="T14" sqref="S13:T14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2025-08-16T12:47:09Z</cp:lastPrinted>
  <dcterms:created xsi:type="dcterms:W3CDTF">2019-07-16T09:29:46Z</dcterms:created>
  <dcterms:modified xsi:type="dcterms:W3CDTF">2025-08-16T12:47:44Z</dcterms:modified>
</cp:coreProperties>
</file>