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Aug 2025\12-08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Report!$A$1:$H$258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100" i="1" l="1"/>
  <c r="D151" i="1"/>
  <c r="J151" i="1" s="1"/>
  <c r="D150" i="1"/>
  <c r="J150" i="1" s="1"/>
  <c r="D149" i="1"/>
  <c r="J149" i="1" s="1"/>
  <c r="D148" i="1"/>
  <c r="J148" i="1" s="1"/>
  <c r="D147" i="1"/>
  <c r="J147" i="1" s="1"/>
  <c r="L146" i="1"/>
  <c r="K146" i="1"/>
  <c r="D146" i="1"/>
  <c r="J146" i="1" s="1"/>
  <c r="D145" i="1"/>
  <c r="J145" i="1" s="1"/>
  <c r="L144" i="1"/>
  <c r="K144" i="1"/>
  <c r="D144" i="1"/>
  <c r="J144" i="1" s="1"/>
  <c r="L143" i="1"/>
  <c r="K143" i="1"/>
  <c r="G143" i="1"/>
  <c r="D143" i="1"/>
  <c r="J143" i="1" s="1"/>
  <c r="A143" i="1"/>
  <c r="M146" i="1" l="1"/>
  <c r="M143" i="1"/>
  <c r="M144" i="1"/>
  <c r="L136" i="1"/>
  <c r="L134" i="1"/>
  <c r="L133" i="1"/>
  <c r="K136" i="1"/>
  <c r="K134" i="1"/>
  <c r="K133" i="1"/>
  <c r="J116" i="1"/>
  <c r="A144" i="1"/>
  <c r="M136" i="1" l="1"/>
  <c r="M134" i="1"/>
  <c r="M133" i="1"/>
  <c r="D131" i="1"/>
  <c r="J131" i="1" s="1"/>
  <c r="D130" i="1"/>
  <c r="J130" i="1" s="1"/>
  <c r="D129" i="1"/>
  <c r="D125" i="1"/>
  <c r="J125" i="1" s="1"/>
  <c r="D124" i="1"/>
  <c r="J124" i="1" s="1"/>
  <c r="D123" i="1"/>
  <c r="D141" i="1"/>
  <c r="J141" i="1" s="1"/>
  <c r="D140" i="1"/>
  <c r="J140" i="1" s="1"/>
  <c r="D139" i="1"/>
  <c r="J139" i="1" s="1"/>
  <c r="D138" i="1"/>
  <c r="J138" i="1" s="1"/>
  <c r="D137" i="1"/>
  <c r="J137" i="1" s="1"/>
  <c r="D136" i="1"/>
  <c r="J136" i="1" s="1"/>
  <c r="D135" i="1"/>
  <c r="J135" i="1" s="1"/>
  <c r="D134" i="1"/>
  <c r="J134" i="1" s="1"/>
  <c r="D133" i="1"/>
  <c r="J133" i="1" s="1"/>
  <c r="C3" i="4"/>
  <c r="C4" i="4" s="1"/>
  <c r="B3" i="4"/>
  <c r="B4" i="4" s="1"/>
  <c r="D118" i="1"/>
  <c r="J118" i="1" s="1"/>
  <c r="D117" i="1"/>
  <c r="D115" i="1"/>
  <c r="J115" i="1" s="1"/>
  <c r="D114" i="1"/>
  <c r="J114" i="1" s="1"/>
  <c r="D113" i="1"/>
  <c r="J113" i="1" s="1"/>
  <c r="D112" i="1"/>
  <c r="J112" i="1" s="1"/>
  <c r="D111" i="1"/>
  <c r="J111" i="1" s="1"/>
  <c r="D110" i="1"/>
  <c r="J110" i="1" s="1"/>
  <c r="D109" i="1"/>
  <c r="J109" i="1" s="1"/>
  <c r="D108" i="1"/>
  <c r="J108" i="1" s="1"/>
  <c r="D107" i="1"/>
  <c r="J107" i="1" s="1"/>
  <c r="D106" i="1"/>
  <c r="J106" i="1" s="1"/>
  <c r="D105" i="1"/>
  <c r="J105" i="1" s="1"/>
  <c r="A118" i="1"/>
  <c r="G117" i="1"/>
  <c r="A145" i="1"/>
  <c r="J123" i="1" l="1"/>
  <c r="C100" i="1"/>
  <c r="E100" i="1"/>
  <c r="G97" i="1"/>
  <c r="J117" i="1"/>
  <c r="M83" i="1"/>
  <c r="J129" i="1"/>
  <c r="K83" i="1"/>
  <c r="E94" i="1"/>
  <c r="M81" i="1"/>
  <c r="K81" i="1"/>
  <c r="M82" i="1"/>
  <c r="K82" i="1"/>
  <c r="E97" i="1"/>
  <c r="C97" i="1"/>
  <c r="C94" i="1"/>
  <c r="E28" i="1"/>
  <c r="A146" i="1"/>
  <c r="K97" i="1" l="1"/>
  <c r="M84" i="1"/>
  <c r="K84" i="1"/>
  <c r="F91" i="1"/>
  <c r="A147" i="1"/>
  <c r="G94" i="1" l="1"/>
  <c r="A148" i="1"/>
  <c r="B154" i="1" l="1"/>
  <c r="A133" i="1"/>
  <c r="A149" i="1"/>
  <c r="C14" i="1" l="1"/>
  <c r="A150" i="1"/>
  <c r="A134" i="1"/>
  <c r="J97" i="1" l="1"/>
  <c r="B155" i="1"/>
  <c r="A135" i="1"/>
  <c r="A151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176" i="1"/>
  <c r="G133" i="1"/>
  <c r="G123" i="1"/>
  <c r="A123" i="1"/>
  <c r="A124" i="1" s="1"/>
  <c r="A125" i="1" s="1"/>
  <c r="A126" i="1" s="1"/>
  <c r="A127" i="1" s="1"/>
  <c r="A128" i="1" s="1"/>
  <c r="A129" i="1" s="1"/>
  <c r="A130" i="1" s="1"/>
  <c r="A131" i="1" s="1"/>
  <c r="G105" i="1"/>
  <c r="J75" i="1"/>
  <c r="J74" i="1"/>
  <c r="J73" i="1"/>
  <c r="J72" i="1"/>
  <c r="C64" i="1"/>
  <c r="D53" i="1"/>
  <c r="C48" i="1"/>
  <c r="E41" i="1"/>
  <c r="E42" i="1" s="1"/>
  <c r="E25" i="1"/>
  <c r="E23" i="1"/>
  <c r="E7" i="1"/>
  <c r="E3" i="1"/>
  <c r="D58" i="1" s="1"/>
  <c r="H65" i="1"/>
  <c r="A136" i="1"/>
  <c r="D77" i="1" l="1"/>
  <c r="D75" i="1"/>
  <c r="D74" i="1"/>
  <c r="D73" i="1"/>
  <c r="D71" i="1"/>
  <c r="D70" i="1"/>
  <c r="D76" i="1"/>
  <c r="D72" i="1"/>
  <c r="J68" i="1"/>
  <c r="J69" i="1"/>
  <c r="C68" i="1" s="1"/>
  <c r="J67" i="1"/>
  <c r="J70" i="1"/>
  <c r="A137" i="1"/>
  <c r="J71" i="1" l="1"/>
  <c r="J76" i="1" s="1"/>
  <c r="J77" i="1" s="1"/>
  <c r="G68" i="1"/>
  <c r="D62" i="1" s="1"/>
  <c r="D68" i="1"/>
  <c r="A138" i="1"/>
  <c r="D69" i="1" l="1"/>
  <c r="E68" i="1"/>
  <c r="I64" i="1" s="1"/>
  <c r="C66" i="1" s="1"/>
  <c r="F63" i="1"/>
  <c r="D63" i="1"/>
  <c r="A139" i="1"/>
  <c r="A140" i="1" l="1"/>
  <c r="A141" i="1"/>
</calcChain>
</file>

<file path=xl/sharedStrings.xml><?xml version="1.0" encoding="utf-8"?>
<sst xmlns="http://schemas.openxmlformats.org/spreadsheetml/2006/main" count="310" uniqueCount="230">
  <si>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</si>
  <si>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</si>
  <si>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</si>
  <si>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</si>
  <si>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</si>
  <si>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</si>
  <si>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</si>
  <si>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</si>
  <si>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</si>
  <si>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</si>
  <si>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</si>
  <si>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</si>
  <si>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</si>
  <si>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</si>
  <si>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</si>
  <si>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</si>
  <si>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</si>
  <si>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</si>
  <si>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</si>
  <si>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</si>
  <si>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</si>
  <si>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</si>
  <si>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</si>
  <si>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</si>
  <si>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</si>
  <si>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</si>
  <si>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</si>
  <si>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</si>
  <si>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</si>
  <si>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</si>
  <si>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</si>
  <si>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</si>
  <si>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</si>
  <si>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</si>
  <si>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</si>
  <si>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</si>
  <si>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</si>
  <si>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</si>
  <si>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</si>
  <si>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</si>
  <si>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</si>
  <si>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</si>
  <si>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</si>
  <si>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</si>
  <si>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</si>
  <si>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</si>
  <si>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</si>
  <si>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</si>
  <si>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</si>
  <si>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</si>
  <si>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</si>
  <si>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</si>
  <si>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</si>
  <si>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</si>
  <si>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</si>
  <si>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</si>
  <si>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</si>
  <si>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</si>
  <si>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</si>
  <si>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</si>
  <si>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</si>
  <si>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</si>
  <si>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</si>
  <si>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</si>
  <si>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</si>
  <si>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</si>
  <si>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</si>
  <si>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</si>
  <si>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</si>
  <si>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</si>
  <si>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</si>
  <si>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</si>
  <si>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</si>
  <si>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</si>
  <si>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</si>
  <si>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</si>
  <si>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</si>
  <si>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</si>
  <si>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</si>
  <si>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</si>
  <si>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</si>
  <si>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</si>
  <si>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</si>
  <si>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</si>
  <si>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</si>
  <si>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</si>
  <si>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</si>
  <si>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</si>
  <si>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</si>
  <si>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</si>
  <si>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</si>
  <si>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</si>
  <si>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</si>
  <si>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</si>
  <si>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</si>
  <si>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</si>
  <si>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</si>
  <si>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</si>
  <si>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Gas Connection Charges</t>
  </si>
  <si>
    <t>Water, Electricity, Drainages, Sewerage Connection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</si>
  <si>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</si>
  <si>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</si>
  <si>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</si>
  <si>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</si>
  <si>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</si>
  <si>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</si>
  <si>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</si>
  <si>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Approved Plans, CC, Sale Plans, Builder Saleable Area, Cost Sheet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</si>
  <si>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</si>
  <si>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</si>
  <si>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</si>
  <si>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</si>
  <si>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</si>
  <si>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</si>
  <si>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</si>
  <si>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</si>
  <si>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</si>
  <si>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</si>
  <si>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</si>
  <si>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</si>
  <si>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</si>
  <si>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</si>
  <si>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</si>
  <si>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</si>
  <si>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</si>
  <si>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</si>
  <si>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</si>
  <si>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</si>
  <si>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</si>
  <si>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</si>
  <si>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</si>
  <si>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</si>
  <si>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</si>
  <si>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</si>
  <si>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</si>
  <si>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</si>
  <si>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</si>
  <si>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</si>
  <si>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</si>
  <si>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</si>
  <si>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</si>
  <si>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</si>
  <si>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</si>
  <si>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</si>
  <si>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</si>
  <si>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</si>
  <si>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</si>
  <si>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</si>
  <si>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</si>
  <si>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</si>
  <si>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</si>
  <si>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</si>
  <si>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Vitrified tiles flooring, Kitchen Platform, Decorative</t>
  </si>
  <si>
    <t xml:space="preserve">Violations Observed if any : 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</si>
  <si>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</si>
  <si>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</si>
  <si>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</si>
  <si>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</si>
  <si>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</si>
  <si>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</si>
  <si>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</si>
  <si>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</si>
  <si>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</si>
  <si>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</si>
  <si>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</si>
  <si>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</si>
  <si>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Axis Sanpada</t>
  </si>
  <si>
    <t>M/s. Sairama Housing Estates Private Limited</t>
  </si>
  <si>
    <t>Autograph</t>
  </si>
  <si>
    <t>P52000033365</t>
  </si>
  <si>
    <t>Plot No</t>
  </si>
  <si>
    <t>7, Sector No.17</t>
  </si>
  <si>
    <t>New Panvel</t>
  </si>
  <si>
    <t>Sadguru Universal</t>
  </si>
  <si>
    <t>Millennium Flora</t>
  </si>
  <si>
    <t>Open Plot</t>
  </si>
  <si>
    <t>Panvel</t>
  </si>
  <si>
    <t>Raigad</t>
  </si>
  <si>
    <t>Internal Road</t>
  </si>
  <si>
    <t>1.8 KM from Khandeshwar Railway Station</t>
  </si>
  <si>
    <t>Khandeshwar</t>
  </si>
  <si>
    <t xml:space="preserve">Panvel Municipal Corporation </t>
  </si>
  <si>
    <t>As per RERA -  31/12/2026</t>
  </si>
  <si>
    <t>Ground Floor for Commercial &amp; Parking</t>
  </si>
  <si>
    <t>1st Podium Floor for Commercial &amp; Parking</t>
  </si>
  <si>
    <t>Shop</t>
  </si>
  <si>
    <t>Office</t>
  </si>
  <si>
    <t>2nd Podium Floor for Parking</t>
  </si>
  <si>
    <t>4th to 11th Floor</t>
  </si>
  <si>
    <t>Flat -301</t>
  </si>
  <si>
    <t>3BHK</t>
  </si>
  <si>
    <t>2BHK</t>
  </si>
  <si>
    <t>3rd Floor for Residential (Part Amenity Area)</t>
  </si>
  <si>
    <t>Amenity Area</t>
  </si>
  <si>
    <t>Shops</t>
  </si>
  <si>
    <t>Flats</t>
  </si>
  <si>
    <t>Commercial Area Details for Shops</t>
  </si>
  <si>
    <t>Commercial Area Details for Offices</t>
  </si>
  <si>
    <t>Offices</t>
  </si>
  <si>
    <t xml:space="preserve">Builder Saleable area </t>
  </si>
  <si>
    <t>Club House Membership Charges</t>
  </si>
  <si>
    <t>Society Formation &amp; Transfer Charges</t>
  </si>
  <si>
    <t>Cost Sheet</t>
  </si>
  <si>
    <t>Flats - 9000 Pr Sq.ft</t>
  </si>
  <si>
    <t>Shops - 15000 per Sq.ft</t>
  </si>
  <si>
    <t>MIS</t>
  </si>
  <si>
    <t>Society Formation (Rs.100/-Sqft)</t>
  </si>
  <si>
    <t>Development Charges(Rs.400/-Sq.ft)</t>
  </si>
  <si>
    <t>Floor Rise Rate from 3rd Floor</t>
  </si>
  <si>
    <t>1 Building</t>
  </si>
  <si>
    <t>On Site, we meet Mr. Nitin Tambe (Sales) - 9324910391.</t>
  </si>
  <si>
    <t>Site Meet Contact Details ( Name &amp; Contact No.)</t>
  </si>
  <si>
    <t>Mr. Shivraj Singh (Sales) - 9022626262</t>
  </si>
  <si>
    <t>Location Link</t>
  </si>
  <si>
    <t>https://goo.gl/maps/PSB4thce2idTFa149</t>
  </si>
  <si>
    <t>Office No. 1031, Wing J, Akshar Business Park, Plot No. 03 Sector 25, Near APMC Market, 
Vashi, Navi Mumbai, Maharashtra 400703 TEL: 022-46090378/79/8
E mail : vsjcapf@gmail.com. Web site : www.vsjadon.com</t>
  </si>
  <si>
    <t>Latitude,Longitude</t>
  </si>
  <si>
    <t>19.0082726,73.1039771</t>
  </si>
  <si>
    <t>PMC/TP/N.Panvel/17/07/21-24/16282/1307/2024</t>
  </si>
  <si>
    <t xml:space="preserve">NA
Approved upto : </t>
  </si>
  <si>
    <t>Construction work is in progress at the time of visit.</t>
  </si>
  <si>
    <t>PNP/NRV/16282/J.K.1307/2024</t>
  </si>
  <si>
    <t>12th to 14th Floor</t>
  </si>
  <si>
    <t>We have updated latest CC &amp; Plans (On 17/08/2024).</t>
  </si>
  <si>
    <t>We considered Gross carpet area = Net carpet + Balcony + Chajja Area.</t>
  </si>
  <si>
    <t>Gr/St + 2P + 3rd to 14th Floor</t>
  </si>
  <si>
    <t>Flats - 105, Shops - 11, Offices -2</t>
  </si>
  <si>
    <t>Gr/Stilt + 1st to 14th Floor (BUA = 9079.324 SQM)
(No. of Residential Units - 105 Nos, No. of Commercial Units - 13 Nos.)</t>
  </si>
  <si>
    <t>Pooja</t>
  </si>
  <si>
    <t>Mayur Ranvare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</si>
</sst>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26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b/>
      <sz val="11"/>
      <color theme="1"/>
      <name val="Times New Roman"/>
      <family val="1"/>
    </font>
    <font>
      <u/>
      <sz val="11"/>
      <color theme="10"/>
      <name val="Calibri"/>
      <family val="2"/>
    </font>
  </fonts>
  <fills count="2">
    <fill>
      <patternFill patternType="none"/>
    </fill>
    <fill>
      <patternFill patternType="gray125"/>
    </fill>
  </fills>
  <borders count="2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5" fillId="0" borderId="0" applyNumberFormat="0" applyFill="0" applyBorder="0" applyAlignment="0" applyProtection="0"/>
  </cellStyleXfs>
  <cellXfs count="174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0" fontId="17" fillId="0" borderId="0" xfId="0" applyFont="1" applyProtection="1">
      <protection hidden="1"/>
    </xf>
    <xf numFmtId="0" fontId="7" fillId="0" borderId="10" xfId="1" applyFont="1" applyBorder="1" applyProtection="1">
      <protection hidden="1"/>
    </xf>
    <xf numFmtId="0" fontId="7" fillId="0" borderId="0" xfId="1" applyFont="1" applyProtection="1">
      <protection hidden="1"/>
    </xf>
    <xf numFmtId="0" fontId="17" fillId="0" borderId="13" xfId="0" applyFont="1" applyBorder="1" applyProtection="1">
      <protection hidden="1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23" fillId="0" borderId="0" xfId="1" applyFont="1"/>
    <xf numFmtId="0" fontId="7" fillId="0" borderId="11" xfId="1" applyFont="1" applyBorder="1" applyProtection="1">
      <protection hidden="1"/>
    </xf>
    <xf numFmtId="0" fontId="7" fillId="0" borderId="12" xfId="1" applyFont="1" applyBorder="1" applyProtection="1">
      <protection hidden="1"/>
    </xf>
    <xf numFmtId="0" fontId="7" fillId="0" borderId="12" xfId="1" applyFont="1" applyBorder="1"/>
    <xf numFmtId="0" fontId="17" fillId="0" borderId="12" xfId="0" applyFont="1" applyBorder="1" applyProtection="1">
      <protection hidden="1"/>
    </xf>
    <xf numFmtId="1" fontId="0" fillId="0" borderId="12" xfId="0" applyNumberFormat="1" applyBorder="1"/>
    <xf numFmtId="1" fontId="0" fillId="0" borderId="12" xfId="0" applyNumberFormat="1" applyBorder="1" applyAlignment="1">
      <alignment horizontal="right"/>
    </xf>
    <xf numFmtId="1" fontId="0" fillId="0" borderId="14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vertical="top" wrapText="1"/>
      <protection locked="0"/>
    </xf>
    <xf numFmtId="0" fontId="13" fillId="0" borderId="1" xfId="1" applyFont="1" applyBorder="1" applyAlignment="1" applyProtection="1">
      <alignment vertical="top"/>
      <protection locked="0"/>
    </xf>
    <xf numFmtId="0" fontId="19" fillId="0" borderId="0" xfId="0" applyFont="1"/>
    <xf numFmtId="2" fontId="7" fillId="0" borderId="0" xfId="1" applyNumberFormat="1" applyFont="1" applyAlignment="1">
      <alignment horizontal="center" vertical="center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9" fontId="12" fillId="0" borderId="7" xfId="8" applyFont="1" applyFill="1" applyBorder="1" applyAlignment="1" applyProtection="1">
      <alignment horizontal="center" vertical="top" wrapText="1"/>
      <protection locked="0"/>
    </xf>
    <xf numFmtId="167" fontId="7" fillId="0" borderId="0" xfId="9" applyNumberFormat="1" applyFont="1" applyFill="1" applyAlignment="1">
      <alignment horizontal="center" vertical="center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67" fontId="7" fillId="0" borderId="0" xfId="1" applyNumberFormat="1" applyFont="1" applyAlignment="1">
      <alignment horizontal="center" vertical="center"/>
    </xf>
    <xf numFmtId="167" fontId="7" fillId="0" borderId="0" xfId="9" applyNumberFormat="1" applyFont="1" applyFill="1"/>
    <xf numFmtId="167" fontId="24" fillId="0" borderId="0" xfId="1" applyNumberFormat="1" applyFont="1"/>
    <xf numFmtId="1" fontId="7" fillId="0" borderId="0" xfId="0" applyNumberFormat="1" applyFont="1" applyAlignment="1">
      <alignment horizontal="center" vertical="center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8" fillId="0" borderId="20" xfId="0" applyNumberFormat="1" applyFont="1" applyBorder="1" applyAlignment="1" applyProtection="1">
      <alignment vertical="top" wrapText="1"/>
      <protection locked="0"/>
    </xf>
    <xf numFmtId="1" fontId="8" fillId="0" borderId="9" xfId="0" applyNumberFormat="1" applyFont="1" applyBorder="1" applyAlignment="1" applyProtection="1">
      <alignment vertical="top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67" fontId="12" fillId="0" borderId="1" xfId="9" applyNumberFormat="1" applyFont="1" applyFill="1" applyBorder="1" applyAlignment="1" applyProtection="1">
      <alignment horizontal="right"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1" fontId="6" fillId="0" borderId="23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12" fillId="0" borderId="16" xfId="1" applyNumberFormat="1" applyFont="1" applyBorder="1" applyAlignment="1" applyProtection="1">
      <alignment horizontal="center" vertical="center" wrapText="1"/>
      <protection locked="0"/>
    </xf>
    <xf numFmtId="1" fontId="12" fillId="0" borderId="17" xfId="1" applyNumberFormat="1" applyFont="1" applyBorder="1" applyAlignment="1" applyProtection="1">
      <alignment horizontal="center" vertical="center" wrapText="1"/>
      <protection locked="0"/>
    </xf>
    <xf numFmtId="1" fontId="12" fillId="0" borderId="22" xfId="1" applyNumberFormat="1" applyFont="1" applyBorder="1" applyAlignment="1" applyProtection="1">
      <alignment horizontal="center" vertical="center" wrapText="1"/>
      <protection locked="0"/>
    </xf>
    <xf numFmtId="1" fontId="12" fillId="0" borderId="23" xfId="1" applyNumberFormat="1" applyFont="1" applyBorder="1" applyAlignment="1" applyProtection="1">
      <alignment horizontal="center" vertical="center" wrapText="1"/>
      <protection locked="0"/>
    </xf>
    <xf numFmtId="1" fontId="12" fillId="0" borderId="18" xfId="1" applyNumberFormat="1" applyFont="1" applyBorder="1" applyAlignment="1" applyProtection="1">
      <alignment horizontal="center" vertical="center" wrapText="1"/>
      <protection locked="0"/>
    </xf>
    <xf numFmtId="1" fontId="12" fillId="0" borderId="19" xfId="1" applyNumberFormat="1" applyFont="1" applyBorder="1" applyAlignment="1" applyProtection="1">
      <alignment horizontal="center" vertical="center" wrapText="1"/>
      <protection locked="0"/>
    </xf>
    <xf numFmtId="1" fontId="12" fillId="0" borderId="21" xfId="1" applyNumberFormat="1" applyFont="1" applyBorder="1" applyAlignment="1" applyProtection="1">
      <alignment horizontal="center" vertical="center" wrapText="1"/>
      <protection locked="0"/>
    </xf>
    <xf numFmtId="1" fontId="12" fillId="0" borderId="0" xfId="1" applyNumberFormat="1" applyFont="1" applyAlignment="1" applyProtection="1">
      <alignment horizontal="center" vertical="center" wrapText="1"/>
      <protection locked="0"/>
    </xf>
    <xf numFmtId="1" fontId="12" fillId="0" borderId="2" xfId="1" applyNumberFormat="1" applyFont="1" applyBorder="1" applyAlignment="1" applyProtection="1">
      <alignment horizontal="center" vertical="center" wrapText="1"/>
      <protection locked="0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0" fontId="8" fillId="0" borderId="1" xfId="1" applyFont="1" applyBorder="1" applyAlignment="1" applyProtection="1">
      <alignment horizontal="center" vertical="top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0" fontId="8" fillId="0" borderId="15" xfId="1" applyFont="1" applyBorder="1" applyAlignment="1" applyProtection="1">
      <alignment horizontal="left" vertical="top"/>
      <protection locked="0"/>
    </xf>
    <xf numFmtId="0" fontId="8" fillId="0" borderId="15" xfId="1" applyFont="1" applyBorder="1" applyAlignment="1" applyProtection="1">
      <alignment horizontal="center" vertical="top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20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9" fontId="12" fillId="0" borderId="16" xfId="8" applyFont="1" applyFill="1" applyBorder="1" applyAlignment="1" applyProtection="1">
      <alignment horizontal="center" vertical="center" wrapText="1"/>
      <protection locked="0"/>
    </xf>
    <xf numFmtId="9" fontId="12" fillId="0" borderId="17" xfId="8" applyFont="1" applyFill="1" applyBorder="1" applyAlignment="1" applyProtection="1">
      <alignment horizontal="center" vertical="center" wrapText="1"/>
      <protection locked="0"/>
    </xf>
    <xf numFmtId="9" fontId="12" fillId="0" borderId="22" xfId="8" applyFont="1" applyFill="1" applyBorder="1" applyAlignment="1" applyProtection="1">
      <alignment horizontal="center" vertical="center" wrapText="1"/>
      <protection locked="0"/>
    </xf>
    <xf numFmtId="9" fontId="12" fillId="0" borderId="23" xfId="8" applyFont="1" applyFill="1" applyBorder="1" applyAlignment="1" applyProtection="1">
      <alignment horizontal="center" vertical="center" wrapText="1"/>
      <protection locked="0"/>
    </xf>
    <xf numFmtId="9" fontId="12" fillId="0" borderId="25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24" xfId="8" applyFont="1" applyFill="1" applyBorder="1" applyAlignment="1" applyProtection="1">
      <alignment horizontal="center" vertical="center" wrapText="1"/>
      <protection locked="0"/>
    </xf>
    <xf numFmtId="9" fontId="12" fillId="0" borderId="12" xfId="8" applyFont="1" applyFill="1" applyBorder="1" applyAlignment="1" applyProtection="1">
      <alignment horizontal="center" vertical="center" wrapText="1"/>
      <protection locked="0"/>
    </xf>
    <xf numFmtId="9" fontId="12" fillId="0" borderId="14" xfId="8" applyFont="1" applyFill="1" applyBorder="1" applyAlignment="1" applyProtection="1">
      <alignment horizontal="center" vertical="center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2" fontId="12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164" fontId="12" fillId="0" borderId="1" xfId="1" applyNumberFormat="1" applyFont="1" applyBorder="1" applyAlignment="1" applyProtection="1">
      <alignment horizontal="left" vertical="top"/>
      <protection locked="0"/>
    </xf>
    <xf numFmtId="2" fontId="12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14" fontId="12" fillId="0" borderId="8" xfId="1" applyNumberFormat="1" applyFont="1" applyBorder="1" applyAlignment="1" applyProtection="1">
      <alignment horizontal="left" vertical="top" wrapText="1"/>
      <protection locked="0"/>
    </xf>
    <xf numFmtId="0" fontId="12" fillId="0" borderId="9" xfId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9" xfId="1" applyFont="1" applyBorder="1" applyAlignment="1" applyProtection="1">
      <alignment horizontal="left" vertical="top" wrapText="1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13" fillId="0" borderId="20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/>
      <protection locked="0"/>
    </xf>
    <xf numFmtId="0" fontId="12" fillId="0" borderId="8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9" xfId="1" applyFont="1" applyBorder="1" applyAlignment="1" applyProtection="1">
      <alignment horizontal="left" vertical="top" wrapText="1"/>
      <protection locked="0"/>
    </xf>
    <xf numFmtId="0" fontId="13" fillId="0" borderId="8" xfId="1" applyFont="1" applyBorder="1" applyAlignment="1" applyProtection="1">
      <alignment horizontal="left" vertical="top" wrapText="1"/>
      <protection locked="0"/>
    </xf>
    <xf numFmtId="0" fontId="13" fillId="0" borderId="20" xfId="1" applyFont="1" applyBorder="1" applyAlignment="1" applyProtection="1">
      <alignment horizontal="left" vertical="top" wrapText="1"/>
      <protection locked="0"/>
    </xf>
    <xf numFmtId="0" fontId="13" fillId="0" borderId="9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4" fontId="13" fillId="0" borderId="8" xfId="1" applyNumberFormat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0" fontId="9" fillId="0" borderId="1" xfId="5" applyFont="1" applyBorder="1" applyAlignment="1">
      <alignment horizontal="left"/>
    </xf>
    <xf numFmtId="0" fontId="10" fillId="0" borderId="1" xfId="1" applyFont="1" applyBorder="1" applyAlignment="1" applyProtection="1">
      <alignment horizontal="left"/>
      <protection locked="0"/>
    </xf>
    <xf numFmtId="0" fontId="25" fillId="0" borderId="1" xfId="10" applyFill="1" applyBorder="1" applyAlignment="1" applyProtection="1">
      <alignment horizontal="left"/>
      <protection locked="0"/>
    </xf>
    <xf numFmtId="0" fontId="7" fillId="0" borderId="1" xfId="1" applyFont="1" applyBorder="1" applyAlignment="1" applyProtection="1">
      <alignment horizontal="left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emf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jpeg"/><Relationship Id="rId9" Type="http://schemas.openxmlformats.org/officeDocument/2006/relationships/image" Target="../media/image9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622795</xdr:colOff>
      <xdr:row>238</xdr:row>
      <xdr:rowOff>26261</xdr:rowOff>
    </xdr:from>
    <xdr:to>
      <xdr:col>7</xdr:col>
      <xdr:colOff>321404</xdr:colOff>
      <xdr:row>257</xdr:row>
      <xdr:rowOff>47548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22795" y="49798716"/>
          <a:ext cx="5387632" cy="380531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622795</xdr:colOff>
      <xdr:row>218</xdr:row>
      <xdr:rowOff>14652</xdr:rowOff>
    </xdr:from>
    <xdr:to>
      <xdr:col>7</xdr:col>
      <xdr:colOff>321404</xdr:colOff>
      <xdr:row>237</xdr:row>
      <xdr:rowOff>35940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22795" y="45803925"/>
          <a:ext cx="5387632" cy="380531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390525</xdr:colOff>
      <xdr:row>103</xdr:row>
      <xdr:rowOff>180973</xdr:rowOff>
    </xdr:from>
    <xdr:to>
      <xdr:col>14</xdr:col>
      <xdr:colOff>268766</xdr:colOff>
      <xdr:row>142</xdr:row>
      <xdr:rowOff>76200</xdr:rowOff>
    </xdr:to>
    <xdr:pic>
      <xdr:nvPicPr>
        <xdr:cNvPr id="21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77050" y="22679023"/>
          <a:ext cx="5802791" cy="8096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82857</xdr:colOff>
      <xdr:row>261</xdr:row>
      <xdr:rowOff>50585</xdr:rowOff>
    </xdr:from>
    <xdr:to>
      <xdr:col>7</xdr:col>
      <xdr:colOff>158120</xdr:colOff>
      <xdr:row>272</xdr:row>
      <xdr:rowOff>10310</xdr:rowOff>
    </xdr:to>
    <xdr:pic>
      <xdr:nvPicPr>
        <xdr:cNvPr id="14" name="Picture 13" descr="https://vsjcllp.vsjadon.com/upload/insp-233957-851.jp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07182" y="54733610"/>
          <a:ext cx="1618313" cy="2160000"/>
        </a:xfrm>
        <a:prstGeom prst="rect">
          <a:avLst/>
        </a:prstGeom>
        <a:noFill/>
        <a:ln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146050</xdr:colOff>
      <xdr:row>176</xdr:row>
      <xdr:rowOff>107950</xdr:rowOff>
    </xdr:from>
    <xdr:to>
      <xdr:col>7</xdr:col>
      <xdr:colOff>711248</xdr:colOff>
      <xdr:row>205</xdr:row>
      <xdr:rowOff>12871</xdr:rowOff>
    </xdr:to>
    <xdr:grpSp>
      <xdr:nvGrpSpPr>
        <xdr:cNvPr id="4" name="Group 3"/>
        <xdr:cNvGrpSpPr/>
      </xdr:nvGrpSpPr>
      <xdr:grpSpPr>
        <a:xfrm>
          <a:off x="146050" y="36982400"/>
          <a:ext cx="6496098" cy="5607221"/>
          <a:chOff x="146050" y="36982400"/>
          <a:chExt cx="6496098" cy="5607221"/>
        </a:xfrm>
      </xdr:grpSpPr>
      <xdr:pic>
        <xdr:nvPicPr>
          <xdr:cNvPr id="13" name="Picture 12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83735" y="39853621"/>
            <a:ext cx="205841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3" name="Picture 22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6050" y="36982400"/>
            <a:ext cx="205841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4" name="Picture 23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6050" y="39853621"/>
            <a:ext cx="205841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5" name="Picture 24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62128" y="36982400"/>
            <a:ext cx="205841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6" name="Picture 25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62128" y="39853621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7" name="Picture 26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83735" y="36982400"/>
            <a:ext cx="205841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PSB4thce2idTFa149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1:N217"/>
  <sheetViews>
    <sheetView tabSelected="1" view="pageBreakPreview" zoomScaleNormal="100" zoomScaleSheetLayoutView="100" zoomScalePageLayoutView="85" workbookViewId="0">
      <selection activeCell="E9" sqref="E9:H9"/>
    </sheetView>
  </sheetViews>
  <sheetFormatPr defaultColWidth="9.26953125" defaultRowHeight="15.5" x14ac:dyDescent="0.35"/>
  <cols>
    <col min="1" max="1" width="11.453125" style="37" customWidth="1"/>
    <col min="2" max="2" width="12" style="37" customWidth="1"/>
    <col min="3" max="3" width="12.54296875" style="37" customWidth="1"/>
    <col min="4" max="4" width="14.26953125" style="37" customWidth="1"/>
    <col min="5" max="7" width="11.54296875" style="37" customWidth="1"/>
    <col min="8" max="8" width="12.453125" style="37" customWidth="1"/>
    <col min="9" max="9" width="19.54296875" style="17" customWidth="1"/>
    <col min="10" max="10" width="11.453125" style="17" customWidth="1"/>
    <col min="11" max="11" width="17.54296875" style="17" customWidth="1"/>
    <col min="12" max="12" width="12.26953125" style="17" customWidth="1"/>
    <col min="13" max="13" width="15.54296875" style="17" customWidth="1"/>
    <col min="14" max="14" width="12.54296875" style="17" customWidth="1"/>
    <col min="15" max="15" width="9.7265625" style="17" customWidth="1"/>
    <col min="16" max="16" width="11.54296875" style="17" customWidth="1"/>
    <col min="17" max="247" width="9.26953125" style="17"/>
    <col min="248" max="248" width="8.54296875" style="17" customWidth="1"/>
    <col min="249" max="249" width="9.7265625" style="17" customWidth="1"/>
    <col min="250" max="250" width="14.453125" style="17" customWidth="1"/>
    <col min="251" max="251" width="7.453125" style="17" customWidth="1"/>
    <col min="252" max="252" width="5.54296875" style="17" customWidth="1"/>
    <col min="253" max="253" width="9" style="17" customWidth="1"/>
    <col min="254" max="255" width="9.7265625" style="17" customWidth="1"/>
    <col min="256" max="256" width="11.26953125" style="17" customWidth="1"/>
    <col min="257" max="257" width="2.7265625" style="17" customWidth="1"/>
    <col min="258" max="258" width="3.54296875" style="17" customWidth="1"/>
    <col min="259" max="503" width="9.26953125" style="17"/>
    <col min="504" max="504" width="8.54296875" style="17" customWidth="1"/>
    <col min="505" max="505" width="9.7265625" style="17" customWidth="1"/>
    <col min="506" max="506" width="14.453125" style="17" customWidth="1"/>
    <col min="507" max="507" width="7.453125" style="17" customWidth="1"/>
    <col min="508" max="508" width="5.54296875" style="17" customWidth="1"/>
    <col min="509" max="509" width="9" style="17" customWidth="1"/>
    <col min="510" max="511" width="9.7265625" style="17" customWidth="1"/>
    <col min="512" max="512" width="11.26953125" style="17" customWidth="1"/>
    <col min="513" max="513" width="2.7265625" style="17" customWidth="1"/>
    <col min="514" max="514" width="3.54296875" style="17" customWidth="1"/>
    <col min="515" max="759" width="9.26953125" style="17"/>
    <col min="760" max="760" width="8.54296875" style="17" customWidth="1"/>
    <col min="761" max="761" width="9.7265625" style="17" customWidth="1"/>
    <col min="762" max="762" width="14.453125" style="17" customWidth="1"/>
    <col min="763" max="763" width="7.453125" style="17" customWidth="1"/>
    <col min="764" max="764" width="5.54296875" style="17" customWidth="1"/>
    <col min="765" max="765" width="9" style="17" customWidth="1"/>
    <col min="766" max="767" width="9.7265625" style="17" customWidth="1"/>
    <col min="768" max="768" width="11.26953125" style="17" customWidth="1"/>
    <col min="769" max="769" width="2.7265625" style="17" customWidth="1"/>
    <col min="770" max="770" width="3.54296875" style="17" customWidth="1"/>
    <col min="771" max="1015" width="9.26953125" style="17"/>
    <col min="1016" max="1016" width="8.54296875" style="17" customWidth="1"/>
    <col min="1017" max="1017" width="9.7265625" style="17" customWidth="1"/>
    <col min="1018" max="1018" width="14.453125" style="17" customWidth="1"/>
    <col min="1019" max="1019" width="7.453125" style="17" customWidth="1"/>
    <col min="1020" max="1020" width="5.54296875" style="17" customWidth="1"/>
    <col min="1021" max="1021" width="9" style="17" customWidth="1"/>
    <col min="1022" max="1023" width="9.7265625" style="17" customWidth="1"/>
    <col min="1024" max="1024" width="11.26953125" style="17" customWidth="1"/>
    <col min="1025" max="1025" width="2.7265625" style="17" customWidth="1"/>
    <col min="1026" max="1026" width="3.54296875" style="17" customWidth="1"/>
    <col min="1027" max="1271" width="9.26953125" style="17"/>
    <col min="1272" max="1272" width="8.54296875" style="17" customWidth="1"/>
    <col min="1273" max="1273" width="9.7265625" style="17" customWidth="1"/>
    <col min="1274" max="1274" width="14.453125" style="17" customWidth="1"/>
    <col min="1275" max="1275" width="7.453125" style="17" customWidth="1"/>
    <col min="1276" max="1276" width="5.54296875" style="17" customWidth="1"/>
    <col min="1277" max="1277" width="9" style="17" customWidth="1"/>
    <col min="1278" max="1279" width="9.7265625" style="17" customWidth="1"/>
    <col min="1280" max="1280" width="11.26953125" style="17" customWidth="1"/>
    <col min="1281" max="1281" width="2.7265625" style="17" customWidth="1"/>
    <col min="1282" max="1282" width="3.54296875" style="17" customWidth="1"/>
    <col min="1283" max="1527" width="9.26953125" style="17"/>
    <col min="1528" max="1528" width="8.54296875" style="17" customWidth="1"/>
    <col min="1529" max="1529" width="9.7265625" style="17" customWidth="1"/>
    <col min="1530" max="1530" width="14.453125" style="17" customWidth="1"/>
    <col min="1531" max="1531" width="7.453125" style="17" customWidth="1"/>
    <col min="1532" max="1532" width="5.54296875" style="17" customWidth="1"/>
    <col min="1533" max="1533" width="9" style="17" customWidth="1"/>
    <col min="1534" max="1535" width="9.7265625" style="17" customWidth="1"/>
    <col min="1536" max="1536" width="11.26953125" style="17" customWidth="1"/>
    <col min="1537" max="1537" width="2.7265625" style="17" customWidth="1"/>
    <col min="1538" max="1538" width="3.54296875" style="17" customWidth="1"/>
    <col min="1539" max="1783" width="9.26953125" style="17"/>
    <col min="1784" max="1784" width="8.54296875" style="17" customWidth="1"/>
    <col min="1785" max="1785" width="9.7265625" style="17" customWidth="1"/>
    <col min="1786" max="1786" width="14.453125" style="17" customWidth="1"/>
    <col min="1787" max="1787" width="7.453125" style="17" customWidth="1"/>
    <col min="1788" max="1788" width="5.54296875" style="17" customWidth="1"/>
    <col min="1789" max="1789" width="9" style="17" customWidth="1"/>
    <col min="1790" max="1791" width="9.7265625" style="17" customWidth="1"/>
    <col min="1792" max="1792" width="11.26953125" style="17" customWidth="1"/>
    <col min="1793" max="1793" width="2.7265625" style="17" customWidth="1"/>
    <col min="1794" max="1794" width="3.54296875" style="17" customWidth="1"/>
    <col min="1795" max="2039" width="9.26953125" style="17"/>
    <col min="2040" max="2040" width="8.54296875" style="17" customWidth="1"/>
    <col min="2041" max="2041" width="9.7265625" style="17" customWidth="1"/>
    <col min="2042" max="2042" width="14.453125" style="17" customWidth="1"/>
    <col min="2043" max="2043" width="7.453125" style="17" customWidth="1"/>
    <col min="2044" max="2044" width="5.54296875" style="17" customWidth="1"/>
    <col min="2045" max="2045" width="9" style="17" customWidth="1"/>
    <col min="2046" max="2047" width="9.7265625" style="17" customWidth="1"/>
    <col min="2048" max="2048" width="11.26953125" style="17" customWidth="1"/>
    <col min="2049" max="2049" width="2.7265625" style="17" customWidth="1"/>
    <col min="2050" max="2050" width="3.54296875" style="17" customWidth="1"/>
    <col min="2051" max="2295" width="9.26953125" style="17"/>
    <col min="2296" max="2296" width="8.54296875" style="17" customWidth="1"/>
    <col min="2297" max="2297" width="9.7265625" style="17" customWidth="1"/>
    <col min="2298" max="2298" width="14.453125" style="17" customWidth="1"/>
    <col min="2299" max="2299" width="7.453125" style="17" customWidth="1"/>
    <col min="2300" max="2300" width="5.54296875" style="17" customWidth="1"/>
    <col min="2301" max="2301" width="9" style="17" customWidth="1"/>
    <col min="2302" max="2303" width="9.7265625" style="17" customWidth="1"/>
    <col min="2304" max="2304" width="11.26953125" style="17" customWidth="1"/>
    <col min="2305" max="2305" width="2.7265625" style="17" customWidth="1"/>
    <col min="2306" max="2306" width="3.54296875" style="17" customWidth="1"/>
    <col min="2307" max="2551" width="9.26953125" style="17"/>
    <col min="2552" max="2552" width="8.54296875" style="17" customWidth="1"/>
    <col min="2553" max="2553" width="9.7265625" style="17" customWidth="1"/>
    <col min="2554" max="2554" width="14.453125" style="17" customWidth="1"/>
    <col min="2555" max="2555" width="7.453125" style="17" customWidth="1"/>
    <col min="2556" max="2556" width="5.54296875" style="17" customWidth="1"/>
    <col min="2557" max="2557" width="9" style="17" customWidth="1"/>
    <col min="2558" max="2559" width="9.7265625" style="17" customWidth="1"/>
    <col min="2560" max="2560" width="11.26953125" style="17" customWidth="1"/>
    <col min="2561" max="2561" width="2.7265625" style="17" customWidth="1"/>
    <col min="2562" max="2562" width="3.54296875" style="17" customWidth="1"/>
    <col min="2563" max="2807" width="9.26953125" style="17"/>
    <col min="2808" max="2808" width="8.54296875" style="17" customWidth="1"/>
    <col min="2809" max="2809" width="9.7265625" style="17" customWidth="1"/>
    <col min="2810" max="2810" width="14.453125" style="17" customWidth="1"/>
    <col min="2811" max="2811" width="7.453125" style="17" customWidth="1"/>
    <col min="2812" max="2812" width="5.54296875" style="17" customWidth="1"/>
    <col min="2813" max="2813" width="9" style="17" customWidth="1"/>
    <col min="2814" max="2815" width="9.7265625" style="17" customWidth="1"/>
    <col min="2816" max="2816" width="11.26953125" style="17" customWidth="1"/>
    <col min="2817" max="2817" width="2.7265625" style="17" customWidth="1"/>
    <col min="2818" max="2818" width="3.54296875" style="17" customWidth="1"/>
    <col min="2819" max="3063" width="9.26953125" style="17"/>
    <col min="3064" max="3064" width="8.54296875" style="17" customWidth="1"/>
    <col min="3065" max="3065" width="9.7265625" style="17" customWidth="1"/>
    <col min="3066" max="3066" width="14.453125" style="17" customWidth="1"/>
    <col min="3067" max="3067" width="7.453125" style="17" customWidth="1"/>
    <col min="3068" max="3068" width="5.54296875" style="17" customWidth="1"/>
    <col min="3069" max="3069" width="9" style="17" customWidth="1"/>
    <col min="3070" max="3071" width="9.7265625" style="17" customWidth="1"/>
    <col min="3072" max="3072" width="11.26953125" style="17" customWidth="1"/>
    <col min="3073" max="3073" width="2.7265625" style="17" customWidth="1"/>
    <col min="3074" max="3074" width="3.54296875" style="17" customWidth="1"/>
    <col min="3075" max="3319" width="9.26953125" style="17"/>
    <col min="3320" max="3320" width="8.54296875" style="17" customWidth="1"/>
    <col min="3321" max="3321" width="9.7265625" style="17" customWidth="1"/>
    <col min="3322" max="3322" width="14.453125" style="17" customWidth="1"/>
    <col min="3323" max="3323" width="7.453125" style="17" customWidth="1"/>
    <col min="3324" max="3324" width="5.54296875" style="17" customWidth="1"/>
    <col min="3325" max="3325" width="9" style="17" customWidth="1"/>
    <col min="3326" max="3327" width="9.7265625" style="17" customWidth="1"/>
    <col min="3328" max="3328" width="11.26953125" style="17" customWidth="1"/>
    <col min="3329" max="3329" width="2.7265625" style="17" customWidth="1"/>
    <col min="3330" max="3330" width="3.54296875" style="17" customWidth="1"/>
    <col min="3331" max="3575" width="9.26953125" style="17"/>
    <col min="3576" max="3576" width="8.54296875" style="17" customWidth="1"/>
    <col min="3577" max="3577" width="9.7265625" style="17" customWidth="1"/>
    <col min="3578" max="3578" width="14.453125" style="17" customWidth="1"/>
    <col min="3579" max="3579" width="7.453125" style="17" customWidth="1"/>
    <col min="3580" max="3580" width="5.54296875" style="17" customWidth="1"/>
    <col min="3581" max="3581" width="9" style="17" customWidth="1"/>
    <col min="3582" max="3583" width="9.7265625" style="17" customWidth="1"/>
    <col min="3584" max="3584" width="11.26953125" style="17" customWidth="1"/>
    <col min="3585" max="3585" width="2.7265625" style="17" customWidth="1"/>
    <col min="3586" max="3586" width="3.54296875" style="17" customWidth="1"/>
    <col min="3587" max="3831" width="9.26953125" style="17"/>
    <col min="3832" max="3832" width="8.54296875" style="17" customWidth="1"/>
    <col min="3833" max="3833" width="9.7265625" style="17" customWidth="1"/>
    <col min="3834" max="3834" width="14.453125" style="17" customWidth="1"/>
    <col min="3835" max="3835" width="7.453125" style="17" customWidth="1"/>
    <col min="3836" max="3836" width="5.54296875" style="17" customWidth="1"/>
    <col min="3837" max="3837" width="9" style="17" customWidth="1"/>
    <col min="3838" max="3839" width="9.7265625" style="17" customWidth="1"/>
    <col min="3840" max="3840" width="11.26953125" style="17" customWidth="1"/>
    <col min="3841" max="3841" width="2.7265625" style="17" customWidth="1"/>
    <col min="3842" max="3842" width="3.54296875" style="17" customWidth="1"/>
    <col min="3843" max="4087" width="9.26953125" style="17"/>
    <col min="4088" max="4088" width="8.54296875" style="17" customWidth="1"/>
    <col min="4089" max="4089" width="9.7265625" style="17" customWidth="1"/>
    <col min="4090" max="4090" width="14.453125" style="17" customWidth="1"/>
    <col min="4091" max="4091" width="7.453125" style="17" customWidth="1"/>
    <col min="4092" max="4092" width="5.54296875" style="17" customWidth="1"/>
    <col min="4093" max="4093" width="9" style="17" customWidth="1"/>
    <col min="4094" max="4095" width="9.7265625" style="17" customWidth="1"/>
    <col min="4096" max="4096" width="11.26953125" style="17" customWidth="1"/>
    <col min="4097" max="4097" width="2.7265625" style="17" customWidth="1"/>
    <col min="4098" max="4098" width="3.54296875" style="17" customWidth="1"/>
    <col min="4099" max="4343" width="9.26953125" style="17"/>
    <col min="4344" max="4344" width="8.54296875" style="17" customWidth="1"/>
    <col min="4345" max="4345" width="9.7265625" style="17" customWidth="1"/>
    <col min="4346" max="4346" width="14.453125" style="17" customWidth="1"/>
    <col min="4347" max="4347" width="7.453125" style="17" customWidth="1"/>
    <col min="4348" max="4348" width="5.54296875" style="17" customWidth="1"/>
    <col min="4349" max="4349" width="9" style="17" customWidth="1"/>
    <col min="4350" max="4351" width="9.7265625" style="17" customWidth="1"/>
    <col min="4352" max="4352" width="11.26953125" style="17" customWidth="1"/>
    <col min="4353" max="4353" width="2.7265625" style="17" customWidth="1"/>
    <col min="4354" max="4354" width="3.54296875" style="17" customWidth="1"/>
    <col min="4355" max="4599" width="9.26953125" style="17"/>
    <col min="4600" max="4600" width="8.54296875" style="17" customWidth="1"/>
    <col min="4601" max="4601" width="9.7265625" style="17" customWidth="1"/>
    <col min="4602" max="4602" width="14.453125" style="17" customWidth="1"/>
    <col min="4603" max="4603" width="7.453125" style="17" customWidth="1"/>
    <col min="4604" max="4604" width="5.54296875" style="17" customWidth="1"/>
    <col min="4605" max="4605" width="9" style="17" customWidth="1"/>
    <col min="4606" max="4607" width="9.7265625" style="17" customWidth="1"/>
    <col min="4608" max="4608" width="11.26953125" style="17" customWidth="1"/>
    <col min="4609" max="4609" width="2.7265625" style="17" customWidth="1"/>
    <col min="4610" max="4610" width="3.54296875" style="17" customWidth="1"/>
    <col min="4611" max="4855" width="9.26953125" style="17"/>
    <col min="4856" max="4856" width="8.54296875" style="17" customWidth="1"/>
    <col min="4857" max="4857" width="9.7265625" style="17" customWidth="1"/>
    <col min="4858" max="4858" width="14.453125" style="17" customWidth="1"/>
    <col min="4859" max="4859" width="7.453125" style="17" customWidth="1"/>
    <col min="4860" max="4860" width="5.54296875" style="17" customWidth="1"/>
    <col min="4861" max="4861" width="9" style="17" customWidth="1"/>
    <col min="4862" max="4863" width="9.7265625" style="17" customWidth="1"/>
    <col min="4864" max="4864" width="11.26953125" style="17" customWidth="1"/>
    <col min="4865" max="4865" width="2.7265625" style="17" customWidth="1"/>
    <col min="4866" max="4866" width="3.54296875" style="17" customWidth="1"/>
    <col min="4867" max="5111" width="9.26953125" style="17"/>
    <col min="5112" max="5112" width="8.54296875" style="17" customWidth="1"/>
    <col min="5113" max="5113" width="9.7265625" style="17" customWidth="1"/>
    <col min="5114" max="5114" width="14.453125" style="17" customWidth="1"/>
    <col min="5115" max="5115" width="7.453125" style="17" customWidth="1"/>
    <col min="5116" max="5116" width="5.54296875" style="17" customWidth="1"/>
    <col min="5117" max="5117" width="9" style="17" customWidth="1"/>
    <col min="5118" max="5119" width="9.7265625" style="17" customWidth="1"/>
    <col min="5120" max="5120" width="11.26953125" style="17" customWidth="1"/>
    <col min="5121" max="5121" width="2.7265625" style="17" customWidth="1"/>
    <col min="5122" max="5122" width="3.54296875" style="17" customWidth="1"/>
    <col min="5123" max="5367" width="9.26953125" style="17"/>
    <col min="5368" max="5368" width="8.54296875" style="17" customWidth="1"/>
    <col min="5369" max="5369" width="9.7265625" style="17" customWidth="1"/>
    <col min="5370" max="5370" width="14.453125" style="17" customWidth="1"/>
    <col min="5371" max="5371" width="7.453125" style="17" customWidth="1"/>
    <col min="5372" max="5372" width="5.54296875" style="17" customWidth="1"/>
    <col min="5373" max="5373" width="9" style="17" customWidth="1"/>
    <col min="5374" max="5375" width="9.7265625" style="17" customWidth="1"/>
    <col min="5376" max="5376" width="11.26953125" style="17" customWidth="1"/>
    <col min="5377" max="5377" width="2.7265625" style="17" customWidth="1"/>
    <col min="5378" max="5378" width="3.54296875" style="17" customWidth="1"/>
    <col min="5379" max="5623" width="9.26953125" style="17"/>
    <col min="5624" max="5624" width="8.54296875" style="17" customWidth="1"/>
    <col min="5625" max="5625" width="9.7265625" style="17" customWidth="1"/>
    <col min="5626" max="5626" width="14.453125" style="17" customWidth="1"/>
    <col min="5627" max="5627" width="7.453125" style="17" customWidth="1"/>
    <col min="5628" max="5628" width="5.54296875" style="17" customWidth="1"/>
    <col min="5629" max="5629" width="9" style="17" customWidth="1"/>
    <col min="5630" max="5631" width="9.7265625" style="17" customWidth="1"/>
    <col min="5632" max="5632" width="11.26953125" style="17" customWidth="1"/>
    <col min="5633" max="5633" width="2.7265625" style="17" customWidth="1"/>
    <col min="5634" max="5634" width="3.54296875" style="17" customWidth="1"/>
    <col min="5635" max="5879" width="9.26953125" style="17"/>
    <col min="5880" max="5880" width="8.54296875" style="17" customWidth="1"/>
    <col min="5881" max="5881" width="9.7265625" style="17" customWidth="1"/>
    <col min="5882" max="5882" width="14.453125" style="17" customWidth="1"/>
    <col min="5883" max="5883" width="7.453125" style="17" customWidth="1"/>
    <col min="5884" max="5884" width="5.54296875" style="17" customWidth="1"/>
    <col min="5885" max="5885" width="9" style="17" customWidth="1"/>
    <col min="5886" max="5887" width="9.7265625" style="17" customWidth="1"/>
    <col min="5888" max="5888" width="11.26953125" style="17" customWidth="1"/>
    <col min="5889" max="5889" width="2.7265625" style="17" customWidth="1"/>
    <col min="5890" max="5890" width="3.54296875" style="17" customWidth="1"/>
    <col min="5891" max="6135" width="9.26953125" style="17"/>
    <col min="6136" max="6136" width="8.54296875" style="17" customWidth="1"/>
    <col min="6137" max="6137" width="9.7265625" style="17" customWidth="1"/>
    <col min="6138" max="6138" width="14.453125" style="17" customWidth="1"/>
    <col min="6139" max="6139" width="7.453125" style="17" customWidth="1"/>
    <col min="6140" max="6140" width="5.54296875" style="17" customWidth="1"/>
    <col min="6141" max="6141" width="9" style="17" customWidth="1"/>
    <col min="6142" max="6143" width="9.7265625" style="17" customWidth="1"/>
    <col min="6144" max="6144" width="11.26953125" style="17" customWidth="1"/>
    <col min="6145" max="6145" width="2.7265625" style="17" customWidth="1"/>
    <col min="6146" max="6146" width="3.54296875" style="17" customWidth="1"/>
    <col min="6147" max="6391" width="9.26953125" style="17"/>
    <col min="6392" max="6392" width="8.54296875" style="17" customWidth="1"/>
    <col min="6393" max="6393" width="9.7265625" style="17" customWidth="1"/>
    <col min="6394" max="6394" width="14.453125" style="17" customWidth="1"/>
    <col min="6395" max="6395" width="7.453125" style="17" customWidth="1"/>
    <col min="6396" max="6396" width="5.54296875" style="17" customWidth="1"/>
    <col min="6397" max="6397" width="9" style="17" customWidth="1"/>
    <col min="6398" max="6399" width="9.7265625" style="17" customWidth="1"/>
    <col min="6400" max="6400" width="11.26953125" style="17" customWidth="1"/>
    <col min="6401" max="6401" width="2.7265625" style="17" customWidth="1"/>
    <col min="6402" max="6402" width="3.54296875" style="17" customWidth="1"/>
    <col min="6403" max="6647" width="9.26953125" style="17"/>
    <col min="6648" max="6648" width="8.54296875" style="17" customWidth="1"/>
    <col min="6649" max="6649" width="9.7265625" style="17" customWidth="1"/>
    <col min="6650" max="6650" width="14.453125" style="17" customWidth="1"/>
    <col min="6651" max="6651" width="7.453125" style="17" customWidth="1"/>
    <col min="6652" max="6652" width="5.54296875" style="17" customWidth="1"/>
    <col min="6653" max="6653" width="9" style="17" customWidth="1"/>
    <col min="6654" max="6655" width="9.7265625" style="17" customWidth="1"/>
    <col min="6656" max="6656" width="11.26953125" style="17" customWidth="1"/>
    <col min="6657" max="6657" width="2.7265625" style="17" customWidth="1"/>
    <col min="6658" max="6658" width="3.54296875" style="17" customWidth="1"/>
    <col min="6659" max="6903" width="9.26953125" style="17"/>
    <col min="6904" max="6904" width="8.54296875" style="17" customWidth="1"/>
    <col min="6905" max="6905" width="9.7265625" style="17" customWidth="1"/>
    <col min="6906" max="6906" width="14.453125" style="17" customWidth="1"/>
    <col min="6907" max="6907" width="7.453125" style="17" customWidth="1"/>
    <col min="6908" max="6908" width="5.54296875" style="17" customWidth="1"/>
    <col min="6909" max="6909" width="9" style="17" customWidth="1"/>
    <col min="6910" max="6911" width="9.7265625" style="17" customWidth="1"/>
    <col min="6912" max="6912" width="11.26953125" style="17" customWidth="1"/>
    <col min="6913" max="6913" width="2.7265625" style="17" customWidth="1"/>
    <col min="6914" max="6914" width="3.54296875" style="17" customWidth="1"/>
    <col min="6915" max="7159" width="9.26953125" style="17"/>
    <col min="7160" max="7160" width="8.54296875" style="17" customWidth="1"/>
    <col min="7161" max="7161" width="9.7265625" style="17" customWidth="1"/>
    <col min="7162" max="7162" width="14.453125" style="17" customWidth="1"/>
    <col min="7163" max="7163" width="7.453125" style="17" customWidth="1"/>
    <col min="7164" max="7164" width="5.54296875" style="17" customWidth="1"/>
    <col min="7165" max="7165" width="9" style="17" customWidth="1"/>
    <col min="7166" max="7167" width="9.7265625" style="17" customWidth="1"/>
    <col min="7168" max="7168" width="11.26953125" style="17" customWidth="1"/>
    <col min="7169" max="7169" width="2.7265625" style="17" customWidth="1"/>
    <col min="7170" max="7170" width="3.54296875" style="17" customWidth="1"/>
    <col min="7171" max="7415" width="9.26953125" style="17"/>
    <col min="7416" max="7416" width="8.54296875" style="17" customWidth="1"/>
    <col min="7417" max="7417" width="9.7265625" style="17" customWidth="1"/>
    <col min="7418" max="7418" width="14.453125" style="17" customWidth="1"/>
    <col min="7419" max="7419" width="7.453125" style="17" customWidth="1"/>
    <col min="7420" max="7420" width="5.54296875" style="17" customWidth="1"/>
    <col min="7421" max="7421" width="9" style="17" customWidth="1"/>
    <col min="7422" max="7423" width="9.7265625" style="17" customWidth="1"/>
    <col min="7424" max="7424" width="11.26953125" style="17" customWidth="1"/>
    <col min="7425" max="7425" width="2.7265625" style="17" customWidth="1"/>
    <col min="7426" max="7426" width="3.54296875" style="17" customWidth="1"/>
    <col min="7427" max="7671" width="9.26953125" style="17"/>
    <col min="7672" max="7672" width="8.54296875" style="17" customWidth="1"/>
    <col min="7673" max="7673" width="9.7265625" style="17" customWidth="1"/>
    <col min="7674" max="7674" width="14.453125" style="17" customWidth="1"/>
    <col min="7675" max="7675" width="7.453125" style="17" customWidth="1"/>
    <col min="7676" max="7676" width="5.54296875" style="17" customWidth="1"/>
    <col min="7677" max="7677" width="9" style="17" customWidth="1"/>
    <col min="7678" max="7679" width="9.7265625" style="17" customWidth="1"/>
    <col min="7680" max="7680" width="11.26953125" style="17" customWidth="1"/>
    <col min="7681" max="7681" width="2.7265625" style="17" customWidth="1"/>
    <col min="7682" max="7682" width="3.54296875" style="17" customWidth="1"/>
    <col min="7683" max="7927" width="9.26953125" style="17"/>
    <col min="7928" max="7928" width="8.54296875" style="17" customWidth="1"/>
    <col min="7929" max="7929" width="9.7265625" style="17" customWidth="1"/>
    <col min="7930" max="7930" width="14.453125" style="17" customWidth="1"/>
    <col min="7931" max="7931" width="7.453125" style="17" customWidth="1"/>
    <col min="7932" max="7932" width="5.54296875" style="17" customWidth="1"/>
    <col min="7933" max="7933" width="9" style="17" customWidth="1"/>
    <col min="7934" max="7935" width="9.7265625" style="17" customWidth="1"/>
    <col min="7936" max="7936" width="11.26953125" style="17" customWidth="1"/>
    <col min="7937" max="7937" width="2.7265625" style="17" customWidth="1"/>
    <col min="7938" max="7938" width="3.54296875" style="17" customWidth="1"/>
    <col min="7939" max="8183" width="9.26953125" style="17"/>
    <col min="8184" max="8184" width="8.54296875" style="17" customWidth="1"/>
    <col min="8185" max="8185" width="9.7265625" style="17" customWidth="1"/>
    <col min="8186" max="8186" width="14.453125" style="17" customWidth="1"/>
    <col min="8187" max="8187" width="7.453125" style="17" customWidth="1"/>
    <col min="8188" max="8188" width="5.54296875" style="17" customWidth="1"/>
    <col min="8189" max="8189" width="9" style="17" customWidth="1"/>
    <col min="8190" max="8191" width="9.7265625" style="17" customWidth="1"/>
    <col min="8192" max="8192" width="11.26953125" style="17" customWidth="1"/>
    <col min="8193" max="8193" width="2.7265625" style="17" customWidth="1"/>
    <col min="8194" max="8194" width="3.54296875" style="17" customWidth="1"/>
    <col min="8195" max="8439" width="9.26953125" style="17"/>
    <col min="8440" max="8440" width="8.54296875" style="17" customWidth="1"/>
    <col min="8441" max="8441" width="9.7265625" style="17" customWidth="1"/>
    <col min="8442" max="8442" width="14.453125" style="17" customWidth="1"/>
    <col min="8443" max="8443" width="7.453125" style="17" customWidth="1"/>
    <col min="8444" max="8444" width="5.54296875" style="17" customWidth="1"/>
    <col min="8445" max="8445" width="9" style="17" customWidth="1"/>
    <col min="8446" max="8447" width="9.7265625" style="17" customWidth="1"/>
    <col min="8448" max="8448" width="11.26953125" style="17" customWidth="1"/>
    <col min="8449" max="8449" width="2.7265625" style="17" customWidth="1"/>
    <col min="8450" max="8450" width="3.54296875" style="17" customWidth="1"/>
    <col min="8451" max="8695" width="9.26953125" style="17"/>
    <col min="8696" max="8696" width="8.54296875" style="17" customWidth="1"/>
    <col min="8697" max="8697" width="9.7265625" style="17" customWidth="1"/>
    <col min="8698" max="8698" width="14.453125" style="17" customWidth="1"/>
    <col min="8699" max="8699" width="7.453125" style="17" customWidth="1"/>
    <col min="8700" max="8700" width="5.54296875" style="17" customWidth="1"/>
    <col min="8701" max="8701" width="9" style="17" customWidth="1"/>
    <col min="8702" max="8703" width="9.7265625" style="17" customWidth="1"/>
    <col min="8704" max="8704" width="11.26953125" style="17" customWidth="1"/>
    <col min="8705" max="8705" width="2.7265625" style="17" customWidth="1"/>
    <col min="8706" max="8706" width="3.54296875" style="17" customWidth="1"/>
    <col min="8707" max="8951" width="9.26953125" style="17"/>
    <col min="8952" max="8952" width="8.54296875" style="17" customWidth="1"/>
    <col min="8953" max="8953" width="9.7265625" style="17" customWidth="1"/>
    <col min="8954" max="8954" width="14.453125" style="17" customWidth="1"/>
    <col min="8955" max="8955" width="7.453125" style="17" customWidth="1"/>
    <col min="8956" max="8956" width="5.54296875" style="17" customWidth="1"/>
    <col min="8957" max="8957" width="9" style="17" customWidth="1"/>
    <col min="8958" max="8959" width="9.7265625" style="17" customWidth="1"/>
    <col min="8960" max="8960" width="11.26953125" style="17" customWidth="1"/>
    <col min="8961" max="8961" width="2.7265625" style="17" customWidth="1"/>
    <col min="8962" max="8962" width="3.54296875" style="17" customWidth="1"/>
    <col min="8963" max="9207" width="9.26953125" style="17"/>
    <col min="9208" max="9208" width="8.54296875" style="17" customWidth="1"/>
    <col min="9209" max="9209" width="9.7265625" style="17" customWidth="1"/>
    <col min="9210" max="9210" width="14.453125" style="17" customWidth="1"/>
    <col min="9211" max="9211" width="7.453125" style="17" customWidth="1"/>
    <col min="9212" max="9212" width="5.54296875" style="17" customWidth="1"/>
    <col min="9213" max="9213" width="9" style="17" customWidth="1"/>
    <col min="9214" max="9215" width="9.7265625" style="17" customWidth="1"/>
    <col min="9216" max="9216" width="11.26953125" style="17" customWidth="1"/>
    <col min="9217" max="9217" width="2.7265625" style="17" customWidth="1"/>
    <col min="9218" max="9218" width="3.54296875" style="17" customWidth="1"/>
    <col min="9219" max="9463" width="9.26953125" style="17"/>
    <col min="9464" max="9464" width="8.54296875" style="17" customWidth="1"/>
    <col min="9465" max="9465" width="9.7265625" style="17" customWidth="1"/>
    <col min="9466" max="9466" width="14.453125" style="17" customWidth="1"/>
    <col min="9467" max="9467" width="7.453125" style="17" customWidth="1"/>
    <col min="9468" max="9468" width="5.54296875" style="17" customWidth="1"/>
    <col min="9469" max="9469" width="9" style="17" customWidth="1"/>
    <col min="9470" max="9471" width="9.7265625" style="17" customWidth="1"/>
    <col min="9472" max="9472" width="11.26953125" style="17" customWidth="1"/>
    <col min="9473" max="9473" width="2.7265625" style="17" customWidth="1"/>
    <col min="9474" max="9474" width="3.54296875" style="17" customWidth="1"/>
    <col min="9475" max="9719" width="9.26953125" style="17"/>
    <col min="9720" max="9720" width="8.54296875" style="17" customWidth="1"/>
    <col min="9721" max="9721" width="9.7265625" style="17" customWidth="1"/>
    <col min="9722" max="9722" width="14.453125" style="17" customWidth="1"/>
    <col min="9723" max="9723" width="7.453125" style="17" customWidth="1"/>
    <col min="9724" max="9724" width="5.54296875" style="17" customWidth="1"/>
    <col min="9725" max="9725" width="9" style="17" customWidth="1"/>
    <col min="9726" max="9727" width="9.7265625" style="17" customWidth="1"/>
    <col min="9728" max="9728" width="11.26953125" style="17" customWidth="1"/>
    <col min="9729" max="9729" width="2.7265625" style="17" customWidth="1"/>
    <col min="9730" max="9730" width="3.54296875" style="17" customWidth="1"/>
    <col min="9731" max="9975" width="9.26953125" style="17"/>
    <col min="9976" max="9976" width="8.54296875" style="17" customWidth="1"/>
    <col min="9977" max="9977" width="9.7265625" style="17" customWidth="1"/>
    <col min="9978" max="9978" width="14.453125" style="17" customWidth="1"/>
    <col min="9979" max="9979" width="7.453125" style="17" customWidth="1"/>
    <col min="9980" max="9980" width="5.54296875" style="17" customWidth="1"/>
    <col min="9981" max="9981" width="9" style="17" customWidth="1"/>
    <col min="9982" max="9983" width="9.7265625" style="17" customWidth="1"/>
    <col min="9984" max="9984" width="11.26953125" style="17" customWidth="1"/>
    <col min="9985" max="9985" width="2.7265625" style="17" customWidth="1"/>
    <col min="9986" max="9986" width="3.54296875" style="17" customWidth="1"/>
    <col min="9987" max="10231" width="9.26953125" style="17"/>
    <col min="10232" max="10232" width="8.54296875" style="17" customWidth="1"/>
    <col min="10233" max="10233" width="9.7265625" style="17" customWidth="1"/>
    <col min="10234" max="10234" width="14.453125" style="17" customWidth="1"/>
    <col min="10235" max="10235" width="7.453125" style="17" customWidth="1"/>
    <col min="10236" max="10236" width="5.54296875" style="17" customWidth="1"/>
    <col min="10237" max="10237" width="9" style="17" customWidth="1"/>
    <col min="10238" max="10239" width="9.7265625" style="17" customWidth="1"/>
    <col min="10240" max="10240" width="11.26953125" style="17" customWidth="1"/>
    <col min="10241" max="10241" width="2.7265625" style="17" customWidth="1"/>
    <col min="10242" max="10242" width="3.54296875" style="17" customWidth="1"/>
    <col min="10243" max="10487" width="9.26953125" style="17"/>
    <col min="10488" max="10488" width="8.54296875" style="17" customWidth="1"/>
    <col min="10489" max="10489" width="9.7265625" style="17" customWidth="1"/>
    <col min="10490" max="10490" width="14.453125" style="17" customWidth="1"/>
    <col min="10491" max="10491" width="7.453125" style="17" customWidth="1"/>
    <col min="10492" max="10492" width="5.54296875" style="17" customWidth="1"/>
    <col min="10493" max="10493" width="9" style="17" customWidth="1"/>
    <col min="10494" max="10495" width="9.7265625" style="17" customWidth="1"/>
    <col min="10496" max="10496" width="11.26953125" style="17" customWidth="1"/>
    <col min="10497" max="10497" width="2.7265625" style="17" customWidth="1"/>
    <col min="10498" max="10498" width="3.54296875" style="17" customWidth="1"/>
    <col min="10499" max="10743" width="9.26953125" style="17"/>
    <col min="10744" max="10744" width="8.54296875" style="17" customWidth="1"/>
    <col min="10745" max="10745" width="9.7265625" style="17" customWidth="1"/>
    <col min="10746" max="10746" width="14.453125" style="17" customWidth="1"/>
    <col min="10747" max="10747" width="7.453125" style="17" customWidth="1"/>
    <col min="10748" max="10748" width="5.54296875" style="17" customWidth="1"/>
    <col min="10749" max="10749" width="9" style="17" customWidth="1"/>
    <col min="10750" max="10751" width="9.7265625" style="17" customWidth="1"/>
    <col min="10752" max="10752" width="11.26953125" style="17" customWidth="1"/>
    <col min="10753" max="10753" width="2.7265625" style="17" customWidth="1"/>
    <col min="10754" max="10754" width="3.54296875" style="17" customWidth="1"/>
    <col min="10755" max="10999" width="9.26953125" style="17"/>
    <col min="11000" max="11000" width="8.54296875" style="17" customWidth="1"/>
    <col min="11001" max="11001" width="9.7265625" style="17" customWidth="1"/>
    <col min="11002" max="11002" width="14.453125" style="17" customWidth="1"/>
    <col min="11003" max="11003" width="7.453125" style="17" customWidth="1"/>
    <col min="11004" max="11004" width="5.54296875" style="17" customWidth="1"/>
    <col min="11005" max="11005" width="9" style="17" customWidth="1"/>
    <col min="11006" max="11007" width="9.7265625" style="17" customWidth="1"/>
    <col min="11008" max="11008" width="11.26953125" style="17" customWidth="1"/>
    <col min="11009" max="11009" width="2.7265625" style="17" customWidth="1"/>
    <col min="11010" max="11010" width="3.54296875" style="17" customWidth="1"/>
    <col min="11011" max="11255" width="9.26953125" style="17"/>
    <col min="11256" max="11256" width="8.54296875" style="17" customWidth="1"/>
    <col min="11257" max="11257" width="9.7265625" style="17" customWidth="1"/>
    <col min="11258" max="11258" width="14.453125" style="17" customWidth="1"/>
    <col min="11259" max="11259" width="7.453125" style="17" customWidth="1"/>
    <col min="11260" max="11260" width="5.54296875" style="17" customWidth="1"/>
    <col min="11261" max="11261" width="9" style="17" customWidth="1"/>
    <col min="11262" max="11263" width="9.7265625" style="17" customWidth="1"/>
    <col min="11264" max="11264" width="11.26953125" style="17" customWidth="1"/>
    <col min="11265" max="11265" width="2.7265625" style="17" customWidth="1"/>
    <col min="11266" max="11266" width="3.54296875" style="17" customWidth="1"/>
    <col min="11267" max="11511" width="9.26953125" style="17"/>
    <col min="11512" max="11512" width="8.54296875" style="17" customWidth="1"/>
    <col min="11513" max="11513" width="9.7265625" style="17" customWidth="1"/>
    <col min="11514" max="11514" width="14.453125" style="17" customWidth="1"/>
    <col min="11515" max="11515" width="7.453125" style="17" customWidth="1"/>
    <col min="11516" max="11516" width="5.54296875" style="17" customWidth="1"/>
    <col min="11517" max="11517" width="9" style="17" customWidth="1"/>
    <col min="11518" max="11519" width="9.7265625" style="17" customWidth="1"/>
    <col min="11520" max="11520" width="11.26953125" style="17" customWidth="1"/>
    <col min="11521" max="11521" width="2.7265625" style="17" customWidth="1"/>
    <col min="11522" max="11522" width="3.54296875" style="17" customWidth="1"/>
    <col min="11523" max="11767" width="9.26953125" style="17"/>
    <col min="11768" max="11768" width="8.54296875" style="17" customWidth="1"/>
    <col min="11769" max="11769" width="9.7265625" style="17" customWidth="1"/>
    <col min="11770" max="11770" width="14.453125" style="17" customWidth="1"/>
    <col min="11771" max="11771" width="7.453125" style="17" customWidth="1"/>
    <col min="11772" max="11772" width="5.54296875" style="17" customWidth="1"/>
    <col min="11773" max="11773" width="9" style="17" customWidth="1"/>
    <col min="11774" max="11775" width="9.7265625" style="17" customWidth="1"/>
    <col min="11776" max="11776" width="11.26953125" style="17" customWidth="1"/>
    <col min="11777" max="11777" width="2.7265625" style="17" customWidth="1"/>
    <col min="11778" max="11778" width="3.54296875" style="17" customWidth="1"/>
    <col min="11779" max="12023" width="9.26953125" style="17"/>
    <col min="12024" max="12024" width="8.54296875" style="17" customWidth="1"/>
    <col min="12025" max="12025" width="9.7265625" style="17" customWidth="1"/>
    <col min="12026" max="12026" width="14.453125" style="17" customWidth="1"/>
    <col min="12027" max="12027" width="7.453125" style="17" customWidth="1"/>
    <col min="12028" max="12028" width="5.54296875" style="17" customWidth="1"/>
    <col min="12029" max="12029" width="9" style="17" customWidth="1"/>
    <col min="12030" max="12031" width="9.7265625" style="17" customWidth="1"/>
    <col min="12032" max="12032" width="11.26953125" style="17" customWidth="1"/>
    <col min="12033" max="12033" width="2.7265625" style="17" customWidth="1"/>
    <col min="12034" max="12034" width="3.54296875" style="17" customWidth="1"/>
    <col min="12035" max="12279" width="9.26953125" style="17"/>
    <col min="12280" max="12280" width="8.54296875" style="17" customWidth="1"/>
    <col min="12281" max="12281" width="9.7265625" style="17" customWidth="1"/>
    <col min="12282" max="12282" width="14.453125" style="17" customWidth="1"/>
    <col min="12283" max="12283" width="7.453125" style="17" customWidth="1"/>
    <col min="12284" max="12284" width="5.54296875" style="17" customWidth="1"/>
    <col min="12285" max="12285" width="9" style="17" customWidth="1"/>
    <col min="12286" max="12287" width="9.7265625" style="17" customWidth="1"/>
    <col min="12288" max="12288" width="11.26953125" style="17" customWidth="1"/>
    <col min="12289" max="12289" width="2.7265625" style="17" customWidth="1"/>
    <col min="12290" max="12290" width="3.54296875" style="17" customWidth="1"/>
    <col min="12291" max="12535" width="9.26953125" style="17"/>
    <col min="12536" max="12536" width="8.54296875" style="17" customWidth="1"/>
    <col min="12537" max="12537" width="9.7265625" style="17" customWidth="1"/>
    <col min="12538" max="12538" width="14.453125" style="17" customWidth="1"/>
    <col min="12539" max="12539" width="7.453125" style="17" customWidth="1"/>
    <col min="12540" max="12540" width="5.54296875" style="17" customWidth="1"/>
    <col min="12541" max="12541" width="9" style="17" customWidth="1"/>
    <col min="12542" max="12543" width="9.7265625" style="17" customWidth="1"/>
    <col min="12544" max="12544" width="11.26953125" style="17" customWidth="1"/>
    <col min="12545" max="12545" width="2.7265625" style="17" customWidth="1"/>
    <col min="12546" max="12546" width="3.54296875" style="17" customWidth="1"/>
    <col min="12547" max="12791" width="9.26953125" style="17"/>
    <col min="12792" max="12792" width="8.54296875" style="17" customWidth="1"/>
    <col min="12793" max="12793" width="9.7265625" style="17" customWidth="1"/>
    <col min="12794" max="12794" width="14.453125" style="17" customWidth="1"/>
    <col min="12795" max="12795" width="7.453125" style="17" customWidth="1"/>
    <col min="12796" max="12796" width="5.54296875" style="17" customWidth="1"/>
    <col min="12797" max="12797" width="9" style="17" customWidth="1"/>
    <col min="12798" max="12799" width="9.7265625" style="17" customWidth="1"/>
    <col min="12800" max="12800" width="11.26953125" style="17" customWidth="1"/>
    <col min="12801" max="12801" width="2.7265625" style="17" customWidth="1"/>
    <col min="12802" max="12802" width="3.54296875" style="17" customWidth="1"/>
    <col min="12803" max="13047" width="9.26953125" style="17"/>
    <col min="13048" max="13048" width="8.54296875" style="17" customWidth="1"/>
    <col min="13049" max="13049" width="9.7265625" style="17" customWidth="1"/>
    <col min="13050" max="13050" width="14.453125" style="17" customWidth="1"/>
    <col min="13051" max="13051" width="7.453125" style="17" customWidth="1"/>
    <col min="13052" max="13052" width="5.54296875" style="17" customWidth="1"/>
    <col min="13053" max="13053" width="9" style="17" customWidth="1"/>
    <col min="13054" max="13055" width="9.7265625" style="17" customWidth="1"/>
    <col min="13056" max="13056" width="11.26953125" style="17" customWidth="1"/>
    <col min="13057" max="13057" width="2.7265625" style="17" customWidth="1"/>
    <col min="13058" max="13058" width="3.54296875" style="17" customWidth="1"/>
    <col min="13059" max="13303" width="9.26953125" style="17"/>
    <col min="13304" max="13304" width="8.54296875" style="17" customWidth="1"/>
    <col min="13305" max="13305" width="9.7265625" style="17" customWidth="1"/>
    <col min="13306" max="13306" width="14.453125" style="17" customWidth="1"/>
    <col min="13307" max="13307" width="7.453125" style="17" customWidth="1"/>
    <col min="13308" max="13308" width="5.54296875" style="17" customWidth="1"/>
    <col min="13309" max="13309" width="9" style="17" customWidth="1"/>
    <col min="13310" max="13311" width="9.7265625" style="17" customWidth="1"/>
    <col min="13312" max="13312" width="11.26953125" style="17" customWidth="1"/>
    <col min="13313" max="13313" width="2.7265625" style="17" customWidth="1"/>
    <col min="13314" max="13314" width="3.54296875" style="17" customWidth="1"/>
    <col min="13315" max="13559" width="9.26953125" style="17"/>
    <col min="13560" max="13560" width="8.54296875" style="17" customWidth="1"/>
    <col min="13561" max="13561" width="9.7265625" style="17" customWidth="1"/>
    <col min="13562" max="13562" width="14.453125" style="17" customWidth="1"/>
    <col min="13563" max="13563" width="7.453125" style="17" customWidth="1"/>
    <col min="13564" max="13564" width="5.54296875" style="17" customWidth="1"/>
    <col min="13565" max="13565" width="9" style="17" customWidth="1"/>
    <col min="13566" max="13567" width="9.7265625" style="17" customWidth="1"/>
    <col min="13568" max="13568" width="11.26953125" style="17" customWidth="1"/>
    <col min="13569" max="13569" width="2.7265625" style="17" customWidth="1"/>
    <col min="13570" max="13570" width="3.54296875" style="17" customWidth="1"/>
    <col min="13571" max="13815" width="9.26953125" style="17"/>
    <col min="13816" max="13816" width="8.54296875" style="17" customWidth="1"/>
    <col min="13817" max="13817" width="9.7265625" style="17" customWidth="1"/>
    <col min="13818" max="13818" width="14.453125" style="17" customWidth="1"/>
    <col min="13819" max="13819" width="7.453125" style="17" customWidth="1"/>
    <col min="13820" max="13820" width="5.54296875" style="17" customWidth="1"/>
    <col min="13821" max="13821" width="9" style="17" customWidth="1"/>
    <col min="13822" max="13823" width="9.7265625" style="17" customWidth="1"/>
    <col min="13824" max="13824" width="11.26953125" style="17" customWidth="1"/>
    <col min="13825" max="13825" width="2.7265625" style="17" customWidth="1"/>
    <col min="13826" max="13826" width="3.54296875" style="17" customWidth="1"/>
    <col min="13827" max="14071" width="9.26953125" style="17"/>
    <col min="14072" max="14072" width="8.54296875" style="17" customWidth="1"/>
    <col min="14073" max="14073" width="9.7265625" style="17" customWidth="1"/>
    <col min="14074" max="14074" width="14.453125" style="17" customWidth="1"/>
    <col min="14075" max="14075" width="7.453125" style="17" customWidth="1"/>
    <col min="14076" max="14076" width="5.54296875" style="17" customWidth="1"/>
    <col min="14077" max="14077" width="9" style="17" customWidth="1"/>
    <col min="14078" max="14079" width="9.7265625" style="17" customWidth="1"/>
    <col min="14080" max="14080" width="11.26953125" style="17" customWidth="1"/>
    <col min="14081" max="14081" width="2.7265625" style="17" customWidth="1"/>
    <col min="14082" max="14082" width="3.54296875" style="17" customWidth="1"/>
    <col min="14083" max="14327" width="9.26953125" style="17"/>
    <col min="14328" max="14328" width="8.54296875" style="17" customWidth="1"/>
    <col min="14329" max="14329" width="9.7265625" style="17" customWidth="1"/>
    <col min="14330" max="14330" width="14.453125" style="17" customWidth="1"/>
    <col min="14331" max="14331" width="7.453125" style="17" customWidth="1"/>
    <col min="14332" max="14332" width="5.54296875" style="17" customWidth="1"/>
    <col min="14333" max="14333" width="9" style="17" customWidth="1"/>
    <col min="14334" max="14335" width="9.7265625" style="17" customWidth="1"/>
    <col min="14336" max="14336" width="11.26953125" style="17" customWidth="1"/>
    <col min="14337" max="14337" width="2.7265625" style="17" customWidth="1"/>
    <col min="14338" max="14338" width="3.54296875" style="17" customWidth="1"/>
    <col min="14339" max="14583" width="9.26953125" style="17"/>
    <col min="14584" max="14584" width="8.54296875" style="17" customWidth="1"/>
    <col min="14585" max="14585" width="9.7265625" style="17" customWidth="1"/>
    <col min="14586" max="14586" width="14.453125" style="17" customWidth="1"/>
    <col min="14587" max="14587" width="7.453125" style="17" customWidth="1"/>
    <col min="14588" max="14588" width="5.54296875" style="17" customWidth="1"/>
    <col min="14589" max="14589" width="9" style="17" customWidth="1"/>
    <col min="14590" max="14591" width="9.7265625" style="17" customWidth="1"/>
    <col min="14592" max="14592" width="11.26953125" style="17" customWidth="1"/>
    <col min="14593" max="14593" width="2.7265625" style="17" customWidth="1"/>
    <col min="14594" max="14594" width="3.54296875" style="17" customWidth="1"/>
    <col min="14595" max="14839" width="9.26953125" style="17"/>
    <col min="14840" max="14840" width="8.54296875" style="17" customWidth="1"/>
    <col min="14841" max="14841" width="9.7265625" style="17" customWidth="1"/>
    <col min="14842" max="14842" width="14.453125" style="17" customWidth="1"/>
    <col min="14843" max="14843" width="7.453125" style="17" customWidth="1"/>
    <col min="14844" max="14844" width="5.54296875" style="17" customWidth="1"/>
    <col min="14845" max="14845" width="9" style="17" customWidth="1"/>
    <col min="14846" max="14847" width="9.7265625" style="17" customWidth="1"/>
    <col min="14848" max="14848" width="11.26953125" style="17" customWidth="1"/>
    <col min="14849" max="14849" width="2.7265625" style="17" customWidth="1"/>
    <col min="14850" max="14850" width="3.54296875" style="17" customWidth="1"/>
    <col min="14851" max="15095" width="9.26953125" style="17"/>
    <col min="15096" max="15096" width="8.54296875" style="17" customWidth="1"/>
    <col min="15097" max="15097" width="9.7265625" style="17" customWidth="1"/>
    <col min="15098" max="15098" width="14.453125" style="17" customWidth="1"/>
    <col min="15099" max="15099" width="7.453125" style="17" customWidth="1"/>
    <col min="15100" max="15100" width="5.54296875" style="17" customWidth="1"/>
    <col min="15101" max="15101" width="9" style="17" customWidth="1"/>
    <col min="15102" max="15103" width="9.7265625" style="17" customWidth="1"/>
    <col min="15104" max="15104" width="11.26953125" style="17" customWidth="1"/>
    <col min="15105" max="15105" width="2.7265625" style="17" customWidth="1"/>
    <col min="15106" max="15106" width="3.54296875" style="17" customWidth="1"/>
    <col min="15107" max="15351" width="9.26953125" style="17"/>
    <col min="15352" max="15352" width="8.54296875" style="17" customWidth="1"/>
    <col min="15353" max="15353" width="9.7265625" style="17" customWidth="1"/>
    <col min="15354" max="15354" width="14.453125" style="17" customWidth="1"/>
    <col min="15355" max="15355" width="7.453125" style="17" customWidth="1"/>
    <col min="15356" max="15356" width="5.54296875" style="17" customWidth="1"/>
    <col min="15357" max="15357" width="9" style="17" customWidth="1"/>
    <col min="15358" max="15359" width="9.7265625" style="17" customWidth="1"/>
    <col min="15360" max="15360" width="11.26953125" style="17" customWidth="1"/>
    <col min="15361" max="15361" width="2.7265625" style="17" customWidth="1"/>
    <col min="15362" max="15362" width="3.54296875" style="17" customWidth="1"/>
    <col min="15363" max="15607" width="9.26953125" style="17"/>
    <col min="15608" max="15608" width="8.54296875" style="17" customWidth="1"/>
    <col min="15609" max="15609" width="9.7265625" style="17" customWidth="1"/>
    <col min="15610" max="15610" width="14.453125" style="17" customWidth="1"/>
    <col min="15611" max="15611" width="7.453125" style="17" customWidth="1"/>
    <col min="15612" max="15612" width="5.54296875" style="17" customWidth="1"/>
    <col min="15613" max="15613" width="9" style="17" customWidth="1"/>
    <col min="15614" max="15615" width="9.7265625" style="17" customWidth="1"/>
    <col min="15616" max="15616" width="11.26953125" style="17" customWidth="1"/>
    <col min="15617" max="15617" width="2.7265625" style="17" customWidth="1"/>
    <col min="15618" max="15618" width="3.54296875" style="17" customWidth="1"/>
    <col min="15619" max="15863" width="9.26953125" style="17"/>
    <col min="15864" max="15864" width="8.54296875" style="17" customWidth="1"/>
    <col min="15865" max="15865" width="9.7265625" style="17" customWidth="1"/>
    <col min="15866" max="15866" width="14.453125" style="17" customWidth="1"/>
    <col min="15867" max="15867" width="7.453125" style="17" customWidth="1"/>
    <col min="15868" max="15868" width="5.54296875" style="17" customWidth="1"/>
    <col min="15869" max="15869" width="9" style="17" customWidth="1"/>
    <col min="15870" max="15871" width="9.7265625" style="17" customWidth="1"/>
    <col min="15872" max="15872" width="11.26953125" style="17" customWidth="1"/>
    <col min="15873" max="15873" width="2.7265625" style="17" customWidth="1"/>
    <col min="15874" max="15874" width="3.54296875" style="17" customWidth="1"/>
    <col min="15875" max="16119" width="9.26953125" style="17"/>
    <col min="16120" max="16120" width="8.54296875" style="17" customWidth="1"/>
    <col min="16121" max="16121" width="9.7265625" style="17" customWidth="1"/>
    <col min="16122" max="16122" width="14.453125" style="17" customWidth="1"/>
    <col min="16123" max="16123" width="7.453125" style="17" customWidth="1"/>
    <col min="16124" max="16124" width="5.54296875" style="17" customWidth="1"/>
    <col min="16125" max="16125" width="9" style="17" customWidth="1"/>
    <col min="16126" max="16127" width="9.7265625" style="17" customWidth="1"/>
    <col min="16128" max="16128" width="11.26953125" style="17" customWidth="1"/>
    <col min="16129" max="16129" width="2.7265625" style="17" customWidth="1"/>
    <col min="16130" max="16130" width="3.54296875" style="17" customWidth="1"/>
    <col min="16131" max="16384" width="9.26953125" style="17"/>
  </cols>
  <sheetData>
    <row r="1" spans="1:8" ht="46.5" customHeight="1" x14ac:dyDescent="0.35">
      <c r="A1" s="137" t="s">
        <v>215</v>
      </c>
      <c r="B1" s="137"/>
      <c r="C1" s="137"/>
      <c r="D1" s="137"/>
      <c r="E1" s="137"/>
      <c r="F1" s="137"/>
      <c r="G1" s="137"/>
      <c r="H1" s="137"/>
    </row>
    <row r="2" spans="1:8" ht="16.5" customHeight="1" x14ac:dyDescent="0.35">
      <c r="A2" s="99" t="s">
        <v>0</v>
      </c>
      <c r="B2" s="99"/>
      <c r="C2" s="99"/>
      <c r="D2" s="99"/>
      <c r="E2" s="99"/>
      <c r="F2" s="99"/>
      <c r="G2" s="99"/>
      <c r="H2" s="99"/>
    </row>
    <row r="3" spans="1:8" x14ac:dyDescent="0.35">
      <c r="A3" s="68" t="s">
        <v>1</v>
      </c>
      <c r="B3" s="68"/>
      <c r="C3" s="68"/>
      <c r="D3" s="68"/>
      <c r="E3" s="68" t="str">
        <f ca="1">TEXT(TODAY(),"DD/MM/YYYY")</f>
        <v>13/08/2025</v>
      </c>
      <c r="F3" s="68"/>
      <c r="G3" s="68"/>
      <c r="H3" s="68"/>
    </row>
    <row r="4" spans="1:8" ht="15" customHeight="1" x14ac:dyDescent="0.35">
      <c r="A4" s="68" t="s">
        <v>2</v>
      </c>
      <c r="B4" s="68"/>
      <c r="C4" s="68"/>
      <c r="D4" s="68"/>
      <c r="E4" s="68" t="s">
        <v>166</v>
      </c>
      <c r="F4" s="68"/>
      <c r="G4" s="68"/>
      <c r="H4" s="68"/>
    </row>
    <row r="5" spans="1:8" x14ac:dyDescent="0.35">
      <c r="A5" s="68" t="s">
        <v>3</v>
      </c>
      <c r="B5" s="68"/>
      <c r="C5" s="68"/>
      <c r="D5" s="68"/>
      <c r="E5" s="136">
        <v>45881</v>
      </c>
      <c r="F5" s="68"/>
      <c r="G5" s="68"/>
      <c r="H5" s="68"/>
    </row>
    <row r="6" spans="1:8" ht="16.5" customHeight="1" x14ac:dyDescent="0.35">
      <c r="A6" s="68" t="s">
        <v>4</v>
      </c>
      <c r="B6" s="68"/>
      <c r="C6" s="68"/>
      <c r="D6" s="68"/>
      <c r="E6" s="68" t="s">
        <v>167</v>
      </c>
      <c r="F6" s="68"/>
      <c r="G6" s="68"/>
      <c r="H6" s="68"/>
    </row>
    <row r="7" spans="1:8" ht="15" customHeight="1" x14ac:dyDescent="0.35">
      <c r="A7" s="68" t="s">
        <v>5</v>
      </c>
      <c r="B7" s="68"/>
      <c r="C7" s="68"/>
      <c r="D7" s="68"/>
      <c r="E7" s="68" t="str">
        <f>E6</f>
        <v>M/s. Sairama Housing Estates Private Limited</v>
      </c>
      <c r="F7" s="68"/>
      <c r="G7" s="68"/>
      <c r="H7" s="68"/>
    </row>
    <row r="8" spans="1:8" x14ac:dyDescent="0.35">
      <c r="A8" s="68" t="s">
        <v>6</v>
      </c>
      <c r="B8" s="68"/>
      <c r="C8" s="68"/>
      <c r="D8" s="68"/>
      <c r="E8" s="138" t="s">
        <v>168</v>
      </c>
      <c r="F8" s="138"/>
      <c r="G8" s="138"/>
      <c r="H8" s="138"/>
    </row>
    <row r="9" spans="1:8" x14ac:dyDescent="0.35">
      <c r="A9" s="68" t="s">
        <v>125</v>
      </c>
      <c r="B9" s="68"/>
      <c r="C9" s="68"/>
      <c r="D9" s="68"/>
      <c r="E9" s="68">
        <v>9022636363</v>
      </c>
      <c r="F9" s="68"/>
      <c r="G9" s="68"/>
      <c r="H9" s="68"/>
    </row>
    <row r="10" spans="1:8" hidden="1" x14ac:dyDescent="0.35">
      <c r="A10" s="68" t="s">
        <v>211</v>
      </c>
      <c r="B10" s="68"/>
      <c r="C10" s="68"/>
      <c r="D10" s="68"/>
      <c r="E10" s="68" t="s">
        <v>212</v>
      </c>
      <c r="F10" s="68"/>
      <c r="G10" s="68"/>
      <c r="H10" s="68"/>
    </row>
    <row r="11" spans="1:8" x14ac:dyDescent="0.35">
      <c r="A11" s="68" t="s">
        <v>7</v>
      </c>
      <c r="B11" s="68"/>
      <c r="C11" s="68"/>
      <c r="D11" s="68"/>
      <c r="E11" s="68" t="s">
        <v>209</v>
      </c>
      <c r="F11" s="68"/>
      <c r="G11" s="68"/>
      <c r="H11" s="68"/>
    </row>
    <row r="12" spans="1:8" ht="32.25" customHeight="1" x14ac:dyDescent="0.35">
      <c r="A12" s="123" t="s">
        <v>8</v>
      </c>
      <c r="B12" s="123"/>
      <c r="C12" s="123"/>
      <c r="D12" s="123"/>
      <c r="E12" s="130" t="s">
        <v>107</v>
      </c>
      <c r="F12" s="130"/>
      <c r="G12" s="130"/>
      <c r="H12" s="130"/>
    </row>
    <row r="13" spans="1:8" x14ac:dyDescent="0.35">
      <c r="A13" s="123" t="s">
        <v>9</v>
      </c>
      <c r="B13" s="123"/>
      <c r="C13" s="123"/>
      <c r="D13" s="123"/>
      <c r="E13" s="130" t="s">
        <v>169</v>
      </c>
      <c r="F13" s="68"/>
      <c r="G13" s="68"/>
      <c r="H13" s="68"/>
    </row>
    <row r="14" spans="1:8" ht="33" customHeight="1" x14ac:dyDescent="0.35">
      <c r="A14" s="130" t="s">
        <v>10</v>
      </c>
      <c r="B14" s="130"/>
      <c r="C14" s="130" t="str">
        <f>CONCATENATE((IF(OR(E8="",E8="NA"),"",E8)),", ",(IF(OR(A15="",A15="NA"),"",A15)),".",(IF(OR(C15="",C15="NA"),"",C15)),", near ",(IF(OR(C19="",C19="NA"),"",C19)),", ",(IF(OR(C16="",C16="NA"),"",C16)),", ",(IF(OR(G16="",G16="NA"),"",G16)),", ",(IF(OR(C17="",C17="NA"),"",C17)),", ",(IF(OR(C18="",C18="NA"),"",C18)),", ",(IF(OR(G17="",G17="NA"),"",G17))," - ",(IF(OR(G18="",G18="NA"),"",G18)),".")</f>
        <v>Autograph, Plot No.7, Sector No.17, near Millennium Flora, Internal Road, New Panvel, Khandeshwar, Panvel, Raigad - 410206.</v>
      </c>
      <c r="D14" s="130"/>
      <c r="E14" s="130"/>
      <c r="F14" s="130"/>
      <c r="G14" s="130"/>
      <c r="H14" s="130"/>
    </row>
    <row r="15" spans="1:8" x14ac:dyDescent="0.35">
      <c r="A15" s="130" t="s">
        <v>170</v>
      </c>
      <c r="B15" s="130"/>
      <c r="C15" s="130" t="s">
        <v>171</v>
      </c>
      <c r="D15" s="130"/>
      <c r="E15" s="130"/>
      <c r="F15" s="130"/>
      <c r="G15" s="130"/>
      <c r="H15" s="130"/>
    </row>
    <row r="16" spans="1:8" ht="15.75" customHeight="1" x14ac:dyDescent="0.35">
      <c r="A16" s="130" t="s">
        <v>11</v>
      </c>
      <c r="B16" s="130"/>
      <c r="C16" s="68" t="s">
        <v>178</v>
      </c>
      <c r="D16" s="68"/>
      <c r="E16" s="130" t="s">
        <v>75</v>
      </c>
      <c r="F16" s="130"/>
      <c r="G16" s="130" t="s">
        <v>172</v>
      </c>
      <c r="H16" s="130"/>
    </row>
    <row r="17" spans="1:8" x14ac:dyDescent="0.35">
      <c r="A17" s="68" t="s">
        <v>13</v>
      </c>
      <c r="B17" s="68"/>
      <c r="C17" s="130" t="s">
        <v>180</v>
      </c>
      <c r="D17" s="130"/>
      <c r="E17" s="130" t="s">
        <v>12</v>
      </c>
      <c r="F17" s="130"/>
      <c r="G17" s="135" t="s">
        <v>177</v>
      </c>
      <c r="H17" s="135"/>
    </row>
    <row r="18" spans="1:8" x14ac:dyDescent="0.35">
      <c r="A18" s="68" t="s">
        <v>76</v>
      </c>
      <c r="B18" s="68"/>
      <c r="C18" s="130" t="s">
        <v>176</v>
      </c>
      <c r="D18" s="130"/>
      <c r="E18" s="130" t="s">
        <v>14</v>
      </c>
      <c r="F18" s="130"/>
      <c r="G18" s="130">
        <v>410206</v>
      </c>
      <c r="H18" s="130"/>
    </row>
    <row r="19" spans="1:8" ht="46.5" customHeight="1" x14ac:dyDescent="0.35">
      <c r="A19" s="68" t="s">
        <v>126</v>
      </c>
      <c r="B19" s="68"/>
      <c r="C19" s="130" t="s">
        <v>174</v>
      </c>
      <c r="D19" s="130"/>
      <c r="E19" s="130" t="s">
        <v>15</v>
      </c>
      <c r="F19" s="130"/>
      <c r="G19" s="130" t="s">
        <v>179</v>
      </c>
      <c r="H19" s="130"/>
    </row>
    <row r="20" spans="1:8" ht="15" customHeight="1" x14ac:dyDescent="0.35">
      <c r="A20" s="134" t="s">
        <v>78</v>
      </c>
      <c r="B20" s="134"/>
      <c r="C20" s="134"/>
      <c r="D20" s="134"/>
      <c r="E20" s="68" t="s">
        <v>16</v>
      </c>
      <c r="F20" s="68"/>
      <c r="G20" s="68"/>
      <c r="H20" s="68"/>
    </row>
    <row r="21" spans="1:8" ht="18.75" customHeight="1" x14ac:dyDescent="0.35">
      <c r="A21" s="134"/>
      <c r="B21" s="134"/>
      <c r="C21" s="134"/>
      <c r="D21" s="134"/>
      <c r="E21" s="68"/>
      <c r="F21" s="68"/>
      <c r="G21" s="68"/>
      <c r="H21" s="68"/>
    </row>
    <row r="22" spans="1:8" ht="15" customHeight="1" x14ac:dyDescent="0.35">
      <c r="A22" s="134" t="s">
        <v>17</v>
      </c>
      <c r="B22" s="134"/>
      <c r="C22" s="134"/>
      <c r="D22" s="134"/>
      <c r="E22" s="130" t="s">
        <v>18</v>
      </c>
      <c r="F22" s="130"/>
      <c r="G22" s="130"/>
      <c r="H22" s="130"/>
    </row>
    <row r="23" spans="1:8" ht="15" customHeight="1" x14ac:dyDescent="0.35">
      <c r="A23" s="123" t="s">
        <v>19</v>
      </c>
      <c r="B23" s="123"/>
      <c r="C23" s="123"/>
      <c r="D23" s="123"/>
      <c r="E23" s="130" t="str">
        <f>IF(AND(G17="Mumbai"),"Upper Class","Middle Class")</f>
        <v>Middle Class</v>
      </c>
      <c r="F23" s="130"/>
      <c r="G23" s="130"/>
      <c r="H23" s="130"/>
    </row>
    <row r="24" spans="1:8" x14ac:dyDescent="0.35">
      <c r="A24" s="123" t="s">
        <v>20</v>
      </c>
      <c r="B24" s="123"/>
      <c r="C24" s="123"/>
      <c r="D24" s="123"/>
      <c r="E24" s="130" t="s">
        <v>21</v>
      </c>
      <c r="F24" s="130"/>
      <c r="G24" s="130"/>
      <c r="H24" s="130"/>
    </row>
    <row r="25" spans="1:8" ht="15.75" customHeight="1" x14ac:dyDescent="0.35">
      <c r="A25" s="123" t="s">
        <v>22</v>
      </c>
      <c r="B25" s="123"/>
      <c r="C25" s="123"/>
      <c r="D25" s="123"/>
      <c r="E25" s="130" t="str">
        <f>IF(AND(G17="Mumbai"),"Developed","Developing")</f>
        <v>Developing</v>
      </c>
      <c r="F25" s="130"/>
      <c r="G25" s="130"/>
      <c r="H25" s="130"/>
    </row>
    <row r="26" spans="1:8" x14ac:dyDescent="0.35">
      <c r="A26" s="123" t="s">
        <v>23</v>
      </c>
      <c r="B26" s="123"/>
      <c r="C26" s="123"/>
      <c r="D26" s="123"/>
      <c r="E26" s="130" t="s">
        <v>24</v>
      </c>
      <c r="F26" s="130"/>
      <c r="G26" s="130"/>
      <c r="H26" s="130"/>
    </row>
    <row r="27" spans="1:8" ht="15.75" customHeight="1" x14ac:dyDescent="0.35">
      <c r="A27" s="123" t="s">
        <v>83</v>
      </c>
      <c r="B27" s="123"/>
      <c r="C27" s="123"/>
      <c r="D27" s="123"/>
      <c r="E27" s="130" t="s">
        <v>84</v>
      </c>
      <c r="F27" s="130"/>
      <c r="G27" s="130"/>
      <c r="H27" s="130"/>
    </row>
    <row r="28" spans="1:8" ht="15" customHeight="1" x14ac:dyDescent="0.35">
      <c r="A28" s="123" t="s">
        <v>33</v>
      </c>
      <c r="B28" s="123"/>
      <c r="C28" s="123"/>
      <c r="D28" s="123"/>
      <c r="E28" s="130" t="str">
        <f>IF(AND(ISNUMBER(SEARCH("Flat",D54)),ISNUMBER(SEARCH("Shop",D54)),ISNUMBER(SEARCH("Office",D54))),"Residential + Commercial",IF(AND(ISNUMBER(SEARCH("Flat",D54)),ISNUMBER(SEARCH("Shop",D54))),"Residential + Commercial",IF(AND(ISNUMBER(SEARCH("Flat",D54)),ISNUMBER(SEARCH("Office",D54))),"Residential + Commercial",IF(AND(ISNUMBER(SEARCH("Shop",D54)),ISNUMBER(SEARCH("Office",D54))),"Commercial",IF(ISNUMBER(SEARCH("Shop",D54)),"Commercial",IF(ISNUMBER(SEARCH("Office",D54)),"Commercial",IF(ISNUMBER(SEARCH("Flat",D54)),"Residentail")))))))</f>
        <v>Residential + Commercial</v>
      </c>
      <c r="F28" s="130"/>
      <c r="G28" s="130"/>
      <c r="H28" s="130"/>
    </row>
    <row r="29" spans="1:8" ht="15.75" customHeight="1" x14ac:dyDescent="0.35">
      <c r="A29" s="123" t="s">
        <v>95</v>
      </c>
      <c r="B29" s="123"/>
      <c r="C29" s="123"/>
      <c r="D29" s="123"/>
      <c r="E29" s="130" t="s">
        <v>34</v>
      </c>
      <c r="F29" s="130"/>
      <c r="G29" s="130"/>
      <c r="H29" s="130"/>
    </row>
    <row r="30" spans="1:8" s="18" customFormat="1" x14ac:dyDescent="0.35">
      <c r="A30" s="128" t="s">
        <v>96</v>
      </c>
      <c r="B30" s="128"/>
      <c r="C30" s="126" t="s">
        <v>29</v>
      </c>
      <c r="D30" s="126"/>
      <c r="E30" s="126"/>
      <c r="F30" s="126" t="s">
        <v>31</v>
      </c>
      <c r="G30" s="126"/>
      <c r="H30" s="126"/>
    </row>
    <row r="31" spans="1:8" s="18" customFormat="1" x14ac:dyDescent="0.35">
      <c r="A31" s="127" t="s">
        <v>25</v>
      </c>
      <c r="B31" s="127" t="s">
        <v>30</v>
      </c>
      <c r="C31" s="125" t="s">
        <v>30</v>
      </c>
      <c r="D31" s="125"/>
      <c r="E31" s="125"/>
      <c r="F31" s="125" t="s">
        <v>175</v>
      </c>
      <c r="G31" s="125"/>
      <c r="H31" s="125"/>
    </row>
    <row r="32" spans="1:8" x14ac:dyDescent="0.35">
      <c r="A32" s="127" t="s">
        <v>26</v>
      </c>
      <c r="B32" s="127" t="s">
        <v>30</v>
      </c>
      <c r="C32" s="125" t="s">
        <v>30</v>
      </c>
      <c r="D32" s="125"/>
      <c r="E32" s="125"/>
      <c r="F32" s="125" t="s">
        <v>175</v>
      </c>
      <c r="G32" s="125"/>
      <c r="H32" s="125"/>
    </row>
    <row r="33" spans="1:8" s="18" customFormat="1" x14ac:dyDescent="0.35">
      <c r="A33" s="127" t="s">
        <v>28</v>
      </c>
      <c r="B33" s="127" t="s">
        <v>30</v>
      </c>
      <c r="C33" s="125" t="s">
        <v>30</v>
      </c>
      <c r="D33" s="125"/>
      <c r="E33" s="125"/>
      <c r="F33" s="125" t="s">
        <v>173</v>
      </c>
      <c r="G33" s="125"/>
      <c r="H33" s="125"/>
    </row>
    <row r="34" spans="1:8" x14ac:dyDescent="0.35">
      <c r="A34" s="127" t="s">
        <v>27</v>
      </c>
      <c r="B34" s="127" t="s">
        <v>30</v>
      </c>
      <c r="C34" s="125" t="s">
        <v>30</v>
      </c>
      <c r="D34" s="125"/>
      <c r="E34" s="125"/>
      <c r="F34" s="125" t="s">
        <v>174</v>
      </c>
      <c r="G34" s="125"/>
      <c r="H34" s="125"/>
    </row>
    <row r="35" spans="1:8" x14ac:dyDescent="0.35">
      <c r="A35" s="123" t="s">
        <v>32</v>
      </c>
      <c r="B35" s="123"/>
      <c r="C35" s="123"/>
      <c r="D35" s="123"/>
      <c r="E35" s="123"/>
      <c r="F35" s="123"/>
      <c r="G35" s="123"/>
      <c r="H35" s="123"/>
    </row>
    <row r="36" spans="1:8" ht="15.75" customHeight="1" x14ac:dyDescent="0.35">
      <c r="A36" s="123" t="s">
        <v>216</v>
      </c>
      <c r="B36" s="123"/>
      <c r="C36" s="167" t="s">
        <v>217</v>
      </c>
      <c r="D36" s="167"/>
      <c r="E36" s="167"/>
      <c r="F36" s="167"/>
      <c r="G36" s="167"/>
      <c r="H36" s="167"/>
    </row>
    <row r="37" spans="1:8" ht="15.75" customHeight="1" x14ac:dyDescent="0.35">
      <c r="A37" s="123" t="s">
        <v>213</v>
      </c>
      <c r="B37" s="123"/>
      <c r="C37" s="168" t="s">
        <v>214</v>
      </c>
      <c r="D37" s="169"/>
      <c r="E37" s="169"/>
      <c r="F37" s="169"/>
      <c r="G37" s="169"/>
      <c r="H37" s="169"/>
    </row>
    <row r="38" spans="1:8" x14ac:dyDescent="0.35">
      <c r="A38" s="129" t="s">
        <v>35</v>
      </c>
      <c r="B38" s="129"/>
      <c r="C38" s="129"/>
      <c r="D38" s="129"/>
      <c r="E38" s="129"/>
      <c r="F38" s="129"/>
      <c r="G38" s="129"/>
      <c r="H38" s="129"/>
    </row>
    <row r="39" spans="1:8" x14ac:dyDescent="0.35">
      <c r="A39" s="123" t="s">
        <v>36</v>
      </c>
      <c r="B39" s="123"/>
      <c r="C39" s="123"/>
      <c r="D39" s="123"/>
      <c r="E39" s="124">
        <v>2337.7800000000002</v>
      </c>
      <c r="F39" s="124"/>
      <c r="G39" s="124"/>
      <c r="H39" s="124"/>
    </row>
    <row r="40" spans="1:8" x14ac:dyDescent="0.35">
      <c r="A40" s="123" t="s">
        <v>37</v>
      </c>
      <c r="B40" s="123"/>
      <c r="C40" s="123"/>
      <c r="D40" s="123"/>
      <c r="E40" s="132">
        <v>1.5</v>
      </c>
      <c r="F40" s="132"/>
      <c r="G40" s="132"/>
      <c r="H40" s="132"/>
    </row>
    <row r="41" spans="1:8" x14ac:dyDescent="0.35">
      <c r="A41" s="123" t="s">
        <v>38</v>
      </c>
      <c r="B41" s="123"/>
      <c r="C41" s="123"/>
      <c r="D41" s="123"/>
      <c r="E41" s="132">
        <f>E43/E39-E40</f>
        <v>2.3837375629871072</v>
      </c>
      <c r="F41" s="132"/>
      <c r="G41" s="132"/>
      <c r="H41" s="132"/>
    </row>
    <row r="42" spans="1:8" x14ac:dyDescent="0.35">
      <c r="A42" s="123" t="s">
        <v>39</v>
      </c>
      <c r="B42" s="123"/>
      <c r="C42" s="123"/>
      <c r="D42" s="123"/>
      <c r="E42" s="132">
        <f>E40+E41</f>
        <v>3.8837375629871072</v>
      </c>
      <c r="F42" s="132"/>
      <c r="G42" s="132"/>
      <c r="H42" s="132"/>
    </row>
    <row r="43" spans="1:8" x14ac:dyDescent="0.35">
      <c r="A43" s="123" t="s">
        <v>94</v>
      </c>
      <c r="B43" s="123"/>
      <c r="C43" s="123"/>
      <c r="D43" s="123"/>
      <c r="E43" s="133">
        <v>9079.3240000000005</v>
      </c>
      <c r="F43" s="133"/>
      <c r="G43" s="133"/>
      <c r="H43" s="133"/>
    </row>
    <row r="44" spans="1:8" x14ac:dyDescent="0.35">
      <c r="A44" s="68" t="s">
        <v>40</v>
      </c>
      <c r="B44" s="68"/>
      <c r="C44" s="68"/>
      <c r="D44" s="68"/>
      <c r="E44" s="68" t="s">
        <v>209</v>
      </c>
      <c r="F44" s="68"/>
      <c r="G44" s="68"/>
      <c r="H44" s="68"/>
    </row>
    <row r="45" spans="1:8" x14ac:dyDescent="0.35">
      <c r="A45" s="129" t="s">
        <v>41</v>
      </c>
      <c r="B45" s="129"/>
      <c r="C45" s="129"/>
      <c r="D45" s="129"/>
      <c r="E45" s="129"/>
      <c r="F45" s="129"/>
      <c r="G45" s="129"/>
      <c r="H45" s="129"/>
    </row>
    <row r="46" spans="1:8" ht="33.75" customHeight="1" x14ac:dyDescent="0.35">
      <c r="A46" s="145" t="s">
        <v>154</v>
      </c>
      <c r="B46" s="146"/>
      <c r="C46" s="147" t="s">
        <v>181</v>
      </c>
      <c r="D46" s="148"/>
      <c r="E46" s="148"/>
      <c r="F46" s="148"/>
      <c r="G46" s="148"/>
      <c r="H46" s="149"/>
    </row>
    <row r="47" spans="1:8" ht="15.75" customHeight="1" x14ac:dyDescent="0.35">
      <c r="A47" s="145" t="s">
        <v>42</v>
      </c>
      <c r="B47" s="146"/>
      <c r="C47" s="150" t="s">
        <v>221</v>
      </c>
      <c r="D47" s="151"/>
      <c r="E47" s="140"/>
      <c r="F47" s="41" t="s">
        <v>43</v>
      </c>
      <c r="G47" s="139">
        <v>45415</v>
      </c>
      <c r="H47" s="140"/>
    </row>
    <row r="48" spans="1:8" x14ac:dyDescent="0.35">
      <c r="A48" s="145" t="s">
        <v>44</v>
      </c>
      <c r="B48" s="146"/>
      <c r="C48" s="150" t="str">
        <f>C47</f>
        <v>PNP/NRV/16282/J.K.1307/2024</v>
      </c>
      <c r="D48" s="151"/>
      <c r="E48" s="140"/>
      <c r="F48" s="41" t="s">
        <v>43</v>
      </c>
      <c r="G48" s="139">
        <v>45415</v>
      </c>
      <c r="H48" s="140"/>
    </row>
    <row r="49" spans="1:14" s="19" customFormat="1" ht="32.25" customHeight="1" x14ac:dyDescent="0.35">
      <c r="A49" s="141" t="s">
        <v>158</v>
      </c>
      <c r="B49" s="142"/>
      <c r="C49" s="150" t="s">
        <v>218</v>
      </c>
      <c r="D49" s="151"/>
      <c r="E49" s="140"/>
      <c r="F49" s="41" t="s">
        <v>43</v>
      </c>
      <c r="G49" s="139">
        <v>45415</v>
      </c>
      <c r="H49" s="140"/>
    </row>
    <row r="50" spans="1:14" s="19" customFormat="1" ht="33" customHeight="1" x14ac:dyDescent="0.35">
      <c r="A50" s="143"/>
      <c r="B50" s="144"/>
      <c r="C50" s="150" t="s">
        <v>227</v>
      </c>
      <c r="D50" s="151"/>
      <c r="E50" s="151"/>
      <c r="F50" s="151"/>
      <c r="G50" s="151"/>
      <c r="H50" s="140"/>
    </row>
    <row r="51" spans="1:14" x14ac:dyDescent="0.35">
      <c r="A51" s="152" t="s">
        <v>45</v>
      </c>
      <c r="B51" s="153"/>
      <c r="C51" s="154" t="s">
        <v>219</v>
      </c>
      <c r="D51" s="155"/>
      <c r="E51" s="156"/>
      <c r="F51" s="42" t="s">
        <v>43</v>
      </c>
      <c r="G51" s="158" t="s">
        <v>30</v>
      </c>
      <c r="H51" s="149"/>
    </row>
    <row r="52" spans="1:14" x14ac:dyDescent="0.35">
      <c r="A52" s="157" t="s">
        <v>47</v>
      </c>
      <c r="B52" s="157"/>
      <c r="C52" s="157"/>
      <c r="D52" s="157"/>
      <c r="E52" s="157"/>
      <c r="F52" s="157"/>
      <c r="G52" s="157"/>
      <c r="H52" s="157"/>
    </row>
    <row r="53" spans="1:14" x14ac:dyDescent="0.35">
      <c r="A53" s="134" t="s">
        <v>93</v>
      </c>
      <c r="B53" s="134"/>
      <c r="C53" s="134"/>
      <c r="D53" s="123">
        <f>E43</f>
        <v>9079.3240000000005</v>
      </c>
      <c r="E53" s="123"/>
      <c r="F53" s="123"/>
      <c r="G53" s="123"/>
      <c r="H53" s="123"/>
    </row>
    <row r="54" spans="1:14" x14ac:dyDescent="0.35">
      <c r="A54" s="130" t="s">
        <v>48</v>
      </c>
      <c r="B54" s="68"/>
      <c r="C54" s="68"/>
      <c r="D54" s="68" t="s">
        <v>226</v>
      </c>
      <c r="E54" s="68"/>
      <c r="F54" s="68"/>
      <c r="G54" s="68"/>
      <c r="H54" s="68"/>
      <c r="I54" s="20"/>
    </row>
    <row r="55" spans="1:14" ht="15.75" customHeight="1" x14ac:dyDescent="0.35">
      <c r="A55" s="130" t="s">
        <v>49</v>
      </c>
      <c r="B55" s="130"/>
      <c r="C55" s="130"/>
      <c r="D55" s="130" t="s">
        <v>225</v>
      </c>
      <c r="E55" s="68"/>
      <c r="F55" s="68"/>
      <c r="G55" s="68"/>
      <c r="H55" s="68"/>
    </row>
    <row r="56" spans="1:14" ht="15.75" customHeight="1" x14ac:dyDescent="0.35">
      <c r="A56" s="130" t="s">
        <v>91</v>
      </c>
      <c r="B56" s="130"/>
      <c r="C56" s="130"/>
      <c r="D56" s="68" t="s">
        <v>225</v>
      </c>
      <c r="E56" s="68"/>
      <c r="F56" s="68"/>
      <c r="G56" s="68"/>
      <c r="H56" s="68"/>
    </row>
    <row r="57" spans="1:14" ht="15.75" customHeight="1" x14ac:dyDescent="0.35">
      <c r="A57" s="123" t="s">
        <v>46</v>
      </c>
      <c r="B57" s="123"/>
      <c r="C57" s="123"/>
      <c r="D57" s="130" t="s">
        <v>182</v>
      </c>
      <c r="E57" s="130"/>
      <c r="F57" s="130"/>
      <c r="G57" s="130"/>
      <c r="H57" s="130"/>
      <c r="J57" s="21"/>
      <c r="K57" s="20"/>
      <c r="N57" s="20"/>
    </row>
    <row r="58" spans="1:14" ht="15.75" customHeight="1" x14ac:dyDescent="0.35">
      <c r="A58" s="123" t="s">
        <v>89</v>
      </c>
      <c r="B58" s="123"/>
      <c r="C58" s="123"/>
      <c r="D58" s="131" t="str">
        <f>(IF(G51="NA","60 Years After Completion",IF(G51&lt;&gt;"NA",""&amp;60-ROUNDDOWN((E3-G51)/360,0)&amp;" Years"," ")))</f>
        <v>60 Years After Completion</v>
      </c>
      <c r="E58" s="131"/>
      <c r="F58" s="131"/>
      <c r="G58" s="131"/>
      <c r="H58" s="131"/>
      <c r="N58" s="20"/>
    </row>
    <row r="59" spans="1:14" ht="15.75" customHeight="1" x14ac:dyDescent="0.35">
      <c r="A59" s="123" t="s">
        <v>90</v>
      </c>
      <c r="B59" s="123"/>
      <c r="C59" s="123"/>
      <c r="D59" s="134" t="s">
        <v>24</v>
      </c>
      <c r="E59" s="134"/>
      <c r="F59" s="134"/>
      <c r="G59" s="134"/>
      <c r="H59" s="134"/>
      <c r="J59" s="15"/>
      <c r="K59" s="15"/>
    </row>
    <row r="60" spans="1:14" ht="15" hidden="1" customHeight="1" x14ac:dyDescent="0.35">
      <c r="A60" s="123" t="s">
        <v>77</v>
      </c>
      <c r="B60" s="123"/>
      <c r="C60" s="123"/>
      <c r="D60" s="130" t="s">
        <v>152</v>
      </c>
      <c r="E60" s="134"/>
      <c r="F60" s="134"/>
      <c r="G60" s="134"/>
      <c r="H60" s="134"/>
    </row>
    <row r="61" spans="1:14" x14ac:dyDescent="0.35">
      <c r="A61" s="134" t="s">
        <v>153</v>
      </c>
      <c r="B61" s="134"/>
      <c r="C61" s="134"/>
      <c r="D61" s="134" t="s">
        <v>30</v>
      </c>
      <c r="E61" s="134"/>
      <c r="F61" s="134"/>
      <c r="G61" s="134"/>
      <c r="H61" s="134"/>
      <c r="I61" s="22"/>
      <c r="J61" s="22"/>
      <c r="K61" s="22"/>
      <c r="L61" s="22"/>
      <c r="M61" s="22"/>
      <c r="N61" s="22"/>
    </row>
    <row r="62" spans="1:14" ht="15.75" customHeight="1" x14ac:dyDescent="0.35">
      <c r="A62" s="123" t="s">
        <v>88</v>
      </c>
      <c r="B62" s="123"/>
      <c r="C62" s="123"/>
      <c r="D62" s="130" t="str">
        <f ca="1">(IF(G68&gt;95%,"Nothing",IF(G68&gt;0%,"Cement, Aggregate, Steel, etc",IF(G68=0%,"Work not yet Started"))))</f>
        <v>Cement, Aggregate, Steel, etc</v>
      </c>
      <c r="E62" s="130"/>
      <c r="F62" s="130"/>
      <c r="G62" s="130"/>
      <c r="H62" s="130"/>
      <c r="J62" s="15"/>
    </row>
    <row r="63" spans="1:14" ht="33.75" customHeight="1" thickBot="1" x14ac:dyDescent="0.4">
      <c r="A63" s="134" t="s">
        <v>120</v>
      </c>
      <c r="B63" s="134"/>
      <c r="C63" s="134"/>
      <c r="D63" s="130" t="str">
        <f ca="1">(IF(D62="Nothing","Yes",IF(D62="Cement, Aggregate, Steel, etc","Under Construction",IF(D62="Work not yet Started","Work not yet Started"))))</f>
        <v>Under Construction</v>
      </c>
      <c r="E63" s="130"/>
      <c r="F63" s="130" t="str">
        <f ca="1">(IF(D62="Nothing","Yes",IF(D62="Cement, Aggregate, Steel, etc","Under Construction",IF(D62="Work not yet Started","Work not yet Started"))))</f>
        <v>Under Construction</v>
      </c>
      <c r="G63" s="130"/>
      <c r="H63" s="130"/>
    </row>
    <row r="64" spans="1:14" ht="15.75" customHeight="1" x14ac:dyDescent="0.35">
      <c r="A64" s="159" t="s">
        <v>144</v>
      </c>
      <c r="B64" s="159"/>
      <c r="C64" s="159" t="str">
        <f>D56</f>
        <v>Gr/St + 2P + 3rd to 14th Floor</v>
      </c>
      <c r="D64" s="159"/>
      <c r="E64" s="159"/>
      <c r="F64" s="159"/>
      <c r="G64" s="159"/>
      <c r="H64" s="159"/>
      <c r="I64" s="14" t="str">
        <f ca="1">(IF(E68&gt;99%,"All work completed. Please provide OC.",IF(E68&gt;89.8%,"Plinth, RCC, Brick, Plaster, Flooring, Painting work Completed. Finishing work is in process.",IF(E68&lt;94%,(IF(C68=0,"Work not yet Started.",IF(D68=25%,"Piling work in process",IF(D68=50%,"Excavation work in process",IF(D68=100%,"Excavation work Completed. ","0")))&amp;(IF(C69=0%,"",IF(C69=J70,"Footing work is process",IF(C69=J71,"Footing work Completed",IF(C69=J72,"1st Basement Completed",IF(C69=J73,"1st &amp; 2nd Basement Completed",IF(C69=J74,"1st to 3rd Basement Completed",IF(C69=J75,"1st to 4th Basement Completed",IF(C69=J76,"Plinth work is process",IF(C69=J77,"Plinth work completed","0")))))))))))&amp;(IF(C70=(D65+F65+H65),", RCC Slab Completed",IF(C70&gt;0,", RCC upto "&amp;C70&amp;" Slab Completed",""))&amp;(IF(C71=H65,", Brickwork Completed",IF(C71&gt;0,", Brickwork upto "&amp;C71&amp;" Floor Completed",""))&amp;(IF(C72=H65,", Internal Plaster Completed",IF(C72&gt;0,", Internal Plaster upto "&amp;C72&amp;" Floor Completed",""))&amp;(IF(C73=H65,", External Plaster Completed",IF(C73&gt;0,", External Plaster upto "&amp;C73&amp;" Floor Completed",""))&amp;(IF(C74=H65,", Flooring Completed",IF(C74&gt;0,", Flooring upto "&amp;C74&amp;" Floor Completed",""))&amp;(IF(C75=H65,", Painting Completed",IF(C75&gt;0,", Painting upto "&amp;C75&amp;" Floor Completed",""))&amp;(IF(C76&gt;0,", Finishing upto "&amp;C76&amp;" Floor Completed","")&amp;(IF(C70&gt;0.5,".",""))))))))))))))</f>
        <v>Excavation work Completed. Plinth work completed, RCC Slab Completed, Brickwork Completed, Internal Plaster Completed, External Plaster Completed, Flooring upto 12 Floor Completed, Painting upto 12 Floor Completed.</v>
      </c>
      <c r="J64" s="23"/>
    </row>
    <row r="65" spans="1:13" x14ac:dyDescent="0.35">
      <c r="A65" s="63" t="s">
        <v>146</v>
      </c>
      <c r="B65" s="63">
        <v>0</v>
      </c>
      <c r="C65" s="63" t="s">
        <v>74</v>
      </c>
      <c r="D65" s="63">
        <v>1</v>
      </c>
      <c r="E65" s="63" t="s">
        <v>73</v>
      </c>
      <c r="F65" s="63">
        <v>0</v>
      </c>
      <c r="G65" s="63" t="s">
        <v>82</v>
      </c>
      <c r="H65" s="63">
        <f ca="1">--TRIM(RIGHT(SUBSTITUTE(LEFT(C64,_xlfn.AGGREGATE(16,6,FIND({0,1,2,3,4,5,6,7,8,9},C64,ROW(INDIRECT("1:"&amp;LEN(C64)))),1))," ",REPT(" ",LEN(C64))),LEN(C64)))</f>
        <v>14</v>
      </c>
      <c r="I65" s="15"/>
      <c r="J65" s="24"/>
    </row>
    <row r="66" spans="1:13" ht="64.900000000000006" customHeight="1" x14ac:dyDescent="0.35">
      <c r="A66" s="138" t="s">
        <v>92</v>
      </c>
      <c r="B66" s="138"/>
      <c r="C66" s="159" t="str">
        <f ca="1">(IF($G$51="NA",I64,"All work Completed. OC Received."))</f>
        <v>Excavation work Completed. Plinth work completed, RCC Slab Completed, Brickwork Completed, Internal Plaster Completed, External Plaster Completed, Flooring upto 12 Floor Completed, Painting upto 12 Floor Completed.</v>
      </c>
      <c r="D66" s="159"/>
      <c r="E66" s="159"/>
      <c r="F66" s="159"/>
      <c r="G66" s="159"/>
      <c r="H66" s="159"/>
      <c r="I66" s="15" t="s">
        <v>106</v>
      </c>
      <c r="J66" s="24"/>
    </row>
    <row r="67" spans="1:13" ht="15.75" customHeight="1" x14ac:dyDescent="0.35">
      <c r="A67" s="108" t="s">
        <v>50</v>
      </c>
      <c r="B67" s="109"/>
      <c r="C67" s="51" t="s">
        <v>143</v>
      </c>
      <c r="D67" s="51" t="s">
        <v>85</v>
      </c>
      <c r="E67" s="109" t="s">
        <v>87</v>
      </c>
      <c r="F67" s="109"/>
      <c r="G67" s="109" t="s">
        <v>86</v>
      </c>
      <c r="H67" s="160"/>
      <c r="I67" s="13" t="s">
        <v>145</v>
      </c>
      <c r="J67" s="25">
        <f ca="1">H65*25%</f>
        <v>3.5</v>
      </c>
    </row>
    <row r="68" spans="1:13" x14ac:dyDescent="0.35">
      <c r="A68" s="108" t="s">
        <v>132</v>
      </c>
      <c r="B68" s="109"/>
      <c r="C68" s="51">
        <f ca="1">J69</f>
        <v>14</v>
      </c>
      <c r="D68" s="45">
        <f ca="1">((100/H65)*C68)/100</f>
        <v>1</v>
      </c>
      <c r="E68" s="112">
        <f ca="1">(((C69/H65*10)+(40/(D65+F65+H65)*C70)+(7.5/(H65)*C71)+(7.5/(H65)*C72)+(10/H65*C73)+(10/H65*C74)+(5/H65*C75)+(5/H65*C76)+(5/H65*C77))/100)</f>
        <v>0.87857142857142856</v>
      </c>
      <c r="F68" s="113"/>
      <c r="G68" s="112">
        <f ca="1">((((C68/H65)*20)+((C69/H65)*25)+(30/(H65+F65+D65)*C70)+(5/H65*C71)+(5/H65*C72)+(5/H65*C73)+(5/H65*C74)+(0/H65*C75)+(0/H65*C76)+(5/H65*C77))/100)</f>
        <v>0.94285714285714295</v>
      </c>
      <c r="H68" s="118"/>
      <c r="I68" s="13" t="s">
        <v>101</v>
      </c>
      <c r="J68" s="26">
        <f ca="1">H65*50%</f>
        <v>7</v>
      </c>
    </row>
    <row r="69" spans="1:13" x14ac:dyDescent="0.35">
      <c r="A69" s="108" t="s">
        <v>51</v>
      </c>
      <c r="B69" s="109"/>
      <c r="C69" s="46">
        <v>14</v>
      </c>
      <c r="D69" s="45">
        <f ca="1">((100/H65)*C69)/100</f>
        <v>1</v>
      </c>
      <c r="E69" s="114"/>
      <c r="F69" s="115"/>
      <c r="G69" s="114"/>
      <c r="H69" s="119"/>
      <c r="I69" s="13" t="s">
        <v>102</v>
      </c>
      <c r="J69" s="26">
        <f ca="1">H65</f>
        <v>14</v>
      </c>
    </row>
    <row r="70" spans="1:13" ht="15.75" customHeight="1" x14ac:dyDescent="0.35">
      <c r="A70" s="108" t="s">
        <v>133</v>
      </c>
      <c r="B70" s="109"/>
      <c r="C70" s="51">
        <v>15</v>
      </c>
      <c r="D70" s="45">
        <f ca="1">((100/(D65+F65+H65))*C70)/100</f>
        <v>1</v>
      </c>
      <c r="E70" s="114"/>
      <c r="F70" s="115"/>
      <c r="G70" s="114"/>
      <c r="H70" s="119"/>
      <c r="I70" s="13" t="s">
        <v>103</v>
      </c>
      <c r="J70" s="27">
        <f ca="1">(IF(B65&gt;1,(H65/(B65+2)),H65/4))</f>
        <v>3.5</v>
      </c>
    </row>
    <row r="71" spans="1:13" ht="15.75" customHeight="1" x14ac:dyDescent="0.35">
      <c r="A71" s="108" t="s">
        <v>140</v>
      </c>
      <c r="B71" s="109" t="s">
        <v>134</v>
      </c>
      <c r="C71" s="51">
        <v>14</v>
      </c>
      <c r="D71" s="45">
        <f ca="1">((100/H65)*C71)/100</f>
        <v>1</v>
      </c>
      <c r="E71" s="114"/>
      <c r="F71" s="115"/>
      <c r="G71" s="114"/>
      <c r="H71" s="119"/>
      <c r="I71" s="13" t="s">
        <v>104</v>
      </c>
      <c r="J71" s="27">
        <f ca="1">(IF(B65&gt;1,(H65/(B65+2)+J70),H65/4+J70))</f>
        <v>7</v>
      </c>
    </row>
    <row r="72" spans="1:13" ht="15.75" customHeight="1" x14ac:dyDescent="0.35">
      <c r="A72" s="108" t="s">
        <v>141</v>
      </c>
      <c r="B72" s="109" t="s">
        <v>134</v>
      </c>
      <c r="C72" s="51">
        <v>14</v>
      </c>
      <c r="D72" s="45">
        <f ca="1">((100/H65)*C72)/100</f>
        <v>1</v>
      </c>
      <c r="E72" s="114"/>
      <c r="F72" s="115"/>
      <c r="G72" s="114"/>
      <c r="H72" s="119"/>
      <c r="I72" s="13" t="s">
        <v>150</v>
      </c>
      <c r="J72" s="27">
        <f>(IF(B65&gt;1,(H65/(B65+2)+J71),0))</f>
        <v>0</v>
      </c>
    </row>
    <row r="73" spans="1:13" ht="15" customHeight="1" x14ac:dyDescent="0.35">
      <c r="A73" s="108" t="s">
        <v>139</v>
      </c>
      <c r="B73" s="109" t="s">
        <v>136</v>
      </c>
      <c r="C73" s="51">
        <v>14</v>
      </c>
      <c r="D73" s="45">
        <f ca="1">((100/(H65))*C73)/100</f>
        <v>1</v>
      </c>
      <c r="E73" s="114"/>
      <c r="F73" s="115"/>
      <c r="G73" s="114"/>
      <c r="H73" s="119"/>
      <c r="I73" s="13" t="s">
        <v>147</v>
      </c>
      <c r="J73" s="27">
        <f>(IF(B65&gt;2,(H65/(B65+2)+J72),0))</f>
        <v>0</v>
      </c>
    </row>
    <row r="74" spans="1:13" ht="15.75" customHeight="1" x14ac:dyDescent="0.35">
      <c r="A74" s="108" t="s">
        <v>135</v>
      </c>
      <c r="B74" s="109" t="s">
        <v>135</v>
      </c>
      <c r="C74" s="51">
        <v>12</v>
      </c>
      <c r="D74" s="45">
        <f ca="1">((100/H65)*C74)/100</f>
        <v>0.85714285714285721</v>
      </c>
      <c r="E74" s="114"/>
      <c r="F74" s="115"/>
      <c r="G74" s="114"/>
      <c r="H74" s="119"/>
      <c r="I74" s="13" t="s">
        <v>148</v>
      </c>
      <c r="J74" s="28">
        <f>(IF(B65&gt;3,(H65/(B65+2)+J73),0))</f>
        <v>0</v>
      </c>
    </row>
    <row r="75" spans="1:13" ht="15.75" customHeight="1" x14ac:dyDescent="0.35">
      <c r="A75" s="108" t="s">
        <v>142</v>
      </c>
      <c r="B75" s="109"/>
      <c r="C75" s="51">
        <v>12</v>
      </c>
      <c r="D75" s="45">
        <f ca="1">((100/H65)*C75)/100</f>
        <v>0.85714285714285721</v>
      </c>
      <c r="E75" s="114"/>
      <c r="F75" s="115"/>
      <c r="G75" s="114"/>
      <c r="H75" s="119"/>
      <c r="I75" s="13" t="s">
        <v>149</v>
      </c>
      <c r="J75" s="27">
        <f>(IF(B65&gt;4,(H65/(B65+2)+J74),0))</f>
        <v>0</v>
      </c>
    </row>
    <row r="76" spans="1:13" ht="15.75" customHeight="1" x14ac:dyDescent="0.35">
      <c r="A76" s="108" t="s">
        <v>137</v>
      </c>
      <c r="B76" s="109" t="s">
        <v>137</v>
      </c>
      <c r="C76" s="51">
        <v>0</v>
      </c>
      <c r="D76" s="45">
        <f ca="1">((100/(H65))*C76)/100</f>
        <v>0</v>
      </c>
      <c r="E76" s="114"/>
      <c r="F76" s="115"/>
      <c r="G76" s="114"/>
      <c r="H76" s="119"/>
      <c r="I76" s="13" t="s">
        <v>151</v>
      </c>
      <c r="J76" s="27">
        <f ca="1">(IF(B65=1,(H65/(B65+3)+J71),IF(B65=0,(H65/4+J71),IF(B65&gt;1,0))))</f>
        <v>10.5</v>
      </c>
    </row>
    <row r="77" spans="1:13" ht="16" thickBot="1" x14ac:dyDescent="0.4">
      <c r="A77" s="121" t="s">
        <v>138</v>
      </c>
      <c r="B77" s="122"/>
      <c r="C77" s="53">
        <v>0</v>
      </c>
      <c r="D77" s="47">
        <f ca="1">((100/(H65))*C77)/100</f>
        <v>0</v>
      </c>
      <c r="E77" s="116"/>
      <c r="F77" s="117"/>
      <c r="G77" s="116"/>
      <c r="H77" s="120"/>
      <c r="I77" s="16" t="s">
        <v>105</v>
      </c>
      <c r="J77" s="29">
        <f ca="1">(IF(B65&gt;1.5,(H65/(B65+2)+J71+MAX(0,J72-J71)+MAX(0,J73-J72)+MAX(0,J74-J73)+MAX(0,J75-J74)+MAX(0,J76-J75)),IF(B65=1,(H65/(B65+3)+J76),IF(B65=0,H65/4+J76))))</f>
        <v>14</v>
      </c>
    </row>
    <row r="78" spans="1:13" x14ac:dyDescent="0.35">
      <c r="A78" s="103" t="s">
        <v>160</v>
      </c>
      <c r="B78" s="103"/>
      <c r="C78" s="103"/>
      <c r="D78" s="103"/>
      <c r="E78" s="103"/>
      <c r="F78" s="104" t="s">
        <v>164</v>
      </c>
      <c r="G78" s="104"/>
      <c r="H78" s="104"/>
    </row>
    <row r="79" spans="1:13" x14ac:dyDescent="0.35">
      <c r="A79" s="68" t="s">
        <v>162</v>
      </c>
      <c r="B79" s="68"/>
      <c r="C79" s="68"/>
      <c r="D79" s="68"/>
      <c r="E79" s="68"/>
      <c r="F79" s="67">
        <v>8000</v>
      </c>
      <c r="G79" s="67"/>
      <c r="H79" s="67"/>
    </row>
    <row r="80" spans="1:13" x14ac:dyDescent="0.35">
      <c r="A80" s="68" t="s">
        <v>161</v>
      </c>
      <c r="B80" s="68"/>
      <c r="C80" s="68"/>
      <c r="D80" s="68"/>
      <c r="E80" s="68"/>
      <c r="F80" s="67">
        <v>16000</v>
      </c>
      <c r="G80" s="67"/>
      <c r="H80" s="67"/>
      <c r="I80" s="17" t="s">
        <v>202</v>
      </c>
      <c r="J80" s="17" t="s">
        <v>205</v>
      </c>
      <c r="K80" s="17" t="s">
        <v>206</v>
      </c>
      <c r="M80" s="17" t="s">
        <v>207</v>
      </c>
    </row>
    <row r="81" spans="1:13" x14ac:dyDescent="0.35">
      <c r="A81" s="68" t="s">
        <v>163</v>
      </c>
      <c r="B81" s="68"/>
      <c r="C81" s="68"/>
      <c r="D81" s="68"/>
      <c r="E81" s="68"/>
      <c r="F81" s="67">
        <v>10000</v>
      </c>
      <c r="G81" s="67"/>
      <c r="H81" s="67"/>
      <c r="I81" s="17" t="s">
        <v>203</v>
      </c>
      <c r="J81" s="17">
        <v>8000</v>
      </c>
      <c r="K81" s="56">
        <f>100*D123</f>
        <v>84899.435400000002</v>
      </c>
      <c r="M81" s="56">
        <f>400*D123</f>
        <v>339597.74160000001</v>
      </c>
    </row>
    <row r="82" spans="1:13" s="30" customFormat="1" x14ac:dyDescent="0.35">
      <c r="A82" s="68" t="s">
        <v>208</v>
      </c>
      <c r="B82" s="68"/>
      <c r="C82" s="68"/>
      <c r="D82" s="68"/>
      <c r="E82" s="68"/>
      <c r="F82" s="71">
        <v>50</v>
      </c>
      <c r="G82" s="71"/>
      <c r="H82" s="71"/>
      <c r="I82" s="30" t="s">
        <v>204</v>
      </c>
      <c r="J82" s="30">
        <v>16000</v>
      </c>
      <c r="K82" s="56">
        <f>100*D124</f>
        <v>71676.39959999999</v>
      </c>
      <c r="M82" s="56">
        <f>400*D124</f>
        <v>286705.59839999996</v>
      </c>
    </row>
    <row r="83" spans="1:13" s="30" customFormat="1" x14ac:dyDescent="0.35">
      <c r="A83" s="68" t="s">
        <v>97</v>
      </c>
      <c r="B83" s="68"/>
      <c r="C83" s="68"/>
      <c r="D83" s="68"/>
      <c r="E83" s="68"/>
      <c r="F83" s="71">
        <v>350000</v>
      </c>
      <c r="G83" s="71"/>
      <c r="H83" s="71"/>
      <c r="K83" s="56" t="e">
        <f>100*#REF!</f>
        <v>#REF!</v>
      </c>
      <c r="M83" s="56">
        <f>400*D129</f>
        <v>251091.82799999998</v>
      </c>
    </row>
    <row r="84" spans="1:13" s="30" customFormat="1" x14ac:dyDescent="0.3">
      <c r="A84" s="68" t="s">
        <v>200</v>
      </c>
      <c r="B84" s="68"/>
      <c r="C84" s="68"/>
      <c r="D84" s="68"/>
      <c r="E84" s="68"/>
      <c r="F84" s="71">
        <v>300000</v>
      </c>
      <c r="G84" s="71"/>
      <c r="H84" s="71"/>
      <c r="K84" s="57" t="e">
        <f>AVERAGE(K81:K83)</f>
        <v>#REF!</v>
      </c>
      <c r="M84" s="57">
        <f>AVERAGE(M81:M83)</f>
        <v>292465.05599999998</v>
      </c>
    </row>
    <row r="85" spans="1:13" s="30" customFormat="1" hidden="1" x14ac:dyDescent="0.3">
      <c r="A85" s="68" t="s">
        <v>165</v>
      </c>
      <c r="B85" s="68"/>
      <c r="C85" s="68"/>
      <c r="D85" s="68"/>
      <c r="E85" s="68"/>
      <c r="F85" s="67"/>
      <c r="G85" s="67"/>
      <c r="H85" s="67"/>
    </row>
    <row r="86" spans="1:13" s="30" customFormat="1" hidden="1" x14ac:dyDescent="0.3">
      <c r="A86" s="68" t="s">
        <v>98</v>
      </c>
      <c r="B86" s="68"/>
      <c r="C86" s="68"/>
      <c r="D86" s="68"/>
      <c r="E86" s="68"/>
      <c r="F86" s="67"/>
      <c r="G86" s="67"/>
      <c r="H86" s="67"/>
    </row>
    <row r="87" spans="1:13" s="30" customFormat="1" hidden="1" x14ac:dyDescent="0.3">
      <c r="A87" s="68" t="s">
        <v>99</v>
      </c>
      <c r="B87" s="68"/>
      <c r="C87" s="68"/>
      <c r="D87" s="68"/>
      <c r="E87" s="68"/>
      <c r="F87" s="67"/>
      <c r="G87" s="67"/>
      <c r="H87" s="67"/>
    </row>
    <row r="88" spans="1:13" s="30" customFormat="1" x14ac:dyDescent="0.3">
      <c r="A88" s="68" t="s">
        <v>201</v>
      </c>
      <c r="B88" s="68"/>
      <c r="C88" s="68"/>
      <c r="D88" s="68"/>
      <c r="E88" s="68"/>
      <c r="F88" s="71">
        <v>120000</v>
      </c>
      <c r="G88" s="71"/>
      <c r="H88" s="71"/>
    </row>
    <row r="89" spans="1:13" s="30" customFormat="1" hidden="1" x14ac:dyDescent="0.3">
      <c r="A89" s="68" t="s">
        <v>100</v>
      </c>
      <c r="B89" s="68"/>
      <c r="C89" s="68"/>
      <c r="D89" s="68"/>
      <c r="E89" s="68"/>
      <c r="F89" s="67"/>
      <c r="G89" s="67"/>
      <c r="H89" s="67"/>
    </row>
    <row r="90" spans="1:13" x14ac:dyDescent="0.35">
      <c r="A90" s="68" t="s">
        <v>52</v>
      </c>
      <c r="B90" s="68"/>
      <c r="C90" s="68"/>
      <c r="D90" s="68"/>
      <c r="E90" s="68"/>
      <c r="F90" s="71">
        <v>500000</v>
      </c>
      <c r="G90" s="71"/>
      <c r="H90" s="71"/>
    </row>
    <row r="91" spans="1:13" s="31" customFormat="1" x14ac:dyDescent="0.35">
      <c r="A91" s="138" t="s">
        <v>53</v>
      </c>
      <c r="B91" s="138"/>
      <c r="C91" s="138"/>
      <c r="D91" s="138"/>
      <c r="E91" s="138"/>
      <c r="F91" s="67">
        <f>F79*0.8</f>
        <v>6400</v>
      </c>
      <c r="G91" s="67"/>
      <c r="H91" s="67"/>
    </row>
    <row r="92" spans="1:13" s="32" customFormat="1" ht="15.75" customHeight="1" x14ac:dyDescent="0.35">
      <c r="A92" s="75" t="s">
        <v>196</v>
      </c>
      <c r="B92" s="75"/>
      <c r="C92" s="75"/>
      <c r="D92" s="75"/>
      <c r="E92" s="75"/>
      <c r="F92" s="75"/>
      <c r="G92" s="75"/>
      <c r="H92" s="75"/>
    </row>
    <row r="93" spans="1:13" s="32" customFormat="1" ht="15.75" customHeight="1" x14ac:dyDescent="0.35">
      <c r="A93" s="72" t="s">
        <v>54</v>
      </c>
      <c r="B93" s="72"/>
      <c r="C93" s="73" t="s">
        <v>80</v>
      </c>
      <c r="D93" s="73"/>
      <c r="E93" s="74" t="s">
        <v>55</v>
      </c>
      <c r="F93" s="74"/>
      <c r="G93" s="72" t="s">
        <v>56</v>
      </c>
      <c r="H93" s="72"/>
    </row>
    <row r="94" spans="1:13" s="32" customFormat="1" x14ac:dyDescent="0.35">
      <c r="A94" s="96" t="s">
        <v>194</v>
      </c>
      <c r="B94" s="96"/>
      <c r="C94" s="76">
        <f>COUNT(D105:D115)</f>
        <v>11</v>
      </c>
      <c r="D94" s="77"/>
      <c r="E94" s="78">
        <f>SUM(D105:D115)</f>
        <v>4680.8115119999993</v>
      </c>
      <c r="F94" s="79"/>
      <c r="G94" s="78">
        <f>SUM(F105:F115)</f>
        <v>10409</v>
      </c>
      <c r="H94" s="79"/>
    </row>
    <row r="95" spans="1:13" s="32" customFormat="1" ht="15.75" customHeight="1" x14ac:dyDescent="0.35">
      <c r="A95" s="75" t="s">
        <v>197</v>
      </c>
      <c r="B95" s="75"/>
      <c r="C95" s="75"/>
      <c r="D95" s="75"/>
      <c r="E95" s="75"/>
      <c r="F95" s="75"/>
      <c r="G95" s="75"/>
      <c r="H95" s="75"/>
    </row>
    <row r="96" spans="1:13" s="32" customFormat="1" ht="15.75" customHeight="1" x14ac:dyDescent="0.35">
      <c r="A96" s="72" t="s">
        <v>54</v>
      </c>
      <c r="B96" s="72"/>
      <c r="C96" s="73" t="s">
        <v>80</v>
      </c>
      <c r="D96" s="73"/>
      <c r="E96" s="74" t="s">
        <v>55</v>
      </c>
      <c r="F96" s="74"/>
      <c r="G96" s="72" t="s">
        <v>56</v>
      </c>
      <c r="H96" s="72"/>
    </row>
    <row r="97" spans="1:14" s="32" customFormat="1" x14ac:dyDescent="0.35">
      <c r="A97" s="96" t="s">
        <v>198</v>
      </c>
      <c r="B97" s="96"/>
      <c r="C97" s="76">
        <f>COUNT(D117:D118)</f>
        <v>2</v>
      </c>
      <c r="D97" s="77"/>
      <c r="E97" s="78">
        <f>SUM(D117:D118)</f>
        <v>1119.6820440000001</v>
      </c>
      <c r="F97" s="79"/>
      <c r="G97" s="78">
        <f>SUM(F117:F118)</f>
        <v>2233</v>
      </c>
      <c r="H97" s="79"/>
      <c r="J97" s="58">
        <f>SUM(G94,G97,G100)</f>
        <v>115342</v>
      </c>
      <c r="K97" s="58">
        <f>SUM(E94,E97,E100)</f>
        <v>66344.570604000008</v>
      </c>
    </row>
    <row r="98" spans="1:14" s="32" customFormat="1" x14ac:dyDescent="0.35">
      <c r="A98" s="75" t="s">
        <v>72</v>
      </c>
      <c r="B98" s="75"/>
      <c r="C98" s="75"/>
      <c r="D98" s="75"/>
      <c r="E98" s="75"/>
      <c r="F98" s="75"/>
      <c r="G98" s="75"/>
      <c r="H98" s="75"/>
    </row>
    <row r="99" spans="1:14" s="32" customFormat="1" ht="15.75" customHeight="1" x14ac:dyDescent="0.35">
      <c r="A99" s="72" t="s">
        <v>54</v>
      </c>
      <c r="B99" s="72"/>
      <c r="C99" s="73" t="s">
        <v>80</v>
      </c>
      <c r="D99" s="73"/>
      <c r="E99" s="74" t="s">
        <v>55</v>
      </c>
      <c r="F99" s="74"/>
      <c r="G99" s="72" t="s">
        <v>56</v>
      </c>
      <c r="H99" s="72"/>
    </row>
    <row r="100" spans="1:14" s="32" customFormat="1" x14ac:dyDescent="0.35">
      <c r="A100" s="96" t="s">
        <v>195</v>
      </c>
      <c r="B100" s="96"/>
      <c r="C100" s="77">
        <f>COUNT(D123:D125,D129:D131)+COUNT(D133:D141)*8+COUNT(D143:D151)*3</f>
        <v>105</v>
      </c>
      <c r="D100" s="77"/>
      <c r="E100" s="78">
        <f>SUM(D123:D125,D129:D131)+SUM(D133:D141)*8+SUM(D143:D151)</f>
        <v>60544.077048000006</v>
      </c>
      <c r="F100" s="78"/>
      <c r="G100" s="78">
        <f>SUM(F123:F125,F129:F131)+SUM(F133:F141)*8+SUM(F143:F151)</f>
        <v>102700</v>
      </c>
      <c r="H100" s="78"/>
    </row>
    <row r="101" spans="1:14" s="31" customFormat="1" x14ac:dyDescent="0.35">
      <c r="A101" s="99" t="s">
        <v>57</v>
      </c>
      <c r="B101" s="99"/>
      <c r="C101" s="99"/>
      <c r="D101" s="99"/>
      <c r="E101" s="99"/>
      <c r="F101" s="99"/>
      <c r="G101" s="99"/>
      <c r="H101" s="99"/>
    </row>
    <row r="102" spans="1:14" x14ac:dyDescent="0.35">
      <c r="A102" s="99" t="s">
        <v>58</v>
      </c>
      <c r="B102" s="99"/>
      <c r="C102" s="99"/>
      <c r="D102" s="99"/>
      <c r="E102" s="99"/>
      <c r="F102" s="99"/>
      <c r="G102" s="99"/>
      <c r="H102" s="99"/>
    </row>
    <row r="103" spans="1:14" ht="47.25" customHeight="1" x14ac:dyDescent="0.35">
      <c r="A103" s="170" t="s">
        <v>122</v>
      </c>
      <c r="B103" s="170" t="s">
        <v>121</v>
      </c>
      <c r="C103" s="170" t="s">
        <v>59</v>
      </c>
      <c r="D103" s="170" t="s">
        <v>60</v>
      </c>
      <c r="E103" s="171" t="s">
        <v>159</v>
      </c>
      <c r="F103" s="170" t="s">
        <v>199</v>
      </c>
      <c r="G103" s="172" t="s">
        <v>62</v>
      </c>
      <c r="H103" s="172"/>
    </row>
    <row r="104" spans="1:14" s="34" customFormat="1" x14ac:dyDescent="0.35">
      <c r="A104" s="163" t="s">
        <v>183</v>
      </c>
      <c r="B104" s="163"/>
      <c r="C104" s="163"/>
      <c r="D104" s="163"/>
      <c r="E104" s="163"/>
      <c r="F104" s="163"/>
      <c r="G104" s="163"/>
      <c r="H104" s="163"/>
      <c r="J104" s="33"/>
    </row>
    <row r="105" spans="1:14" s="34" customFormat="1" ht="15.75" customHeight="1" x14ac:dyDescent="0.35">
      <c r="A105" s="173">
        <v>1</v>
      </c>
      <c r="B105" s="173"/>
      <c r="C105" s="61" t="s">
        <v>185</v>
      </c>
      <c r="D105" s="61">
        <f>55.68*10.764</f>
        <v>599.33951999999999</v>
      </c>
      <c r="E105" s="61">
        <v>0</v>
      </c>
      <c r="F105" s="61">
        <v>1316</v>
      </c>
      <c r="G105" s="173" t="str">
        <f>A104</f>
        <v>Ground Floor for Commercial &amp; Parking</v>
      </c>
      <c r="H105" s="173"/>
      <c r="I105" s="33"/>
      <c r="J105" s="44">
        <f>F105/D105</f>
        <v>2.1957504153905951</v>
      </c>
      <c r="L105" s="98"/>
      <c r="M105" s="98"/>
      <c r="N105" s="33"/>
    </row>
    <row r="106" spans="1:14" s="34" customFormat="1" ht="15.75" customHeight="1" x14ac:dyDescent="0.35">
      <c r="A106" s="173">
        <v>2</v>
      </c>
      <c r="B106" s="173"/>
      <c r="C106" s="61" t="s">
        <v>185</v>
      </c>
      <c r="D106" s="61">
        <f>54.915*10.764</f>
        <v>591.10505999999998</v>
      </c>
      <c r="E106" s="61">
        <v>0</v>
      </c>
      <c r="F106" s="61">
        <v>1300</v>
      </c>
      <c r="G106" s="173"/>
      <c r="H106" s="173"/>
      <c r="I106" s="33"/>
      <c r="J106" s="44">
        <f t="shared" ref="J106:J118" si="0">F106/D106</f>
        <v>2.1992706338869779</v>
      </c>
      <c r="L106" s="98"/>
      <c r="M106" s="98"/>
      <c r="N106" s="33"/>
    </row>
    <row r="107" spans="1:14" s="34" customFormat="1" ht="15.75" customHeight="1" x14ac:dyDescent="0.35">
      <c r="A107" s="173">
        <v>3</v>
      </c>
      <c r="B107" s="173"/>
      <c r="C107" s="61" t="s">
        <v>185</v>
      </c>
      <c r="D107" s="61">
        <f>41.091*10.764</f>
        <v>442.30352399999998</v>
      </c>
      <c r="E107" s="61">
        <v>0</v>
      </c>
      <c r="F107" s="61">
        <v>991</v>
      </c>
      <c r="G107" s="173"/>
      <c r="H107" s="173"/>
      <c r="I107" s="33"/>
      <c r="J107" s="44">
        <f t="shared" si="0"/>
        <v>2.2405428540062911</v>
      </c>
      <c r="L107" s="98"/>
      <c r="M107" s="98"/>
      <c r="N107" s="33"/>
    </row>
    <row r="108" spans="1:14" s="34" customFormat="1" ht="15.75" customHeight="1" x14ac:dyDescent="0.35">
      <c r="A108" s="173">
        <v>4</v>
      </c>
      <c r="B108" s="173"/>
      <c r="C108" s="61" t="s">
        <v>185</v>
      </c>
      <c r="D108" s="61">
        <f>40.649*10.764</f>
        <v>437.54583600000001</v>
      </c>
      <c r="E108" s="61">
        <v>0</v>
      </c>
      <c r="F108" s="61">
        <v>945</v>
      </c>
      <c r="G108" s="173"/>
      <c r="H108" s="173"/>
      <c r="I108" s="33"/>
      <c r="J108" s="44">
        <f t="shared" si="0"/>
        <v>2.1597737248263975</v>
      </c>
      <c r="L108" s="98"/>
      <c r="M108" s="98"/>
      <c r="N108" s="33"/>
    </row>
    <row r="109" spans="1:14" s="34" customFormat="1" ht="15.75" customHeight="1" x14ac:dyDescent="0.35">
      <c r="A109" s="173">
        <v>5</v>
      </c>
      <c r="B109" s="173"/>
      <c r="C109" s="61" t="s">
        <v>185</v>
      </c>
      <c r="D109" s="61">
        <f>40.206*10.764</f>
        <v>432.77738399999998</v>
      </c>
      <c r="E109" s="61">
        <v>0</v>
      </c>
      <c r="F109" s="61">
        <v>972</v>
      </c>
      <c r="G109" s="173"/>
      <c r="H109" s="173"/>
      <c r="I109" s="33"/>
      <c r="J109" s="44">
        <f t="shared" si="0"/>
        <v>2.2459583978630455</v>
      </c>
      <c r="L109" s="98"/>
      <c r="M109" s="98"/>
      <c r="N109" s="33"/>
    </row>
    <row r="110" spans="1:14" s="34" customFormat="1" ht="15.75" customHeight="1" x14ac:dyDescent="0.35">
      <c r="A110" s="173">
        <v>6</v>
      </c>
      <c r="B110" s="173"/>
      <c r="C110" s="61" t="s">
        <v>185</v>
      </c>
      <c r="D110" s="61">
        <f>31.671*10.764</f>
        <v>340.90664399999997</v>
      </c>
      <c r="E110" s="61">
        <v>0</v>
      </c>
      <c r="F110" s="61">
        <v>771</v>
      </c>
      <c r="G110" s="173"/>
      <c r="H110" s="173"/>
      <c r="I110" s="33"/>
      <c r="J110" s="44">
        <f t="shared" si="0"/>
        <v>2.261616232976674</v>
      </c>
      <c r="L110" s="98"/>
      <c r="M110" s="98"/>
      <c r="N110" s="33"/>
    </row>
    <row r="111" spans="1:14" s="34" customFormat="1" ht="15.75" customHeight="1" x14ac:dyDescent="0.35">
      <c r="A111" s="173">
        <v>7</v>
      </c>
      <c r="B111" s="173"/>
      <c r="C111" s="61" t="s">
        <v>185</v>
      </c>
      <c r="D111" s="61">
        <f>28.596*10.764</f>
        <v>307.807344</v>
      </c>
      <c r="E111" s="61">
        <v>0</v>
      </c>
      <c r="F111" s="61">
        <v>705</v>
      </c>
      <c r="G111" s="173"/>
      <c r="H111" s="173"/>
      <c r="I111" s="33"/>
      <c r="J111" s="44">
        <f t="shared" si="0"/>
        <v>2.2903936950900041</v>
      </c>
      <c r="L111" s="98"/>
      <c r="M111" s="98"/>
      <c r="N111" s="33"/>
    </row>
    <row r="112" spans="1:14" s="34" customFormat="1" ht="15.75" customHeight="1" x14ac:dyDescent="0.35">
      <c r="A112" s="173">
        <v>8</v>
      </c>
      <c r="B112" s="173"/>
      <c r="C112" s="61" t="s">
        <v>185</v>
      </c>
      <c r="D112" s="61">
        <f>28.153*10.764</f>
        <v>303.03889199999998</v>
      </c>
      <c r="E112" s="61">
        <v>0</v>
      </c>
      <c r="F112" s="61">
        <v>695</v>
      </c>
      <c r="G112" s="173"/>
      <c r="H112" s="173"/>
      <c r="I112" s="33"/>
      <c r="J112" s="44">
        <f t="shared" si="0"/>
        <v>2.2934349957958533</v>
      </c>
      <c r="L112" s="98"/>
      <c r="M112" s="98"/>
      <c r="N112" s="33"/>
    </row>
    <row r="113" spans="1:14" s="34" customFormat="1" ht="15.75" customHeight="1" x14ac:dyDescent="0.35">
      <c r="A113" s="173">
        <v>9</v>
      </c>
      <c r="B113" s="173"/>
      <c r="C113" s="61" t="s">
        <v>185</v>
      </c>
      <c r="D113" s="61">
        <f>38.435*10.764</f>
        <v>413.71433999999999</v>
      </c>
      <c r="E113" s="61">
        <v>0</v>
      </c>
      <c r="F113" s="61">
        <v>916</v>
      </c>
      <c r="G113" s="173"/>
      <c r="H113" s="173"/>
      <c r="I113" s="33"/>
      <c r="J113" s="44">
        <f t="shared" si="0"/>
        <v>2.2140881072674445</v>
      </c>
      <c r="L113" s="98"/>
      <c r="M113" s="98"/>
      <c r="N113" s="33"/>
    </row>
    <row r="114" spans="1:14" s="34" customFormat="1" ht="15.75" customHeight="1" x14ac:dyDescent="0.35">
      <c r="A114" s="173">
        <v>10</v>
      </c>
      <c r="B114" s="173"/>
      <c r="C114" s="61" t="s">
        <v>185</v>
      </c>
      <c r="D114" s="61">
        <f>37.992*10.764</f>
        <v>408.94588799999997</v>
      </c>
      <c r="E114" s="61">
        <v>0</v>
      </c>
      <c r="F114" s="61">
        <v>907</v>
      </c>
      <c r="G114" s="173"/>
      <c r="H114" s="173"/>
      <c r="I114" s="33"/>
      <c r="J114" s="44">
        <f t="shared" si="0"/>
        <v>2.21789734684898</v>
      </c>
      <c r="L114" s="98"/>
      <c r="M114" s="98"/>
      <c r="N114" s="33"/>
    </row>
    <row r="115" spans="1:14" s="34" customFormat="1" ht="15.75" customHeight="1" x14ac:dyDescent="0.35">
      <c r="A115" s="173">
        <v>11</v>
      </c>
      <c r="B115" s="173"/>
      <c r="C115" s="61" t="s">
        <v>185</v>
      </c>
      <c r="D115" s="61">
        <f>37.47*10.764</f>
        <v>403.32707999999997</v>
      </c>
      <c r="E115" s="61">
        <v>0</v>
      </c>
      <c r="F115" s="61">
        <v>891</v>
      </c>
      <c r="G115" s="173"/>
      <c r="H115" s="173"/>
      <c r="I115" s="33"/>
      <c r="J115" s="44">
        <f t="shared" si="0"/>
        <v>2.2091251596595005</v>
      </c>
      <c r="L115" s="98"/>
      <c r="M115" s="98"/>
      <c r="N115" s="33"/>
    </row>
    <row r="116" spans="1:14" s="34" customFormat="1" x14ac:dyDescent="0.35">
      <c r="A116" s="100" t="s">
        <v>184</v>
      </c>
      <c r="B116" s="101"/>
      <c r="C116" s="101"/>
      <c r="D116" s="101"/>
      <c r="E116" s="101"/>
      <c r="F116" s="101"/>
      <c r="G116" s="101"/>
      <c r="H116" s="102"/>
      <c r="J116" s="44" t="e">
        <f t="shared" si="0"/>
        <v>#DIV/0!</v>
      </c>
    </row>
    <row r="117" spans="1:14" s="34" customFormat="1" ht="15.75" customHeight="1" x14ac:dyDescent="0.35">
      <c r="A117" s="69">
        <v>1</v>
      </c>
      <c r="B117" s="70"/>
      <c r="C117" s="54" t="s">
        <v>186</v>
      </c>
      <c r="D117" s="54">
        <f>52.827*10.764</f>
        <v>568.62982799999997</v>
      </c>
      <c r="E117" s="54">
        <v>0</v>
      </c>
      <c r="F117" s="54">
        <v>1125</v>
      </c>
      <c r="G117" s="80" t="str">
        <f>A116</f>
        <v>1st Podium Floor for Commercial &amp; Parking</v>
      </c>
      <c r="H117" s="81"/>
      <c r="I117" s="33"/>
      <c r="J117" s="44">
        <f t="shared" si="0"/>
        <v>1.9784400054370699</v>
      </c>
      <c r="L117" s="98"/>
      <c r="M117" s="98"/>
      <c r="N117" s="33"/>
    </row>
    <row r="118" spans="1:14" s="34" customFormat="1" ht="15.75" customHeight="1" x14ac:dyDescent="0.35">
      <c r="A118" s="69">
        <f t="shared" ref="A118" si="1">A117+1</f>
        <v>2</v>
      </c>
      <c r="B118" s="70"/>
      <c r="C118" s="54" t="s">
        <v>186</v>
      </c>
      <c r="D118" s="54">
        <f>51.194*10.764</f>
        <v>551.05221600000004</v>
      </c>
      <c r="E118" s="54">
        <v>0</v>
      </c>
      <c r="F118" s="54">
        <v>1108</v>
      </c>
      <c r="G118" s="84"/>
      <c r="H118" s="85"/>
      <c r="I118" s="33"/>
      <c r="J118" s="44">
        <f t="shared" si="0"/>
        <v>2.0106987465594366</v>
      </c>
      <c r="L118" s="98"/>
      <c r="M118" s="98"/>
      <c r="N118" s="33"/>
    </row>
    <row r="119" spans="1:14" s="60" customFormat="1" ht="15.75" customHeight="1" x14ac:dyDescent="0.35">
      <c r="A119" s="69"/>
      <c r="B119" s="97"/>
      <c r="C119" s="97"/>
      <c r="D119" s="97"/>
      <c r="E119" s="97"/>
      <c r="F119" s="97"/>
      <c r="G119" s="97"/>
      <c r="H119" s="70"/>
      <c r="I119" s="33"/>
      <c r="J119" s="44"/>
      <c r="N119" s="33"/>
    </row>
    <row r="120" spans="1:14" ht="47.25" customHeight="1" x14ac:dyDescent="0.35">
      <c r="A120" s="50" t="s">
        <v>123</v>
      </c>
      <c r="B120" s="50" t="s">
        <v>124</v>
      </c>
      <c r="C120" s="39" t="s">
        <v>59</v>
      </c>
      <c r="D120" s="39" t="s">
        <v>60</v>
      </c>
      <c r="E120" s="40" t="s">
        <v>61</v>
      </c>
      <c r="F120" s="39" t="s">
        <v>199</v>
      </c>
      <c r="G120" s="110" t="s">
        <v>62</v>
      </c>
      <c r="H120" s="111"/>
      <c r="I120" s="33"/>
    </row>
    <row r="121" spans="1:14" s="31" customFormat="1" x14ac:dyDescent="0.35">
      <c r="A121" s="99" t="s">
        <v>187</v>
      </c>
      <c r="B121" s="99"/>
      <c r="C121" s="99"/>
      <c r="D121" s="99"/>
      <c r="E121" s="99"/>
      <c r="F121" s="99"/>
      <c r="G121" s="99"/>
      <c r="H121" s="99"/>
    </row>
    <row r="122" spans="1:14" s="34" customFormat="1" x14ac:dyDescent="0.35">
      <c r="A122" s="163" t="s">
        <v>192</v>
      </c>
      <c r="B122" s="163"/>
      <c r="C122" s="163"/>
      <c r="D122" s="163"/>
      <c r="E122" s="163"/>
      <c r="F122" s="163"/>
      <c r="G122" s="163"/>
      <c r="H122" s="163"/>
      <c r="I122" s="33"/>
      <c r="L122" s="98"/>
      <c r="M122" s="98"/>
    </row>
    <row r="123" spans="1:14" s="34" customFormat="1" ht="15.75" customHeight="1" x14ac:dyDescent="0.35">
      <c r="A123" s="95">
        <f>LEFT(A122,SUM(LEN(A122)-LEN(SUBSTITUTE(A122,{"0","1","2","3","4","5","6","7","8","9"},""))))*100+1</f>
        <v>301</v>
      </c>
      <c r="B123" s="95"/>
      <c r="C123" s="49" t="s">
        <v>190</v>
      </c>
      <c r="D123" s="54">
        <f>(67.616+1.2*2.9+1.05*2.4+0.75*(2.59+2.95+1.47))*10.764</f>
        <v>848.99435400000004</v>
      </c>
      <c r="E123" s="49">
        <v>0</v>
      </c>
      <c r="F123" s="49">
        <v>1432</v>
      </c>
      <c r="G123" s="86" t="str">
        <f>A122</f>
        <v>3rd Floor for Residential (Part Amenity Area)</v>
      </c>
      <c r="H123" s="87"/>
      <c r="I123" s="44"/>
      <c r="J123" s="44">
        <f t="shared" ref="J123:J125" si="2">F123/D123</f>
        <v>1.6867014406552814</v>
      </c>
      <c r="N123" s="33"/>
    </row>
    <row r="124" spans="1:14" s="34" customFormat="1" ht="15.75" customHeight="1" x14ac:dyDescent="0.35">
      <c r="A124" s="95">
        <f t="shared" ref="A124:A131" si="3">A123+1</f>
        <v>302</v>
      </c>
      <c r="B124" s="95"/>
      <c r="C124" s="49" t="s">
        <v>191</v>
      </c>
      <c r="D124" s="54">
        <f>(56.227+1.2*2.9+1.05*2.34+0.75*(2.98+2.92))*10.764</f>
        <v>716.76399599999991</v>
      </c>
      <c r="E124" s="49">
        <v>0</v>
      </c>
      <c r="F124" s="49">
        <v>1215</v>
      </c>
      <c r="G124" s="88"/>
      <c r="H124" s="89"/>
      <c r="I124" s="44"/>
      <c r="J124" s="44">
        <f t="shared" si="2"/>
        <v>1.6951186259082134</v>
      </c>
      <c r="N124" s="33"/>
    </row>
    <row r="125" spans="1:14" s="34" customFormat="1" ht="15.75" customHeight="1" x14ac:dyDescent="0.35">
      <c r="A125" s="95">
        <f t="shared" si="3"/>
        <v>303</v>
      </c>
      <c r="B125" s="95"/>
      <c r="C125" s="49" t="s">
        <v>190</v>
      </c>
      <c r="D125" s="54">
        <f>(67.616+1.2*2.9+1.05*2.55+0.75*(2.95+2.95+1.47))*10.764</f>
        <v>853.59596399999998</v>
      </c>
      <c r="E125" s="49">
        <v>0</v>
      </c>
      <c r="F125" s="49">
        <v>1432</v>
      </c>
      <c r="G125" s="88"/>
      <c r="H125" s="89"/>
      <c r="I125" s="44"/>
      <c r="J125" s="44">
        <f t="shared" si="2"/>
        <v>1.6776086818517337</v>
      </c>
      <c r="N125" s="33"/>
    </row>
    <row r="126" spans="1:14" s="34" customFormat="1" ht="15.75" customHeight="1" x14ac:dyDescent="0.35">
      <c r="A126" s="95">
        <f t="shared" si="3"/>
        <v>304</v>
      </c>
      <c r="B126" s="95"/>
      <c r="C126" s="86" t="s">
        <v>193</v>
      </c>
      <c r="D126" s="92"/>
      <c r="E126" s="92"/>
      <c r="F126" s="87"/>
      <c r="G126" s="88"/>
      <c r="H126" s="89"/>
      <c r="I126" s="44"/>
      <c r="N126" s="33"/>
    </row>
    <row r="127" spans="1:14" s="34" customFormat="1" ht="15.75" customHeight="1" x14ac:dyDescent="0.35">
      <c r="A127" s="95">
        <f t="shared" si="3"/>
        <v>305</v>
      </c>
      <c r="B127" s="95"/>
      <c r="C127" s="88"/>
      <c r="D127" s="93"/>
      <c r="E127" s="93"/>
      <c r="F127" s="89"/>
      <c r="G127" s="88"/>
      <c r="H127" s="89"/>
      <c r="I127" s="44"/>
      <c r="N127" s="33"/>
    </row>
    <row r="128" spans="1:14" s="34" customFormat="1" ht="15.75" customHeight="1" x14ac:dyDescent="0.35">
      <c r="A128" s="95">
        <f t="shared" si="3"/>
        <v>306</v>
      </c>
      <c r="B128" s="95"/>
      <c r="C128" s="90"/>
      <c r="D128" s="94"/>
      <c r="E128" s="94"/>
      <c r="F128" s="91"/>
      <c r="G128" s="88"/>
      <c r="H128" s="89"/>
      <c r="I128" s="48"/>
      <c r="N128" s="33"/>
    </row>
    <row r="129" spans="1:14" s="34" customFormat="1" ht="15.75" customHeight="1" x14ac:dyDescent="0.35">
      <c r="A129" s="95">
        <f t="shared" si="3"/>
        <v>307</v>
      </c>
      <c r="B129" s="95"/>
      <c r="C129" s="49" t="s">
        <v>191</v>
      </c>
      <c r="D129" s="54">
        <f>(48.128+1.2*2.75+1.05*2.29+0.75*(2.9+3.08))*10.764</f>
        <v>627.72956999999997</v>
      </c>
      <c r="E129" s="49">
        <v>0</v>
      </c>
      <c r="F129" s="49">
        <v>1073</v>
      </c>
      <c r="G129" s="88"/>
      <c r="H129" s="89"/>
      <c r="I129" s="48"/>
      <c r="J129" s="44">
        <f t="shared" ref="J129:J131" si="4">F129/D129</f>
        <v>1.7093348016089158</v>
      </c>
      <c r="N129" s="33"/>
    </row>
    <row r="130" spans="1:14" s="34" customFormat="1" ht="15.75" customHeight="1" x14ac:dyDescent="0.35">
      <c r="A130" s="95">
        <f t="shared" si="3"/>
        <v>308</v>
      </c>
      <c r="B130" s="95"/>
      <c r="C130" s="49" t="s">
        <v>191</v>
      </c>
      <c r="D130" s="54">
        <f>(48.627+1.2*2.75+1.05*2.34+0.75*(2.9+1.23))*10.764</f>
        <v>618.73086599999988</v>
      </c>
      <c r="E130" s="49">
        <v>0</v>
      </c>
      <c r="F130" s="49">
        <v>1056</v>
      </c>
      <c r="G130" s="88"/>
      <c r="H130" s="89"/>
      <c r="I130" s="48"/>
      <c r="J130" s="44">
        <f t="shared" si="4"/>
        <v>1.7067194446381477</v>
      </c>
      <c r="N130" s="33"/>
    </row>
    <row r="131" spans="1:14" s="34" customFormat="1" ht="15.75" customHeight="1" x14ac:dyDescent="0.35">
      <c r="A131" s="95">
        <f t="shared" si="3"/>
        <v>309</v>
      </c>
      <c r="B131" s="95"/>
      <c r="C131" s="49" t="s">
        <v>191</v>
      </c>
      <c r="D131" s="54">
        <f>(48.677+1.2*2.75+1.05*2.34+0.75*(2.9+1.23))*10.764</f>
        <v>619.26906599999995</v>
      </c>
      <c r="E131" s="49">
        <v>0</v>
      </c>
      <c r="F131" s="49">
        <v>1056</v>
      </c>
      <c r="G131" s="90"/>
      <c r="H131" s="91"/>
      <c r="I131" s="48"/>
      <c r="J131" s="44">
        <f t="shared" si="4"/>
        <v>1.7052361533589022</v>
      </c>
      <c r="N131" s="33"/>
    </row>
    <row r="132" spans="1:14" s="34" customFormat="1" x14ac:dyDescent="0.35">
      <c r="A132" s="100" t="s">
        <v>188</v>
      </c>
      <c r="B132" s="101"/>
      <c r="C132" s="101"/>
      <c r="D132" s="101"/>
      <c r="E132" s="101"/>
      <c r="F132" s="101"/>
      <c r="G132" s="101"/>
      <c r="H132" s="102"/>
      <c r="I132" s="33"/>
    </row>
    <row r="133" spans="1:14" s="34" customFormat="1" ht="15.75" customHeight="1" x14ac:dyDescent="0.35">
      <c r="A133" s="69" t="str">
        <f ca="1">(SUMPRODUCT(MID(0&amp;(LEFT(A132,SUM(LEN(A132)-LEN(SUBSTITUTE(A132,{"0","1","2"},""))))), LARGE(INDEX(ISNUMBER(--MID((LEFT(A132,SUM(LEN(A132)-LEN(SUBSTITUTE(A132,{"0","1","2"},""))))), ROW(INDIRECT("1:"&amp;LEN((LEFT(A132,SUM(LEN(A132)-LEN(SUBSTITUTE(A132,{"0","1","2"},"")))))))), 1)) * ROW(INDIRECT("1:"&amp;LEN((LEFT(A132,SUM(LEN(A132)-LEN(SUBSTITUTE(A132,{"0","1","2"},"")))))))), 0), ROW(INDIRECT("1:"&amp;LEN((LEFT(A132,SUM(LEN(A132)-LEN(SUBSTITUTE(A132,{"0","1","2"},"")))))))))+1, 1) * 10^ROW(INDIRECT("1:"&amp;LEN((LEFT(A132,SUM(LEN(A132)-LEN(SUBSTITUTE(A132,{"0","1","2"},""))))))))/10))*100+1&amp;""&amp;" to "&amp;""&amp;(SUMPRODUCT(MID(0&amp;(--TRIM(RIGHT(SUBSTITUTE(LEFT(A132,_xlfn.AGGREGATE(16,6,FIND({0,1,2,3,4,5,6,7,8,9},A132,ROW(INDIRECT("1:"&amp;LEN(A132)))),1))," ",REPT(" ",LEN(A132))),LEN(A132)))), LARGE(INDEX(ISNUMBER(--MID((--TRIM(RIGHT(SUBSTITUTE(LEFT(A132,_xlfn.AGGREGATE(16,6,FIND({0,1,2,3,4,5,6,7,8,9},A132,ROW(INDIRECT("1:"&amp;LEN(A132)))),1))," ",REPT(" ",LEN(A132))),LEN(A132)))), ROW(INDIRECT("1:"&amp;LEN((--TRIM(RIGHT(SUBSTITUTE(LEFT(A132,_xlfn.AGGREGATE(16,6,FIND({0,1,2,3,4,5,6,7,8,9},A132,ROW(INDIRECT("1:"&amp;LEN(A132)))),1))," ",REPT(" ",LEN(A132))),LEN(A132))))))), 1)) * ROW(INDIRECT("1:"&amp;LEN((--TRIM(RIGHT(SUBSTITUTE(LEFT(A132,_xlfn.AGGREGATE(16,6,FIND({0,1,2,3,4,5,6,7,8,9},A132,ROW(INDIRECT("1:"&amp;LEN(A132)))),1))," ",REPT(" ",LEN(A132))),LEN(A132))))))), 0), ROW(INDIRECT("1:"&amp;LEN((--TRIM(RIGHT(SUBSTITUTE(LEFT(A132,_xlfn.AGGREGATE(16,6,FIND({0,1,2,3,4,5,6,7,8,9},A132,ROW(INDIRECT("1:"&amp;LEN(A132)))),1))," ",REPT(" ",LEN(A132))),LEN(A132))))))))+1, 1) * 10^ROW(INDIRECT("1:"&amp;LEN((--TRIM(RIGHT(SUBSTITUTE(LEFT(A132,_xlfn.AGGREGATE(16,6,FIND({0,1,2,3,4,5,6,7,8,9},A132,ROW(INDIRECT("1:"&amp;LEN(A132)))),1))," ",REPT(" ",LEN(A132))),LEN(A132)))))))/10))*100+1</f>
        <v>401 to 1101</v>
      </c>
      <c r="B133" s="70"/>
      <c r="C133" s="54" t="s">
        <v>190</v>
      </c>
      <c r="D133" s="54">
        <f>(67.616+1.2*2.9+1.05*2.35+0.75*(2.95+2.95+1.47))*10.764</f>
        <v>851.33552400000008</v>
      </c>
      <c r="E133" s="54">
        <v>0</v>
      </c>
      <c r="F133" s="54">
        <v>1432</v>
      </c>
      <c r="G133" s="80" t="str">
        <f>A132</f>
        <v>4th to 11th Floor</v>
      </c>
      <c r="H133" s="81"/>
      <c r="I133" s="33"/>
      <c r="J133" s="44">
        <f t="shared" ref="J133:J141" si="5">F133/D133</f>
        <v>1.6820630170250006</v>
      </c>
      <c r="K133" s="34">
        <f>F133*8000</f>
        <v>11456000</v>
      </c>
      <c r="L133" s="55">
        <f>F83+F84+F88</f>
        <v>770000</v>
      </c>
      <c r="M133" s="55">
        <f>K133+L133</f>
        <v>12226000</v>
      </c>
    </row>
    <row r="134" spans="1:14" s="34" customFormat="1" ht="15.75" customHeight="1" x14ac:dyDescent="0.35">
      <c r="A134" s="69" t="str">
        <f ca="1">(SUMPRODUCT(MID(0&amp;(LEFT(A133,SUM(LEN(A133)-LEN(SUBSTITUTE(A133,{"0","1","2"},""))))), LARGE(INDEX(ISNUMBER(--MID((LEFT(A133,SUM(LEN(A133)-LEN(SUBSTITUTE(A133,{"0","1","2"},""))))), ROW(INDIRECT("1:"&amp;LEN((LEFT(A133,SUM(LEN(A133)-LEN(SUBSTITUTE(A133,{"0","1","2"},"")))))))), 1)) * ROW(INDIRECT("1:"&amp;LEN((LEFT(A133,SUM(LEN(A133)-LEN(SUBSTITUTE(A133,{"0","1","2"},"")))))))), 0), ROW(INDIRECT("1:"&amp;LEN((LEFT(A133,SUM(LEN(A133)-LEN(SUBSTITUTE(A133,{"0","1","2"},"")))))))))+1, 1) * 10^ROW(INDIRECT("1:"&amp;LEN((LEFT(A133,SUM(LEN(A133)-LEN(SUBSTITUTE(A133,{"0","1","2"},""))))))))/10))*1+1&amp;""&amp;" to "&amp;""&amp;(SUMPRODUCT(MID(0&amp;(--TRIM(RIGHT(SUBSTITUTE(LEFT(A133,_xlfn.AGGREGATE(16,6,FIND({0,1,2,3,4,5,6,7,8,9},A133,ROW(INDIRECT("1:"&amp;LEN(A133)))),1))," ",REPT(" ",LEN(A133))),LEN(A133)))), LARGE(INDEX(ISNUMBER(--MID((--TRIM(RIGHT(SUBSTITUTE(LEFT(A133,_xlfn.AGGREGATE(16,6,FIND({0,1,2,3,4,5,6,7,8,9},A133,ROW(INDIRECT("1:"&amp;LEN(A133)))),1))," ",REPT(" ",LEN(A133))),LEN(A133)))), ROW(INDIRECT("1:"&amp;LEN((--TRIM(RIGHT(SUBSTITUTE(LEFT(A133,_xlfn.AGGREGATE(16,6,FIND({0,1,2,3,4,5,6,7,8,9},A133,ROW(INDIRECT("1:"&amp;LEN(A133)))),1))," ",REPT(" ",LEN(A133))),LEN(A133))))))), 1)) * ROW(INDIRECT("1:"&amp;LEN((--TRIM(RIGHT(SUBSTITUTE(LEFT(A133,_xlfn.AGGREGATE(16,6,FIND({0,1,2,3,4,5,6,7,8,9},A133,ROW(INDIRECT("1:"&amp;LEN(A133)))),1))," ",REPT(" ",LEN(A133))),LEN(A133))))))), 0), ROW(INDIRECT("1:"&amp;LEN((--TRIM(RIGHT(SUBSTITUTE(LEFT(A133,_xlfn.AGGREGATE(16,6,FIND({0,1,2,3,4,5,6,7,8,9},A133,ROW(INDIRECT("1:"&amp;LEN(A133)))),1))," ",REPT(" ",LEN(A133))),LEN(A133))))))))+1, 1) * 10^ROW(INDIRECT("1:"&amp;LEN((--TRIM(RIGHT(SUBSTITUTE(LEFT(A133,_xlfn.AGGREGATE(16,6,FIND({0,1,2,3,4,5,6,7,8,9},A133,ROW(INDIRECT("1:"&amp;LEN(A133)))),1))," ",REPT(" ",LEN(A133))),LEN(A133)))))))/10))*1+1</f>
        <v>402 to 1102</v>
      </c>
      <c r="B134" s="70"/>
      <c r="C134" s="49" t="s">
        <v>191</v>
      </c>
      <c r="D134" s="49">
        <f>(56.227+1.2*2.9+1.05*2.34+0.75*(2.98+2.92))*10.764</f>
        <v>716.76399599999991</v>
      </c>
      <c r="E134" s="49">
        <v>0</v>
      </c>
      <c r="F134" s="49">
        <v>1215</v>
      </c>
      <c r="G134" s="82"/>
      <c r="H134" s="83"/>
      <c r="I134" s="33"/>
      <c r="J134" s="44">
        <f t="shared" si="5"/>
        <v>1.6951186259082134</v>
      </c>
      <c r="K134" s="34">
        <f>F134*8000</f>
        <v>9720000</v>
      </c>
      <c r="L134" s="55">
        <f>F83+F84+F88</f>
        <v>770000</v>
      </c>
      <c r="M134" s="55">
        <f>K134+L134</f>
        <v>10490000</v>
      </c>
    </row>
    <row r="135" spans="1:14" s="34" customFormat="1" ht="15.75" customHeight="1" x14ac:dyDescent="0.35">
      <c r="A135" s="69" t="str">
        <f ca="1">(SUMPRODUCT(MID(0&amp;(LEFT(A134,SUM(LEN(A134)-LEN(SUBSTITUTE(A134,{"0","1","2"},""))))), LARGE(INDEX(ISNUMBER(--MID((LEFT(A134,SUM(LEN(A134)-LEN(SUBSTITUTE(A134,{"0","1","2"},""))))), ROW(INDIRECT("1:"&amp;LEN((LEFT(A134,SUM(LEN(A134)-LEN(SUBSTITUTE(A134,{"0","1","2"},"")))))))), 1)) * ROW(INDIRECT("1:"&amp;LEN((LEFT(A134,SUM(LEN(A134)-LEN(SUBSTITUTE(A134,{"0","1","2"},"")))))))), 0), ROW(INDIRECT("1:"&amp;LEN((LEFT(A134,SUM(LEN(A134)-LEN(SUBSTITUTE(A134,{"0","1","2"},"")))))))))+1, 1) * 10^ROW(INDIRECT("1:"&amp;LEN((LEFT(A134,SUM(LEN(A134)-LEN(SUBSTITUTE(A134,{"0","1","2"},""))))))))/10))*1+1&amp;""&amp;" to "&amp;""&amp;(SUMPRODUCT(MID(0&amp;(--TRIM(RIGHT(SUBSTITUTE(LEFT(A134,_xlfn.AGGREGATE(16,6,FIND({0,1,2,3,4,5,6,7,8,9},A134,ROW(INDIRECT("1:"&amp;LEN(A134)))),1))," ",REPT(" ",LEN(A134))),LEN(A134)))), LARGE(INDEX(ISNUMBER(--MID((--TRIM(RIGHT(SUBSTITUTE(LEFT(A134,_xlfn.AGGREGATE(16,6,FIND({0,1,2,3,4,5,6,7,8,9},A134,ROW(INDIRECT("1:"&amp;LEN(A134)))),1))," ",REPT(" ",LEN(A134))),LEN(A134)))), ROW(INDIRECT("1:"&amp;LEN((--TRIM(RIGHT(SUBSTITUTE(LEFT(A134,_xlfn.AGGREGATE(16,6,FIND({0,1,2,3,4,5,6,7,8,9},A134,ROW(INDIRECT("1:"&amp;LEN(A134)))),1))," ",REPT(" ",LEN(A134))),LEN(A134))))))), 1)) * ROW(INDIRECT("1:"&amp;LEN((--TRIM(RIGHT(SUBSTITUTE(LEFT(A134,_xlfn.AGGREGATE(16,6,FIND({0,1,2,3,4,5,6,7,8,9},A134,ROW(INDIRECT("1:"&amp;LEN(A134)))),1))," ",REPT(" ",LEN(A134))),LEN(A134))))))), 0), ROW(INDIRECT("1:"&amp;LEN((--TRIM(RIGHT(SUBSTITUTE(LEFT(A134,_xlfn.AGGREGATE(16,6,FIND({0,1,2,3,4,5,6,7,8,9},A134,ROW(INDIRECT("1:"&amp;LEN(A134)))),1))," ",REPT(" ",LEN(A134))),LEN(A134))))))))+1, 1) * 10^ROW(INDIRECT("1:"&amp;LEN((--TRIM(RIGHT(SUBSTITUTE(LEFT(A134,_xlfn.AGGREGATE(16,6,FIND({0,1,2,3,4,5,6,7,8,9},A134,ROW(INDIRECT("1:"&amp;LEN(A134)))),1))," ",REPT(" ",LEN(A134))),LEN(A134)))))))/10))*1+1</f>
        <v>403 to 1103</v>
      </c>
      <c r="B135" s="70"/>
      <c r="C135" s="54" t="s">
        <v>190</v>
      </c>
      <c r="D135" s="54">
        <f>(67.616+1.2*2.9+1.05*2.4+0.75*(2.75+2.9+1.7))*10.764</f>
        <v>851.73917399999993</v>
      </c>
      <c r="E135" s="54">
        <v>0</v>
      </c>
      <c r="F135" s="54">
        <v>1432</v>
      </c>
      <c r="G135" s="82"/>
      <c r="H135" s="83"/>
      <c r="I135" s="33"/>
      <c r="J135" s="44">
        <f t="shared" si="5"/>
        <v>1.6812658660220319</v>
      </c>
    </row>
    <row r="136" spans="1:14" s="34" customFormat="1" ht="15.75" customHeight="1" x14ac:dyDescent="0.35">
      <c r="A136" s="69" t="str">
        <f ca="1">(SUMPRODUCT(MID(0&amp;(LEFT(A135,SUM(LEN(A135)-LEN(SUBSTITUTE(A135,{"0","1","2"},""))))), LARGE(INDEX(ISNUMBER(--MID((LEFT(A135,SUM(LEN(A135)-LEN(SUBSTITUTE(A135,{"0","1","2"},""))))), ROW(INDIRECT("1:"&amp;LEN((LEFT(A135,SUM(LEN(A135)-LEN(SUBSTITUTE(A135,{"0","1","2"},"")))))))), 1)) * ROW(INDIRECT("1:"&amp;LEN((LEFT(A135,SUM(LEN(A135)-LEN(SUBSTITUTE(A135,{"0","1","2"},"")))))))), 0), ROW(INDIRECT("1:"&amp;LEN((LEFT(A135,SUM(LEN(A135)-LEN(SUBSTITUTE(A135,{"0","1","2"},"")))))))))+1, 1) * 10^ROW(INDIRECT("1:"&amp;LEN((LEFT(A135,SUM(LEN(A135)-LEN(SUBSTITUTE(A135,{"0","1","2"},""))))))))/10))*1+1&amp;""&amp;" to "&amp;""&amp;(SUMPRODUCT(MID(0&amp;(--TRIM(RIGHT(SUBSTITUTE(LEFT(A135,_xlfn.AGGREGATE(16,6,FIND({0,1,2,3,4,5,6,7,8,9},A135,ROW(INDIRECT("1:"&amp;LEN(A135)))),1))," ",REPT(" ",LEN(A135))),LEN(A135)))), LARGE(INDEX(ISNUMBER(--MID((--TRIM(RIGHT(SUBSTITUTE(LEFT(A135,_xlfn.AGGREGATE(16,6,FIND({0,1,2,3,4,5,6,7,8,9},A135,ROW(INDIRECT("1:"&amp;LEN(A135)))),1))," ",REPT(" ",LEN(A135))),LEN(A135)))), ROW(INDIRECT("1:"&amp;LEN((--TRIM(RIGHT(SUBSTITUTE(LEFT(A135,_xlfn.AGGREGATE(16,6,FIND({0,1,2,3,4,5,6,7,8,9},A135,ROW(INDIRECT("1:"&amp;LEN(A135)))),1))," ",REPT(" ",LEN(A135))),LEN(A135))))))), 1)) * ROW(INDIRECT("1:"&amp;LEN((--TRIM(RIGHT(SUBSTITUTE(LEFT(A135,_xlfn.AGGREGATE(16,6,FIND({0,1,2,3,4,5,6,7,8,9},A135,ROW(INDIRECT("1:"&amp;LEN(A135)))),1))," ",REPT(" ",LEN(A135))),LEN(A135))))))), 0), ROW(INDIRECT("1:"&amp;LEN((--TRIM(RIGHT(SUBSTITUTE(LEFT(A135,_xlfn.AGGREGATE(16,6,FIND({0,1,2,3,4,5,6,7,8,9},A135,ROW(INDIRECT("1:"&amp;LEN(A135)))),1))," ",REPT(" ",LEN(A135))),LEN(A135))))))))+1, 1) * 10^ROW(INDIRECT("1:"&amp;LEN((--TRIM(RIGHT(SUBSTITUTE(LEFT(A135,_xlfn.AGGREGATE(16,6,FIND({0,1,2,3,4,5,6,7,8,9},A135,ROW(INDIRECT("1:"&amp;LEN(A135)))),1))," ",REPT(" ",LEN(A135))),LEN(A135)))))))/10))*1+1</f>
        <v>404 to 1104</v>
      </c>
      <c r="B136" s="70"/>
      <c r="C136" s="54" t="s">
        <v>191</v>
      </c>
      <c r="D136" s="54">
        <f>(50.786+1.2*2.75+1.05*2.34+0.75*(2.85+2.98))*10.764</f>
        <v>655.69444199999998</v>
      </c>
      <c r="E136" s="54">
        <v>0</v>
      </c>
      <c r="F136" s="54">
        <v>1110</v>
      </c>
      <c r="G136" s="82"/>
      <c r="H136" s="83"/>
      <c r="I136" s="33"/>
      <c r="J136" s="44">
        <f t="shared" si="5"/>
        <v>1.6928616881580949</v>
      </c>
      <c r="K136" s="34">
        <f>F136*8000</f>
        <v>8880000</v>
      </c>
      <c r="L136" s="55">
        <f>F83+F84+F88</f>
        <v>770000</v>
      </c>
      <c r="M136" s="55">
        <f>K136+L136</f>
        <v>9650000</v>
      </c>
    </row>
    <row r="137" spans="1:14" s="34" customFormat="1" ht="15.75" customHeight="1" x14ac:dyDescent="0.35">
      <c r="A137" s="69" t="str">
        <f ca="1">(SUMPRODUCT(MID(0&amp;(LEFT(A136,SUM(LEN(A136)-LEN(SUBSTITUTE(A136,{"0","1","2"},""))))), LARGE(INDEX(ISNUMBER(--MID((LEFT(A136,SUM(LEN(A136)-LEN(SUBSTITUTE(A136,{"0","1","2"},""))))), ROW(INDIRECT("1:"&amp;LEN((LEFT(A136,SUM(LEN(A136)-LEN(SUBSTITUTE(A136,{"0","1","2"},"")))))))), 1)) * ROW(INDIRECT("1:"&amp;LEN((LEFT(A136,SUM(LEN(A136)-LEN(SUBSTITUTE(A136,{"0","1","2"},"")))))))), 0), ROW(INDIRECT("1:"&amp;LEN((LEFT(A136,SUM(LEN(A136)-LEN(SUBSTITUTE(A136,{"0","1","2"},"")))))))))+1, 1) * 10^ROW(INDIRECT("1:"&amp;LEN((LEFT(A136,SUM(LEN(A136)-LEN(SUBSTITUTE(A136,{"0","1","2"},""))))))))/10))*1+1&amp;""&amp;" to "&amp;""&amp;(SUMPRODUCT(MID(0&amp;(--TRIM(RIGHT(SUBSTITUTE(LEFT(A136,_xlfn.AGGREGATE(16,6,FIND({0,1,2,3,4,5,6,7,8,9},A136,ROW(INDIRECT("1:"&amp;LEN(A136)))),1))," ",REPT(" ",LEN(A136))),LEN(A136)))), LARGE(INDEX(ISNUMBER(--MID((--TRIM(RIGHT(SUBSTITUTE(LEFT(A136,_xlfn.AGGREGATE(16,6,FIND({0,1,2,3,4,5,6,7,8,9},A136,ROW(INDIRECT("1:"&amp;LEN(A136)))),1))," ",REPT(" ",LEN(A136))),LEN(A136)))), ROW(INDIRECT("1:"&amp;LEN((--TRIM(RIGHT(SUBSTITUTE(LEFT(A136,_xlfn.AGGREGATE(16,6,FIND({0,1,2,3,4,5,6,7,8,9},A136,ROW(INDIRECT("1:"&amp;LEN(A136)))),1))," ",REPT(" ",LEN(A136))),LEN(A136))))))), 1)) * ROW(INDIRECT("1:"&amp;LEN((--TRIM(RIGHT(SUBSTITUTE(LEFT(A136,_xlfn.AGGREGATE(16,6,FIND({0,1,2,3,4,5,6,7,8,9},A136,ROW(INDIRECT("1:"&amp;LEN(A136)))),1))," ",REPT(" ",LEN(A136))),LEN(A136))))))), 0), ROW(INDIRECT("1:"&amp;LEN((--TRIM(RIGHT(SUBSTITUTE(LEFT(A136,_xlfn.AGGREGATE(16,6,FIND({0,1,2,3,4,5,6,7,8,9},A136,ROW(INDIRECT("1:"&amp;LEN(A136)))),1))," ",REPT(" ",LEN(A136))),LEN(A136))))))))+1, 1) * 10^ROW(INDIRECT("1:"&amp;LEN((--TRIM(RIGHT(SUBSTITUTE(LEFT(A136,_xlfn.AGGREGATE(16,6,FIND({0,1,2,3,4,5,6,7,8,9},A136,ROW(INDIRECT("1:"&amp;LEN(A136)))),1))," ",REPT(" ",LEN(A136))),LEN(A136)))))))/10))*1+1</f>
        <v>405 to 1105</v>
      </c>
      <c r="B137" s="70"/>
      <c r="C137" s="54" t="s">
        <v>191</v>
      </c>
      <c r="D137" s="54">
        <f>(51.885+1.2*2.75+1.05*2.47+0.75*(2.62+2.62))*10.764</f>
        <v>664.23029399999984</v>
      </c>
      <c r="E137" s="54">
        <v>0</v>
      </c>
      <c r="F137" s="54">
        <v>1130</v>
      </c>
      <c r="G137" s="82"/>
      <c r="H137" s="83"/>
      <c r="I137" s="33"/>
      <c r="J137" s="44">
        <f t="shared" si="5"/>
        <v>1.7012171986241873</v>
      </c>
    </row>
    <row r="138" spans="1:14" s="34" customFormat="1" ht="15.75" customHeight="1" x14ac:dyDescent="0.35">
      <c r="A138" s="69" t="str">
        <f ca="1">(SUMPRODUCT(MID(0&amp;(LEFT(A137,SUM(LEN(A137)-LEN(SUBSTITUTE(A137,{"0","1","2"},""))))), LARGE(INDEX(ISNUMBER(--MID((LEFT(A137,SUM(LEN(A137)-LEN(SUBSTITUTE(A137,{"0","1","2"},""))))), ROW(INDIRECT("1:"&amp;LEN((LEFT(A137,SUM(LEN(A137)-LEN(SUBSTITUTE(A137,{"0","1","2"},"")))))))), 1)) * ROW(INDIRECT("1:"&amp;LEN((LEFT(A137,SUM(LEN(A137)-LEN(SUBSTITUTE(A137,{"0","1","2"},"")))))))), 0), ROW(INDIRECT("1:"&amp;LEN((LEFT(A137,SUM(LEN(A137)-LEN(SUBSTITUTE(A137,{"0","1","2"},"")))))))))+1, 1) * 10^ROW(INDIRECT("1:"&amp;LEN((LEFT(A137,SUM(LEN(A137)-LEN(SUBSTITUTE(A137,{"0","1","2"},""))))))))/10))*1+1&amp;""&amp;" to "&amp;""&amp;(SUMPRODUCT(MID(0&amp;(--TRIM(RIGHT(SUBSTITUTE(LEFT(A137,_xlfn.AGGREGATE(16,6,FIND({0,1,2,3,4,5,6,7,8,9},A137,ROW(INDIRECT("1:"&amp;LEN(A137)))),1))," ",REPT(" ",LEN(A137))),LEN(A137)))), LARGE(INDEX(ISNUMBER(--MID((--TRIM(RIGHT(SUBSTITUTE(LEFT(A137,_xlfn.AGGREGATE(16,6,FIND({0,1,2,3,4,5,6,7,8,9},A137,ROW(INDIRECT("1:"&amp;LEN(A137)))),1))," ",REPT(" ",LEN(A137))),LEN(A137)))), ROW(INDIRECT("1:"&amp;LEN((--TRIM(RIGHT(SUBSTITUTE(LEFT(A137,_xlfn.AGGREGATE(16,6,FIND({0,1,2,3,4,5,6,7,8,9},A137,ROW(INDIRECT("1:"&amp;LEN(A137)))),1))," ",REPT(" ",LEN(A137))),LEN(A137))))))), 1)) * ROW(INDIRECT("1:"&amp;LEN((--TRIM(RIGHT(SUBSTITUTE(LEFT(A137,_xlfn.AGGREGATE(16,6,FIND({0,1,2,3,4,5,6,7,8,9},A137,ROW(INDIRECT("1:"&amp;LEN(A137)))),1))," ",REPT(" ",LEN(A137))),LEN(A137))))))), 0), ROW(INDIRECT("1:"&amp;LEN((--TRIM(RIGHT(SUBSTITUTE(LEFT(A137,_xlfn.AGGREGATE(16,6,FIND({0,1,2,3,4,5,6,7,8,9},A137,ROW(INDIRECT("1:"&amp;LEN(A137)))),1))," ",REPT(" ",LEN(A137))),LEN(A137))))))))+1, 1) * 10^ROW(INDIRECT("1:"&amp;LEN((--TRIM(RIGHT(SUBSTITUTE(LEFT(A137,_xlfn.AGGREGATE(16,6,FIND({0,1,2,3,4,5,6,7,8,9},A137,ROW(INDIRECT("1:"&amp;LEN(A137)))),1))," ",REPT(" ",LEN(A137))),LEN(A137)))))))/10))*1+1</f>
        <v>406 to 1106</v>
      </c>
      <c r="B138" s="70"/>
      <c r="C138" s="54" t="s">
        <v>191</v>
      </c>
      <c r="D138" s="54">
        <f>(49.712+1.2*2.75+1.05*2.29+0.75*(2.85+2.9))*10.764</f>
        <v>642.922956</v>
      </c>
      <c r="E138" s="54">
        <v>0</v>
      </c>
      <c r="F138" s="54">
        <v>1100</v>
      </c>
      <c r="G138" s="82"/>
      <c r="H138" s="83"/>
      <c r="I138" s="33"/>
      <c r="J138" s="44">
        <f t="shared" si="5"/>
        <v>1.7109359523320551</v>
      </c>
    </row>
    <row r="139" spans="1:14" s="34" customFormat="1" ht="15.75" customHeight="1" x14ac:dyDescent="0.35">
      <c r="A139" s="69" t="str">
        <f ca="1">(SUMPRODUCT(MID(0&amp;(LEFT(A138,SUM(LEN(A138)-LEN(SUBSTITUTE(A138,{"0","1","2"},""))))), LARGE(INDEX(ISNUMBER(--MID((LEFT(A138,SUM(LEN(A138)-LEN(SUBSTITUTE(A138,{"0","1","2"},""))))), ROW(INDIRECT("1:"&amp;LEN((LEFT(A138,SUM(LEN(A138)-LEN(SUBSTITUTE(A138,{"0","1","2"},"")))))))), 1)) * ROW(INDIRECT("1:"&amp;LEN((LEFT(A138,SUM(LEN(A138)-LEN(SUBSTITUTE(A138,{"0","1","2"},"")))))))), 0), ROW(INDIRECT("1:"&amp;LEN((LEFT(A138,SUM(LEN(A138)-LEN(SUBSTITUTE(A138,{"0","1","2"},"")))))))))+1, 1) * 10^ROW(INDIRECT("1:"&amp;LEN((LEFT(A138,SUM(LEN(A138)-LEN(SUBSTITUTE(A138,{"0","1","2"},""))))))))/10))*1+1&amp;""&amp;" to "&amp;""&amp;(SUMPRODUCT(MID(0&amp;(--TRIM(RIGHT(SUBSTITUTE(LEFT(A138,_xlfn.AGGREGATE(16,6,FIND({0,1,2,3,4,5,6,7,8,9},A138,ROW(INDIRECT("1:"&amp;LEN(A138)))),1))," ",REPT(" ",LEN(A138))),LEN(A138)))), LARGE(INDEX(ISNUMBER(--MID((--TRIM(RIGHT(SUBSTITUTE(LEFT(A138,_xlfn.AGGREGATE(16,6,FIND({0,1,2,3,4,5,6,7,8,9},A138,ROW(INDIRECT("1:"&amp;LEN(A138)))),1))," ",REPT(" ",LEN(A138))),LEN(A138)))), ROW(INDIRECT("1:"&amp;LEN((--TRIM(RIGHT(SUBSTITUTE(LEFT(A138,_xlfn.AGGREGATE(16,6,FIND({0,1,2,3,4,5,6,7,8,9},A138,ROW(INDIRECT("1:"&amp;LEN(A138)))),1))," ",REPT(" ",LEN(A138))),LEN(A138))))))), 1)) * ROW(INDIRECT("1:"&amp;LEN((--TRIM(RIGHT(SUBSTITUTE(LEFT(A138,_xlfn.AGGREGATE(16,6,FIND({0,1,2,3,4,5,6,7,8,9},A138,ROW(INDIRECT("1:"&amp;LEN(A138)))),1))," ",REPT(" ",LEN(A138))),LEN(A138))))))), 0), ROW(INDIRECT("1:"&amp;LEN((--TRIM(RIGHT(SUBSTITUTE(LEFT(A138,_xlfn.AGGREGATE(16,6,FIND({0,1,2,3,4,5,6,7,8,9},A138,ROW(INDIRECT("1:"&amp;LEN(A138)))),1))," ",REPT(" ",LEN(A138))),LEN(A138))))))))+1, 1) * 10^ROW(INDIRECT("1:"&amp;LEN((--TRIM(RIGHT(SUBSTITUTE(LEFT(A138,_xlfn.AGGREGATE(16,6,FIND({0,1,2,3,4,5,6,7,8,9},A138,ROW(INDIRECT("1:"&amp;LEN(A138)))),1))," ",REPT(" ",LEN(A138))),LEN(A138)))))))/10))*1+1</f>
        <v>407 to 1107</v>
      </c>
      <c r="B139" s="70"/>
      <c r="C139" s="54" t="s">
        <v>191</v>
      </c>
      <c r="D139" s="54">
        <f>(48.128+1.2*2.75+1.05*2.29+0.75*(3.08+2.9))*10.764</f>
        <v>627.72956999999997</v>
      </c>
      <c r="E139" s="54">
        <v>0</v>
      </c>
      <c r="F139" s="54">
        <v>1073</v>
      </c>
      <c r="G139" s="82"/>
      <c r="H139" s="83"/>
      <c r="I139" s="33"/>
      <c r="J139" s="44">
        <f t="shared" si="5"/>
        <v>1.7093348016089158</v>
      </c>
    </row>
    <row r="140" spans="1:14" s="34" customFormat="1" ht="15.75" customHeight="1" x14ac:dyDescent="0.35">
      <c r="A140" s="69" t="str">
        <f ca="1">(SUMPRODUCT(MID(0&amp;(LEFT(A139,SUM(LEN(A139)-LEN(SUBSTITUTE(A139,{"0","1","2"},""))))), LARGE(INDEX(ISNUMBER(--MID((LEFT(A139,SUM(LEN(A139)-LEN(SUBSTITUTE(A139,{"0","1","2"},""))))), ROW(INDIRECT("1:"&amp;LEN((LEFT(A139,SUM(LEN(A139)-LEN(SUBSTITUTE(A139,{"0","1","2"},"")))))))), 1)) * ROW(INDIRECT("1:"&amp;LEN((LEFT(A139,SUM(LEN(A139)-LEN(SUBSTITUTE(A139,{"0","1","2"},"")))))))), 0), ROW(INDIRECT("1:"&amp;LEN((LEFT(A139,SUM(LEN(A139)-LEN(SUBSTITUTE(A139,{"0","1","2"},"")))))))))+1, 1) * 10^ROW(INDIRECT("1:"&amp;LEN((LEFT(A139,SUM(LEN(A139)-LEN(SUBSTITUTE(A139,{"0","1","2"},""))))))))/10))*1+1&amp;""&amp;" to "&amp;""&amp;(SUMPRODUCT(MID(0&amp;(--TRIM(RIGHT(SUBSTITUTE(LEFT(A139,_xlfn.AGGREGATE(16,6,FIND({0,1,2,3,4,5,6,7,8,9},A139,ROW(INDIRECT("1:"&amp;LEN(A139)))),1))," ",REPT(" ",LEN(A139))),LEN(A139)))), LARGE(INDEX(ISNUMBER(--MID((--TRIM(RIGHT(SUBSTITUTE(LEFT(A139,_xlfn.AGGREGATE(16,6,FIND({0,1,2,3,4,5,6,7,8,9},A139,ROW(INDIRECT("1:"&amp;LEN(A139)))),1))," ",REPT(" ",LEN(A139))),LEN(A139)))), ROW(INDIRECT("1:"&amp;LEN((--TRIM(RIGHT(SUBSTITUTE(LEFT(A139,_xlfn.AGGREGATE(16,6,FIND({0,1,2,3,4,5,6,7,8,9},A139,ROW(INDIRECT("1:"&amp;LEN(A139)))),1))," ",REPT(" ",LEN(A139))),LEN(A139))))))), 1)) * ROW(INDIRECT("1:"&amp;LEN((--TRIM(RIGHT(SUBSTITUTE(LEFT(A139,_xlfn.AGGREGATE(16,6,FIND({0,1,2,3,4,5,6,7,8,9},A139,ROW(INDIRECT("1:"&amp;LEN(A139)))),1))," ",REPT(" ",LEN(A139))),LEN(A139))))))), 0), ROW(INDIRECT("1:"&amp;LEN((--TRIM(RIGHT(SUBSTITUTE(LEFT(A139,_xlfn.AGGREGATE(16,6,FIND({0,1,2,3,4,5,6,7,8,9},A139,ROW(INDIRECT("1:"&amp;LEN(A139)))),1))," ",REPT(" ",LEN(A139))),LEN(A139))))))))+1, 1) * 10^ROW(INDIRECT("1:"&amp;LEN((--TRIM(RIGHT(SUBSTITUTE(LEFT(A139,_xlfn.AGGREGATE(16,6,FIND({0,1,2,3,4,5,6,7,8,9},A139,ROW(INDIRECT("1:"&amp;LEN(A139)))),1))," ",REPT(" ",LEN(A139))),LEN(A139)))))))/10))*1+1</f>
        <v>408 to 1108</v>
      </c>
      <c r="B140" s="70"/>
      <c r="C140" s="54" t="s">
        <v>191</v>
      </c>
      <c r="D140" s="54">
        <f>(48.627+1.2*2.75+1.05*2.34+0.75*(2.9+1.23))*10.764</f>
        <v>618.73086599999988</v>
      </c>
      <c r="E140" s="54">
        <v>0</v>
      </c>
      <c r="F140" s="54">
        <v>1056</v>
      </c>
      <c r="G140" s="82"/>
      <c r="H140" s="83"/>
      <c r="I140" s="33"/>
      <c r="J140" s="44">
        <f t="shared" si="5"/>
        <v>1.7067194446381477</v>
      </c>
    </row>
    <row r="141" spans="1:14" s="34" customFormat="1" ht="15.75" customHeight="1" x14ac:dyDescent="0.35">
      <c r="A141" s="69" t="str">
        <f ca="1">(SUMPRODUCT(MID(0&amp;(LEFT(A140,SUM(LEN(A140)-LEN(SUBSTITUTE(A140,{"0","1","2"},""))))), LARGE(INDEX(ISNUMBER(--MID((LEFT(A140,SUM(LEN(A140)-LEN(SUBSTITUTE(A140,{"0","1","2"},""))))), ROW(INDIRECT("1:"&amp;LEN((LEFT(A140,SUM(LEN(A140)-LEN(SUBSTITUTE(A140,{"0","1","2"},"")))))))), 1)) * ROW(INDIRECT("1:"&amp;LEN((LEFT(A140,SUM(LEN(A140)-LEN(SUBSTITUTE(A140,{"0","1","2"},"")))))))), 0), ROW(INDIRECT("1:"&amp;LEN((LEFT(A140,SUM(LEN(A140)-LEN(SUBSTITUTE(A140,{"0","1","2"},"")))))))))+1, 1) * 10^ROW(INDIRECT("1:"&amp;LEN((LEFT(A140,SUM(LEN(A140)-LEN(SUBSTITUTE(A140,{"0","1","2"},""))))))))/10))*1+1&amp;""&amp;" to "&amp;""&amp;(SUMPRODUCT(MID(0&amp;(--TRIM(RIGHT(SUBSTITUTE(LEFT(A140,_xlfn.AGGREGATE(16,6,FIND({0,1,2,3,4,5,6,7,8,9},A140,ROW(INDIRECT("1:"&amp;LEN(A140)))),1))," ",REPT(" ",LEN(A140))),LEN(A140)))), LARGE(INDEX(ISNUMBER(--MID((--TRIM(RIGHT(SUBSTITUTE(LEFT(A140,_xlfn.AGGREGATE(16,6,FIND({0,1,2,3,4,5,6,7,8,9},A140,ROW(INDIRECT("1:"&amp;LEN(A140)))),1))," ",REPT(" ",LEN(A140))),LEN(A140)))), ROW(INDIRECT("1:"&amp;LEN((--TRIM(RIGHT(SUBSTITUTE(LEFT(A140,_xlfn.AGGREGATE(16,6,FIND({0,1,2,3,4,5,6,7,8,9},A140,ROW(INDIRECT("1:"&amp;LEN(A140)))),1))," ",REPT(" ",LEN(A140))),LEN(A140))))))), 1)) * ROW(INDIRECT("1:"&amp;LEN((--TRIM(RIGHT(SUBSTITUTE(LEFT(A140,_xlfn.AGGREGATE(16,6,FIND({0,1,2,3,4,5,6,7,8,9},A140,ROW(INDIRECT("1:"&amp;LEN(A140)))),1))," ",REPT(" ",LEN(A140))),LEN(A140))))))), 0), ROW(INDIRECT("1:"&amp;LEN((--TRIM(RIGHT(SUBSTITUTE(LEFT(A140,_xlfn.AGGREGATE(16,6,FIND({0,1,2,3,4,5,6,7,8,9},A140,ROW(INDIRECT("1:"&amp;LEN(A140)))),1))," ",REPT(" ",LEN(A140))),LEN(A140))))))))+1, 1) * 10^ROW(INDIRECT("1:"&amp;LEN((--TRIM(RIGHT(SUBSTITUTE(LEFT(A140,_xlfn.AGGREGATE(16,6,FIND({0,1,2,3,4,5,6,7,8,9},A140,ROW(INDIRECT("1:"&amp;LEN(A140)))),1))," ",REPT(" ",LEN(A140))),LEN(A140)))))))/10))*1+1</f>
        <v>409 to 1109</v>
      </c>
      <c r="B141" s="70"/>
      <c r="C141" s="54" t="s">
        <v>191</v>
      </c>
      <c r="D141" s="54">
        <f>(48.677+1.2*2.95+1.05*2.34+0.75*(2.9+1.23))*10.764</f>
        <v>621.85242600000004</v>
      </c>
      <c r="E141" s="54">
        <v>0</v>
      </c>
      <c r="F141" s="54">
        <v>1056</v>
      </c>
      <c r="G141" s="84"/>
      <c r="H141" s="85"/>
      <c r="I141" s="33"/>
      <c r="J141" s="44">
        <f t="shared" si="5"/>
        <v>1.6981520950116868</v>
      </c>
    </row>
    <row r="142" spans="1:14" s="60" customFormat="1" x14ac:dyDescent="0.35">
      <c r="A142" s="163" t="s">
        <v>222</v>
      </c>
      <c r="B142" s="163"/>
      <c r="C142" s="163"/>
      <c r="D142" s="163"/>
      <c r="E142" s="163"/>
      <c r="F142" s="163"/>
      <c r="G142" s="163"/>
      <c r="H142" s="163"/>
      <c r="I142" s="33"/>
    </row>
    <row r="143" spans="1:14" s="60" customFormat="1" ht="15.75" customHeight="1" x14ac:dyDescent="0.35">
      <c r="A143" s="173" t="str">
        <f ca="1">(SUMPRODUCT(MID(0&amp;(LEFT(A142,SUM(LEN(A142)-LEN(SUBSTITUTE(A142,{"0","1","2"},""))))), LARGE(INDEX(ISNUMBER(--MID((LEFT(A142,SUM(LEN(A142)-LEN(SUBSTITUTE(A142,{"0","1","2"},""))))), ROW(INDIRECT("1:"&amp;LEN((LEFT(A142,SUM(LEN(A142)-LEN(SUBSTITUTE(A142,{"0","1","2"},"")))))))), 1)) * ROW(INDIRECT("1:"&amp;LEN((LEFT(A142,SUM(LEN(A142)-LEN(SUBSTITUTE(A142,{"0","1","2"},"")))))))), 0), ROW(INDIRECT("1:"&amp;LEN((LEFT(A142,SUM(LEN(A142)-LEN(SUBSTITUTE(A142,{"0","1","2"},"")))))))))+1, 1) * 10^ROW(INDIRECT("1:"&amp;LEN((LEFT(A142,SUM(LEN(A142)-LEN(SUBSTITUTE(A142,{"0","1","2"},""))))))))/10))*100+1&amp;""&amp;" to "&amp;""&amp;(SUMPRODUCT(MID(0&amp;(--TRIM(RIGHT(SUBSTITUTE(LEFT(A142,_xlfn.AGGREGATE(16,6,FIND({0,1,2,3,4,5,6,7,8,9},A142,ROW(INDIRECT("1:"&amp;LEN(A142)))),1))," ",REPT(" ",LEN(A142))),LEN(A142)))), LARGE(INDEX(ISNUMBER(--MID((--TRIM(RIGHT(SUBSTITUTE(LEFT(A142,_xlfn.AGGREGATE(16,6,FIND({0,1,2,3,4,5,6,7,8,9},A142,ROW(INDIRECT("1:"&amp;LEN(A142)))),1))," ",REPT(" ",LEN(A142))),LEN(A142)))), ROW(INDIRECT("1:"&amp;LEN((--TRIM(RIGHT(SUBSTITUTE(LEFT(A142,_xlfn.AGGREGATE(16,6,FIND({0,1,2,3,4,5,6,7,8,9},A142,ROW(INDIRECT("1:"&amp;LEN(A142)))),1))," ",REPT(" ",LEN(A142))),LEN(A142))))))), 1)) * ROW(INDIRECT("1:"&amp;LEN((--TRIM(RIGHT(SUBSTITUTE(LEFT(A142,_xlfn.AGGREGATE(16,6,FIND({0,1,2,3,4,5,6,7,8,9},A142,ROW(INDIRECT("1:"&amp;LEN(A142)))),1))," ",REPT(" ",LEN(A142))),LEN(A142))))))), 0), ROW(INDIRECT("1:"&amp;LEN((--TRIM(RIGHT(SUBSTITUTE(LEFT(A142,_xlfn.AGGREGATE(16,6,FIND({0,1,2,3,4,5,6,7,8,9},A142,ROW(INDIRECT("1:"&amp;LEN(A142)))),1))," ",REPT(" ",LEN(A142))),LEN(A142))))))))+1, 1) * 10^ROW(INDIRECT("1:"&amp;LEN((--TRIM(RIGHT(SUBSTITUTE(LEFT(A142,_xlfn.AGGREGATE(16,6,FIND({0,1,2,3,4,5,6,7,8,9},A142,ROW(INDIRECT("1:"&amp;LEN(A142)))),1))," ",REPT(" ",LEN(A142))),LEN(A142)))))))/10))*100+1</f>
        <v>1201 to 1401</v>
      </c>
      <c r="B143" s="173"/>
      <c r="C143" s="61" t="s">
        <v>190</v>
      </c>
      <c r="D143" s="61">
        <f>(67.616+1.2*2.9+1.05*2.35+0.75*(2.95+2.95+1.47))*10.764</f>
        <v>851.33552400000008</v>
      </c>
      <c r="E143" s="61">
        <v>0</v>
      </c>
      <c r="F143" s="61">
        <v>1432</v>
      </c>
      <c r="G143" s="173" t="str">
        <f>A142</f>
        <v>12th to 14th Floor</v>
      </c>
      <c r="H143" s="173"/>
      <c r="I143" s="33"/>
      <c r="J143" s="44">
        <f t="shared" ref="J143:J151" si="6">F143/D143</f>
        <v>1.6820630170250006</v>
      </c>
      <c r="K143" s="60">
        <f>F143*8000</f>
        <v>11456000</v>
      </c>
      <c r="L143" s="55">
        <f>F93+F94+F98</f>
        <v>0</v>
      </c>
      <c r="M143" s="55">
        <f>K143+L143</f>
        <v>11456000</v>
      </c>
    </row>
    <row r="144" spans="1:14" s="60" customFormat="1" ht="15.75" customHeight="1" x14ac:dyDescent="0.35">
      <c r="A144" s="173" t="str">
        <f ca="1">(SUMPRODUCT(MID(0&amp;(LEFT(A143,SUM(LEN(A143)-LEN(SUBSTITUTE(A143,{"0","1","2"},""))))), LARGE(INDEX(ISNUMBER(--MID((LEFT(A143,SUM(LEN(A143)-LEN(SUBSTITUTE(A143,{"0","1","2"},""))))), ROW(INDIRECT("1:"&amp;LEN((LEFT(A143,SUM(LEN(A143)-LEN(SUBSTITUTE(A143,{"0","1","2"},"")))))))), 1)) * ROW(INDIRECT("1:"&amp;LEN((LEFT(A143,SUM(LEN(A143)-LEN(SUBSTITUTE(A143,{"0","1","2"},"")))))))), 0), ROW(INDIRECT("1:"&amp;LEN((LEFT(A143,SUM(LEN(A143)-LEN(SUBSTITUTE(A143,{"0","1","2"},"")))))))))+1, 1) * 10^ROW(INDIRECT("1:"&amp;LEN((LEFT(A143,SUM(LEN(A143)-LEN(SUBSTITUTE(A143,{"0","1","2"},""))))))))/10))*1+1&amp;""&amp;" to "&amp;""&amp;(SUMPRODUCT(MID(0&amp;(--TRIM(RIGHT(SUBSTITUTE(LEFT(A143,_xlfn.AGGREGATE(16,6,FIND({0,1,2,3,4,5,6,7,8,9},A143,ROW(INDIRECT("1:"&amp;LEN(A143)))),1))," ",REPT(" ",LEN(A143))),LEN(A143)))), LARGE(INDEX(ISNUMBER(--MID((--TRIM(RIGHT(SUBSTITUTE(LEFT(A143,_xlfn.AGGREGATE(16,6,FIND({0,1,2,3,4,5,6,7,8,9},A143,ROW(INDIRECT("1:"&amp;LEN(A143)))),1))," ",REPT(" ",LEN(A143))),LEN(A143)))), ROW(INDIRECT("1:"&amp;LEN((--TRIM(RIGHT(SUBSTITUTE(LEFT(A143,_xlfn.AGGREGATE(16,6,FIND({0,1,2,3,4,5,6,7,8,9},A143,ROW(INDIRECT("1:"&amp;LEN(A143)))),1))," ",REPT(" ",LEN(A143))),LEN(A143))))))), 1)) * ROW(INDIRECT("1:"&amp;LEN((--TRIM(RIGHT(SUBSTITUTE(LEFT(A143,_xlfn.AGGREGATE(16,6,FIND({0,1,2,3,4,5,6,7,8,9},A143,ROW(INDIRECT("1:"&amp;LEN(A143)))),1))," ",REPT(" ",LEN(A143))),LEN(A143))))))), 0), ROW(INDIRECT("1:"&amp;LEN((--TRIM(RIGHT(SUBSTITUTE(LEFT(A143,_xlfn.AGGREGATE(16,6,FIND({0,1,2,3,4,5,6,7,8,9},A143,ROW(INDIRECT("1:"&amp;LEN(A143)))),1))," ",REPT(" ",LEN(A143))),LEN(A143))))))))+1, 1) * 10^ROW(INDIRECT("1:"&amp;LEN((--TRIM(RIGHT(SUBSTITUTE(LEFT(A143,_xlfn.AGGREGATE(16,6,FIND({0,1,2,3,4,5,6,7,8,9},A143,ROW(INDIRECT("1:"&amp;LEN(A143)))),1))," ",REPT(" ",LEN(A143))),LEN(A143)))))))/10))*1+1</f>
        <v>1202 to 1402</v>
      </c>
      <c r="B144" s="173"/>
      <c r="C144" s="62" t="s">
        <v>191</v>
      </c>
      <c r="D144" s="62">
        <f>(56.227+1.2*2.9+1.05*2.34+0.75*(2.98+2.92))*10.764</f>
        <v>716.76399599999991</v>
      </c>
      <c r="E144" s="62">
        <v>0</v>
      </c>
      <c r="F144" s="62">
        <v>1215</v>
      </c>
      <c r="G144" s="173"/>
      <c r="H144" s="173"/>
      <c r="I144" s="33"/>
      <c r="J144" s="44">
        <f t="shared" si="6"/>
        <v>1.6951186259082134</v>
      </c>
      <c r="K144" s="60">
        <f>F144*8000</f>
        <v>9720000</v>
      </c>
      <c r="L144" s="55">
        <f>F93+F94+F98</f>
        <v>0</v>
      </c>
      <c r="M144" s="55">
        <f>K144+L144</f>
        <v>9720000</v>
      </c>
    </row>
    <row r="145" spans="1:13" s="60" customFormat="1" ht="15.75" customHeight="1" x14ac:dyDescent="0.35">
      <c r="A145" s="173" t="str">
        <f ca="1">(SUMPRODUCT(MID(0&amp;(LEFT(A144,SUM(LEN(A144)-LEN(SUBSTITUTE(A144,{"0","1","2"},""))))), LARGE(INDEX(ISNUMBER(--MID((LEFT(A144,SUM(LEN(A144)-LEN(SUBSTITUTE(A144,{"0","1","2"},""))))), ROW(INDIRECT("1:"&amp;LEN((LEFT(A144,SUM(LEN(A144)-LEN(SUBSTITUTE(A144,{"0","1","2"},"")))))))), 1)) * ROW(INDIRECT("1:"&amp;LEN((LEFT(A144,SUM(LEN(A144)-LEN(SUBSTITUTE(A144,{"0","1","2"},"")))))))), 0), ROW(INDIRECT("1:"&amp;LEN((LEFT(A144,SUM(LEN(A144)-LEN(SUBSTITUTE(A144,{"0","1","2"},"")))))))))+1, 1) * 10^ROW(INDIRECT("1:"&amp;LEN((LEFT(A144,SUM(LEN(A144)-LEN(SUBSTITUTE(A144,{"0","1","2"},""))))))))/10))*1+1&amp;""&amp;" to "&amp;""&amp;(SUMPRODUCT(MID(0&amp;(--TRIM(RIGHT(SUBSTITUTE(LEFT(A144,_xlfn.AGGREGATE(16,6,FIND({0,1,2,3,4,5,6,7,8,9},A144,ROW(INDIRECT("1:"&amp;LEN(A144)))),1))," ",REPT(" ",LEN(A144))),LEN(A144)))), LARGE(INDEX(ISNUMBER(--MID((--TRIM(RIGHT(SUBSTITUTE(LEFT(A144,_xlfn.AGGREGATE(16,6,FIND({0,1,2,3,4,5,6,7,8,9},A144,ROW(INDIRECT("1:"&amp;LEN(A144)))),1))," ",REPT(" ",LEN(A144))),LEN(A144)))), ROW(INDIRECT("1:"&amp;LEN((--TRIM(RIGHT(SUBSTITUTE(LEFT(A144,_xlfn.AGGREGATE(16,6,FIND({0,1,2,3,4,5,6,7,8,9},A144,ROW(INDIRECT("1:"&amp;LEN(A144)))),1))," ",REPT(" ",LEN(A144))),LEN(A144))))))), 1)) * ROW(INDIRECT("1:"&amp;LEN((--TRIM(RIGHT(SUBSTITUTE(LEFT(A144,_xlfn.AGGREGATE(16,6,FIND({0,1,2,3,4,5,6,7,8,9},A144,ROW(INDIRECT("1:"&amp;LEN(A144)))),1))," ",REPT(" ",LEN(A144))),LEN(A144))))))), 0), ROW(INDIRECT("1:"&amp;LEN((--TRIM(RIGHT(SUBSTITUTE(LEFT(A144,_xlfn.AGGREGATE(16,6,FIND({0,1,2,3,4,5,6,7,8,9},A144,ROW(INDIRECT("1:"&amp;LEN(A144)))),1))," ",REPT(" ",LEN(A144))),LEN(A144))))))))+1, 1) * 10^ROW(INDIRECT("1:"&amp;LEN((--TRIM(RIGHT(SUBSTITUTE(LEFT(A144,_xlfn.AGGREGATE(16,6,FIND({0,1,2,3,4,5,6,7,8,9},A144,ROW(INDIRECT("1:"&amp;LEN(A144)))),1))," ",REPT(" ",LEN(A144))),LEN(A144)))))))/10))*1+1</f>
        <v>1203 to 1403</v>
      </c>
      <c r="B145" s="173"/>
      <c r="C145" s="61" t="s">
        <v>190</v>
      </c>
      <c r="D145" s="61">
        <f>(67.616+1.2*2.9+1.05*2.4+0.75*(2.75+2.9+1.7))*10.764</f>
        <v>851.73917399999993</v>
      </c>
      <c r="E145" s="61">
        <v>0</v>
      </c>
      <c r="F145" s="61">
        <v>1432</v>
      </c>
      <c r="G145" s="173"/>
      <c r="H145" s="173"/>
      <c r="I145" s="33"/>
      <c r="J145" s="44">
        <f t="shared" si="6"/>
        <v>1.6812658660220319</v>
      </c>
    </row>
    <row r="146" spans="1:13" s="60" customFormat="1" ht="15.75" customHeight="1" x14ac:dyDescent="0.35">
      <c r="A146" s="173" t="str">
        <f ca="1">(SUMPRODUCT(MID(0&amp;(LEFT(A145,SUM(LEN(A145)-LEN(SUBSTITUTE(A145,{"0","1","2"},""))))), LARGE(INDEX(ISNUMBER(--MID((LEFT(A145,SUM(LEN(A145)-LEN(SUBSTITUTE(A145,{"0","1","2"},""))))), ROW(INDIRECT("1:"&amp;LEN((LEFT(A145,SUM(LEN(A145)-LEN(SUBSTITUTE(A145,{"0","1","2"},"")))))))), 1)) * ROW(INDIRECT("1:"&amp;LEN((LEFT(A145,SUM(LEN(A145)-LEN(SUBSTITUTE(A145,{"0","1","2"},"")))))))), 0), ROW(INDIRECT("1:"&amp;LEN((LEFT(A145,SUM(LEN(A145)-LEN(SUBSTITUTE(A145,{"0","1","2"},"")))))))))+1, 1) * 10^ROW(INDIRECT("1:"&amp;LEN((LEFT(A145,SUM(LEN(A145)-LEN(SUBSTITUTE(A145,{"0","1","2"},""))))))))/10))*1+1&amp;""&amp;" to "&amp;""&amp;(SUMPRODUCT(MID(0&amp;(--TRIM(RIGHT(SUBSTITUTE(LEFT(A145,_xlfn.AGGREGATE(16,6,FIND({0,1,2,3,4,5,6,7,8,9},A145,ROW(INDIRECT("1:"&amp;LEN(A145)))),1))," ",REPT(" ",LEN(A145))),LEN(A145)))), LARGE(INDEX(ISNUMBER(--MID((--TRIM(RIGHT(SUBSTITUTE(LEFT(A145,_xlfn.AGGREGATE(16,6,FIND({0,1,2,3,4,5,6,7,8,9},A145,ROW(INDIRECT("1:"&amp;LEN(A145)))),1))," ",REPT(" ",LEN(A145))),LEN(A145)))), ROW(INDIRECT("1:"&amp;LEN((--TRIM(RIGHT(SUBSTITUTE(LEFT(A145,_xlfn.AGGREGATE(16,6,FIND({0,1,2,3,4,5,6,7,8,9},A145,ROW(INDIRECT("1:"&amp;LEN(A145)))),1))," ",REPT(" ",LEN(A145))),LEN(A145))))))), 1)) * ROW(INDIRECT("1:"&amp;LEN((--TRIM(RIGHT(SUBSTITUTE(LEFT(A145,_xlfn.AGGREGATE(16,6,FIND({0,1,2,3,4,5,6,7,8,9},A145,ROW(INDIRECT("1:"&amp;LEN(A145)))),1))," ",REPT(" ",LEN(A145))),LEN(A145))))))), 0), ROW(INDIRECT("1:"&amp;LEN((--TRIM(RIGHT(SUBSTITUTE(LEFT(A145,_xlfn.AGGREGATE(16,6,FIND({0,1,2,3,4,5,6,7,8,9},A145,ROW(INDIRECT("1:"&amp;LEN(A145)))),1))," ",REPT(" ",LEN(A145))),LEN(A145))))))))+1, 1) * 10^ROW(INDIRECT("1:"&amp;LEN((--TRIM(RIGHT(SUBSTITUTE(LEFT(A145,_xlfn.AGGREGATE(16,6,FIND({0,1,2,3,4,5,6,7,8,9},A145,ROW(INDIRECT("1:"&amp;LEN(A145)))),1))," ",REPT(" ",LEN(A145))),LEN(A145)))))))/10))*1+1</f>
        <v>1204 to 1404</v>
      </c>
      <c r="B146" s="173"/>
      <c r="C146" s="61" t="s">
        <v>191</v>
      </c>
      <c r="D146" s="61">
        <f>(50.786+1.2*2.75+1.05*2.34+0.75*(2.85+2.98))*10.764</f>
        <v>655.69444199999998</v>
      </c>
      <c r="E146" s="61">
        <v>0</v>
      </c>
      <c r="F146" s="61">
        <v>1110</v>
      </c>
      <c r="G146" s="173"/>
      <c r="H146" s="173"/>
      <c r="I146" s="33"/>
      <c r="J146" s="44">
        <f t="shared" si="6"/>
        <v>1.6928616881580949</v>
      </c>
      <c r="K146" s="60">
        <f>F146*8000</f>
        <v>8880000</v>
      </c>
      <c r="L146" s="55">
        <f>F93+F94+F98</f>
        <v>0</v>
      </c>
      <c r="M146" s="55">
        <f>K146+L146</f>
        <v>8880000</v>
      </c>
    </row>
    <row r="147" spans="1:13" s="60" customFormat="1" ht="15.75" customHeight="1" x14ac:dyDescent="0.35">
      <c r="A147" s="173" t="str">
        <f ca="1">(SUMPRODUCT(MID(0&amp;(LEFT(A146,SUM(LEN(A146)-LEN(SUBSTITUTE(A146,{"0","1","2"},""))))), LARGE(INDEX(ISNUMBER(--MID((LEFT(A146,SUM(LEN(A146)-LEN(SUBSTITUTE(A146,{"0","1","2"},""))))), ROW(INDIRECT("1:"&amp;LEN((LEFT(A146,SUM(LEN(A146)-LEN(SUBSTITUTE(A146,{"0","1","2"},"")))))))), 1)) * ROW(INDIRECT("1:"&amp;LEN((LEFT(A146,SUM(LEN(A146)-LEN(SUBSTITUTE(A146,{"0","1","2"},"")))))))), 0), ROW(INDIRECT("1:"&amp;LEN((LEFT(A146,SUM(LEN(A146)-LEN(SUBSTITUTE(A146,{"0","1","2"},"")))))))))+1, 1) * 10^ROW(INDIRECT("1:"&amp;LEN((LEFT(A146,SUM(LEN(A146)-LEN(SUBSTITUTE(A146,{"0","1","2"},""))))))))/10))*1+1&amp;""&amp;" to "&amp;""&amp;(SUMPRODUCT(MID(0&amp;(--TRIM(RIGHT(SUBSTITUTE(LEFT(A146,_xlfn.AGGREGATE(16,6,FIND({0,1,2,3,4,5,6,7,8,9},A146,ROW(INDIRECT("1:"&amp;LEN(A146)))),1))," ",REPT(" ",LEN(A146))),LEN(A146)))), LARGE(INDEX(ISNUMBER(--MID((--TRIM(RIGHT(SUBSTITUTE(LEFT(A146,_xlfn.AGGREGATE(16,6,FIND({0,1,2,3,4,5,6,7,8,9},A146,ROW(INDIRECT("1:"&amp;LEN(A146)))),1))," ",REPT(" ",LEN(A146))),LEN(A146)))), ROW(INDIRECT("1:"&amp;LEN((--TRIM(RIGHT(SUBSTITUTE(LEFT(A146,_xlfn.AGGREGATE(16,6,FIND({0,1,2,3,4,5,6,7,8,9},A146,ROW(INDIRECT("1:"&amp;LEN(A146)))),1))," ",REPT(" ",LEN(A146))),LEN(A146))))))), 1)) * ROW(INDIRECT("1:"&amp;LEN((--TRIM(RIGHT(SUBSTITUTE(LEFT(A146,_xlfn.AGGREGATE(16,6,FIND({0,1,2,3,4,5,6,7,8,9},A146,ROW(INDIRECT("1:"&amp;LEN(A146)))),1))," ",REPT(" ",LEN(A146))),LEN(A146))))))), 0), ROW(INDIRECT("1:"&amp;LEN((--TRIM(RIGHT(SUBSTITUTE(LEFT(A146,_xlfn.AGGREGATE(16,6,FIND({0,1,2,3,4,5,6,7,8,9},A146,ROW(INDIRECT("1:"&amp;LEN(A146)))),1))," ",REPT(" ",LEN(A146))),LEN(A146))))))))+1, 1) * 10^ROW(INDIRECT("1:"&amp;LEN((--TRIM(RIGHT(SUBSTITUTE(LEFT(A146,_xlfn.AGGREGATE(16,6,FIND({0,1,2,3,4,5,6,7,8,9},A146,ROW(INDIRECT("1:"&amp;LEN(A146)))),1))," ",REPT(" ",LEN(A146))),LEN(A146)))))))/10))*1+1</f>
        <v>1205 to 1405</v>
      </c>
      <c r="B147" s="173"/>
      <c r="C147" s="61" t="s">
        <v>191</v>
      </c>
      <c r="D147" s="61">
        <f>(51.885+1.2*2.75+1.05*2.47+0.75*(2.62+2.62))*10.764</f>
        <v>664.23029399999984</v>
      </c>
      <c r="E147" s="61">
        <v>0</v>
      </c>
      <c r="F147" s="61">
        <v>1130</v>
      </c>
      <c r="G147" s="173"/>
      <c r="H147" s="173"/>
      <c r="I147" s="33"/>
      <c r="J147" s="44">
        <f t="shared" si="6"/>
        <v>1.7012171986241873</v>
      </c>
    </row>
    <row r="148" spans="1:13" s="60" customFormat="1" ht="15.75" customHeight="1" x14ac:dyDescent="0.35">
      <c r="A148" s="173" t="str">
        <f ca="1">(SUMPRODUCT(MID(0&amp;(LEFT(A147,SUM(LEN(A147)-LEN(SUBSTITUTE(A147,{"0","1","2"},""))))), LARGE(INDEX(ISNUMBER(--MID((LEFT(A147,SUM(LEN(A147)-LEN(SUBSTITUTE(A147,{"0","1","2"},""))))), ROW(INDIRECT("1:"&amp;LEN((LEFT(A147,SUM(LEN(A147)-LEN(SUBSTITUTE(A147,{"0","1","2"},"")))))))), 1)) * ROW(INDIRECT("1:"&amp;LEN((LEFT(A147,SUM(LEN(A147)-LEN(SUBSTITUTE(A147,{"0","1","2"},"")))))))), 0), ROW(INDIRECT("1:"&amp;LEN((LEFT(A147,SUM(LEN(A147)-LEN(SUBSTITUTE(A147,{"0","1","2"},"")))))))))+1, 1) * 10^ROW(INDIRECT("1:"&amp;LEN((LEFT(A147,SUM(LEN(A147)-LEN(SUBSTITUTE(A147,{"0","1","2"},""))))))))/10))*1+1&amp;""&amp;" to "&amp;""&amp;(SUMPRODUCT(MID(0&amp;(--TRIM(RIGHT(SUBSTITUTE(LEFT(A147,_xlfn.AGGREGATE(16,6,FIND({0,1,2,3,4,5,6,7,8,9},A147,ROW(INDIRECT("1:"&amp;LEN(A147)))),1))," ",REPT(" ",LEN(A147))),LEN(A147)))), LARGE(INDEX(ISNUMBER(--MID((--TRIM(RIGHT(SUBSTITUTE(LEFT(A147,_xlfn.AGGREGATE(16,6,FIND({0,1,2,3,4,5,6,7,8,9},A147,ROW(INDIRECT("1:"&amp;LEN(A147)))),1))," ",REPT(" ",LEN(A147))),LEN(A147)))), ROW(INDIRECT("1:"&amp;LEN((--TRIM(RIGHT(SUBSTITUTE(LEFT(A147,_xlfn.AGGREGATE(16,6,FIND({0,1,2,3,4,5,6,7,8,9},A147,ROW(INDIRECT("1:"&amp;LEN(A147)))),1))," ",REPT(" ",LEN(A147))),LEN(A147))))))), 1)) * ROW(INDIRECT("1:"&amp;LEN((--TRIM(RIGHT(SUBSTITUTE(LEFT(A147,_xlfn.AGGREGATE(16,6,FIND({0,1,2,3,4,5,6,7,8,9},A147,ROW(INDIRECT("1:"&amp;LEN(A147)))),1))," ",REPT(" ",LEN(A147))),LEN(A147))))))), 0), ROW(INDIRECT("1:"&amp;LEN((--TRIM(RIGHT(SUBSTITUTE(LEFT(A147,_xlfn.AGGREGATE(16,6,FIND({0,1,2,3,4,5,6,7,8,9},A147,ROW(INDIRECT("1:"&amp;LEN(A147)))),1))," ",REPT(" ",LEN(A147))),LEN(A147))))))))+1, 1) * 10^ROW(INDIRECT("1:"&amp;LEN((--TRIM(RIGHT(SUBSTITUTE(LEFT(A147,_xlfn.AGGREGATE(16,6,FIND({0,1,2,3,4,5,6,7,8,9},A147,ROW(INDIRECT("1:"&amp;LEN(A147)))),1))," ",REPT(" ",LEN(A147))),LEN(A147)))))))/10))*1+1</f>
        <v>1206 to 1406</v>
      </c>
      <c r="B148" s="173"/>
      <c r="C148" s="61" t="s">
        <v>191</v>
      </c>
      <c r="D148" s="61">
        <f>(49.712+1.2*2.75+1.05*2.29+0.75*(2.85+2.9))*10.764</f>
        <v>642.922956</v>
      </c>
      <c r="E148" s="61">
        <v>0</v>
      </c>
      <c r="F148" s="61">
        <v>1100</v>
      </c>
      <c r="G148" s="173"/>
      <c r="H148" s="173"/>
      <c r="I148" s="33"/>
      <c r="J148" s="44">
        <f t="shared" si="6"/>
        <v>1.7109359523320551</v>
      </c>
    </row>
    <row r="149" spans="1:13" s="60" customFormat="1" ht="15.75" customHeight="1" x14ac:dyDescent="0.35">
      <c r="A149" s="173" t="str">
        <f ca="1">(SUMPRODUCT(MID(0&amp;(LEFT(A148,SUM(LEN(A148)-LEN(SUBSTITUTE(A148,{"0","1","2"},""))))), LARGE(INDEX(ISNUMBER(--MID((LEFT(A148,SUM(LEN(A148)-LEN(SUBSTITUTE(A148,{"0","1","2"},""))))), ROW(INDIRECT("1:"&amp;LEN((LEFT(A148,SUM(LEN(A148)-LEN(SUBSTITUTE(A148,{"0","1","2"},"")))))))), 1)) * ROW(INDIRECT("1:"&amp;LEN((LEFT(A148,SUM(LEN(A148)-LEN(SUBSTITUTE(A148,{"0","1","2"},"")))))))), 0), ROW(INDIRECT("1:"&amp;LEN((LEFT(A148,SUM(LEN(A148)-LEN(SUBSTITUTE(A148,{"0","1","2"},"")))))))))+1, 1) * 10^ROW(INDIRECT("1:"&amp;LEN((LEFT(A148,SUM(LEN(A148)-LEN(SUBSTITUTE(A148,{"0","1","2"},""))))))))/10))*1+1&amp;""&amp;" to "&amp;""&amp;(SUMPRODUCT(MID(0&amp;(--TRIM(RIGHT(SUBSTITUTE(LEFT(A148,_xlfn.AGGREGATE(16,6,FIND({0,1,2,3,4,5,6,7,8,9},A148,ROW(INDIRECT("1:"&amp;LEN(A148)))),1))," ",REPT(" ",LEN(A148))),LEN(A148)))), LARGE(INDEX(ISNUMBER(--MID((--TRIM(RIGHT(SUBSTITUTE(LEFT(A148,_xlfn.AGGREGATE(16,6,FIND({0,1,2,3,4,5,6,7,8,9},A148,ROW(INDIRECT("1:"&amp;LEN(A148)))),1))," ",REPT(" ",LEN(A148))),LEN(A148)))), ROW(INDIRECT("1:"&amp;LEN((--TRIM(RIGHT(SUBSTITUTE(LEFT(A148,_xlfn.AGGREGATE(16,6,FIND({0,1,2,3,4,5,6,7,8,9},A148,ROW(INDIRECT("1:"&amp;LEN(A148)))),1))," ",REPT(" ",LEN(A148))),LEN(A148))))))), 1)) * ROW(INDIRECT("1:"&amp;LEN((--TRIM(RIGHT(SUBSTITUTE(LEFT(A148,_xlfn.AGGREGATE(16,6,FIND({0,1,2,3,4,5,6,7,8,9},A148,ROW(INDIRECT("1:"&amp;LEN(A148)))),1))," ",REPT(" ",LEN(A148))),LEN(A148))))))), 0), ROW(INDIRECT("1:"&amp;LEN((--TRIM(RIGHT(SUBSTITUTE(LEFT(A148,_xlfn.AGGREGATE(16,6,FIND({0,1,2,3,4,5,6,7,8,9},A148,ROW(INDIRECT("1:"&amp;LEN(A148)))),1))," ",REPT(" ",LEN(A148))),LEN(A148))))))))+1, 1) * 10^ROW(INDIRECT("1:"&amp;LEN((--TRIM(RIGHT(SUBSTITUTE(LEFT(A148,_xlfn.AGGREGATE(16,6,FIND({0,1,2,3,4,5,6,7,8,9},A148,ROW(INDIRECT("1:"&amp;LEN(A148)))),1))," ",REPT(" ",LEN(A148))),LEN(A148)))))))/10))*1+1</f>
        <v>1207 to 1407</v>
      </c>
      <c r="B149" s="173"/>
      <c r="C149" s="61" t="s">
        <v>191</v>
      </c>
      <c r="D149" s="61">
        <f>(48.128+1.2*2.75+1.05*2.29+0.75*(3.08+2.9))*10.764</f>
        <v>627.72956999999997</v>
      </c>
      <c r="E149" s="61">
        <v>0</v>
      </c>
      <c r="F149" s="61">
        <v>1073</v>
      </c>
      <c r="G149" s="173"/>
      <c r="H149" s="173"/>
      <c r="I149" s="33"/>
      <c r="J149" s="44">
        <f t="shared" si="6"/>
        <v>1.7093348016089158</v>
      </c>
    </row>
    <row r="150" spans="1:13" s="60" customFormat="1" ht="15.75" customHeight="1" x14ac:dyDescent="0.35">
      <c r="A150" s="173" t="str">
        <f ca="1">(SUMPRODUCT(MID(0&amp;(LEFT(A149,SUM(LEN(A149)-LEN(SUBSTITUTE(A149,{"0","1","2"},""))))), LARGE(INDEX(ISNUMBER(--MID((LEFT(A149,SUM(LEN(A149)-LEN(SUBSTITUTE(A149,{"0","1","2"},""))))), ROW(INDIRECT("1:"&amp;LEN((LEFT(A149,SUM(LEN(A149)-LEN(SUBSTITUTE(A149,{"0","1","2"},"")))))))), 1)) * ROW(INDIRECT("1:"&amp;LEN((LEFT(A149,SUM(LEN(A149)-LEN(SUBSTITUTE(A149,{"0","1","2"},"")))))))), 0), ROW(INDIRECT("1:"&amp;LEN((LEFT(A149,SUM(LEN(A149)-LEN(SUBSTITUTE(A149,{"0","1","2"},"")))))))))+1, 1) * 10^ROW(INDIRECT("1:"&amp;LEN((LEFT(A149,SUM(LEN(A149)-LEN(SUBSTITUTE(A149,{"0","1","2"},""))))))))/10))*1+1&amp;""&amp;" to "&amp;""&amp;(SUMPRODUCT(MID(0&amp;(--TRIM(RIGHT(SUBSTITUTE(LEFT(A149,_xlfn.AGGREGATE(16,6,FIND({0,1,2,3,4,5,6,7,8,9},A149,ROW(INDIRECT("1:"&amp;LEN(A149)))),1))," ",REPT(" ",LEN(A149))),LEN(A149)))), LARGE(INDEX(ISNUMBER(--MID((--TRIM(RIGHT(SUBSTITUTE(LEFT(A149,_xlfn.AGGREGATE(16,6,FIND({0,1,2,3,4,5,6,7,8,9},A149,ROW(INDIRECT("1:"&amp;LEN(A149)))),1))," ",REPT(" ",LEN(A149))),LEN(A149)))), ROW(INDIRECT("1:"&amp;LEN((--TRIM(RIGHT(SUBSTITUTE(LEFT(A149,_xlfn.AGGREGATE(16,6,FIND({0,1,2,3,4,5,6,7,8,9},A149,ROW(INDIRECT("1:"&amp;LEN(A149)))),1))," ",REPT(" ",LEN(A149))),LEN(A149))))))), 1)) * ROW(INDIRECT("1:"&amp;LEN((--TRIM(RIGHT(SUBSTITUTE(LEFT(A149,_xlfn.AGGREGATE(16,6,FIND({0,1,2,3,4,5,6,7,8,9},A149,ROW(INDIRECT("1:"&amp;LEN(A149)))),1))," ",REPT(" ",LEN(A149))),LEN(A149))))))), 0), ROW(INDIRECT("1:"&amp;LEN((--TRIM(RIGHT(SUBSTITUTE(LEFT(A149,_xlfn.AGGREGATE(16,6,FIND({0,1,2,3,4,5,6,7,8,9},A149,ROW(INDIRECT("1:"&amp;LEN(A149)))),1))," ",REPT(" ",LEN(A149))),LEN(A149))))))))+1, 1) * 10^ROW(INDIRECT("1:"&amp;LEN((--TRIM(RIGHT(SUBSTITUTE(LEFT(A149,_xlfn.AGGREGATE(16,6,FIND({0,1,2,3,4,5,6,7,8,9},A149,ROW(INDIRECT("1:"&amp;LEN(A149)))),1))," ",REPT(" ",LEN(A149))),LEN(A149)))))))/10))*1+1</f>
        <v>1208 to 1408</v>
      </c>
      <c r="B150" s="173"/>
      <c r="C150" s="61" t="s">
        <v>191</v>
      </c>
      <c r="D150" s="61">
        <f>(48.627+1.2*2.75+1.05*2.34+0.75*(2.9+1.23))*10.764</f>
        <v>618.73086599999988</v>
      </c>
      <c r="E150" s="61">
        <v>0</v>
      </c>
      <c r="F150" s="61">
        <v>1056</v>
      </c>
      <c r="G150" s="173"/>
      <c r="H150" s="173"/>
      <c r="I150" s="33"/>
      <c r="J150" s="44">
        <f t="shared" si="6"/>
        <v>1.7067194446381477</v>
      </c>
    </row>
    <row r="151" spans="1:13" s="60" customFormat="1" ht="15.75" customHeight="1" x14ac:dyDescent="0.35">
      <c r="A151" s="173" t="str">
        <f ca="1">(SUMPRODUCT(MID(0&amp;(LEFT(A150,SUM(LEN(A150)-LEN(SUBSTITUTE(A150,{"0","1","2"},""))))), LARGE(INDEX(ISNUMBER(--MID((LEFT(A150,SUM(LEN(A150)-LEN(SUBSTITUTE(A150,{"0","1","2"},""))))), ROW(INDIRECT("1:"&amp;LEN((LEFT(A150,SUM(LEN(A150)-LEN(SUBSTITUTE(A150,{"0","1","2"},"")))))))), 1)) * ROW(INDIRECT("1:"&amp;LEN((LEFT(A150,SUM(LEN(A150)-LEN(SUBSTITUTE(A150,{"0","1","2"},"")))))))), 0), ROW(INDIRECT("1:"&amp;LEN((LEFT(A150,SUM(LEN(A150)-LEN(SUBSTITUTE(A150,{"0","1","2"},"")))))))))+1, 1) * 10^ROW(INDIRECT("1:"&amp;LEN((LEFT(A150,SUM(LEN(A150)-LEN(SUBSTITUTE(A150,{"0","1","2"},""))))))))/10))*1+1&amp;""&amp;" to "&amp;""&amp;(SUMPRODUCT(MID(0&amp;(--TRIM(RIGHT(SUBSTITUTE(LEFT(A150,_xlfn.AGGREGATE(16,6,FIND({0,1,2,3,4,5,6,7,8,9},A150,ROW(INDIRECT("1:"&amp;LEN(A150)))),1))," ",REPT(" ",LEN(A150))),LEN(A150)))), LARGE(INDEX(ISNUMBER(--MID((--TRIM(RIGHT(SUBSTITUTE(LEFT(A150,_xlfn.AGGREGATE(16,6,FIND({0,1,2,3,4,5,6,7,8,9},A150,ROW(INDIRECT("1:"&amp;LEN(A150)))),1))," ",REPT(" ",LEN(A150))),LEN(A150)))), ROW(INDIRECT("1:"&amp;LEN((--TRIM(RIGHT(SUBSTITUTE(LEFT(A150,_xlfn.AGGREGATE(16,6,FIND({0,1,2,3,4,5,6,7,8,9},A150,ROW(INDIRECT("1:"&amp;LEN(A150)))),1))," ",REPT(" ",LEN(A150))),LEN(A150))))))), 1)) * ROW(INDIRECT("1:"&amp;LEN((--TRIM(RIGHT(SUBSTITUTE(LEFT(A150,_xlfn.AGGREGATE(16,6,FIND({0,1,2,3,4,5,6,7,8,9},A150,ROW(INDIRECT("1:"&amp;LEN(A150)))),1))," ",REPT(" ",LEN(A150))),LEN(A150))))))), 0), ROW(INDIRECT("1:"&amp;LEN((--TRIM(RIGHT(SUBSTITUTE(LEFT(A150,_xlfn.AGGREGATE(16,6,FIND({0,1,2,3,4,5,6,7,8,9},A150,ROW(INDIRECT("1:"&amp;LEN(A150)))),1))," ",REPT(" ",LEN(A150))),LEN(A150))))))))+1, 1) * 10^ROW(INDIRECT("1:"&amp;LEN((--TRIM(RIGHT(SUBSTITUTE(LEFT(A150,_xlfn.AGGREGATE(16,6,FIND({0,1,2,3,4,5,6,7,8,9},A150,ROW(INDIRECT("1:"&amp;LEN(A150)))),1))," ",REPT(" ",LEN(A150))),LEN(A150)))))))/10))*1+1</f>
        <v>1209 to 1409</v>
      </c>
      <c r="B151" s="173"/>
      <c r="C151" s="61" t="s">
        <v>191</v>
      </c>
      <c r="D151" s="61">
        <f>(48.677+1.2*2.95+1.05*2.34+0.75*(2.9+1.23))*10.764</f>
        <v>621.85242600000004</v>
      </c>
      <c r="E151" s="61">
        <v>0</v>
      </c>
      <c r="F151" s="61">
        <v>1056</v>
      </c>
      <c r="G151" s="173"/>
      <c r="H151" s="173"/>
      <c r="I151" s="33"/>
      <c r="J151" s="44">
        <f t="shared" si="6"/>
        <v>1.6981520950116868</v>
      </c>
    </row>
    <row r="152" spans="1:13" s="32" customFormat="1" x14ac:dyDescent="0.35">
      <c r="A152" s="164" t="s">
        <v>70</v>
      </c>
      <c r="B152" s="164"/>
      <c r="C152" s="164"/>
      <c r="D152" s="164"/>
      <c r="E152" s="164"/>
      <c r="F152" s="164"/>
      <c r="G152" s="164"/>
      <c r="H152" s="164"/>
    </row>
    <row r="153" spans="1:13" s="32" customFormat="1" x14ac:dyDescent="0.35">
      <c r="A153" s="52" t="s">
        <v>156</v>
      </c>
      <c r="B153" s="105" t="s">
        <v>220</v>
      </c>
      <c r="C153" s="106"/>
      <c r="D153" s="106"/>
      <c r="E153" s="106"/>
      <c r="F153" s="106"/>
      <c r="G153" s="106"/>
      <c r="H153" s="107"/>
    </row>
    <row r="154" spans="1:13" s="32" customFormat="1" x14ac:dyDescent="0.35">
      <c r="A154" s="52" t="s">
        <v>156</v>
      </c>
      <c r="B154" s="105" t="str">
        <f>(IF(F120="Saleable area Loading :","We have considered Saleable area of Flats as per our Calculation.","We considered Saleable area of Flat as per Builder area Sheet."))</f>
        <v>We considered Saleable area of Flat as per Builder area Sheet.</v>
      </c>
      <c r="C154" s="106"/>
      <c r="D154" s="106"/>
      <c r="E154" s="106"/>
      <c r="F154" s="106"/>
      <c r="G154" s="106"/>
      <c r="H154" s="107"/>
    </row>
    <row r="155" spans="1:13" s="32" customFormat="1" x14ac:dyDescent="0.35">
      <c r="A155" s="52" t="s">
        <v>156</v>
      </c>
      <c r="B155" s="105" t="str">
        <f>(IF(F103="Saleable area Loading :","We have considered Saleable area of Commercial as per our Calculation.","We considered Saleable area of Commercial as per Builder area Sheet."))</f>
        <v>We considered Saleable area of Commercial as per Builder area Sheet.</v>
      </c>
      <c r="C155" s="106"/>
      <c r="D155" s="106"/>
      <c r="E155" s="106"/>
      <c r="F155" s="106"/>
      <c r="G155" s="106"/>
      <c r="H155" s="107"/>
    </row>
    <row r="156" spans="1:13" s="32" customFormat="1" x14ac:dyDescent="0.35">
      <c r="A156" s="52" t="s">
        <v>156</v>
      </c>
      <c r="B156" s="64" t="s">
        <v>127</v>
      </c>
      <c r="C156" s="65"/>
      <c r="D156" s="65"/>
      <c r="E156" s="65"/>
      <c r="F156" s="65"/>
      <c r="G156" s="65"/>
      <c r="H156" s="66"/>
    </row>
    <row r="157" spans="1:13" s="32" customFormat="1" x14ac:dyDescent="0.35">
      <c r="A157" s="52" t="s">
        <v>156</v>
      </c>
      <c r="B157" s="105" t="s">
        <v>224</v>
      </c>
      <c r="C157" s="106"/>
      <c r="D157" s="106"/>
      <c r="E157" s="106"/>
      <c r="F157" s="106"/>
      <c r="G157" s="106"/>
      <c r="H157" s="107"/>
    </row>
    <row r="158" spans="1:13" s="32" customFormat="1" x14ac:dyDescent="0.35">
      <c r="A158" s="52" t="s">
        <v>156</v>
      </c>
      <c r="B158" s="64" t="s">
        <v>155</v>
      </c>
      <c r="C158" s="65"/>
      <c r="D158" s="65"/>
      <c r="E158" s="65"/>
      <c r="F158" s="65"/>
      <c r="G158" s="65"/>
      <c r="H158" s="66"/>
    </row>
    <row r="159" spans="1:13" s="32" customFormat="1" x14ac:dyDescent="0.35">
      <c r="A159" s="52" t="s">
        <v>156</v>
      </c>
      <c r="B159" s="64" t="s">
        <v>128</v>
      </c>
      <c r="C159" s="65"/>
      <c r="D159" s="65"/>
      <c r="E159" s="65"/>
      <c r="F159" s="65"/>
      <c r="G159" s="65"/>
      <c r="H159" s="66"/>
    </row>
    <row r="160" spans="1:13" s="32" customFormat="1" ht="34.5" hidden="1" customHeight="1" x14ac:dyDescent="0.35">
      <c r="A160" s="52" t="s">
        <v>156</v>
      </c>
      <c r="B160" s="64" t="s">
        <v>157</v>
      </c>
      <c r="C160" s="65"/>
      <c r="D160" s="65"/>
      <c r="E160" s="65"/>
      <c r="F160" s="65"/>
      <c r="G160" s="65"/>
      <c r="H160" s="66"/>
    </row>
    <row r="161" spans="1:8" s="32" customFormat="1" x14ac:dyDescent="0.35">
      <c r="A161" s="52" t="s">
        <v>156</v>
      </c>
      <c r="B161" s="64" t="s">
        <v>129</v>
      </c>
      <c r="C161" s="65"/>
      <c r="D161" s="65"/>
      <c r="E161" s="65"/>
      <c r="F161" s="65"/>
      <c r="G161" s="65"/>
      <c r="H161" s="66"/>
    </row>
    <row r="162" spans="1:8" s="32" customFormat="1" hidden="1" x14ac:dyDescent="0.35">
      <c r="A162" s="52" t="s">
        <v>156</v>
      </c>
      <c r="B162" s="105" t="s">
        <v>210</v>
      </c>
      <c r="C162" s="106"/>
      <c r="D162" s="106"/>
      <c r="E162" s="106"/>
      <c r="F162" s="106"/>
      <c r="G162" s="106"/>
      <c r="H162" s="107"/>
    </row>
    <row r="163" spans="1:8" s="32" customFormat="1" x14ac:dyDescent="0.35">
      <c r="A163" s="59" t="s">
        <v>156</v>
      </c>
      <c r="B163" s="64" t="s">
        <v>223</v>
      </c>
      <c r="C163" s="65"/>
      <c r="D163" s="65"/>
      <c r="E163" s="65"/>
      <c r="F163" s="65"/>
      <c r="G163" s="65"/>
      <c r="H163" s="66"/>
    </row>
    <row r="164" spans="1:8" x14ac:dyDescent="0.35">
      <c r="A164" s="157" t="s">
        <v>63</v>
      </c>
      <c r="B164" s="157"/>
      <c r="C164" s="157"/>
      <c r="D164" s="157"/>
      <c r="E164" s="157"/>
      <c r="F164" s="157"/>
      <c r="G164" s="157"/>
      <c r="H164" s="157"/>
    </row>
    <row r="165" spans="1:8" x14ac:dyDescent="0.35">
      <c r="A165" s="123" t="s">
        <v>64</v>
      </c>
      <c r="B165" s="123"/>
      <c r="C165" s="123"/>
      <c r="D165" s="123"/>
      <c r="E165" s="123"/>
      <c r="F165" s="123"/>
      <c r="G165" s="123"/>
      <c r="H165" s="123"/>
    </row>
    <row r="166" spans="1:8" ht="15.75" customHeight="1" x14ac:dyDescent="0.35">
      <c r="A166" s="165" t="s">
        <v>65</v>
      </c>
      <c r="B166" s="165"/>
      <c r="C166" s="165"/>
      <c r="D166" s="165"/>
      <c r="E166" s="165"/>
      <c r="F166" s="165"/>
      <c r="G166" s="165"/>
      <c r="H166" s="165"/>
    </row>
    <row r="167" spans="1:8" x14ac:dyDescent="0.35">
      <c r="A167" s="123" t="s">
        <v>66</v>
      </c>
      <c r="B167" s="123"/>
      <c r="C167" s="123"/>
      <c r="D167" s="123"/>
      <c r="E167" s="123"/>
      <c r="F167" s="123"/>
      <c r="G167" s="123"/>
      <c r="H167" s="123"/>
    </row>
    <row r="168" spans="1:8" x14ac:dyDescent="0.35">
      <c r="A168" s="123" t="s">
        <v>67</v>
      </c>
      <c r="B168" s="123"/>
      <c r="C168" s="123"/>
      <c r="D168" s="123"/>
      <c r="E168" s="123"/>
      <c r="F168" s="123"/>
      <c r="G168" s="123"/>
      <c r="H168" s="123"/>
    </row>
    <row r="169" spans="1:8" x14ac:dyDescent="0.35">
      <c r="A169" s="123" t="s">
        <v>130</v>
      </c>
      <c r="B169" s="123"/>
      <c r="C169" s="123"/>
      <c r="D169" s="123"/>
      <c r="E169" s="123"/>
      <c r="F169" s="123"/>
      <c r="G169" s="123"/>
      <c r="H169" s="123"/>
    </row>
    <row r="170" spans="1:8" ht="35.25" customHeight="1" x14ac:dyDescent="0.35">
      <c r="A170" s="134" t="s">
        <v>131</v>
      </c>
      <c r="B170" s="134"/>
      <c r="C170" s="134"/>
      <c r="D170" s="134"/>
      <c r="E170" s="134"/>
      <c r="F170" s="134"/>
      <c r="G170" s="134"/>
      <c r="H170" s="134"/>
    </row>
    <row r="171" spans="1:8" x14ac:dyDescent="0.35">
      <c r="A171" s="162" t="s">
        <v>79</v>
      </c>
      <c r="B171" s="162"/>
      <c r="C171" s="162" t="s">
        <v>229</v>
      </c>
      <c r="D171" s="162"/>
      <c r="E171" s="162" t="s">
        <v>108</v>
      </c>
      <c r="F171" s="162"/>
      <c r="G171" s="162" t="s">
        <v>228</v>
      </c>
      <c r="H171" s="162"/>
    </row>
    <row r="172" spans="1:8" x14ac:dyDescent="0.35">
      <c r="A172" s="161" t="s">
        <v>81</v>
      </c>
      <c r="B172" s="161"/>
      <c r="C172" s="161"/>
      <c r="D172" s="161"/>
      <c r="E172" s="161"/>
      <c r="F172" s="161"/>
      <c r="G172" s="161"/>
      <c r="H172" s="161"/>
    </row>
    <row r="173" spans="1:8" x14ac:dyDescent="0.35">
      <c r="A173" s="161"/>
      <c r="B173" s="161"/>
      <c r="C173" s="161"/>
      <c r="D173" s="161"/>
      <c r="E173" s="161"/>
      <c r="F173" s="161"/>
      <c r="G173" s="161"/>
      <c r="H173" s="161"/>
    </row>
    <row r="174" spans="1:8" x14ac:dyDescent="0.35">
      <c r="A174" s="161"/>
      <c r="B174" s="161"/>
      <c r="C174" s="161"/>
      <c r="D174" s="161"/>
      <c r="E174" s="161"/>
      <c r="F174" s="161"/>
      <c r="G174" s="161"/>
      <c r="H174" s="161"/>
    </row>
    <row r="175" spans="1:8" x14ac:dyDescent="0.35">
      <c r="A175" s="161"/>
      <c r="B175" s="161"/>
      <c r="C175" s="161"/>
      <c r="D175" s="161"/>
      <c r="E175" s="161"/>
      <c r="F175" s="161"/>
      <c r="G175" s="161"/>
      <c r="H175" s="161"/>
    </row>
    <row r="176" spans="1:8" x14ac:dyDescent="0.35">
      <c r="A176" s="35" t="s">
        <v>68</v>
      </c>
      <c r="B176" s="36"/>
      <c r="C176" s="36"/>
      <c r="D176" s="35" t="str">
        <f>E8</f>
        <v>Autograph</v>
      </c>
      <c r="F176" s="36"/>
      <c r="G176" s="36"/>
      <c r="H176" s="36"/>
    </row>
    <row r="177" spans="1:8" x14ac:dyDescent="0.35">
      <c r="A177" s="36"/>
      <c r="B177" s="36"/>
      <c r="C177" s="36"/>
      <c r="D177" s="36"/>
      <c r="E177" s="36"/>
      <c r="F177" s="36"/>
      <c r="G177" s="36"/>
      <c r="H177" s="36"/>
    </row>
    <row r="178" spans="1:8" x14ac:dyDescent="0.35">
      <c r="A178" s="36"/>
      <c r="B178" s="36"/>
      <c r="C178" s="36"/>
      <c r="D178" s="36"/>
      <c r="E178" s="36"/>
      <c r="F178" s="36"/>
      <c r="G178" s="36"/>
      <c r="H178" s="36"/>
    </row>
    <row r="179" spans="1:8" ht="15" customHeight="1" x14ac:dyDescent="0.35"/>
    <row r="210" spans="1:1" ht="25.5" customHeight="1" x14ac:dyDescent="0.35"/>
    <row r="217" spans="1:1" x14ac:dyDescent="0.35">
      <c r="A217" s="38" t="s">
        <v>69</v>
      </c>
    </row>
  </sheetData>
  <mergeCells count="303">
    <mergeCell ref="E40:H40"/>
    <mergeCell ref="A40:D40"/>
    <mergeCell ref="A169:H169"/>
    <mergeCell ref="A166:H166"/>
    <mergeCell ref="A123:B123"/>
    <mergeCell ref="A99:B99"/>
    <mergeCell ref="G120:H120"/>
    <mergeCell ref="A73:B73"/>
    <mergeCell ref="F79:H79"/>
    <mergeCell ref="G94:H94"/>
    <mergeCell ref="A47:B47"/>
    <mergeCell ref="C47:E47"/>
    <mergeCell ref="G93:H93"/>
    <mergeCell ref="A88:E88"/>
    <mergeCell ref="C94:D94"/>
    <mergeCell ref="E94:F94"/>
    <mergeCell ref="B161:H161"/>
    <mergeCell ref="B162:H162"/>
    <mergeCell ref="G47:H47"/>
    <mergeCell ref="G49:H49"/>
    <mergeCell ref="D53:H53"/>
    <mergeCell ref="C49:E49"/>
    <mergeCell ref="A56:C56"/>
    <mergeCell ref="D56:H56"/>
    <mergeCell ref="A172:H175"/>
    <mergeCell ref="A171:B171"/>
    <mergeCell ref="E171:F171"/>
    <mergeCell ref="C171:D171"/>
    <mergeCell ref="G171:H171"/>
    <mergeCell ref="A92:H92"/>
    <mergeCell ref="A90:E90"/>
    <mergeCell ref="F90:H90"/>
    <mergeCell ref="A91:E91"/>
    <mergeCell ref="F91:H91"/>
    <mergeCell ref="A122:H122"/>
    <mergeCell ref="A100:B100"/>
    <mergeCell ref="A94:B94"/>
    <mergeCell ref="A167:H167"/>
    <mergeCell ref="A98:H98"/>
    <mergeCell ref="A170:H170"/>
    <mergeCell ref="A168:H168"/>
    <mergeCell ref="A152:H152"/>
    <mergeCell ref="A132:H132"/>
    <mergeCell ref="A164:H164"/>
    <mergeCell ref="A165:H165"/>
    <mergeCell ref="E99:F99"/>
    <mergeCell ref="E93:F93"/>
    <mergeCell ref="B158:H158"/>
    <mergeCell ref="A67:B67"/>
    <mergeCell ref="A70:B70"/>
    <mergeCell ref="A66:B66"/>
    <mergeCell ref="A64:B64"/>
    <mergeCell ref="C64:H64"/>
    <mergeCell ref="A72:B72"/>
    <mergeCell ref="A59:C59"/>
    <mergeCell ref="D59:H59"/>
    <mergeCell ref="C66:H66"/>
    <mergeCell ref="A69:B69"/>
    <mergeCell ref="A71:B71"/>
    <mergeCell ref="E67:F67"/>
    <mergeCell ref="A60:C60"/>
    <mergeCell ref="D60:H60"/>
    <mergeCell ref="A63:C63"/>
    <mergeCell ref="D63:H63"/>
    <mergeCell ref="A61:C61"/>
    <mergeCell ref="D61:H61"/>
    <mergeCell ref="A62:C62"/>
    <mergeCell ref="D62:H62"/>
    <mergeCell ref="A68:B68"/>
    <mergeCell ref="G67:H67"/>
    <mergeCell ref="E44:H44"/>
    <mergeCell ref="A42:D42"/>
    <mergeCell ref="A43:D43"/>
    <mergeCell ref="A44:D44"/>
    <mergeCell ref="A45:H45"/>
    <mergeCell ref="D55:H55"/>
    <mergeCell ref="A55:C55"/>
    <mergeCell ref="G48:H48"/>
    <mergeCell ref="A49:B50"/>
    <mergeCell ref="A46:B46"/>
    <mergeCell ref="C46:H46"/>
    <mergeCell ref="C48:E48"/>
    <mergeCell ref="A51:B51"/>
    <mergeCell ref="C51:E51"/>
    <mergeCell ref="A48:B48"/>
    <mergeCell ref="A52:H52"/>
    <mergeCell ref="A53:C53"/>
    <mergeCell ref="A54:C54"/>
    <mergeCell ref="D54:H54"/>
    <mergeCell ref="G51:H51"/>
    <mergeCell ref="C50:H50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A20:D21"/>
    <mergeCell ref="E20:H21"/>
    <mergeCell ref="E13:H13"/>
    <mergeCell ref="A14:B14"/>
    <mergeCell ref="C14:H14"/>
    <mergeCell ref="C15:H15"/>
    <mergeCell ref="A22:D22"/>
    <mergeCell ref="E22:H22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57:C57"/>
    <mergeCell ref="A58:C58"/>
    <mergeCell ref="E24:H24"/>
    <mergeCell ref="A26:D26"/>
    <mergeCell ref="E26:H26"/>
    <mergeCell ref="A23:D23"/>
    <mergeCell ref="E23:H23"/>
    <mergeCell ref="A27:D27"/>
    <mergeCell ref="E27:H27"/>
    <mergeCell ref="A24:D24"/>
    <mergeCell ref="A33:B33"/>
    <mergeCell ref="C33:E33"/>
    <mergeCell ref="A28:D28"/>
    <mergeCell ref="E28:H28"/>
    <mergeCell ref="A29:D29"/>
    <mergeCell ref="E29:H29"/>
    <mergeCell ref="A25:D25"/>
    <mergeCell ref="E25:H25"/>
    <mergeCell ref="D57:H57"/>
    <mergeCell ref="D58:H58"/>
    <mergeCell ref="A41:D41"/>
    <mergeCell ref="E41:H41"/>
    <mergeCell ref="E42:H42"/>
    <mergeCell ref="E43:H43"/>
    <mergeCell ref="A39:D39"/>
    <mergeCell ref="E39:H39"/>
    <mergeCell ref="F31:H31"/>
    <mergeCell ref="F32:H32"/>
    <mergeCell ref="C30:E30"/>
    <mergeCell ref="F33:H33"/>
    <mergeCell ref="F34:H34"/>
    <mergeCell ref="A36:B36"/>
    <mergeCell ref="F30:H30"/>
    <mergeCell ref="A31:B31"/>
    <mergeCell ref="A30:B30"/>
    <mergeCell ref="C31:E31"/>
    <mergeCell ref="A32:B32"/>
    <mergeCell ref="C32:E32"/>
    <mergeCell ref="A35:H35"/>
    <mergeCell ref="A34:B34"/>
    <mergeCell ref="A38:H38"/>
    <mergeCell ref="C34:E34"/>
    <mergeCell ref="A37:B37"/>
    <mergeCell ref="C37:H37"/>
    <mergeCell ref="C36:H36"/>
    <mergeCell ref="L108:M108"/>
    <mergeCell ref="L107:M107"/>
    <mergeCell ref="L106:M106"/>
    <mergeCell ref="L105:M105"/>
    <mergeCell ref="A75:B75"/>
    <mergeCell ref="C100:D100"/>
    <mergeCell ref="E100:F100"/>
    <mergeCell ref="G100:H100"/>
    <mergeCell ref="F85:H85"/>
    <mergeCell ref="A79:E79"/>
    <mergeCell ref="A104:H104"/>
    <mergeCell ref="G103:H103"/>
    <mergeCell ref="E68:F77"/>
    <mergeCell ref="G68:H77"/>
    <mergeCell ref="A76:B76"/>
    <mergeCell ref="A77:B77"/>
    <mergeCell ref="A74:B74"/>
    <mergeCell ref="A101:H101"/>
    <mergeCell ref="A93:B93"/>
    <mergeCell ref="F86:H86"/>
    <mergeCell ref="C93:D93"/>
    <mergeCell ref="F89:H89"/>
    <mergeCell ref="F87:H87"/>
    <mergeCell ref="A102:H102"/>
    <mergeCell ref="F81:H81"/>
    <mergeCell ref="A86:E86"/>
    <mergeCell ref="A81:E81"/>
    <mergeCell ref="A78:E78"/>
    <mergeCell ref="F78:H78"/>
    <mergeCell ref="F83:H83"/>
    <mergeCell ref="F82:H82"/>
    <mergeCell ref="B159:H159"/>
    <mergeCell ref="B155:H155"/>
    <mergeCell ref="B153:H153"/>
    <mergeCell ref="B154:H154"/>
    <mergeCell ref="B156:H156"/>
    <mergeCell ref="B157:H157"/>
    <mergeCell ref="A127:B127"/>
    <mergeCell ref="A124:B124"/>
    <mergeCell ref="A125:B125"/>
    <mergeCell ref="A133:B133"/>
    <mergeCell ref="A134:B134"/>
    <mergeCell ref="A135:B135"/>
    <mergeCell ref="A126:B126"/>
    <mergeCell ref="A129:B129"/>
    <mergeCell ref="A136:B136"/>
    <mergeCell ref="A137:B137"/>
    <mergeCell ref="A142:H142"/>
    <mergeCell ref="L109:M109"/>
    <mergeCell ref="A110:B110"/>
    <mergeCell ref="L110:M110"/>
    <mergeCell ref="A111:B111"/>
    <mergeCell ref="L111:M111"/>
    <mergeCell ref="A112:B112"/>
    <mergeCell ref="L112:M112"/>
    <mergeCell ref="A109:B109"/>
    <mergeCell ref="B160:H160"/>
    <mergeCell ref="L122:M122"/>
    <mergeCell ref="L113:M113"/>
    <mergeCell ref="A114:B114"/>
    <mergeCell ref="L114:M114"/>
    <mergeCell ref="A115:B115"/>
    <mergeCell ref="L115:M115"/>
    <mergeCell ref="A121:H121"/>
    <mergeCell ref="A128:B128"/>
    <mergeCell ref="L117:M117"/>
    <mergeCell ref="A118:B118"/>
    <mergeCell ref="L118:M118"/>
    <mergeCell ref="A116:H116"/>
    <mergeCell ref="A117:B117"/>
    <mergeCell ref="A113:B113"/>
    <mergeCell ref="A138:B138"/>
    <mergeCell ref="A143:B143"/>
    <mergeCell ref="G143:H151"/>
    <mergeCell ref="A144:B144"/>
    <mergeCell ref="A145:B145"/>
    <mergeCell ref="A146:B146"/>
    <mergeCell ref="A147:B147"/>
    <mergeCell ref="A148:B148"/>
    <mergeCell ref="A149:B149"/>
    <mergeCell ref="A150:B150"/>
    <mergeCell ref="A151:B151"/>
    <mergeCell ref="G97:H97"/>
    <mergeCell ref="G105:H115"/>
    <mergeCell ref="G123:H131"/>
    <mergeCell ref="G133:H141"/>
    <mergeCell ref="G117:H118"/>
    <mergeCell ref="C126:F128"/>
    <mergeCell ref="A131:B131"/>
    <mergeCell ref="A130:B130"/>
    <mergeCell ref="A97:B97"/>
    <mergeCell ref="A119:H119"/>
    <mergeCell ref="A139:B139"/>
    <mergeCell ref="A140:B140"/>
    <mergeCell ref="A141:B141"/>
    <mergeCell ref="B163:H163"/>
    <mergeCell ref="F80:H80"/>
    <mergeCell ref="A80:E80"/>
    <mergeCell ref="A82:E82"/>
    <mergeCell ref="A105:B105"/>
    <mergeCell ref="A106:B106"/>
    <mergeCell ref="A107:B107"/>
    <mergeCell ref="A108:B108"/>
    <mergeCell ref="A83:E83"/>
    <mergeCell ref="F88:H88"/>
    <mergeCell ref="A89:E89"/>
    <mergeCell ref="A96:B96"/>
    <mergeCell ref="C96:D96"/>
    <mergeCell ref="E96:F96"/>
    <mergeCell ref="G96:H96"/>
    <mergeCell ref="C99:D99"/>
    <mergeCell ref="G99:H99"/>
    <mergeCell ref="A84:E84"/>
    <mergeCell ref="F84:H84"/>
    <mergeCell ref="A85:E85"/>
    <mergeCell ref="A87:E87"/>
    <mergeCell ref="A95:H95"/>
    <mergeCell ref="C97:D97"/>
    <mergeCell ref="E97:F97"/>
  </mergeCells>
  <hyperlinks>
    <hyperlink ref="C37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orientation="portrait" r:id="rId2"/>
  <headerFooter>
    <oddHeader>&amp;C&amp;G</oddHeader>
    <oddFooter>&amp;L&amp;"Times New Roman,Bold"&amp;12Ref No: &amp;F&amp;C&amp;G&amp;R&amp;"Times New Roman,Bold"&amp;12&amp;P</oddFooter>
  </headerFooter>
  <rowBreaks count="3" manualBreakCount="3">
    <brk id="63" max="16383" man="1"/>
    <brk id="175" max="16383" man="1"/>
    <brk id="216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54296875" defaultRowHeight="14.5" x14ac:dyDescent="0.35"/>
  <cols>
    <col min="1" max="1" width="8.54296875" style="1"/>
    <col min="2" max="2" width="22.2695312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5429687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166" t="s">
        <v>109</v>
      </c>
      <c r="C3" s="166"/>
      <c r="D3" s="166"/>
      <c r="E3" s="166"/>
      <c r="F3" s="166"/>
      <c r="G3" s="166"/>
      <c r="H3" s="166"/>
    </row>
    <row r="4" spans="1:9" x14ac:dyDescent="0.35">
      <c r="A4" s="2"/>
      <c r="B4" s="3" t="s">
        <v>110</v>
      </c>
      <c r="C4" s="3" t="s">
        <v>111</v>
      </c>
      <c r="D4" s="3" t="s">
        <v>71</v>
      </c>
      <c r="E4" s="3" t="s">
        <v>112</v>
      </c>
      <c r="F4" s="3" t="s">
        <v>118</v>
      </c>
      <c r="G4" s="3" t="s">
        <v>119</v>
      </c>
      <c r="H4" s="3" t="s">
        <v>113</v>
      </c>
    </row>
    <row r="5" spans="1:9" ht="15" customHeight="1" x14ac:dyDescent="0.35">
      <c r="A5" s="2"/>
      <c r="B5" s="5" t="s">
        <v>114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114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114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114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114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115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115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116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117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B2:C4"/>
  <sheetViews>
    <sheetView zoomScale="115" zoomScaleNormal="115" workbookViewId="0">
      <selection activeCell="C4" sqref="C4"/>
    </sheetView>
  </sheetViews>
  <sheetFormatPr defaultRowHeight="14.5" x14ac:dyDescent="0.35"/>
  <sheetData>
    <row r="2" spans="2:3" x14ac:dyDescent="0.35">
      <c r="B2" s="43" t="s">
        <v>189</v>
      </c>
      <c r="C2" s="43">
        <v>302</v>
      </c>
    </row>
    <row r="3" spans="2:3" x14ac:dyDescent="0.35">
      <c r="B3">
        <f>(2.9*5.2+1*1.15+0.92*3.05+2.14*2.75+2.75*3.05+2.75*3.36+3.27*3.05+0.24*1.75+1.22*2.05+1.22*2.05+1.8*1.22+1.2*(1.22+1.22))</f>
        <v>63.067999999999998</v>
      </c>
      <c r="C3">
        <f>(2.9*5.2+1*1.15+0.92*3.05+2.14*2.75+2.75*3.36+3.05*3.66+1.95*0.9+1.22*2.05+2.14*1.22+1*(1.22+2.14))</f>
        <v>55.550799999999995</v>
      </c>
    </row>
    <row r="4" spans="2:3" x14ac:dyDescent="0.35">
      <c r="B4">
        <f>B3+1.2*2.9+1.05*2.35+0.75*(2.95+2.95+1.47)</f>
        <v>74.543000000000006</v>
      </c>
      <c r="C4">
        <f>C3+1.2*3+1.05*2.34+0.75*(2.98+2.92)</f>
        <v>66.032799999999995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2025-05-13T07:20:10Z</cp:lastPrinted>
  <dcterms:created xsi:type="dcterms:W3CDTF">2019-07-16T09:29:46Z</dcterms:created>
  <dcterms:modified xsi:type="dcterms:W3CDTF">2025-08-13T15:23:03Z</dcterms:modified>
</cp:coreProperties>
</file>