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7-08-2025\"/>
    </mc:Choice>
  </mc:AlternateContent>
  <bookViews>
    <workbookView xWindow="0" yWindow="0" windowWidth="19200" windowHeight="6640"/>
  </bookViews>
  <sheets>
    <sheet name="Report" sheetId="1" r:id="rId1"/>
    <sheet name="C%" sheetId="6" r:id="rId2"/>
    <sheet name="Flat detail" sheetId="3" r:id="rId3"/>
    <sheet name="Note" sheetId="4" r:id="rId4"/>
    <sheet name="valuation" sheetId="5" r:id="rId5"/>
  </sheets>
  <definedNames>
    <definedName name="_xlnm.Print_Area" localSheetId="0">Report!$A$1:$H$418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1" l="1"/>
  <c r="J129" i="1" l="1"/>
  <c r="J128" i="1"/>
  <c r="J127" i="1"/>
  <c r="J126" i="1"/>
  <c r="H119" i="1"/>
  <c r="J124" i="1" l="1"/>
  <c r="J125" i="1" s="1"/>
  <c r="J130" i="1" s="1"/>
  <c r="J131" i="1" s="1"/>
  <c r="J123" i="1"/>
  <c r="C122" i="1" s="1"/>
  <c r="G122" i="1" s="1"/>
  <c r="J122" i="1"/>
  <c r="E122" i="1"/>
  <c r="D131" i="1"/>
  <c r="D130" i="1"/>
  <c r="D129" i="1"/>
  <c r="D128" i="1"/>
  <c r="D127" i="1"/>
  <c r="D126" i="1"/>
  <c r="D125" i="1"/>
  <c r="D124" i="1"/>
  <c r="D123" i="1"/>
  <c r="J121" i="1"/>
  <c r="J229" i="1"/>
  <c r="D122" i="1" l="1"/>
  <c r="I118" i="1" s="1"/>
  <c r="C120" i="1" s="1"/>
  <c r="C90" i="1"/>
  <c r="J101" i="1"/>
  <c r="J100" i="1"/>
  <c r="J99" i="1"/>
  <c r="J98" i="1"/>
  <c r="D275" i="1"/>
  <c r="F275" i="1" s="1"/>
  <c r="O274" i="1"/>
  <c r="D274" i="1"/>
  <c r="F274" i="1" s="1"/>
  <c r="G272" i="1"/>
  <c r="D272" i="1"/>
  <c r="F272" i="1" s="1"/>
  <c r="N271" i="1"/>
  <c r="N272" i="1" s="1"/>
  <c r="N273" i="1" s="1"/>
  <c r="D268" i="1"/>
  <c r="F268" i="1" s="1"/>
  <c r="D269" i="1"/>
  <c r="F269" i="1" s="1"/>
  <c r="D270" i="1"/>
  <c r="F270" i="1" s="1"/>
  <c r="O269" i="1"/>
  <c r="G267" i="1"/>
  <c r="D267" i="1"/>
  <c r="F267" i="1" s="1"/>
  <c r="N266" i="1"/>
  <c r="N267" i="1" s="1"/>
  <c r="N268" i="1" s="1"/>
  <c r="G263" i="1"/>
  <c r="O265" i="1"/>
  <c r="O266" i="1" s="1"/>
  <c r="O267" i="1" s="1"/>
  <c r="O268" i="1" s="1"/>
  <c r="D265" i="1"/>
  <c r="F265" i="1" s="1"/>
  <c r="D264" i="1"/>
  <c r="F264" i="1" s="1"/>
  <c r="D263" i="1"/>
  <c r="F263" i="1" s="1"/>
  <c r="N262" i="1"/>
  <c r="N263" i="1" s="1"/>
  <c r="N264" i="1" s="1"/>
  <c r="D261" i="1"/>
  <c r="F261" i="1" s="1"/>
  <c r="D260" i="1"/>
  <c r="F260" i="1" s="1"/>
  <c r="D259" i="1"/>
  <c r="F259" i="1" s="1"/>
  <c r="I259" i="1" s="1"/>
  <c r="D258" i="1"/>
  <c r="F258" i="1" s="1"/>
  <c r="O260" i="1"/>
  <c r="G258" i="1"/>
  <c r="N257" i="1"/>
  <c r="N258" i="1" s="1"/>
  <c r="N259" i="1" s="1"/>
  <c r="D203" i="1"/>
  <c r="F203" i="1" s="1"/>
  <c r="D202" i="1"/>
  <c r="F202" i="1" s="1"/>
  <c r="D201" i="1"/>
  <c r="F201" i="1" s="1"/>
  <c r="D200" i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D187" i="1"/>
  <c r="G200" i="1"/>
  <c r="G187" i="1"/>
  <c r="D184" i="1"/>
  <c r="D183" i="1"/>
  <c r="D181" i="1"/>
  <c r="D180" i="1"/>
  <c r="D179" i="1"/>
  <c r="D178" i="1"/>
  <c r="D177" i="1"/>
  <c r="D176" i="1"/>
  <c r="D175" i="1"/>
  <c r="D174" i="1"/>
  <c r="D234" i="1"/>
  <c r="D229" i="1"/>
  <c r="F229" i="1" s="1"/>
  <c r="P265" i="1"/>
  <c r="O270" i="1"/>
  <c r="P269" i="1"/>
  <c r="H91" i="1"/>
  <c r="P260" i="1"/>
  <c r="O275" i="1"/>
  <c r="P256" i="1"/>
  <c r="O256" i="1"/>
  <c r="P274" i="1"/>
  <c r="O261" i="1"/>
  <c r="C154" i="1" l="1"/>
  <c r="C155" i="1"/>
  <c r="F187" i="1"/>
  <c r="E155" i="1"/>
  <c r="F200" i="1"/>
  <c r="G155" i="1" s="1"/>
  <c r="C164" i="1"/>
  <c r="E154" i="1"/>
  <c r="F188" i="1"/>
  <c r="G164" i="1"/>
  <c r="E164" i="1"/>
  <c r="J96" i="1"/>
  <c r="J97" i="1" s="1"/>
  <c r="J102" i="1" s="1"/>
  <c r="J95" i="1"/>
  <c r="C94" i="1" s="1"/>
  <c r="J94" i="1"/>
  <c r="J93" i="1"/>
  <c r="D103" i="1"/>
  <c r="D102" i="1"/>
  <c r="D101" i="1"/>
  <c r="D100" i="1"/>
  <c r="D99" i="1"/>
  <c r="D98" i="1"/>
  <c r="D97" i="1"/>
  <c r="D96" i="1"/>
  <c r="O271" i="1"/>
  <c r="P266" i="1"/>
  <c r="O262" i="1"/>
  <c r="P257" i="1"/>
  <c r="P258" i="1" s="1"/>
  <c r="P259" i="1" s="1"/>
  <c r="O257" i="1"/>
  <c r="L256" i="1"/>
  <c r="C46" i="1"/>
  <c r="G46" i="1"/>
  <c r="P270" i="1"/>
  <c r="P261" i="1"/>
  <c r="P275" i="1"/>
  <c r="G154" i="1" l="1"/>
  <c r="J103" i="1"/>
  <c r="D94" i="1"/>
  <c r="P271" i="1"/>
  <c r="P272" i="1" s="1"/>
  <c r="P273" i="1" s="1"/>
  <c r="L275" i="1"/>
  <c r="O272" i="1"/>
  <c r="L270" i="1"/>
  <c r="P267" i="1"/>
  <c r="L266" i="1"/>
  <c r="P262" i="1"/>
  <c r="P263" i="1" s="1"/>
  <c r="P264" i="1" s="1"/>
  <c r="O263" i="1"/>
  <c r="L261" i="1"/>
  <c r="L257" i="1"/>
  <c r="O258" i="1"/>
  <c r="D221" i="1"/>
  <c r="F221" i="1" s="1"/>
  <c r="D212" i="1"/>
  <c r="G221" i="1"/>
  <c r="G212" i="1"/>
  <c r="E94" i="1" l="1"/>
  <c r="I90" i="1" s="1"/>
  <c r="C92" i="1" s="1"/>
  <c r="D95" i="1"/>
  <c r="G94" i="1"/>
  <c r="E158" i="1"/>
  <c r="L262" i="1"/>
  <c r="L271" i="1"/>
  <c r="O273" i="1"/>
  <c r="L273" i="1" s="1"/>
  <c r="L272" i="1"/>
  <c r="P268" i="1"/>
  <c r="L268" i="1" s="1"/>
  <c r="L267" i="1"/>
  <c r="L263" i="1"/>
  <c r="O264" i="1"/>
  <c r="L264" i="1" s="1"/>
  <c r="O259" i="1"/>
  <c r="L259" i="1" s="1"/>
  <c r="L258" i="1"/>
  <c r="F212" i="1"/>
  <c r="G158" i="1" s="1"/>
  <c r="C158" i="1"/>
  <c r="D304" i="1"/>
  <c r="F304" i="1" s="1"/>
  <c r="D301" i="1"/>
  <c r="F301" i="1" s="1"/>
  <c r="D286" i="1"/>
  <c r="D299" i="1"/>
  <c r="F299" i="1" s="1"/>
  <c r="D297" i="1"/>
  <c r="F297" i="1" s="1"/>
  <c r="D296" i="1"/>
  <c r="F296" i="1" s="1"/>
  <c r="D291" i="1"/>
  <c r="D294" i="1"/>
  <c r="F294" i="1" s="1"/>
  <c r="D293" i="1"/>
  <c r="F293" i="1" s="1"/>
  <c r="D292" i="1"/>
  <c r="F292" i="1" s="1"/>
  <c r="I292" i="1" s="1"/>
  <c r="D284" i="1"/>
  <c r="D282" i="1"/>
  <c r="D280" i="1"/>
  <c r="D279" i="1"/>
  <c r="D278" i="1"/>
  <c r="G301" i="1"/>
  <c r="N300" i="1"/>
  <c r="N301" i="1" s="1"/>
  <c r="N302" i="1" s="1"/>
  <c r="O298" i="1"/>
  <c r="G296" i="1"/>
  <c r="N295" i="1"/>
  <c r="N296" i="1" s="1"/>
  <c r="N297" i="1" s="1"/>
  <c r="O293" i="1"/>
  <c r="G291" i="1"/>
  <c r="N290" i="1"/>
  <c r="N291" i="1" s="1"/>
  <c r="N292" i="1" s="1"/>
  <c r="P289" i="1"/>
  <c r="O289" i="1"/>
  <c r="O299" i="1"/>
  <c r="P298" i="1"/>
  <c r="P293" i="1"/>
  <c r="O294" i="1"/>
  <c r="E165" i="1" l="1"/>
  <c r="C165" i="1"/>
  <c r="C166" i="1"/>
  <c r="F291" i="1"/>
  <c r="G166" i="1" s="1"/>
  <c r="E166" i="1"/>
  <c r="O300" i="1"/>
  <c r="O295" i="1"/>
  <c r="L289" i="1"/>
  <c r="O290" i="1"/>
  <c r="P290" i="1"/>
  <c r="P291" i="1" s="1"/>
  <c r="P292" i="1" s="1"/>
  <c r="G286" i="1"/>
  <c r="F286" i="1"/>
  <c r="N285" i="1"/>
  <c r="N286" i="1" s="1"/>
  <c r="N287" i="1" s="1"/>
  <c r="F284" i="1"/>
  <c r="O283" i="1"/>
  <c r="G282" i="1"/>
  <c r="F282" i="1"/>
  <c r="N281" i="1"/>
  <c r="N282" i="1" s="1"/>
  <c r="O280" i="1"/>
  <c r="F280" i="1"/>
  <c r="F279" i="1"/>
  <c r="G278" i="1"/>
  <c r="F278" i="1"/>
  <c r="N277" i="1"/>
  <c r="N278" i="1" s="1"/>
  <c r="N279" i="1" s="1"/>
  <c r="G215" i="1"/>
  <c r="D215" i="1"/>
  <c r="F215" i="1" s="1"/>
  <c r="O276" i="1"/>
  <c r="P299" i="1"/>
  <c r="P283" i="1"/>
  <c r="O284" i="1"/>
  <c r="P294" i="1"/>
  <c r="P280" i="1"/>
  <c r="P276" i="1"/>
  <c r="G165" i="1" l="1"/>
  <c r="P300" i="1"/>
  <c r="P301" i="1" s="1"/>
  <c r="P302" i="1" s="1"/>
  <c r="L299" i="1"/>
  <c r="P295" i="1"/>
  <c r="P296" i="1" s="1"/>
  <c r="P297" i="1" s="1"/>
  <c r="L294" i="1"/>
  <c r="O296" i="1"/>
  <c r="O301" i="1"/>
  <c r="O291" i="1"/>
  <c r="L290" i="1"/>
  <c r="O281" i="1"/>
  <c r="O285" i="1"/>
  <c r="L276" i="1"/>
  <c r="O277" i="1"/>
  <c r="P277" i="1"/>
  <c r="P278" i="1" s="1"/>
  <c r="P279" i="1" s="1"/>
  <c r="D219" i="1"/>
  <c r="F219" i="1" s="1"/>
  <c r="D218" i="1"/>
  <c r="F218" i="1" s="1"/>
  <c r="D217" i="1"/>
  <c r="F217" i="1" s="1"/>
  <c r="D216" i="1"/>
  <c r="F216" i="1" s="1"/>
  <c r="D210" i="1"/>
  <c r="F210" i="1" s="1"/>
  <c r="D209" i="1"/>
  <c r="F209" i="1" s="1"/>
  <c r="D208" i="1"/>
  <c r="F208" i="1" s="1"/>
  <c r="D207" i="1"/>
  <c r="F207" i="1" s="1"/>
  <c r="D206" i="1"/>
  <c r="G206" i="1"/>
  <c r="J115" i="1"/>
  <c r="J114" i="1"/>
  <c r="J113" i="1"/>
  <c r="J112" i="1"/>
  <c r="H105" i="1"/>
  <c r="P284" i="1"/>
  <c r="G157" i="1" l="1"/>
  <c r="L295" i="1"/>
  <c r="L300" i="1"/>
  <c r="F206" i="1"/>
  <c r="G156" i="1" s="1"/>
  <c r="E156" i="1"/>
  <c r="C156" i="1"/>
  <c r="E157" i="1"/>
  <c r="C157" i="1"/>
  <c r="L291" i="1"/>
  <c r="O292" i="1"/>
  <c r="L292" i="1" s="1"/>
  <c r="O302" i="1"/>
  <c r="L302" i="1" s="1"/>
  <c r="L301" i="1"/>
  <c r="O297" i="1"/>
  <c r="L297" i="1" s="1"/>
  <c r="L296" i="1"/>
  <c r="P281" i="1"/>
  <c r="P282" i="1" s="1"/>
  <c r="P285" i="1"/>
  <c r="P286" i="1" s="1"/>
  <c r="P287" i="1" s="1"/>
  <c r="L284" i="1"/>
  <c r="O278" i="1"/>
  <c r="L277" i="1"/>
  <c r="O286" i="1"/>
  <c r="O282" i="1"/>
  <c r="J110" i="1"/>
  <c r="J111" i="1" s="1"/>
  <c r="J116" i="1" s="1"/>
  <c r="J109" i="1"/>
  <c r="C108" i="1" s="1"/>
  <c r="J108" i="1"/>
  <c r="J107" i="1"/>
  <c r="D117" i="1"/>
  <c r="D116" i="1"/>
  <c r="D115" i="1"/>
  <c r="D114" i="1"/>
  <c r="D113" i="1"/>
  <c r="D112" i="1"/>
  <c r="D111" i="1"/>
  <c r="D110" i="1"/>
  <c r="J85" i="1"/>
  <c r="J84" i="1"/>
  <c r="J71" i="1"/>
  <c r="J70" i="1"/>
  <c r="H75" i="1"/>
  <c r="H61" i="1"/>
  <c r="D108" i="1" l="1"/>
  <c r="J117" i="1"/>
  <c r="L285" i="1"/>
  <c r="L281" i="1"/>
  <c r="L282" i="1"/>
  <c r="O287" i="1"/>
  <c r="L287" i="1" s="1"/>
  <c r="L286" i="1"/>
  <c r="L278" i="1"/>
  <c r="O279" i="1"/>
  <c r="L279" i="1" s="1"/>
  <c r="D80" i="1"/>
  <c r="J80" i="1"/>
  <c r="J81" i="1" s="1"/>
  <c r="J86" i="1" s="1"/>
  <c r="D84" i="1"/>
  <c r="D87" i="1"/>
  <c r="D83" i="1"/>
  <c r="J79" i="1"/>
  <c r="D78" i="1" s="1"/>
  <c r="J77" i="1"/>
  <c r="J78" i="1"/>
  <c r="D86" i="1"/>
  <c r="D82" i="1"/>
  <c r="D85" i="1"/>
  <c r="D81" i="1"/>
  <c r="D71" i="1"/>
  <c r="D72" i="1"/>
  <c r="D68" i="1"/>
  <c r="D70" i="1"/>
  <c r="D66" i="1"/>
  <c r="D73" i="1"/>
  <c r="D69" i="1"/>
  <c r="J65" i="1"/>
  <c r="C64" i="1" s="1"/>
  <c r="D64" i="1" s="1"/>
  <c r="J63" i="1"/>
  <c r="J64" i="1"/>
  <c r="D67" i="1"/>
  <c r="J66" i="1"/>
  <c r="E108" i="1" l="1"/>
  <c r="I104" i="1" s="1"/>
  <c r="C106" i="1" s="1"/>
  <c r="D109" i="1"/>
  <c r="G108" i="1"/>
  <c r="J67" i="1"/>
  <c r="J82" i="1"/>
  <c r="J83" i="1" s="1"/>
  <c r="J68" i="1" l="1"/>
  <c r="J69" i="1" s="1"/>
  <c r="J72" i="1"/>
  <c r="J87" i="1"/>
  <c r="C79" i="1" l="1"/>
  <c r="E78" i="1" s="1"/>
  <c r="I74" i="1" s="1"/>
  <c r="C76" i="1" s="1"/>
  <c r="J73" i="1"/>
  <c r="C65" i="1" s="1"/>
  <c r="D65" i="1" s="1"/>
  <c r="G78" i="1" l="1"/>
  <c r="D79" i="1"/>
  <c r="E64" i="1"/>
  <c r="G64" i="1"/>
  <c r="F132" i="1" l="1"/>
  <c r="I60" i="1"/>
  <c r="C62" i="1" s="1"/>
  <c r="D59" i="1"/>
  <c r="E153" i="1"/>
  <c r="C153" i="1"/>
  <c r="G183" i="1"/>
  <c r="F184" i="1"/>
  <c r="F183" i="1"/>
  <c r="G153" i="1" l="1"/>
  <c r="F12" i="5"/>
  <c r="G12" i="5" s="1"/>
  <c r="C152" i="1"/>
  <c r="C159" i="1" s="1"/>
  <c r="E152" i="1"/>
  <c r="E159" i="1" s="1"/>
  <c r="C13" i="1"/>
  <c r="D239" i="1"/>
  <c r="F239" i="1" s="1"/>
  <c r="N235" i="1"/>
  <c r="N236" i="1" s="1"/>
  <c r="N237" i="1" s="1"/>
  <c r="G236" i="1"/>
  <c r="D236" i="1"/>
  <c r="F236" i="1" s="1"/>
  <c r="O233" i="1"/>
  <c r="D255" i="1"/>
  <c r="F255" i="1" s="1"/>
  <c r="N251" i="1"/>
  <c r="N252" i="1" s="1"/>
  <c r="N253" i="1" s="1"/>
  <c r="G252" i="1"/>
  <c r="D252" i="1"/>
  <c r="F252" i="1" s="1"/>
  <c r="O249" i="1"/>
  <c r="F174" i="1"/>
  <c r="F181" i="1"/>
  <c r="O234" i="1"/>
  <c r="O250" i="1"/>
  <c r="P249" i="1"/>
  <c r="P233" i="1"/>
  <c r="O235" i="1" l="1"/>
  <c r="O251" i="1"/>
  <c r="D250" i="1"/>
  <c r="F250" i="1" s="1"/>
  <c r="N246" i="1"/>
  <c r="N247" i="1" s="1"/>
  <c r="N248" i="1" s="1"/>
  <c r="D248" i="1"/>
  <c r="F248" i="1" s="1"/>
  <c r="G247" i="1"/>
  <c r="D247" i="1"/>
  <c r="F247" i="1" s="1"/>
  <c r="O244" i="1"/>
  <c r="F234" i="1"/>
  <c r="D233" i="1"/>
  <c r="F233" i="1" s="1"/>
  <c r="I233" i="1" s="1"/>
  <c r="N230" i="1"/>
  <c r="N231" i="1" s="1"/>
  <c r="N232" i="1" s="1"/>
  <c r="G231" i="1"/>
  <c r="D231" i="1"/>
  <c r="F231" i="1" s="1"/>
  <c r="O228" i="1"/>
  <c r="D245" i="1"/>
  <c r="F245" i="1" s="1"/>
  <c r="D244" i="1"/>
  <c r="F244" i="1" s="1"/>
  <c r="N241" i="1"/>
  <c r="N242" i="1" s="1"/>
  <c r="N243" i="1" s="1"/>
  <c r="D243" i="1"/>
  <c r="F243" i="1" s="1"/>
  <c r="G242" i="1"/>
  <c r="D242" i="1"/>
  <c r="O239" i="1"/>
  <c r="D226" i="1"/>
  <c r="F226" i="1" s="1"/>
  <c r="D228" i="1"/>
  <c r="D227" i="1"/>
  <c r="F227" i="1" s="1"/>
  <c r="F175" i="1"/>
  <c r="O245" i="1"/>
  <c r="P244" i="1"/>
  <c r="O229" i="1"/>
  <c r="P228" i="1"/>
  <c r="P239" i="1"/>
  <c r="P250" i="1"/>
  <c r="P234" i="1"/>
  <c r="O240" i="1"/>
  <c r="F242" i="1" l="1"/>
  <c r="G163" i="1" s="1"/>
  <c r="C163" i="1"/>
  <c r="E163" i="1"/>
  <c r="C162" i="1"/>
  <c r="E162" i="1"/>
  <c r="P235" i="1"/>
  <c r="P236" i="1" s="1"/>
  <c r="P237" i="1" s="1"/>
  <c r="L234" i="1"/>
  <c r="O236" i="1"/>
  <c r="P251" i="1"/>
  <c r="P252" i="1" s="1"/>
  <c r="P253" i="1" s="1"/>
  <c r="L250" i="1"/>
  <c r="O252" i="1"/>
  <c r="O246" i="1"/>
  <c r="O230" i="1"/>
  <c r="O241" i="1"/>
  <c r="H6" i="6"/>
  <c r="P229" i="1"/>
  <c r="P240" i="1"/>
  <c r="P245" i="1"/>
  <c r="E167" i="1" l="1"/>
  <c r="C167" i="1"/>
  <c r="L236" i="1"/>
  <c r="O237" i="1"/>
  <c r="L237" i="1" s="1"/>
  <c r="L235" i="1"/>
  <c r="L251" i="1"/>
  <c r="O253" i="1"/>
  <c r="L253" i="1" s="1"/>
  <c r="L252" i="1"/>
  <c r="P246" i="1"/>
  <c r="P247" i="1" s="1"/>
  <c r="P248" i="1" s="1"/>
  <c r="L245" i="1"/>
  <c r="O247" i="1"/>
  <c r="P230" i="1"/>
  <c r="P231" i="1" s="1"/>
  <c r="P232" i="1" s="1"/>
  <c r="L229" i="1"/>
  <c r="O231" i="1"/>
  <c r="P241" i="1"/>
  <c r="P242" i="1" s="1"/>
  <c r="P243" i="1" s="1"/>
  <c r="L240" i="1"/>
  <c r="O242" i="1"/>
  <c r="O223" i="1"/>
  <c r="E12" i="6"/>
  <c r="E11" i="6"/>
  <c r="E10" i="6"/>
  <c r="E9" i="6"/>
  <c r="E8" i="6"/>
  <c r="E7" i="6"/>
  <c r="H14" i="6"/>
  <c r="E6" i="6"/>
  <c r="J2" i="6"/>
  <c r="D4" i="6" s="1"/>
  <c r="P223" i="1"/>
  <c r="F6" i="6" l="1"/>
  <c r="F14" i="6" s="1"/>
  <c r="L246" i="1"/>
  <c r="O248" i="1"/>
  <c r="L248" i="1" s="1"/>
  <c r="L247" i="1"/>
  <c r="L230" i="1"/>
  <c r="O232" i="1"/>
  <c r="L232" i="1" s="1"/>
  <c r="L231" i="1"/>
  <c r="L241" i="1"/>
  <c r="O243" i="1"/>
  <c r="L243" i="1" s="1"/>
  <c r="L242" i="1"/>
  <c r="E40" i="1" l="1"/>
  <c r="E41" i="1" s="1"/>
  <c r="F228" i="1" l="1"/>
  <c r="G174" i="1"/>
  <c r="F176" i="1"/>
  <c r="F177" i="1"/>
  <c r="F178" i="1"/>
  <c r="F179" i="1"/>
  <c r="F180" i="1"/>
  <c r="E3" i="1"/>
  <c r="O224" i="1"/>
  <c r="G152" i="1" l="1"/>
  <c r="G159" i="1" s="1"/>
  <c r="G162" i="1"/>
  <c r="G167" i="1" s="1"/>
  <c r="D57" i="1"/>
  <c r="N225" i="1"/>
  <c r="N226" i="1" s="1"/>
  <c r="N227" i="1" s="1"/>
  <c r="O225" i="1"/>
  <c r="P224" i="1"/>
  <c r="J159" i="1" l="1"/>
  <c r="L224" i="1"/>
  <c r="P225" i="1"/>
  <c r="P226" i="1" s="1"/>
  <c r="P227" i="1" s="1"/>
  <c r="O226" i="1"/>
  <c r="G226" i="1"/>
  <c r="E24" i="1"/>
  <c r="E22" i="1"/>
  <c r="L226" i="1" l="1"/>
  <c r="L225" i="1"/>
  <c r="O227" i="1"/>
  <c r="L227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3" i="5" l="1"/>
  <c r="E7" i="1"/>
  <c r="D331" i="1" l="1"/>
  <c r="F149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<sst xmlns="http://schemas.openxmlformats.org/spreadsheetml/2006/main" count="706" uniqueCount="286">
  <si>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</si>
  <si>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</si>
  <si>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</si>
  <si>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</si>
  <si>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</si>
  <si>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</si>
  <si>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</si>
  <si>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</si>
  <si>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</si>
  <si>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</si>
  <si>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</si>
  <si>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</si>
  <si>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</si>
  <si>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</si>
  <si>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</si>
  <si>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</si>
  <si>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</si>
  <si>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</si>
  <si>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</si>
  <si>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</si>
  <si>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</si>
  <si>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</si>
  <si>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</si>
  <si>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</si>
  <si>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</si>
  <si>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</si>
  <si>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</si>
  <si>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</si>
  <si>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</si>
  <si>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</si>
  <si>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</si>
  <si>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</si>
  <si>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</si>
  <si>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</si>
  <si>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</si>
  <si>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</si>
  <si>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</si>
  <si>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</si>
  <si>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</si>
  <si>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</si>
  <si>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</si>
  <si>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</si>
  <si>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</si>
  <si>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</si>
  <si>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</si>
  <si>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</si>
  <si>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</si>
  <si>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</si>
  <si>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</si>
  <si>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</si>
  <si>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</si>
  <si>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</si>
  <si>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</si>
  <si>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</si>
  <si>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Brick</t>
  </si>
  <si>
    <t>Plaster</t>
  </si>
  <si>
    <t>Flooring</t>
  </si>
  <si>
    <t>Painting &amp; Wooden Work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</si>
  <si>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</si>
  <si>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</si>
  <si>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</si>
  <si>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</si>
  <si>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</si>
  <si>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</si>
  <si>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</si>
  <si>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</si>
  <si>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</si>
  <si>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</si>
  <si>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</si>
  <si>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</si>
  <si>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</si>
  <si>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</si>
  <si>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</si>
  <si>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</si>
  <si>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</si>
  <si>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</si>
  <si>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</si>
  <si>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</si>
  <si>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</si>
  <si>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</si>
  <si>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</si>
  <si>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</si>
  <si>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</si>
  <si>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</si>
  <si>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</si>
  <si>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</si>
  <si>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</si>
  <si>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</si>
  <si>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</si>
  <si>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</si>
  <si>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</si>
  <si>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</si>
  <si>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</si>
  <si>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</si>
  <si>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</si>
  <si>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</si>
  <si>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</si>
  <si>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</si>
  <si>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</si>
  <si>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</si>
  <si>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</si>
  <si>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</si>
  <si>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</si>
  <si>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</si>
  <si>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</si>
  <si>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</si>
  <si>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</si>
  <si>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</si>
  <si>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</si>
  <si>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</si>
  <si>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</si>
  <si>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</si>
  <si>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</si>
  <si>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</si>
  <si>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</si>
  <si>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</si>
  <si>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</si>
  <si>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</si>
  <si>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</si>
  <si>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</si>
  <si>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</si>
  <si>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</si>
  <si>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</si>
  <si>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Completed Slab/Floor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</si>
  <si>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</si>
  <si>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</si>
  <si>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</si>
  <si>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</si>
  <si>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</si>
  <si>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</si>
  <si>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</si>
  <si>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</si>
  <si>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</si>
  <si>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</si>
  <si>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</si>
  <si>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</si>
  <si>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</si>
  <si>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</si>
  <si>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</si>
  <si>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</si>
  <si>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</si>
  <si>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</si>
  <si>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</si>
  <si>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</si>
  <si>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</si>
  <si>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</si>
  <si>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</si>
  <si>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</si>
  <si>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</si>
  <si>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</si>
  <si>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RCC Slab</t>
  </si>
  <si>
    <t>All work Completed. Wait For OC.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</si>
  <si>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</si>
  <si>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</si>
  <si>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</si>
  <si>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</si>
  <si>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</si>
  <si>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</si>
  <si>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</si>
  <si>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</si>
  <si>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</si>
  <si>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</si>
  <si>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</si>
  <si>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</si>
  <si>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</si>
  <si>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</si>
  <si>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</si>
  <si>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</si>
  <si>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,..,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</si>
  <si>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</si>
  <si>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</si>
  <si>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</si>
  <si>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</si>
  <si>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r>
      <t xml:space="preserve">Construction details: </t>
    </r>
    <r>
      <rPr>
        <b/>
        <sz val="12"/>
        <color rgb="FFFF0000"/>
        <rFont val="Times New Roman"/>
        <family val="1"/>
      </rPr>
      <t>Building No.  =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</si>
  <si>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</si>
  <si>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</si>
  <si>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</si>
  <si>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</si>
  <si>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</si>
  <si>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</si>
  <si>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</si>
  <si>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M/s.V.D. Infratech Private Limited</t>
  </si>
  <si>
    <t>Axis Sanpada</t>
  </si>
  <si>
    <t>Veena Smart Homes</t>
  </si>
  <si>
    <t>Borivali</t>
  </si>
  <si>
    <t>Charkop</t>
  </si>
  <si>
    <t>R-S/STGOVT/0032/20120523/AP/S-2</t>
  </si>
  <si>
    <t>A Wing</t>
  </si>
  <si>
    <t>B Wing</t>
  </si>
  <si>
    <t>1BHK</t>
  </si>
  <si>
    <t>2BHK</t>
  </si>
  <si>
    <t>1st Floor for Commercial</t>
  </si>
  <si>
    <t xml:space="preserve">2nd to 7th, 9th to 14th, 16th to 21st &amp; 23rd Floor </t>
  </si>
  <si>
    <t>Acme Avenue</t>
  </si>
  <si>
    <t xml:space="preserve">Ambedkar Road
</t>
  </si>
  <si>
    <t>Jankalyan - Charkop Road</t>
  </si>
  <si>
    <t>3.7Km from Kandivli Railway Station</t>
  </si>
  <si>
    <t>CTS No</t>
  </si>
  <si>
    <t>A &amp; B Wing</t>
  </si>
  <si>
    <t>Ground Floor for Commercial &amp; Parking</t>
  </si>
  <si>
    <t>Shop</t>
  </si>
  <si>
    <t>Refuge Area</t>
  </si>
  <si>
    <t>Fitness Centre</t>
  </si>
  <si>
    <t>8th &amp; 15th Floor (Part Refuge Area)</t>
  </si>
  <si>
    <t xml:space="preserve"> 22nd Floor  (Part Refuge Area &amp; Part Fitness Centre)</t>
  </si>
  <si>
    <t>We considered  Saleable area  as per our calculation.</t>
  </si>
  <si>
    <t>Mumbai</t>
  </si>
  <si>
    <t>Ambedkar Road</t>
  </si>
  <si>
    <t>A &amp; B Wing (Shops)</t>
  </si>
  <si>
    <t>Housing</t>
  </si>
  <si>
    <t>3/A/1(PT)</t>
  </si>
  <si>
    <t>Office</t>
  </si>
  <si>
    <t>A &amp; B Wing (Offices)</t>
  </si>
  <si>
    <t>Approved Plans, CC, Sale Plan, Cost sheet.</t>
  </si>
  <si>
    <t>Construction details:</t>
  </si>
  <si>
    <t>Basement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</si>
  <si>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</si>
  <si>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</si>
  <si>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</si>
  <si>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</si>
  <si>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</si>
  <si>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</si>
  <si>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</si>
  <si>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</si>
  <si>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</si>
  <si>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</si>
  <si>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</si>
  <si>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</si>
  <si>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</si>
  <si>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</si>
  <si>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</si>
  <si>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</si>
  <si>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</si>
  <si>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Sale Building No.2 = B Wing = Gr + 1st to 23rd Floor</t>
  </si>
  <si>
    <t>Sale Building No.2 = A, B, D &amp; E Wing = Gr + 1st to 23rd Floor</t>
  </si>
  <si>
    <t>D Wing</t>
  </si>
  <si>
    <t>E Wing</t>
  </si>
  <si>
    <t>We considered Gross carpet area = Net carpet + Enclose balcony.</t>
  </si>
  <si>
    <t>D Wing (Shops)</t>
  </si>
  <si>
    <t>E Wing (Shops)</t>
  </si>
  <si>
    <t>Kandivali West</t>
  </si>
  <si>
    <t xml:space="preserve">We have updated approved floor plan &amp; C.C For D &amp; E Wings (on 10/12/2021).
</t>
  </si>
  <si>
    <t>D &amp; E Wing (Offices)</t>
  </si>
  <si>
    <t>We have received Approved floor plan of Building No.2 - Wing A, B, C, D &amp; E, but on rera site only Building No.2 - Wing A, B, D &amp; E, is registered.</t>
  </si>
  <si>
    <t>Mr. Naitik - 9773761297</t>
  </si>
  <si>
    <t>RS/STGOVT/0032/20120523/AP/S-2</t>
  </si>
  <si>
    <t xml:space="preserve">A &amp; B Wing - P51800029400
D &amp; E Wing - P51800031045
C Wing - P51800032966
</t>
  </si>
  <si>
    <t>C Wing</t>
  </si>
  <si>
    <t xml:space="preserve">2nd to 7th, 9th to 14th, 16th to 21st &amp; 23rd to 28th, 30th to 35th, 37th to 39th Floor </t>
  </si>
  <si>
    <t>8th, 15th, 22nd &amp; 29th Floor (Part Refuge Area)</t>
  </si>
  <si>
    <t>36th Floor (Part Refuge Area &amp; Health Center)</t>
  </si>
  <si>
    <t>Health Center</t>
  </si>
  <si>
    <t>40th Floor (Part Terrace Area)</t>
  </si>
  <si>
    <t>Terrace Area</t>
  </si>
  <si>
    <t>Sale Building No.2 = C Wing = Gr + 1st to 40th Floor</t>
  </si>
  <si>
    <t>Sale Building No.2 = A, B, D &amp; E Wing = Gr + 1st to 23rd Floor
Sale Building No.2 = C Wing = Gr + 1st to 40th Floor</t>
  </si>
  <si>
    <t>C Wing (Shops)</t>
  </si>
  <si>
    <t>C Wing (Offices)</t>
  </si>
  <si>
    <t>Flats - 462, Shops - 30, Offices - 8</t>
  </si>
  <si>
    <t>05 Wings</t>
  </si>
  <si>
    <t>Sale Building No.2 - A, B, C, D &amp; E Wings</t>
  </si>
  <si>
    <t>Recommended rate should be considered as all inclusive rate if other charges are not mentioned. (Excluding GST &amp; other government Taxes).</t>
  </si>
  <si>
    <t xml:space="preserve">We have updated approved floor plan &amp; C.C For A to E Wings (on 15/02/2022).
</t>
  </si>
  <si>
    <t>Clubhouse Charges</t>
  </si>
  <si>
    <t>Sale Building No.2 = E Wing = Gr + 1st to 23rd Floor</t>
  </si>
  <si>
    <t>19.2061123, 72.8209978</t>
  </si>
  <si>
    <t>Latitude, Longitude</t>
  </si>
  <si>
    <t>Location Link</t>
  </si>
  <si>
    <t>https://goo.gl/maps/pt8XoXU2vWvJjHm17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</si>
  <si>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E mail : vsjcapf@gmail.com. Web site : www.vsjadon.com </t>
  </si>
  <si>
    <t>We have updated latest CC from Rera (On 17/05/2023).</t>
  </si>
  <si>
    <t>13500 to 14000</t>
  </si>
  <si>
    <t>nikhil</t>
  </si>
  <si>
    <t>Don’t increase the rate Further</t>
  </si>
  <si>
    <t>On Site, we meet Miss Ruchita - 8655878529</t>
  </si>
  <si>
    <t>14000 to 14300</t>
  </si>
  <si>
    <t>igr</t>
  </si>
  <si>
    <t>14300 to 14800</t>
  </si>
  <si>
    <t>Sale Building No.2 = D &amp; E Wing = Gr + 1st to 23rd Floor</t>
  </si>
  <si>
    <t>Please provide revised CC for wing D &amp; E.</t>
  </si>
  <si>
    <t>Sale Building No.2 = A &amp; B Wing = Gr + 1st to 23rd Floor
Sale Building No.2 = D &amp; E Wing = Gr + 1st to 23rd Floor</t>
  </si>
  <si>
    <t>Sanket Salvi</t>
  </si>
  <si>
    <t>As per RERA - 31/12/2025</t>
  </si>
  <si>
    <t>Wing A, B, D &amp; E = All work Completed. Please provide OC.
Wing C = Construction work is in process. Internal photos was not allowed.</t>
  </si>
  <si>
    <t>Pooja</t>
  </si>
  <si>
    <t>Valid Up to: This CC is regularized upto 4th upper floor for balance portion of Wing B &amp; further extended upto full height i.e 23rd  upper floor of wing 'A &amp; 'B', &amp; for wing 'D' &amp; 'E' upto 7th (pt) upper floor with brickwork &amp; 7th (pt) to 23rd upper floor with  R.C.C framework &amp; full height of wing "C" i,e upto 40th upper f loor  for R.C.C frame work including O,H,W.T and L.M.R as per approved  plan dated. 26/10/2021.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</si>
</sst>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44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16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16" fillId="0" borderId="8" xfId="1" applyFont="1" applyBorder="1" applyAlignment="1" applyProtection="1">
      <alignment horizontal="center" vertical="top"/>
      <protection locked="0"/>
    </xf>
    <xf numFmtId="0" fontId="16" fillId="0" borderId="10" xfId="1" applyFont="1" applyBorder="1" applyAlignment="1" applyProtection="1">
      <alignment horizontal="center" wrapText="1"/>
      <protection locked="0"/>
    </xf>
    <xf numFmtId="0" fontId="8" fillId="0" borderId="14" xfId="1" applyFont="1" applyBorder="1" applyProtection="1">
      <protection hidden="1"/>
    </xf>
    <xf numFmtId="0" fontId="8" fillId="0" borderId="15" xfId="1" applyFont="1" applyBorder="1" applyProtection="1">
      <protection hidden="1"/>
    </xf>
    <xf numFmtId="0" fontId="8" fillId="0" borderId="16" xfId="1" applyFont="1" applyBorder="1" applyProtection="1">
      <protection hidden="1"/>
    </xf>
    <xf numFmtId="0" fontId="8" fillId="0" borderId="17" xfId="1" applyFont="1" applyBorder="1" applyProtection="1">
      <protection hidden="1"/>
    </xf>
    <xf numFmtId="0" fontId="8" fillId="0" borderId="18" xfId="1" applyFont="1" applyBorder="1" applyProtection="1">
      <protection hidden="1"/>
    </xf>
    <xf numFmtId="0" fontId="8" fillId="0" borderId="18" xfId="1" applyFont="1" applyBorder="1"/>
    <xf numFmtId="0" fontId="8" fillId="0" borderId="17" xfId="1" applyFont="1" applyBorder="1"/>
    <xf numFmtId="0" fontId="19" fillId="0" borderId="17" xfId="0" applyFont="1" applyBorder="1" applyProtection="1">
      <protection hidden="1"/>
    </xf>
    <xf numFmtId="9" fontId="19" fillId="0" borderId="0" xfId="0" applyNumberFormat="1" applyFont="1" applyProtection="1">
      <protection hidden="1"/>
    </xf>
    <xf numFmtId="9" fontId="19" fillId="0" borderId="18" xfId="0" applyNumberFormat="1" applyFont="1" applyBorder="1" applyProtection="1">
      <protection hidden="1"/>
    </xf>
    <xf numFmtId="0" fontId="19" fillId="0" borderId="19" xfId="0" applyFont="1" applyBorder="1" applyProtection="1">
      <protection hidden="1"/>
    </xf>
    <xf numFmtId="9" fontId="19" fillId="0" borderId="20" xfId="0" applyNumberFormat="1" applyFont="1" applyBorder="1" applyProtection="1">
      <protection hidden="1"/>
    </xf>
    <xf numFmtId="9" fontId="19" fillId="0" borderId="21" xfId="0" applyNumberFormat="1" applyFont="1" applyBorder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1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1" fontId="20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25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10" fillId="0" borderId="0" xfId="0" applyNumberFormat="1" applyFont="1" applyAlignment="1">
      <alignment horizontal="center"/>
    </xf>
    <xf numFmtId="9" fontId="0" fillId="0" borderId="0" xfId="0" applyNumberFormat="1"/>
    <xf numFmtId="0" fontId="8" fillId="0" borderId="0" xfId="1" applyFont="1" applyAlignment="1" applyProtection="1">
      <alignment horizontal="center" vertical="top" wrapText="1"/>
      <protection locked="0"/>
    </xf>
    <xf numFmtId="0" fontId="16" fillId="0" borderId="0" xfId="1" applyFont="1" applyAlignment="1" applyProtection="1">
      <alignment horizontal="center" wrapText="1"/>
      <protection locked="0"/>
    </xf>
    <xf numFmtId="9" fontId="8" fillId="2" borderId="0" xfId="1" applyNumberFormat="1" applyFont="1" applyFill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167" fontId="8" fillId="0" borderId="0" xfId="1" applyNumberFormat="1" applyFont="1"/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10" xfId="1" applyFont="1" applyBorder="1" applyAlignment="1" applyProtection="1">
      <alignment horizontal="center" wrapText="1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Alignment="1" applyProtection="1">
      <alignment horizontal="center" vertical="top"/>
      <protection locked="0"/>
    </xf>
    <xf numFmtId="0" fontId="19" fillId="0" borderId="18" xfId="0" applyFont="1" applyBorder="1" applyProtection="1">
      <protection hidden="1"/>
    </xf>
    <xf numFmtId="1" fontId="0" fillId="0" borderId="18" xfId="0" applyNumberFormat="1" applyBorder="1"/>
    <xf numFmtId="2" fontId="0" fillId="0" borderId="0" xfId="0" applyNumberFormat="1"/>
    <xf numFmtId="164" fontId="0" fillId="0" borderId="0" xfId="0" applyNumberFormat="1"/>
    <xf numFmtId="2" fontId="19" fillId="0" borderId="0" xfId="0" applyNumberFormat="1" applyFont="1" applyProtection="1">
      <protection hidden="1"/>
    </xf>
    <xf numFmtId="1" fontId="0" fillId="0" borderId="18" xfId="0" applyNumberFormat="1" applyBorder="1" applyAlignment="1">
      <alignment horizontal="right"/>
    </xf>
    <xf numFmtId="0" fontId="19" fillId="0" borderId="20" xfId="0" applyFont="1" applyBorder="1" applyProtection="1">
      <protection hidden="1"/>
    </xf>
    <xf numFmtId="1" fontId="0" fillId="0" borderId="21" xfId="0" applyNumberFormat="1" applyBorder="1"/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center" vertical="center"/>
    </xf>
    <xf numFmtId="0" fontId="8" fillId="3" borderId="0" xfId="1" applyFont="1" applyFill="1"/>
    <xf numFmtId="14" fontId="8" fillId="3" borderId="0" xfId="1" applyNumberFormat="1" applyFont="1" applyFill="1"/>
    <xf numFmtId="0" fontId="8" fillId="4" borderId="0" xfId="1" applyFont="1" applyFill="1"/>
    <xf numFmtId="14" fontId="8" fillId="4" borderId="0" xfId="1" applyNumberFormat="1" applyFont="1" applyFill="1"/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9" fillId="0" borderId="0" xfId="0" applyFont="1" applyBorder="1" applyProtection="1">
      <protection hidden="1"/>
    </xf>
    <xf numFmtId="0" fontId="13" fillId="0" borderId="39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1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/>
      <protection locked="0"/>
    </xf>
    <xf numFmtId="1" fontId="11" fillId="0" borderId="12" xfId="0" applyNumberFormat="1" applyFont="1" applyBorder="1" applyAlignment="1" applyProtection="1">
      <alignment vertical="top" wrapText="1"/>
      <protection locked="0"/>
    </xf>
    <xf numFmtId="1" fontId="18" fillId="0" borderId="30" xfId="0" applyNumberFormat="1" applyFont="1" applyBorder="1" applyAlignment="1" applyProtection="1">
      <alignment vertical="top" wrapText="1"/>
      <protection locked="0"/>
    </xf>
    <xf numFmtId="1" fontId="18" fillId="0" borderId="13" xfId="0" applyNumberFormat="1" applyFont="1" applyBorder="1" applyAlignment="1" applyProtection="1">
      <alignment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top" wrapText="1"/>
      <protection locked="0"/>
    </xf>
    <xf numFmtId="0" fontId="14" fillId="0" borderId="37" xfId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9" fillId="0" borderId="12" xfId="0" applyNumberFormat="1" applyFont="1" applyBorder="1" applyAlignment="1" applyProtection="1">
      <alignment vertical="top" wrapText="1"/>
      <protection locked="0"/>
    </xf>
    <xf numFmtId="1" fontId="9" fillId="0" borderId="30" xfId="0" applyNumberFormat="1" applyFont="1" applyBorder="1" applyAlignment="1" applyProtection="1">
      <alignment vertical="top" wrapText="1"/>
      <protection locked="0"/>
    </xf>
    <xf numFmtId="1" fontId="9" fillId="0" borderId="13" xfId="0" applyNumberFormat="1" applyFont="1" applyBorder="1" applyAlignment="1" applyProtection="1">
      <alignment vertical="top" wrapText="1"/>
      <protection locked="0"/>
    </xf>
    <xf numFmtId="0" fontId="13" fillId="0" borderId="9" xfId="1" applyFont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68" fontId="13" fillId="2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2" xfId="1" applyNumberFormat="1" applyFont="1" applyBorder="1" applyAlignment="1" applyProtection="1">
      <alignment horizontal="center" vertical="center" wrapText="1"/>
      <protection locked="0"/>
    </xf>
    <xf numFmtId="1" fontId="7" fillId="0" borderId="30" xfId="1" applyNumberFormat="1" applyFont="1" applyBorder="1" applyAlignment="1" applyProtection="1">
      <alignment horizontal="center" vertical="center" wrapText="1"/>
      <protection locked="0"/>
    </xf>
    <xf numFmtId="1" fontId="7" fillId="0" borderId="1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38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36" xfId="1" applyFont="1" applyBorder="1" applyAlignment="1" applyProtection="1">
      <alignment horizontal="left" vertical="top" wrapText="1"/>
      <protection locked="0"/>
    </xf>
    <xf numFmtId="0" fontId="14" fillId="0" borderId="24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9" fontId="14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4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32" xfId="1" applyNumberFormat="1" applyFont="1" applyBorder="1" applyAlignment="1" applyProtection="1">
      <alignment horizontal="center" vertical="center" wrapText="1"/>
      <protection locked="0"/>
    </xf>
    <xf numFmtId="1" fontId="7" fillId="0" borderId="33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14" fillId="0" borderId="1" xfId="1" applyNumberFormat="1" applyFont="1" applyBorder="1" applyAlignment="1" applyProtection="1">
      <alignment horizontal="center" vertical="center" wrapText="1"/>
      <protection locked="0"/>
    </xf>
    <xf numFmtId="1" fontId="14" fillId="0" borderId="12" xfId="1" applyNumberFormat="1" applyFont="1" applyBorder="1" applyAlignment="1" applyProtection="1">
      <alignment horizontal="center" vertical="center" wrapText="1"/>
      <protection locked="0"/>
    </xf>
    <xf numFmtId="1" fontId="14" fillId="0" borderId="30" xfId="1" applyNumberFormat="1" applyFont="1" applyBorder="1" applyAlignment="1" applyProtection="1">
      <alignment horizontal="center" vertical="center" wrapText="1"/>
      <protection locked="0"/>
    </xf>
    <xf numFmtId="1" fontId="14" fillId="0" borderId="13" xfId="1" applyNumberFormat="1" applyFont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Border="1" applyAlignment="1" applyProtection="1">
      <alignment vertical="top" wrapText="1"/>
      <protection locked="0"/>
    </xf>
    <xf numFmtId="1" fontId="14" fillId="0" borderId="30" xfId="0" applyNumberFormat="1" applyFont="1" applyBorder="1" applyAlignment="1" applyProtection="1">
      <alignment vertical="top" wrapText="1"/>
      <protection locked="0"/>
    </xf>
    <xf numFmtId="1" fontId="14" fillId="0" borderId="13" xfId="0" applyNumberFormat="1" applyFont="1" applyBorder="1" applyAlignment="1" applyProtection="1">
      <alignment vertical="top" wrapText="1"/>
      <protection locked="0"/>
    </xf>
    <xf numFmtId="1" fontId="9" fillId="0" borderId="12" xfId="1" applyNumberFormat="1" applyFont="1" applyBorder="1" applyAlignment="1" applyProtection="1">
      <alignment horizontal="center" vertical="center" wrapText="1"/>
      <protection locked="0"/>
    </xf>
    <xf numFmtId="1" fontId="9" fillId="0" borderId="30" xfId="1" applyNumberFormat="1" applyFont="1" applyBorder="1" applyAlignment="1" applyProtection="1">
      <alignment horizontal="center" vertical="center" wrapText="1"/>
      <protection locked="0"/>
    </xf>
    <xf numFmtId="1" fontId="9" fillId="0" borderId="13" xfId="1" applyNumberFormat="1" applyFont="1" applyBorder="1" applyAlignment="1" applyProtection="1">
      <alignment horizontal="center" vertical="center" wrapText="1"/>
      <protection locked="0"/>
    </xf>
    <xf numFmtId="9" fontId="13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13" xfId="1" applyNumberFormat="1" applyFont="1" applyBorder="1" applyAlignment="1" applyProtection="1">
      <alignment horizontal="center" vertical="top" wrapText="1"/>
      <protection locked="0"/>
    </xf>
    <xf numFmtId="1" fontId="9" fillId="0" borderId="25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9" fillId="0" borderId="3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2" borderId="12" xfId="1" applyFont="1" applyFill="1" applyBorder="1" applyAlignment="1" applyProtection="1">
      <alignment horizontal="left" vertical="top" wrapText="1"/>
      <protection locked="0"/>
    </xf>
    <xf numFmtId="0" fontId="13" fillId="2" borderId="30" xfId="1" applyFont="1" applyFill="1" applyBorder="1" applyAlignment="1" applyProtection="1">
      <alignment horizontal="left" vertical="top" wrapText="1"/>
      <protection locked="0"/>
    </xf>
    <xf numFmtId="0" fontId="13" fillId="2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2" xfId="1" applyNumberFormat="1" applyFont="1" applyBorder="1" applyAlignment="1" applyProtection="1">
      <alignment horizontal="left" vertical="top" wrapText="1"/>
      <protection locked="0"/>
    </xf>
    <xf numFmtId="167" fontId="13" fillId="0" borderId="13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7" fillId="0" borderId="38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27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4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5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18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left" vertical="top" wrapText="1"/>
      <protection locked="0"/>
    </xf>
    <xf numFmtId="0" fontId="9" fillId="0" borderId="5" xfId="1" applyFont="1" applyBorder="1" applyAlignment="1" applyProtection="1">
      <alignment horizontal="left" vertical="top" wrapText="1"/>
      <protection locked="0"/>
    </xf>
    <xf numFmtId="0" fontId="9" fillId="0" borderId="6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center" vertical="top"/>
      <protection locked="0"/>
    </xf>
    <xf numFmtId="0" fontId="7" fillId="0" borderId="13" xfId="1" applyFont="1" applyBorder="1" applyAlignment="1" applyProtection="1">
      <alignment horizontal="center" vertical="top"/>
      <protection locked="0"/>
    </xf>
    <xf numFmtId="0" fontId="16" fillId="0" borderId="12" xfId="1" applyFont="1" applyBorder="1" applyAlignment="1" applyProtection="1">
      <alignment horizontal="center" vertical="top"/>
      <protection locked="0"/>
    </xf>
    <xf numFmtId="0" fontId="16" fillId="0" borderId="13" xfId="1" applyFont="1" applyBorder="1" applyAlignment="1" applyProtection="1">
      <alignment horizontal="center" vertical="top"/>
      <protection locked="0"/>
    </xf>
    <xf numFmtId="0" fontId="14" fillId="0" borderId="7" xfId="1" applyFont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0" fontId="8" fillId="0" borderId="1" xfId="1" applyFont="1" applyBorder="1" applyAlignment="1" applyProtection="1">
      <alignment horizontal="left"/>
      <protection locked="0"/>
    </xf>
    <xf numFmtId="0" fontId="25" fillId="0" borderId="1" xfId="10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</xdr:colOff>
      <xdr:row>375</xdr:row>
      <xdr:rowOff>156882</xdr:rowOff>
    </xdr:from>
    <xdr:to>
      <xdr:col>7</xdr:col>
      <xdr:colOff>250883</xdr:colOff>
      <xdr:row>393</xdr:row>
      <xdr:rowOff>126177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5823" y="44252029"/>
          <a:ext cx="593226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425823</xdr:colOff>
      <xdr:row>394</xdr:row>
      <xdr:rowOff>167963</xdr:rowOff>
    </xdr:from>
    <xdr:to>
      <xdr:col>7</xdr:col>
      <xdr:colOff>250883</xdr:colOff>
      <xdr:row>412</xdr:row>
      <xdr:rowOff>137255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5823" y="44677728"/>
          <a:ext cx="592106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1256999</xdr:colOff>
      <xdr:row>337</xdr:row>
      <xdr:rowOff>87396</xdr:rowOff>
    </xdr:from>
    <xdr:to>
      <xdr:col>8</xdr:col>
      <xdr:colOff>1320457</xdr:colOff>
      <xdr:row>342</xdr:row>
      <xdr:rowOff>174048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8076899" y="64485921"/>
          <a:ext cx="63458" cy="108677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8</xdr:col>
      <xdr:colOff>355022</xdr:colOff>
      <xdr:row>331</xdr:row>
      <xdr:rowOff>95250</xdr:rowOff>
    </xdr:from>
    <xdr:ext cx="645498" cy="280205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169727" y="68034477"/>
          <a:ext cx="645498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A</a:t>
          </a:r>
        </a:p>
      </xdr:txBody>
    </xdr:sp>
    <xdr:clientData/>
  </xdr:oneCellAnchor>
  <xdr:oneCellAnchor>
    <xdr:from>
      <xdr:col>9</xdr:col>
      <xdr:colOff>698071</xdr:colOff>
      <xdr:row>331</xdr:row>
      <xdr:rowOff>95250</xdr:rowOff>
    </xdr:from>
    <xdr:ext cx="638508" cy="280205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72253" y="68034477"/>
          <a:ext cx="638508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B</a:t>
          </a:r>
        </a:p>
      </xdr:txBody>
    </xdr:sp>
    <xdr:clientData/>
  </xdr:oneCellAnchor>
  <xdr:oneCellAnchor>
    <xdr:from>
      <xdr:col>9</xdr:col>
      <xdr:colOff>152085</xdr:colOff>
      <xdr:row>342</xdr:row>
      <xdr:rowOff>174527</xdr:rowOff>
    </xdr:from>
    <xdr:ext cx="649280" cy="280205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326267" y="70295845"/>
          <a:ext cx="649280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D</a:t>
          </a:r>
        </a:p>
      </xdr:txBody>
    </xdr:sp>
    <xdr:clientData/>
  </xdr:oneCellAnchor>
  <xdr:oneCellAnchor>
    <xdr:from>
      <xdr:col>10</xdr:col>
      <xdr:colOff>136644</xdr:colOff>
      <xdr:row>342</xdr:row>
      <xdr:rowOff>174527</xdr:rowOff>
    </xdr:from>
    <xdr:ext cx="627351" cy="280205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150758" y="70295845"/>
          <a:ext cx="627351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E</a:t>
          </a:r>
        </a:p>
      </xdr:txBody>
    </xdr:sp>
    <xdr:clientData/>
  </xdr:oneCellAnchor>
  <xdr:oneCellAnchor>
    <xdr:from>
      <xdr:col>8</xdr:col>
      <xdr:colOff>524740</xdr:colOff>
      <xdr:row>333</xdr:row>
      <xdr:rowOff>187036</xdr:rowOff>
    </xdr:from>
    <xdr:ext cx="645498" cy="280205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339445" y="68524581"/>
          <a:ext cx="645498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A</a:t>
          </a:r>
        </a:p>
      </xdr:txBody>
    </xdr:sp>
    <xdr:clientData/>
  </xdr:oneCellAnchor>
  <xdr:oneCellAnchor>
    <xdr:from>
      <xdr:col>9</xdr:col>
      <xdr:colOff>53835</xdr:colOff>
      <xdr:row>334</xdr:row>
      <xdr:rowOff>5195</xdr:rowOff>
    </xdr:from>
    <xdr:ext cx="638508" cy="28020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228017" y="68533240"/>
          <a:ext cx="638508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B</a:t>
          </a:r>
        </a:p>
      </xdr:txBody>
    </xdr:sp>
    <xdr:clientData/>
  </xdr:oneCellAnchor>
  <xdr:oneCellAnchor>
    <xdr:from>
      <xdr:col>9</xdr:col>
      <xdr:colOff>445076</xdr:colOff>
      <xdr:row>338</xdr:row>
      <xdr:rowOff>94384</xdr:rowOff>
    </xdr:from>
    <xdr:ext cx="645498" cy="28020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627051" y="64692934"/>
          <a:ext cx="64549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A</a:t>
          </a:r>
        </a:p>
      </xdr:txBody>
    </xdr:sp>
    <xdr:clientData/>
  </xdr:oneCellAnchor>
  <xdr:oneCellAnchor>
    <xdr:from>
      <xdr:col>10</xdr:col>
      <xdr:colOff>498912</xdr:colOff>
      <xdr:row>338</xdr:row>
      <xdr:rowOff>103043</xdr:rowOff>
    </xdr:from>
    <xdr:ext cx="638508" cy="28020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519087" y="64701593"/>
          <a:ext cx="6385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B</a:t>
          </a:r>
        </a:p>
      </xdr:txBody>
    </xdr:sp>
    <xdr:clientData/>
  </xdr:oneCellAnchor>
  <xdr:oneCellAnchor>
    <xdr:from>
      <xdr:col>10</xdr:col>
      <xdr:colOff>555344</xdr:colOff>
      <xdr:row>335</xdr:row>
      <xdr:rowOff>38965</xdr:rowOff>
    </xdr:from>
    <xdr:ext cx="633700" cy="280205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575519" y="64037440"/>
          <a:ext cx="6337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C00000"/>
              </a:solidFill>
            </a:rPr>
            <a:t>Wing C</a:t>
          </a:r>
        </a:p>
      </xdr:txBody>
    </xdr:sp>
    <xdr:clientData/>
  </xdr:oneCellAnchor>
  <xdr:oneCellAnchor>
    <xdr:from>
      <xdr:col>9</xdr:col>
      <xdr:colOff>427444</xdr:colOff>
      <xdr:row>336</xdr:row>
      <xdr:rowOff>174527</xdr:rowOff>
    </xdr:from>
    <xdr:ext cx="649280" cy="28020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609419" y="64373027"/>
          <a:ext cx="64928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</a:rPr>
            <a:t>Wing D</a:t>
          </a:r>
        </a:p>
      </xdr:txBody>
    </xdr:sp>
    <xdr:clientData/>
  </xdr:oneCellAnchor>
  <xdr:oneCellAnchor>
    <xdr:from>
      <xdr:col>10</xdr:col>
      <xdr:colOff>410271</xdr:colOff>
      <xdr:row>336</xdr:row>
      <xdr:rowOff>174527</xdr:rowOff>
    </xdr:from>
    <xdr:ext cx="627351" cy="28020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430446" y="64373027"/>
          <a:ext cx="62735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</a:rPr>
            <a:t>Wing E</a:t>
          </a:r>
        </a:p>
      </xdr:txBody>
    </xdr:sp>
    <xdr:clientData/>
  </xdr:oneCellAnchor>
  <xdr:oneCellAnchor>
    <xdr:from>
      <xdr:col>18</xdr:col>
      <xdr:colOff>19489</xdr:colOff>
      <xdr:row>331</xdr:row>
      <xdr:rowOff>79513</xdr:rowOff>
    </xdr:from>
    <xdr:ext cx="633700" cy="280205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1475993" y="62888191"/>
          <a:ext cx="6337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 C</a:t>
          </a:r>
        </a:p>
      </xdr:txBody>
    </xdr:sp>
    <xdr:clientData/>
  </xdr:oneCellAnchor>
  <xdr:twoCellAnchor>
    <xdr:from>
      <xdr:col>0</xdr:col>
      <xdr:colOff>368300</xdr:colOff>
      <xdr:row>331</xdr:row>
      <xdr:rowOff>114300</xdr:rowOff>
    </xdr:from>
    <xdr:to>
      <xdr:col>7</xdr:col>
      <xdr:colOff>863300</xdr:colOff>
      <xdr:row>371</xdr:row>
      <xdr:rowOff>129170</xdr:rowOff>
    </xdr:to>
    <xdr:grpSp>
      <xdr:nvGrpSpPr>
        <xdr:cNvPr id="5" name="Group 4"/>
        <xdr:cNvGrpSpPr/>
      </xdr:nvGrpSpPr>
      <xdr:grpSpPr>
        <a:xfrm>
          <a:off x="368300" y="58845450"/>
          <a:ext cx="6438600" cy="7882520"/>
          <a:chOff x="368300" y="58845450"/>
          <a:chExt cx="6438600" cy="7882520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7037" y="6170671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7037" y="58845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0" y="6170671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006" y="58845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4234" y="58845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0497" y="6456797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4233" y="6170671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829206" y="60375800"/>
            <a:ext cx="63370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>
                <a:solidFill>
                  <a:srgbClr val="FFFF00"/>
                </a:solidFill>
              </a:rPr>
              <a:t>Wing C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3516734" y="60337700"/>
            <a:ext cx="63370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>
                <a:solidFill>
                  <a:srgbClr val="FFFF00"/>
                </a:solidFill>
              </a:rPr>
              <a:t>Wing 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669</xdr:colOff>
      <xdr:row>34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865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6</xdr:col>
      <xdr:colOff>669</xdr:colOff>
      <xdr:row>54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6675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226944</xdr:colOff>
      <xdr:row>16</xdr:row>
      <xdr:rowOff>0</xdr:rowOff>
    </xdr:from>
    <xdr:to>
      <xdr:col>15</xdr:col>
      <xdr:colOff>144786</xdr:colOff>
      <xdr:row>34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9183" y="2865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226943</xdr:colOff>
      <xdr:row>36</xdr:row>
      <xdr:rowOff>0</xdr:rowOff>
    </xdr:from>
    <xdr:to>
      <xdr:col>15</xdr:col>
      <xdr:colOff>144785</xdr:colOff>
      <xdr:row>54</xdr:row>
      <xdr:rowOff>171000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09182" y="6675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56</xdr:row>
      <xdr:rowOff>0</xdr:rowOff>
    </xdr:from>
    <xdr:to>
      <xdr:col>6</xdr:col>
      <xdr:colOff>670</xdr:colOff>
      <xdr:row>74</xdr:row>
      <xdr:rowOff>171000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9784" y="10676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6</xdr:col>
      <xdr:colOff>669</xdr:colOff>
      <xdr:row>94</xdr:row>
      <xdr:rowOff>171000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9783" y="14486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226945</xdr:colOff>
      <xdr:row>56</xdr:row>
      <xdr:rowOff>0</xdr:rowOff>
    </xdr:from>
    <xdr:to>
      <xdr:col>15</xdr:col>
      <xdr:colOff>144787</xdr:colOff>
      <xdr:row>74</xdr:row>
      <xdr:rowOff>171000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09184" y="10676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226944</xdr:colOff>
      <xdr:row>76</xdr:row>
      <xdr:rowOff>0</xdr:rowOff>
    </xdr:from>
    <xdr:to>
      <xdr:col>15</xdr:col>
      <xdr:colOff>144786</xdr:colOff>
      <xdr:row>94</xdr:row>
      <xdr:rowOff>171000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09183" y="14486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t8XoXU2vWvJjHm17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37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26953125" defaultRowHeight="15.5" x14ac:dyDescent="0.35"/>
  <cols>
    <col min="1" max="1" width="11.453125" style="20" customWidth="1"/>
    <col min="2" max="2" width="12" style="20" customWidth="1"/>
    <col min="3" max="3" width="12.7265625" style="20" customWidth="1"/>
    <col min="4" max="4" width="13.7265625" style="20" customWidth="1"/>
    <col min="5" max="7" width="11.7265625" style="20" customWidth="1"/>
    <col min="8" max="8" width="17.26953125" style="20" customWidth="1"/>
    <col min="9" max="9" width="20.453125" style="8" customWidth="1"/>
    <col min="10" max="10" width="12.54296875" style="8" customWidth="1"/>
    <col min="11" max="11" width="10.54296875" style="8" bestFit="1" customWidth="1"/>
    <col min="12" max="12" width="12.7265625" style="8" hidden="1" customWidth="1"/>
    <col min="13" max="14" width="9.26953125" style="8" hidden="1" customWidth="1"/>
    <col min="15" max="15" width="10.7265625" style="8" hidden="1" customWidth="1"/>
    <col min="16" max="16" width="13.453125" style="8" hidden="1" customWidth="1"/>
    <col min="17" max="17" width="11.7265625" style="8" bestFit="1" customWidth="1"/>
    <col min="18" max="247" width="9.26953125" style="8"/>
    <col min="248" max="248" width="8.7265625" style="8" customWidth="1"/>
    <col min="249" max="249" width="9.7265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7265625" style="8" customWidth="1"/>
    <col min="256" max="256" width="11.26953125" style="8" customWidth="1"/>
    <col min="257" max="257" width="2.7265625" style="8" customWidth="1"/>
    <col min="258" max="258" width="3.54296875" style="8" customWidth="1"/>
    <col min="259" max="503" width="9.26953125" style="8"/>
    <col min="504" max="504" width="8.7265625" style="8" customWidth="1"/>
    <col min="505" max="505" width="9.7265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7265625" style="8" customWidth="1"/>
    <col min="512" max="512" width="11.26953125" style="8" customWidth="1"/>
    <col min="513" max="513" width="2.7265625" style="8" customWidth="1"/>
    <col min="514" max="514" width="3.54296875" style="8" customWidth="1"/>
    <col min="515" max="759" width="9.26953125" style="8"/>
    <col min="760" max="760" width="8.7265625" style="8" customWidth="1"/>
    <col min="761" max="761" width="9.7265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7265625" style="8" customWidth="1"/>
    <col min="768" max="768" width="11.26953125" style="8" customWidth="1"/>
    <col min="769" max="769" width="2.7265625" style="8" customWidth="1"/>
    <col min="770" max="770" width="3.54296875" style="8" customWidth="1"/>
    <col min="771" max="1015" width="9.26953125" style="8"/>
    <col min="1016" max="1016" width="8.7265625" style="8" customWidth="1"/>
    <col min="1017" max="1017" width="9.7265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7265625" style="8" customWidth="1"/>
    <col min="1024" max="1024" width="11.26953125" style="8" customWidth="1"/>
    <col min="1025" max="1025" width="2.7265625" style="8" customWidth="1"/>
    <col min="1026" max="1026" width="3.54296875" style="8" customWidth="1"/>
    <col min="1027" max="1271" width="9.26953125" style="8"/>
    <col min="1272" max="1272" width="8.7265625" style="8" customWidth="1"/>
    <col min="1273" max="1273" width="9.7265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7265625" style="8" customWidth="1"/>
    <col min="1280" max="1280" width="11.26953125" style="8" customWidth="1"/>
    <col min="1281" max="1281" width="2.7265625" style="8" customWidth="1"/>
    <col min="1282" max="1282" width="3.54296875" style="8" customWidth="1"/>
    <col min="1283" max="1527" width="9.26953125" style="8"/>
    <col min="1528" max="1528" width="8.7265625" style="8" customWidth="1"/>
    <col min="1529" max="1529" width="9.7265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7265625" style="8" customWidth="1"/>
    <col min="1536" max="1536" width="11.26953125" style="8" customWidth="1"/>
    <col min="1537" max="1537" width="2.7265625" style="8" customWidth="1"/>
    <col min="1538" max="1538" width="3.54296875" style="8" customWidth="1"/>
    <col min="1539" max="1783" width="9.26953125" style="8"/>
    <col min="1784" max="1784" width="8.7265625" style="8" customWidth="1"/>
    <col min="1785" max="1785" width="9.7265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7265625" style="8" customWidth="1"/>
    <col min="1792" max="1792" width="11.26953125" style="8" customWidth="1"/>
    <col min="1793" max="1793" width="2.7265625" style="8" customWidth="1"/>
    <col min="1794" max="1794" width="3.54296875" style="8" customWidth="1"/>
    <col min="1795" max="2039" width="9.26953125" style="8"/>
    <col min="2040" max="2040" width="8.7265625" style="8" customWidth="1"/>
    <col min="2041" max="2041" width="9.7265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7265625" style="8" customWidth="1"/>
    <col min="2048" max="2048" width="11.26953125" style="8" customWidth="1"/>
    <col min="2049" max="2049" width="2.7265625" style="8" customWidth="1"/>
    <col min="2050" max="2050" width="3.54296875" style="8" customWidth="1"/>
    <col min="2051" max="2295" width="9.26953125" style="8"/>
    <col min="2296" max="2296" width="8.7265625" style="8" customWidth="1"/>
    <col min="2297" max="2297" width="9.7265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7265625" style="8" customWidth="1"/>
    <col min="2304" max="2304" width="11.26953125" style="8" customWidth="1"/>
    <col min="2305" max="2305" width="2.7265625" style="8" customWidth="1"/>
    <col min="2306" max="2306" width="3.54296875" style="8" customWidth="1"/>
    <col min="2307" max="2551" width="9.26953125" style="8"/>
    <col min="2552" max="2552" width="8.7265625" style="8" customWidth="1"/>
    <col min="2553" max="2553" width="9.7265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7265625" style="8" customWidth="1"/>
    <col min="2560" max="2560" width="11.26953125" style="8" customWidth="1"/>
    <col min="2561" max="2561" width="2.7265625" style="8" customWidth="1"/>
    <col min="2562" max="2562" width="3.54296875" style="8" customWidth="1"/>
    <col min="2563" max="2807" width="9.26953125" style="8"/>
    <col min="2808" max="2808" width="8.7265625" style="8" customWidth="1"/>
    <col min="2809" max="2809" width="9.7265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7265625" style="8" customWidth="1"/>
    <col min="2816" max="2816" width="11.26953125" style="8" customWidth="1"/>
    <col min="2817" max="2817" width="2.7265625" style="8" customWidth="1"/>
    <col min="2818" max="2818" width="3.54296875" style="8" customWidth="1"/>
    <col min="2819" max="3063" width="9.26953125" style="8"/>
    <col min="3064" max="3064" width="8.7265625" style="8" customWidth="1"/>
    <col min="3065" max="3065" width="9.7265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7265625" style="8" customWidth="1"/>
    <col min="3072" max="3072" width="11.26953125" style="8" customWidth="1"/>
    <col min="3073" max="3073" width="2.7265625" style="8" customWidth="1"/>
    <col min="3074" max="3074" width="3.54296875" style="8" customWidth="1"/>
    <col min="3075" max="3319" width="9.26953125" style="8"/>
    <col min="3320" max="3320" width="8.7265625" style="8" customWidth="1"/>
    <col min="3321" max="3321" width="9.7265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7265625" style="8" customWidth="1"/>
    <col min="3328" max="3328" width="11.26953125" style="8" customWidth="1"/>
    <col min="3329" max="3329" width="2.7265625" style="8" customWidth="1"/>
    <col min="3330" max="3330" width="3.54296875" style="8" customWidth="1"/>
    <col min="3331" max="3575" width="9.26953125" style="8"/>
    <col min="3576" max="3576" width="8.7265625" style="8" customWidth="1"/>
    <col min="3577" max="3577" width="9.7265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7265625" style="8" customWidth="1"/>
    <col min="3584" max="3584" width="11.26953125" style="8" customWidth="1"/>
    <col min="3585" max="3585" width="2.7265625" style="8" customWidth="1"/>
    <col min="3586" max="3586" width="3.54296875" style="8" customWidth="1"/>
    <col min="3587" max="3831" width="9.26953125" style="8"/>
    <col min="3832" max="3832" width="8.7265625" style="8" customWidth="1"/>
    <col min="3833" max="3833" width="9.7265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7265625" style="8" customWidth="1"/>
    <col min="3840" max="3840" width="11.26953125" style="8" customWidth="1"/>
    <col min="3841" max="3841" width="2.7265625" style="8" customWidth="1"/>
    <col min="3842" max="3842" width="3.54296875" style="8" customWidth="1"/>
    <col min="3843" max="4087" width="9.26953125" style="8"/>
    <col min="4088" max="4088" width="8.7265625" style="8" customWidth="1"/>
    <col min="4089" max="4089" width="9.7265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7265625" style="8" customWidth="1"/>
    <col min="4096" max="4096" width="11.26953125" style="8" customWidth="1"/>
    <col min="4097" max="4097" width="2.7265625" style="8" customWidth="1"/>
    <col min="4098" max="4098" width="3.54296875" style="8" customWidth="1"/>
    <col min="4099" max="4343" width="9.26953125" style="8"/>
    <col min="4344" max="4344" width="8.7265625" style="8" customWidth="1"/>
    <col min="4345" max="4345" width="9.7265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7265625" style="8" customWidth="1"/>
    <col min="4352" max="4352" width="11.26953125" style="8" customWidth="1"/>
    <col min="4353" max="4353" width="2.7265625" style="8" customWidth="1"/>
    <col min="4354" max="4354" width="3.54296875" style="8" customWidth="1"/>
    <col min="4355" max="4599" width="9.26953125" style="8"/>
    <col min="4600" max="4600" width="8.7265625" style="8" customWidth="1"/>
    <col min="4601" max="4601" width="9.7265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7265625" style="8" customWidth="1"/>
    <col min="4608" max="4608" width="11.26953125" style="8" customWidth="1"/>
    <col min="4609" max="4609" width="2.7265625" style="8" customWidth="1"/>
    <col min="4610" max="4610" width="3.54296875" style="8" customWidth="1"/>
    <col min="4611" max="4855" width="9.26953125" style="8"/>
    <col min="4856" max="4856" width="8.7265625" style="8" customWidth="1"/>
    <col min="4857" max="4857" width="9.7265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7265625" style="8" customWidth="1"/>
    <col min="4864" max="4864" width="11.26953125" style="8" customWidth="1"/>
    <col min="4865" max="4865" width="2.7265625" style="8" customWidth="1"/>
    <col min="4866" max="4866" width="3.54296875" style="8" customWidth="1"/>
    <col min="4867" max="5111" width="9.26953125" style="8"/>
    <col min="5112" max="5112" width="8.7265625" style="8" customWidth="1"/>
    <col min="5113" max="5113" width="9.7265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7265625" style="8" customWidth="1"/>
    <col min="5120" max="5120" width="11.26953125" style="8" customWidth="1"/>
    <col min="5121" max="5121" width="2.7265625" style="8" customWidth="1"/>
    <col min="5122" max="5122" width="3.54296875" style="8" customWidth="1"/>
    <col min="5123" max="5367" width="9.26953125" style="8"/>
    <col min="5368" max="5368" width="8.7265625" style="8" customWidth="1"/>
    <col min="5369" max="5369" width="9.7265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7265625" style="8" customWidth="1"/>
    <col min="5376" max="5376" width="11.26953125" style="8" customWidth="1"/>
    <col min="5377" max="5377" width="2.7265625" style="8" customWidth="1"/>
    <col min="5378" max="5378" width="3.54296875" style="8" customWidth="1"/>
    <col min="5379" max="5623" width="9.26953125" style="8"/>
    <col min="5624" max="5624" width="8.7265625" style="8" customWidth="1"/>
    <col min="5625" max="5625" width="9.7265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7265625" style="8" customWidth="1"/>
    <col min="5632" max="5632" width="11.26953125" style="8" customWidth="1"/>
    <col min="5633" max="5633" width="2.7265625" style="8" customWidth="1"/>
    <col min="5634" max="5634" width="3.54296875" style="8" customWidth="1"/>
    <col min="5635" max="5879" width="9.26953125" style="8"/>
    <col min="5880" max="5880" width="8.7265625" style="8" customWidth="1"/>
    <col min="5881" max="5881" width="9.7265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7265625" style="8" customWidth="1"/>
    <col min="5888" max="5888" width="11.26953125" style="8" customWidth="1"/>
    <col min="5889" max="5889" width="2.7265625" style="8" customWidth="1"/>
    <col min="5890" max="5890" width="3.54296875" style="8" customWidth="1"/>
    <col min="5891" max="6135" width="9.26953125" style="8"/>
    <col min="6136" max="6136" width="8.7265625" style="8" customWidth="1"/>
    <col min="6137" max="6137" width="9.7265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7265625" style="8" customWidth="1"/>
    <col min="6144" max="6144" width="11.26953125" style="8" customWidth="1"/>
    <col min="6145" max="6145" width="2.7265625" style="8" customWidth="1"/>
    <col min="6146" max="6146" width="3.54296875" style="8" customWidth="1"/>
    <col min="6147" max="6391" width="9.26953125" style="8"/>
    <col min="6392" max="6392" width="8.7265625" style="8" customWidth="1"/>
    <col min="6393" max="6393" width="9.7265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7265625" style="8" customWidth="1"/>
    <col min="6400" max="6400" width="11.26953125" style="8" customWidth="1"/>
    <col min="6401" max="6401" width="2.7265625" style="8" customWidth="1"/>
    <col min="6402" max="6402" width="3.54296875" style="8" customWidth="1"/>
    <col min="6403" max="6647" width="9.26953125" style="8"/>
    <col min="6648" max="6648" width="8.7265625" style="8" customWidth="1"/>
    <col min="6649" max="6649" width="9.7265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7265625" style="8" customWidth="1"/>
    <col min="6656" max="6656" width="11.26953125" style="8" customWidth="1"/>
    <col min="6657" max="6657" width="2.7265625" style="8" customWidth="1"/>
    <col min="6658" max="6658" width="3.54296875" style="8" customWidth="1"/>
    <col min="6659" max="6903" width="9.26953125" style="8"/>
    <col min="6904" max="6904" width="8.7265625" style="8" customWidth="1"/>
    <col min="6905" max="6905" width="9.7265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7265625" style="8" customWidth="1"/>
    <col min="6912" max="6912" width="11.26953125" style="8" customWidth="1"/>
    <col min="6913" max="6913" width="2.7265625" style="8" customWidth="1"/>
    <col min="6914" max="6914" width="3.54296875" style="8" customWidth="1"/>
    <col min="6915" max="7159" width="9.26953125" style="8"/>
    <col min="7160" max="7160" width="8.7265625" style="8" customWidth="1"/>
    <col min="7161" max="7161" width="9.7265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7265625" style="8" customWidth="1"/>
    <col min="7168" max="7168" width="11.26953125" style="8" customWidth="1"/>
    <col min="7169" max="7169" width="2.7265625" style="8" customWidth="1"/>
    <col min="7170" max="7170" width="3.54296875" style="8" customWidth="1"/>
    <col min="7171" max="7415" width="9.26953125" style="8"/>
    <col min="7416" max="7416" width="8.7265625" style="8" customWidth="1"/>
    <col min="7417" max="7417" width="9.7265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7265625" style="8" customWidth="1"/>
    <col min="7424" max="7424" width="11.26953125" style="8" customWidth="1"/>
    <col min="7425" max="7425" width="2.7265625" style="8" customWidth="1"/>
    <col min="7426" max="7426" width="3.54296875" style="8" customWidth="1"/>
    <col min="7427" max="7671" width="9.26953125" style="8"/>
    <col min="7672" max="7672" width="8.7265625" style="8" customWidth="1"/>
    <col min="7673" max="7673" width="9.7265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7265625" style="8" customWidth="1"/>
    <col min="7680" max="7680" width="11.26953125" style="8" customWidth="1"/>
    <col min="7681" max="7681" width="2.7265625" style="8" customWidth="1"/>
    <col min="7682" max="7682" width="3.54296875" style="8" customWidth="1"/>
    <col min="7683" max="7927" width="9.26953125" style="8"/>
    <col min="7928" max="7928" width="8.7265625" style="8" customWidth="1"/>
    <col min="7929" max="7929" width="9.7265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7265625" style="8" customWidth="1"/>
    <col min="7936" max="7936" width="11.26953125" style="8" customWidth="1"/>
    <col min="7937" max="7937" width="2.7265625" style="8" customWidth="1"/>
    <col min="7938" max="7938" width="3.54296875" style="8" customWidth="1"/>
    <col min="7939" max="8183" width="9.26953125" style="8"/>
    <col min="8184" max="8184" width="8.7265625" style="8" customWidth="1"/>
    <col min="8185" max="8185" width="9.7265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7265625" style="8" customWidth="1"/>
    <col min="8192" max="8192" width="11.26953125" style="8" customWidth="1"/>
    <col min="8193" max="8193" width="2.7265625" style="8" customWidth="1"/>
    <col min="8194" max="8194" width="3.54296875" style="8" customWidth="1"/>
    <col min="8195" max="8439" width="9.26953125" style="8"/>
    <col min="8440" max="8440" width="8.7265625" style="8" customWidth="1"/>
    <col min="8441" max="8441" width="9.7265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7265625" style="8" customWidth="1"/>
    <col min="8448" max="8448" width="11.26953125" style="8" customWidth="1"/>
    <col min="8449" max="8449" width="2.7265625" style="8" customWidth="1"/>
    <col min="8450" max="8450" width="3.54296875" style="8" customWidth="1"/>
    <col min="8451" max="8695" width="9.26953125" style="8"/>
    <col min="8696" max="8696" width="8.7265625" style="8" customWidth="1"/>
    <col min="8697" max="8697" width="9.7265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7265625" style="8" customWidth="1"/>
    <col min="8704" max="8704" width="11.26953125" style="8" customWidth="1"/>
    <col min="8705" max="8705" width="2.7265625" style="8" customWidth="1"/>
    <col min="8706" max="8706" width="3.54296875" style="8" customWidth="1"/>
    <col min="8707" max="8951" width="9.26953125" style="8"/>
    <col min="8952" max="8952" width="8.7265625" style="8" customWidth="1"/>
    <col min="8953" max="8953" width="9.7265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7265625" style="8" customWidth="1"/>
    <col min="8960" max="8960" width="11.26953125" style="8" customWidth="1"/>
    <col min="8961" max="8961" width="2.7265625" style="8" customWidth="1"/>
    <col min="8962" max="8962" width="3.54296875" style="8" customWidth="1"/>
    <col min="8963" max="9207" width="9.26953125" style="8"/>
    <col min="9208" max="9208" width="8.7265625" style="8" customWidth="1"/>
    <col min="9209" max="9209" width="9.7265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7265625" style="8" customWidth="1"/>
    <col min="9216" max="9216" width="11.26953125" style="8" customWidth="1"/>
    <col min="9217" max="9217" width="2.7265625" style="8" customWidth="1"/>
    <col min="9218" max="9218" width="3.54296875" style="8" customWidth="1"/>
    <col min="9219" max="9463" width="9.26953125" style="8"/>
    <col min="9464" max="9464" width="8.7265625" style="8" customWidth="1"/>
    <col min="9465" max="9465" width="9.7265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7265625" style="8" customWidth="1"/>
    <col min="9472" max="9472" width="11.26953125" style="8" customWidth="1"/>
    <col min="9473" max="9473" width="2.7265625" style="8" customWidth="1"/>
    <col min="9474" max="9474" width="3.54296875" style="8" customWidth="1"/>
    <col min="9475" max="9719" width="9.26953125" style="8"/>
    <col min="9720" max="9720" width="8.7265625" style="8" customWidth="1"/>
    <col min="9721" max="9721" width="9.7265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7265625" style="8" customWidth="1"/>
    <col min="9728" max="9728" width="11.26953125" style="8" customWidth="1"/>
    <col min="9729" max="9729" width="2.7265625" style="8" customWidth="1"/>
    <col min="9730" max="9730" width="3.54296875" style="8" customWidth="1"/>
    <col min="9731" max="9975" width="9.26953125" style="8"/>
    <col min="9976" max="9976" width="8.7265625" style="8" customWidth="1"/>
    <col min="9977" max="9977" width="9.7265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7265625" style="8" customWidth="1"/>
    <col min="9984" max="9984" width="11.26953125" style="8" customWidth="1"/>
    <col min="9985" max="9985" width="2.7265625" style="8" customWidth="1"/>
    <col min="9986" max="9986" width="3.54296875" style="8" customWidth="1"/>
    <col min="9987" max="10231" width="9.26953125" style="8"/>
    <col min="10232" max="10232" width="8.7265625" style="8" customWidth="1"/>
    <col min="10233" max="10233" width="9.7265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7265625" style="8" customWidth="1"/>
    <col min="10240" max="10240" width="11.26953125" style="8" customWidth="1"/>
    <col min="10241" max="10241" width="2.7265625" style="8" customWidth="1"/>
    <col min="10242" max="10242" width="3.54296875" style="8" customWidth="1"/>
    <col min="10243" max="10487" width="9.26953125" style="8"/>
    <col min="10488" max="10488" width="8.7265625" style="8" customWidth="1"/>
    <col min="10489" max="10489" width="9.7265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7265625" style="8" customWidth="1"/>
    <col min="10496" max="10496" width="11.26953125" style="8" customWidth="1"/>
    <col min="10497" max="10497" width="2.7265625" style="8" customWidth="1"/>
    <col min="10498" max="10498" width="3.54296875" style="8" customWidth="1"/>
    <col min="10499" max="10743" width="9.26953125" style="8"/>
    <col min="10744" max="10744" width="8.7265625" style="8" customWidth="1"/>
    <col min="10745" max="10745" width="9.7265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7265625" style="8" customWidth="1"/>
    <col min="10752" max="10752" width="11.26953125" style="8" customWidth="1"/>
    <col min="10753" max="10753" width="2.7265625" style="8" customWidth="1"/>
    <col min="10754" max="10754" width="3.54296875" style="8" customWidth="1"/>
    <col min="10755" max="10999" width="9.26953125" style="8"/>
    <col min="11000" max="11000" width="8.7265625" style="8" customWidth="1"/>
    <col min="11001" max="11001" width="9.7265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7265625" style="8" customWidth="1"/>
    <col min="11008" max="11008" width="11.26953125" style="8" customWidth="1"/>
    <col min="11009" max="11009" width="2.7265625" style="8" customWidth="1"/>
    <col min="11010" max="11010" width="3.54296875" style="8" customWidth="1"/>
    <col min="11011" max="11255" width="9.26953125" style="8"/>
    <col min="11256" max="11256" width="8.7265625" style="8" customWidth="1"/>
    <col min="11257" max="11257" width="9.7265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7265625" style="8" customWidth="1"/>
    <col min="11264" max="11264" width="11.26953125" style="8" customWidth="1"/>
    <col min="11265" max="11265" width="2.7265625" style="8" customWidth="1"/>
    <col min="11266" max="11266" width="3.54296875" style="8" customWidth="1"/>
    <col min="11267" max="11511" width="9.26953125" style="8"/>
    <col min="11512" max="11512" width="8.7265625" style="8" customWidth="1"/>
    <col min="11513" max="11513" width="9.7265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7265625" style="8" customWidth="1"/>
    <col min="11520" max="11520" width="11.26953125" style="8" customWidth="1"/>
    <col min="11521" max="11521" width="2.7265625" style="8" customWidth="1"/>
    <col min="11522" max="11522" width="3.54296875" style="8" customWidth="1"/>
    <col min="11523" max="11767" width="9.26953125" style="8"/>
    <col min="11768" max="11768" width="8.7265625" style="8" customWidth="1"/>
    <col min="11769" max="11769" width="9.7265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7265625" style="8" customWidth="1"/>
    <col min="11776" max="11776" width="11.26953125" style="8" customWidth="1"/>
    <col min="11777" max="11777" width="2.7265625" style="8" customWidth="1"/>
    <col min="11778" max="11778" width="3.54296875" style="8" customWidth="1"/>
    <col min="11779" max="12023" width="9.26953125" style="8"/>
    <col min="12024" max="12024" width="8.7265625" style="8" customWidth="1"/>
    <col min="12025" max="12025" width="9.7265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7265625" style="8" customWidth="1"/>
    <col min="12032" max="12032" width="11.26953125" style="8" customWidth="1"/>
    <col min="12033" max="12033" width="2.7265625" style="8" customWidth="1"/>
    <col min="12034" max="12034" width="3.54296875" style="8" customWidth="1"/>
    <col min="12035" max="12279" width="9.26953125" style="8"/>
    <col min="12280" max="12280" width="8.7265625" style="8" customWidth="1"/>
    <col min="12281" max="12281" width="9.7265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7265625" style="8" customWidth="1"/>
    <col min="12288" max="12288" width="11.26953125" style="8" customWidth="1"/>
    <col min="12289" max="12289" width="2.7265625" style="8" customWidth="1"/>
    <col min="12290" max="12290" width="3.54296875" style="8" customWidth="1"/>
    <col min="12291" max="12535" width="9.26953125" style="8"/>
    <col min="12536" max="12536" width="8.7265625" style="8" customWidth="1"/>
    <col min="12537" max="12537" width="9.7265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7265625" style="8" customWidth="1"/>
    <col min="12544" max="12544" width="11.26953125" style="8" customWidth="1"/>
    <col min="12545" max="12545" width="2.7265625" style="8" customWidth="1"/>
    <col min="12546" max="12546" width="3.54296875" style="8" customWidth="1"/>
    <col min="12547" max="12791" width="9.26953125" style="8"/>
    <col min="12792" max="12792" width="8.7265625" style="8" customWidth="1"/>
    <col min="12793" max="12793" width="9.7265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7265625" style="8" customWidth="1"/>
    <col min="12800" max="12800" width="11.26953125" style="8" customWidth="1"/>
    <col min="12801" max="12801" width="2.7265625" style="8" customWidth="1"/>
    <col min="12802" max="12802" width="3.54296875" style="8" customWidth="1"/>
    <col min="12803" max="13047" width="9.26953125" style="8"/>
    <col min="13048" max="13048" width="8.7265625" style="8" customWidth="1"/>
    <col min="13049" max="13049" width="9.7265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7265625" style="8" customWidth="1"/>
    <col min="13056" max="13056" width="11.26953125" style="8" customWidth="1"/>
    <col min="13057" max="13057" width="2.7265625" style="8" customWidth="1"/>
    <col min="13058" max="13058" width="3.54296875" style="8" customWidth="1"/>
    <col min="13059" max="13303" width="9.26953125" style="8"/>
    <col min="13304" max="13304" width="8.7265625" style="8" customWidth="1"/>
    <col min="13305" max="13305" width="9.7265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7265625" style="8" customWidth="1"/>
    <col min="13312" max="13312" width="11.26953125" style="8" customWidth="1"/>
    <col min="13313" max="13313" width="2.7265625" style="8" customWidth="1"/>
    <col min="13314" max="13314" width="3.54296875" style="8" customWidth="1"/>
    <col min="13315" max="13559" width="9.26953125" style="8"/>
    <col min="13560" max="13560" width="8.7265625" style="8" customWidth="1"/>
    <col min="13561" max="13561" width="9.7265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7265625" style="8" customWidth="1"/>
    <col min="13568" max="13568" width="11.26953125" style="8" customWidth="1"/>
    <col min="13569" max="13569" width="2.7265625" style="8" customWidth="1"/>
    <col min="13570" max="13570" width="3.54296875" style="8" customWidth="1"/>
    <col min="13571" max="13815" width="9.26953125" style="8"/>
    <col min="13816" max="13816" width="8.7265625" style="8" customWidth="1"/>
    <col min="13817" max="13817" width="9.7265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7265625" style="8" customWidth="1"/>
    <col min="13824" max="13824" width="11.26953125" style="8" customWidth="1"/>
    <col min="13825" max="13825" width="2.7265625" style="8" customWidth="1"/>
    <col min="13826" max="13826" width="3.54296875" style="8" customWidth="1"/>
    <col min="13827" max="14071" width="9.26953125" style="8"/>
    <col min="14072" max="14072" width="8.7265625" style="8" customWidth="1"/>
    <col min="14073" max="14073" width="9.7265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7265625" style="8" customWidth="1"/>
    <col min="14080" max="14080" width="11.26953125" style="8" customWidth="1"/>
    <col min="14081" max="14081" width="2.7265625" style="8" customWidth="1"/>
    <col min="14082" max="14082" width="3.54296875" style="8" customWidth="1"/>
    <col min="14083" max="14327" width="9.26953125" style="8"/>
    <col min="14328" max="14328" width="8.7265625" style="8" customWidth="1"/>
    <col min="14329" max="14329" width="9.7265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7265625" style="8" customWidth="1"/>
    <col min="14336" max="14336" width="11.26953125" style="8" customWidth="1"/>
    <col min="14337" max="14337" width="2.7265625" style="8" customWidth="1"/>
    <col min="14338" max="14338" width="3.54296875" style="8" customWidth="1"/>
    <col min="14339" max="14583" width="9.26953125" style="8"/>
    <col min="14584" max="14584" width="8.7265625" style="8" customWidth="1"/>
    <col min="14585" max="14585" width="9.7265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7265625" style="8" customWidth="1"/>
    <col min="14592" max="14592" width="11.26953125" style="8" customWidth="1"/>
    <col min="14593" max="14593" width="2.7265625" style="8" customWidth="1"/>
    <col min="14594" max="14594" width="3.54296875" style="8" customWidth="1"/>
    <col min="14595" max="14839" width="9.26953125" style="8"/>
    <col min="14840" max="14840" width="8.7265625" style="8" customWidth="1"/>
    <col min="14841" max="14841" width="9.7265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7265625" style="8" customWidth="1"/>
    <col min="14848" max="14848" width="11.26953125" style="8" customWidth="1"/>
    <col min="14849" max="14849" width="2.7265625" style="8" customWidth="1"/>
    <col min="14850" max="14850" width="3.54296875" style="8" customWidth="1"/>
    <col min="14851" max="15095" width="9.26953125" style="8"/>
    <col min="15096" max="15096" width="8.7265625" style="8" customWidth="1"/>
    <col min="15097" max="15097" width="9.7265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7265625" style="8" customWidth="1"/>
    <col min="15104" max="15104" width="11.26953125" style="8" customWidth="1"/>
    <col min="15105" max="15105" width="2.7265625" style="8" customWidth="1"/>
    <col min="15106" max="15106" width="3.54296875" style="8" customWidth="1"/>
    <col min="15107" max="15351" width="9.26953125" style="8"/>
    <col min="15352" max="15352" width="8.7265625" style="8" customWidth="1"/>
    <col min="15353" max="15353" width="9.7265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7265625" style="8" customWidth="1"/>
    <col min="15360" max="15360" width="11.26953125" style="8" customWidth="1"/>
    <col min="15361" max="15361" width="2.7265625" style="8" customWidth="1"/>
    <col min="15362" max="15362" width="3.54296875" style="8" customWidth="1"/>
    <col min="15363" max="15607" width="9.26953125" style="8"/>
    <col min="15608" max="15608" width="8.7265625" style="8" customWidth="1"/>
    <col min="15609" max="15609" width="9.7265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7265625" style="8" customWidth="1"/>
    <col min="15616" max="15616" width="11.26953125" style="8" customWidth="1"/>
    <col min="15617" max="15617" width="2.7265625" style="8" customWidth="1"/>
    <col min="15618" max="15618" width="3.54296875" style="8" customWidth="1"/>
    <col min="15619" max="15863" width="9.26953125" style="8"/>
    <col min="15864" max="15864" width="8.7265625" style="8" customWidth="1"/>
    <col min="15865" max="15865" width="9.7265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7265625" style="8" customWidth="1"/>
    <col min="15872" max="15872" width="11.26953125" style="8" customWidth="1"/>
    <col min="15873" max="15873" width="2.7265625" style="8" customWidth="1"/>
    <col min="15874" max="15874" width="3.54296875" style="8" customWidth="1"/>
    <col min="15875" max="16119" width="9.26953125" style="8"/>
    <col min="16120" max="16120" width="8.7265625" style="8" customWidth="1"/>
    <col min="16121" max="16121" width="9.7265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7265625" style="8" customWidth="1"/>
    <col min="16128" max="16128" width="11.26953125" style="8" customWidth="1"/>
    <col min="16129" max="16129" width="2.7265625" style="8" customWidth="1"/>
    <col min="16130" max="16130" width="3.54296875" style="8" customWidth="1"/>
    <col min="16131" max="16384" width="9.26953125" style="8"/>
  </cols>
  <sheetData>
    <row r="1" spans="1:8" ht="46.5" customHeight="1" x14ac:dyDescent="0.35">
      <c r="A1" s="187" t="s">
        <v>269</v>
      </c>
      <c r="B1" s="187"/>
      <c r="C1" s="187"/>
      <c r="D1" s="187"/>
      <c r="E1" s="187"/>
      <c r="F1" s="187"/>
      <c r="G1" s="187"/>
      <c r="H1" s="187"/>
    </row>
    <row r="2" spans="1:8" ht="16.5" customHeight="1" x14ac:dyDescent="0.35">
      <c r="A2" s="182" t="s">
        <v>0</v>
      </c>
      <c r="B2" s="182"/>
      <c r="C2" s="182"/>
      <c r="D2" s="182"/>
      <c r="E2" s="182"/>
      <c r="F2" s="182"/>
      <c r="G2" s="182"/>
      <c r="H2" s="182"/>
    </row>
    <row r="3" spans="1:8" x14ac:dyDescent="0.35">
      <c r="A3" s="170" t="s">
        <v>1</v>
      </c>
      <c r="B3" s="170"/>
      <c r="C3" s="170"/>
      <c r="D3" s="170"/>
      <c r="E3" s="188" t="str">
        <f ca="1">TEXT(TODAY(),"DD/MM/YYYY")</f>
        <v>17/08/2025</v>
      </c>
      <c r="F3" s="188"/>
      <c r="G3" s="188"/>
      <c r="H3" s="188"/>
    </row>
    <row r="4" spans="1:8" ht="15" customHeight="1" x14ac:dyDescent="0.35">
      <c r="A4" s="170" t="s">
        <v>2</v>
      </c>
      <c r="B4" s="170"/>
      <c r="C4" s="170"/>
      <c r="D4" s="170"/>
      <c r="E4" s="176" t="s">
        <v>182</v>
      </c>
      <c r="F4" s="176"/>
      <c r="G4" s="176"/>
      <c r="H4" s="176"/>
    </row>
    <row r="5" spans="1:8" x14ac:dyDescent="0.35">
      <c r="A5" s="170" t="s">
        <v>3</v>
      </c>
      <c r="B5" s="170"/>
      <c r="C5" s="170"/>
      <c r="D5" s="170"/>
      <c r="E5" s="188">
        <v>45880</v>
      </c>
      <c r="F5" s="188"/>
      <c r="G5" s="188"/>
      <c r="H5" s="188"/>
    </row>
    <row r="6" spans="1:8" ht="16.5" customHeight="1" x14ac:dyDescent="0.35">
      <c r="A6" s="170" t="s">
        <v>4</v>
      </c>
      <c r="B6" s="170"/>
      <c r="C6" s="170"/>
      <c r="D6" s="170"/>
      <c r="E6" s="175" t="s">
        <v>181</v>
      </c>
      <c r="F6" s="175"/>
      <c r="G6" s="175"/>
      <c r="H6" s="175"/>
    </row>
    <row r="7" spans="1:8" ht="15" customHeight="1" x14ac:dyDescent="0.35">
      <c r="A7" s="170" t="s">
        <v>5</v>
      </c>
      <c r="B7" s="170"/>
      <c r="C7" s="170"/>
      <c r="D7" s="170"/>
      <c r="E7" s="175" t="str">
        <f>E6</f>
        <v>M/s.V.D. Infratech Private Limited</v>
      </c>
      <c r="F7" s="175"/>
      <c r="G7" s="175"/>
      <c r="H7" s="175"/>
    </row>
    <row r="8" spans="1:8" x14ac:dyDescent="0.35">
      <c r="A8" s="170" t="s">
        <v>6</v>
      </c>
      <c r="B8" s="170"/>
      <c r="C8" s="170"/>
      <c r="D8" s="170"/>
      <c r="E8" s="178" t="s">
        <v>183</v>
      </c>
      <c r="F8" s="178"/>
      <c r="G8" s="178"/>
      <c r="H8" s="178"/>
    </row>
    <row r="9" spans="1:8" x14ac:dyDescent="0.35">
      <c r="A9" s="170" t="s">
        <v>174</v>
      </c>
      <c r="B9" s="170"/>
      <c r="C9" s="170"/>
      <c r="D9" s="170"/>
      <c r="E9" s="170" t="s">
        <v>244</v>
      </c>
      <c r="F9" s="170"/>
      <c r="G9" s="170"/>
      <c r="H9" s="170"/>
    </row>
    <row r="10" spans="1:8" x14ac:dyDescent="0.35">
      <c r="A10" s="133" t="s">
        <v>7</v>
      </c>
      <c r="B10" s="133"/>
      <c r="C10" s="133"/>
      <c r="D10" s="133"/>
      <c r="E10" s="133" t="s">
        <v>260</v>
      </c>
      <c r="F10" s="133"/>
      <c r="G10" s="133"/>
      <c r="H10" s="133"/>
    </row>
    <row r="11" spans="1:8" x14ac:dyDescent="0.35">
      <c r="A11" s="170" t="s">
        <v>8</v>
      </c>
      <c r="B11" s="170"/>
      <c r="C11" s="170"/>
      <c r="D11" s="170"/>
      <c r="E11" s="173" t="s">
        <v>213</v>
      </c>
      <c r="F11" s="173"/>
      <c r="G11" s="173"/>
      <c r="H11" s="173"/>
    </row>
    <row r="12" spans="1:8" ht="48.75" customHeight="1" x14ac:dyDescent="0.35">
      <c r="A12" s="170" t="s">
        <v>9</v>
      </c>
      <c r="B12" s="170"/>
      <c r="C12" s="170"/>
      <c r="D12" s="170"/>
      <c r="E12" s="173" t="s">
        <v>246</v>
      </c>
      <c r="F12" s="133"/>
      <c r="G12" s="133"/>
      <c r="H12" s="133"/>
    </row>
    <row r="13" spans="1:8" ht="33" customHeight="1" x14ac:dyDescent="0.35">
      <c r="A13" s="173" t="s">
        <v>10</v>
      </c>
      <c r="B13" s="173"/>
      <c r="C13" s="17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Veena Smart Homes, CTS No.3/A/1(PT), near Acme Avenue, Ambedkar Road, Charkop, Kandivali West, Borivali, Mumbai.</v>
      </c>
      <c r="D13" s="173"/>
      <c r="E13" s="173"/>
      <c r="F13" s="173"/>
      <c r="G13" s="173"/>
      <c r="H13" s="173"/>
    </row>
    <row r="14" spans="1:8" x14ac:dyDescent="0.35">
      <c r="A14" s="173" t="s">
        <v>197</v>
      </c>
      <c r="B14" s="173"/>
      <c r="C14" s="173" t="s">
        <v>210</v>
      </c>
      <c r="D14" s="173"/>
      <c r="E14" s="173"/>
      <c r="F14" s="173"/>
      <c r="G14" s="173"/>
      <c r="H14" s="173"/>
    </row>
    <row r="15" spans="1:8" ht="15.75" customHeight="1" x14ac:dyDescent="0.35">
      <c r="A15" s="173" t="s">
        <v>11</v>
      </c>
      <c r="B15" s="173"/>
      <c r="C15" s="173" t="s">
        <v>207</v>
      </c>
      <c r="D15" s="133"/>
      <c r="E15" s="173" t="s">
        <v>107</v>
      </c>
      <c r="F15" s="173"/>
      <c r="G15" s="173" t="s">
        <v>185</v>
      </c>
      <c r="H15" s="173"/>
    </row>
    <row r="16" spans="1:8" x14ac:dyDescent="0.35">
      <c r="A16" s="133" t="s">
        <v>13</v>
      </c>
      <c r="B16" s="133"/>
      <c r="C16" s="173" t="s">
        <v>240</v>
      </c>
      <c r="D16" s="173"/>
      <c r="E16" s="173" t="s">
        <v>12</v>
      </c>
      <c r="F16" s="173"/>
      <c r="G16" s="184" t="s">
        <v>206</v>
      </c>
      <c r="H16" s="184"/>
    </row>
    <row r="17" spans="1:8" x14ac:dyDescent="0.35">
      <c r="A17" s="133" t="s">
        <v>108</v>
      </c>
      <c r="B17" s="133"/>
      <c r="C17" s="173" t="s">
        <v>184</v>
      </c>
      <c r="D17" s="173"/>
      <c r="E17" s="173" t="s">
        <v>14</v>
      </c>
      <c r="F17" s="173"/>
      <c r="G17" s="173">
        <v>400067</v>
      </c>
      <c r="H17" s="173"/>
    </row>
    <row r="18" spans="1:8" ht="32.25" customHeight="1" x14ac:dyDescent="0.35">
      <c r="A18" s="133" t="s">
        <v>175</v>
      </c>
      <c r="B18" s="133"/>
      <c r="C18" s="185" t="s">
        <v>193</v>
      </c>
      <c r="D18" s="185"/>
      <c r="E18" s="173" t="s">
        <v>15</v>
      </c>
      <c r="F18" s="173"/>
      <c r="G18" s="173" t="s">
        <v>196</v>
      </c>
      <c r="H18" s="173"/>
    </row>
    <row r="19" spans="1:8" ht="15" customHeight="1" x14ac:dyDescent="0.35">
      <c r="A19" s="175" t="s">
        <v>113</v>
      </c>
      <c r="B19" s="175"/>
      <c r="C19" s="175"/>
      <c r="D19" s="175"/>
      <c r="E19" s="133" t="s">
        <v>16</v>
      </c>
      <c r="F19" s="133"/>
      <c r="G19" s="133"/>
      <c r="H19" s="133"/>
    </row>
    <row r="20" spans="1:8" ht="18.75" customHeight="1" x14ac:dyDescent="0.35">
      <c r="A20" s="175"/>
      <c r="B20" s="175"/>
      <c r="C20" s="175"/>
      <c r="D20" s="175"/>
      <c r="E20" s="133"/>
      <c r="F20" s="133"/>
      <c r="G20" s="133"/>
      <c r="H20" s="133"/>
    </row>
    <row r="21" spans="1:8" ht="15" customHeight="1" x14ac:dyDescent="0.35">
      <c r="A21" s="175" t="s">
        <v>17</v>
      </c>
      <c r="B21" s="175"/>
      <c r="C21" s="175"/>
      <c r="D21" s="175"/>
      <c r="E21" s="173" t="s">
        <v>18</v>
      </c>
      <c r="F21" s="173"/>
      <c r="G21" s="173"/>
      <c r="H21" s="173"/>
    </row>
    <row r="22" spans="1:8" ht="15" customHeight="1" x14ac:dyDescent="0.35">
      <c r="A22" s="170" t="s">
        <v>19</v>
      </c>
      <c r="B22" s="170"/>
      <c r="C22" s="170"/>
      <c r="D22" s="170"/>
      <c r="E22" s="173" t="str">
        <f>IF(AND(G16="Mumbai"),"Upper Class","Middle Class")</f>
        <v>Upper Class</v>
      </c>
      <c r="F22" s="173"/>
      <c r="G22" s="173"/>
      <c r="H22" s="173"/>
    </row>
    <row r="23" spans="1:8" x14ac:dyDescent="0.35">
      <c r="A23" s="170" t="s">
        <v>20</v>
      </c>
      <c r="B23" s="170"/>
      <c r="C23" s="170"/>
      <c r="D23" s="170"/>
      <c r="E23" s="173" t="s">
        <v>21</v>
      </c>
      <c r="F23" s="173"/>
      <c r="G23" s="173"/>
      <c r="H23" s="173"/>
    </row>
    <row r="24" spans="1:8" ht="15.75" customHeight="1" x14ac:dyDescent="0.35">
      <c r="A24" s="170" t="s">
        <v>22</v>
      </c>
      <c r="B24" s="170"/>
      <c r="C24" s="170"/>
      <c r="D24" s="170"/>
      <c r="E24" s="173" t="str">
        <f>IF(AND(G16="Mumbai"),"Developed","Developing")</f>
        <v>Developed</v>
      </c>
      <c r="F24" s="173"/>
      <c r="G24" s="173"/>
      <c r="H24" s="173"/>
    </row>
    <row r="25" spans="1:8" x14ac:dyDescent="0.35">
      <c r="A25" s="170" t="s">
        <v>23</v>
      </c>
      <c r="B25" s="170"/>
      <c r="C25" s="170"/>
      <c r="D25" s="170"/>
      <c r="E25" s="173" t="s">
        <v>24</v>
      </c>
      <c r="F25" s="173"/>
      <c r="G25" s="173"/>
      <c r="H25" s="173"/>
    </row>
    <row r="26" spans="1:8" x14ac:dyDescent="0.35">
      <c r="A26" s="170" t="s">
        <v>121</v>
      </c>
      <c r="B26" s="170"/>
      <c r="C26" s="170"/>
      <c r="D26" s="170"/>
      <c r="E26" s="173" t="s">
        <v>122</v>
      </c>
      <c r="F26" s="173"/>
      <c r="G26" s="173"/>
      <c r="H26" s="173"/>
    </row>
    <row r="27" spans="1:8" ht="15" customHeight="1" x14ac:dyDescent="0.35">
      <c r="A27" s="175" t="s">
        <v>33</v>
      </c>
      <c r="B27" s="175"/>
      <c r="C27" s="175"/>
      <c r="D27" s="175"/>
      <c r="E27" s="176" t="s">
        <v>117</v>
      </c>
      <c r="F27" s="176"/>
      <c r="G27" s="176"/>
      <c r="H27" s="176"/>
    </row>
    <row r="28" spans="1:8" x14ac:dyDescent="0.35">
      <c r="A28" s="175" t="s">
        <v>134</v>
      </c>
      <c r="B28" s="175"/>
      <c r="C28" s="175"/>
      <c r="D28" s="175"/>
      <c r="E28" s="175" t="s">
        <v>34</v>
      </c>
      <c r="F28" s="175"/>
      <c r="G28" s="175"/>
      <c r="H28" s="175"/>
    </row>
    <row r="29" spans="1:8" s="11" customFormat="1" x14ac:dyDescent="0.35">
      <c r="A29" s="183" t="s">
        <v>135</v>
      </c>
      <c r="B29" s="183"/>
      <c r="C29" s="181" t="s">
        <v>29</v>
      </c>
      <c r="D29" s="181"/>
      <c r="E29" s="181"/>
      <c r="F29" s="181" t="s">
        <v>31</v>
      </c>
      <c r="G29" s="181"/>
      <c r="H29" s="181"/>
    </row>
    <row r="30" spans="1:8" s="11" customFormat="1" x14ac:dyDescent="0.35">
      <c r="A30" s="177" t="s">
        <v>25</v>
      </c>
      <c r="B30" s="177" t="s">
        <v>30</v>
      </c>
      <c r="C30" s="180" t="s">
        <v>30</v>
      </c>
      <c r="D30" s="180"/>
      <c r="E30" s="180"/>
      <c r="F30" s="180" t="s">
        <v>193</v>
      </c>
      <c r="G30" s="180"/>
      <c r="H30" s="180"/>
    </row>
    <row r="31" spans="1:8" x14ac:dyDescent="0.35">
      <c r="A31" s="177" t="s">
        <v>26</v>
      </c>
      <c r="B31" s="177" t="s">
        <v>30</v>
      </c>
      <c r="C31" s="180" t="s">
        <v>30</v>
      </c>
      <c r="D31" s="180"/>
      <c r="E31" s="180"/>
      <c r="F31" s="180" t="s">
        <v>195</v>
      </c>
      <c r="G31" s="180"/>
      <c r="H31" s="180"/>
    </row>
    <row r="32" spans="1:8" s="11" customFormat="1" x14ac:dyDescent="0.35">
      <c r="A32" s="177" t="s">
        <v>28</v>
      </c>
      <c r="B32" s="177" t="s">
        <v>30</v>
      </c>
      <c r="C32" s="180" t="s">
        <v>30</v>
      </c>
      <c r="D32" s="180"/>
      <c r="E32" s="180"/>
      <c r="F32" s="113" t="s">
        <v>194</v>
      </c>
      <c r="G32" s="180"/>
      <c r="H32" s="180"/>
    </row>
    <row r="33" spans="1:8" x14ac:dyDescent="0.35">
      <c r="A33" s="177" t="s">
        <v>27</v>
      </c>
      <c r="B33" s="177" t="s">
        <v>30</v>
      </c>
      <c r="C33" s="180" t="s">
        <v>30</v>
      </c>
      <c r="D33" s="180"/>
      <c r="E33" s="180"/>
      <c r="F33" s="180" t="s">
        <v>11</v>
      </c>
      <c r="G33" s="180"/>
      <c r="H33" s="180"/>
    </row>
    <row r="34" spans="1:8" x14ac:dyDescent="0.35">
      <c r="A34" s="170" t="s">
        <v>32</v>
      </c>
      <c r="B34" s="170"/>
      <c r="C34" s="170"/>
      <c r="D34" s="170"/>
      <c r="E34" s="170"/>
      <c r="F34" s="170"/>
      <c r="G34" s="170"/>
      <c r="H34" s="170"/>
    </row>
    <row r="35" spans="1:8" ht="15.75" customHeight="1" x14ac:dyDescent="0.35">
      <c r="A35" s="182" t="s">
        <v>266</v>
      </c>
      <c r="B35" s="182"/>
      <c r="C35" s="242" t="s">
        <v>265</v>
      </c>
      <c r="D35" s="242"/>
      <c r="E35" s="242"/>
      <c r="F35" s="242"/>
      <c r="G35" s="242"/>
      <c r="H35" s="242"/>
    </row>
    <row r="36" spans="1:8" ht="15.75" customHeight="1" x14ac:dyDescent="0.35">
      <c r="A36" s="182" t="s">
        <v>267</v>
      </c>
      <c r="B36" s="182"/>
      <c r="C36" s="243" t="s">
        <v>268</v>
      </c>
      <c r="D36" s="242"/>
      <c r="E36" s="242"/>
      <c r="F36" s="242"/>
      <c r="G36" s="242"/>
      <c r="H36" s="242"/>
    </row>
    <row r="37" spans="1:8" x14ac:dyDescent="0.35">
      <c r="A37" s="178" t="s">
        <v>35</v>
      </c>
      <c r="B37" s="178"/>
      <c r="C37" s="178"/>
      <c r="D37" s="178"/>
      <c r="E37" s="178"/>
      <c r="F37" s="178"/>
      <c r="G37" s="178"/>
      <c r="H37" s="178"/>
    </row>
    <row r="38" spans="1:8" x14ac:dyDescent="0.35">
      <c r="A38" s="170" t="s">
        <v>36</v>
      </c>
      <c r="B38" s="170"/>
      <c r="C38" s="170"/>
      <c r="D38" s="170"/>
      <c r="E38" s="179">
        <v>4820.95</v>
      </c>
      <c r="F38" s="179"/>
      <c r="G38" s="179"/>
      <c r="H38" s="179"/>
    </row>
    <row r="39" spans="1:8" x14ac:dyDescent="0.35">
      <c r="A39" s="170" t="s">
        <v>37</v>
      </c>
      <c r="B39" s="170"/>
      <c r="C39" s="170"/>
      <c r="D39" s="170"/>
      <c r="E39" s="174">
        <v>1.33</v>
      </c>
      <c r="F39" s="174"/>
      <c r="G39" s="174"/>
      <c r="H39" s="174"/>
    </row>
    <row r="40" spans="1:8" x14ac:dyDescent="0.35">
      <c r="A40" s="170" t="s">
        <v>38</v>
      </c>
      <c r="B40" s="170"/>
      <c r="C40" s="170"/>
      <c r="D40" s="170"/>
      <c r="E40" s="174">
        <f>E42/E38-E39</f>
        <v>4.6358096433275602</v>
      </c>
      <c r="F40" s="174"/>
      <c r="G40" s="174"/>
      <c r="H40" s="174"/>
    </row>
    <row r="41" spans="1:8" x14ac:dyDescent="0.35">
      <c r="A41" s="170" t="s">
        <v>39</v>
      </c>
      <c r="B41" s="170"/>
      <c r="C41" s="170"/>
      <c r="D41" s="170"/>
      <c r="E41" s="174">
        <f>E39+E40</f>
        <v>5.9658096433275603</v>
      </c>
      <c r="F41" s="174"/>
      <c r="G41" s="174"/>
      <c r="H41" s="174"/>
    </row>
    <row r="42" spans="1:8" x14ac:dyDescent="0.35">
      <c r="A42" s="170" t="s">
        <v>133</v>
      </c>
      <c r="B42" s="170"/>
      <c r="C42" s="170"/>
      <c r="D42" s="170"/>
      <c r="E42" s="186">
        <v>28760.87</v>
      </c>
      <c r="F42" s="186"/>
      <c r="G42" s="186"/>
      <c r="H42" s="186"/>
    </row>
    <row r="43" spans="1:8" x14ac:dyDescent="0.35">
      <c r="A43" s="133" t="s">
        <v>40</v>
      </c>
      <c r="B43" s="133"/>
      <c r="C43" s="133"/>
      <c r="D43" s="133"/>
      <c r="E43" s="133" t="s">
        <v>259</v>
      </c>
      <c r="F43" s="133"/>
      <c r="G43" s="133"/>
      <c r="H43" s="133"/>
    </row>
    <row r="44" spans="1:8" x14ac:dyDescent="0.35">
      <c r="A44" s="178" t="s">
        <v>41</v>
      </c>
      <c r="B44" s="178"/>
      <c r="C44" s="178"/>
      <c r="D44" s="178"/>
      <c r="E44" s="178"/>
      <c r="F44" s="178"/>
      <c r="G44" s="178"/>
      <c r="H44" s="178"/>
    </row>
    <row r="45" spans="1:8" ht="15.75" customHeight="1" x14ac:dyDescent="0.35">
      <c r="A45" s="173" t="s">
        <v>42</v>
      </c>
      <c r="B45" s="173"/>
      <c r="C45" s="185" t="s">
        <v>245</v>
      </c>
      <c r="D45" s="185"/>
      <c r="E45" s="185"/>
      <c r="F45" s="83" t="s">
        <v>43</v>
      </c>
      <c r="G45" s="207">
        <v>44495</v>
      </c>
      <c r="H45" s="208"/>
    </row>
    <row r="46" spans="1:8" x14ac:dyDescent="0.35">
      <c r="A46" s="133" t="s">
        <v>44</v>
      </c>
      <c r="B46" s="133"/>
      <c r="C46" s="185" t="str">
        <f>C45</f>
        <v>RS/STGOVT/0032/20120523/AP/S-2</v>
      </c>
      <c r="D46" s="185"/>
      <c r="E46" s="185"/>
      <c r="F46" s="83" t="s">
        <v>43</v>
      </c>
      <c r="G46" s="207">
        <f>G45</f>
        <v>44495</v>
      </c>
      <c r="H46" s="208"/>
    </row>
    <row r="47" spans="1:8" s="10" customFormat="1" x14ac:dyDescent="0.35">
      <c r="A47" s="173" t="s">
        <v>45</v>
      </c>
      <c r="B47" s="173"/>
      <c r="C47" s="185" t="s">
        <v>186</v>
      </c>
      <c r="D47" s="189"/>
      <c r="E47" s="189"/>
      <c r="F47" s="13" t="s">
        <v>43</v>
      </c>
      <c r="G47" s="209">
        <v>44935</v>
      </c>
      <c r="H47" s="209"/>
    </row>
    <row r="48" spans="1:8" s="10" customFormat="1" ht="81.75" customHeight="1" x14ac:dyDescent="0.35">
      <c r="A48" s="173"/>
      <c r="B48" s="173"/>
      <c r="C48" s="193" t="s">
        <v>285</v>
      </c>
      <c r="D48" s="194"/>
      <c r="E48" s="194"/>
      <c r="F48" s="194"/>
      <c r="G48" s="194"/>
      <c r="H48" s="195"/>
    </row>
    <row r="49" spans="1:11" x14ac:dyDescent="0.35">
      <c r="A49" s="110" t="s">
        <v>46</v>
      </c>
      <c r="B49" s="110"/>
      <c r="C49" s="203" t="s">
        <v>153</v>
      </c>
      <c r="D49" s="204"/>
      <c r="E49" s="204" t="s">
        <v>47</v>
      </c>
      <c r="F49" s="84" t="s">
        <v>43</v>
      </c>
      <c r="G49" s="206" t="s">
        <v>30</v>
      </c>
      <c r="H49" s="206"/>
    </row>
    <row r="50" spans="1:11" x14ac:dyDescent="0.35">
      <c r="A50" s="205" t="s">
        <v>49</v>
      </c>
      <c r="B50" s="205"/>
      <c r="C50" s="205"/>
      <c r="D50" s="205"/>
      <c r="E50" s="205"/>
      <c r="F50" s="205"/>
      <c r="G50" s="205"/>
      <c r="H50" s="205"/>
    </row>
    <row r="51" spans="1:11" x14ac:dyDescent="0.35">
      <c r="A51" s="173" t="s">
        <v>132</v>
      </c>
      <c r="B51" s="173"/>
      <c r="C51" s="173"/>
      <c r="D51" s="133">
        <f>E42</f>
        <v>28760.87</v>
      </c>
      <c r="E51" s="133"/>
      <c r="F51" s="133"/>
      <c r="G51" s="133"/>
      <c r="H51" s="133"/>
    </row>
    <row r="52" spans="1:11" x14ac:dyDescent="0.35">
      <c r="A52" s="173" t="s">
        <v>50</v>
      </c>
      <c r="B52" s="133"/>
      <c r="C52" s="133"/>
      <c r="D52" s="133" t="s">
        <v>258</v>
      </c>
      <c r="E52" s="133"/>
      <c r="F52" s="133"/>
      <c r="G52" s="133"/>
      <c r="H52" s="133"/>
      <c r="I52" s="63"/>
    </row>
    <row r="53" spans="1:11" ht="32.25" customHeight="1" x14ac:dyDescent="0.35">
      <c r="A53" s="173" t="s">
        <v>51</v>
      </c>
      <c r="B53" s="133"/>
      <c r="C53" s="133"/>
      <c r="D53" s="173" t="s">
        <v>255</v>
      </c>
      <c r="E53" s="133"/>
      <c r="F53" s="133"/>
      <c r="G53" s="133"/>
      <c r="H53" s="133"/>
    </row>
    <row r="54" spans="1:11" ht="15.75" customHeight="1" x14ac:dyDescent="0.35">
      <c r="A54" s="134" t="s">
        <v>130</v>
      </c>
      <c r="B54" s="135"/>
      <c r="C54" s="136"/>
      <c r="D54" s="133" t="s">
        <v>234</v>
      </c>
      <c r="E54" s="133"/>
      <c r="F54" s="133"/>
      <c r="G54" s="133"/>
      <c r="H54" s="133"/>
    </row>
    <row r="55" spans="1:11" ht="15.75" customHeight="1" x14ac:dyDescent="0.35">
      <c r="A55" s="137"/>
      <c r="B55" s="138"/>
      <c r="C55" s="139"/>
      <c r="D55" s="133" t="s">
        <v>254</v>
      </c>
      <c r="E55" s="133"/>
      <c r="F55" s="133"/>
      <c r="G55" s="133"/>
      <c r="H55" s="133"/>
    </row>
    <row r="56" spans="1:11" ht="15.75" customHeight="1" x14ac:dyDescent="0.35">
      <c r="A56" s="170" t="s">
        <v>48</v>
      </c>
      <c r="B56" s="170"/>
      <c r="C56" s="170"/>
      <c r="D56" s="175" t="s">
        <v>282</v>
      </c>
      <c r="E56" s="175"/>
      <c r="F56" s="175"/>
      <c r="G56" s="175"/>
      <c r="H56" s="175"/>
      <c r="I56" s="62"/>
      <c r="J56" s="62"/>
      <c r="K56" s="63"/>
    </row>
    <row r="57" spans="1:11" ht="15.75" customHeight="1" x14ac:dyDescent="0.35">
      <c r="A57" s="170" t="s">
        <v>128</v>
      </c>
      <c r="B57" s="170"/>
      <c r="C57" s="170"/>
      <c r="D57" s="175" t="str">
        <f>(IF(G49="NA","60 Years After Completion",IF(G49&lt;&gt;"NA",""&amp;ROUNDUP((E3-G49)/360,0)&amp;" Years"," ")))</f>
        <v>60 Years After Completion</v>
      </c>
      <c r="E57" s="175"/>
      <c r="F57" s="175"/>
      <c r="G57" s="175"/>
      <c r="H57" s="175"/>
      <c r="I57" s="61"/>
    </row>
    <row r="58" spans="1:11" ht="15.75" customHeight="1" x14ac:dyDescent="0.35">
      <c r="A58" s="170" t="s">
        <v>129</v>
      </c>
      <c r="B58" s="170"/>
      <c r="C58" s="170"/>
      <c r="D58" s="175" t="s">
        <v>24</v>
      </c>
      <c r="E58" s="175"/>
      <c r="F58" s="175"/>
      <c r="G58" s="175"/>
      <c r="H58" s="175"/>
      <c r="J58" s="22"/>
      <c r="K58" s="22"/>
    </row>
    <row r="59" spans="1:11" ht="15.75" customHeight="1" thickBot="1" x14ac:dyDescent="0.4">
      <c r="A59" s="191" t="s">
        <v>127</v>
      </c>
      <c r="B59" s="191"/>
      <c r="C59" s="191"/>
      <c r="D59" s="192" t="str">
        <f ca="1">(IF(E64&gt;95%,"Nothing",IF(E64&gt;0%,"Cement, Aggregate, Steel, etc",IF(E64=0%,"Work not yet Started"))))</f>
        <v>Nothing</v>
      </c>
      <c r="E59" s="192"/>
      <c r="F59" s="192"/>
      <c r="G59" s="192"/>
      <c r="H59" s="192"/>
      <c r="J59" s="22"/>
      <c r="K59" s="22"/>
    </row>
    <row r="60" spans="1:11" customFormat="1" ht="31.5" customHeight="1" x14ac:dyDescent="0.35">
      <c r="A60" s="142" t="s">
        <v>214</v>
      </c>
      <c r="B60" s="143"/>
      <c r="C60" s="104" t="s">
        <v>280</v>
      </c>
      <c r="D60" s="105"/>
      <c r="E60" s="105"/>
      <c r="F60" s="105"/>
      <c r="G60" s="105"/>
      <c r="H60" s="106"/>
      <c r="I60" s="26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All work completed. Please provide OC.</v>
      </c>
      <c r="J60" s="27"/>
    </row>
    <row r="61" spans="1:11" customFormat="1" ht="15.75" customHeight="1" x14ac:dyDescent="0.35">
      <c r="A61" s="94" t="s">
        <v>215</v>
      </c>
      <c r="B61" s="95">
        <v>0</v>
      </c>
      <c r="C61" s="92" t="s">
        <v>106</v>
      </c>
      <c r="D61" s="92">
        <v>1</v>
      </c>
      <c r="E61" s="92" t="s">
        <v>105</v>
      </c>
      <c r="F61" s="92">
        <v>0</v>
      </c>
      <c r="G61" s="92" t="s">
        <v>120</v>
      </c>
      <c r="H61" s="65">
        <f ca="1">--TRIM(RIGHT(SUBSTITUTE(LEFT(C60,_xlfn.AGGREGATE(16,6,FIND({0,1,2,3,4,5,6,7,8,9},C60,ROW(INDIRECT("1:"&amp;LEN(C60)))),1))," ",REPT(" ",LEN(C60))),LEN(C60)))</f>
        <v>23</v>
      </c>
      <c r="I61" s="22"/>
      <c r="J61" s="29"/>
    </row>
    <row r="62" spans="1:11" customFormat="1" x14ac:dyDescent="0.35">
      <c r="A62" s="107" t="s">
        <v>131</v>
      </c>
      <c r="B62" s="108"/>
      <c r="C62" s="109" t="str">
        <f ca="1">I60</f>
        <v>All work completed. Please provide OC.</v>
      </c>
      <c r="D62" s="110"/>
      <c r="E62" s="110"/>
      <c r="F62" s="110"/>
      <c r="G62" s="110"/>
      <c r="H62" s="111"/>
      <c r="I62" s="22" t="s">
        <v>152</v>
      </c>
      <c r="J62" s="29"/>
    </row>
    <row r="63" spans="1:11" customFormat="1" x14ac:dyDescent="0.35">
      <c r="A63" s="112" t="s">
        <v>52</v>
      </c>
      <c r="B63" s="113"/>
      <c r="C63" s="96" t="s">
        <v>216</v>
      </c>
      <c r="D63" s="91" t="s">
        <v>124</v>
      </c>
      <c r="E63" s="113" t="s">
        <v>126</v>
      </c>
      <c r="F63" s="113"/>
      <c r="G63" s="113" t="s">
        <v>125</v>
      </c>
      <c r="H63" s="140"/>
      <c r="I63" s="60" t="s">
        <v>217</v>
      </c>
      <c r="J63" s="30">
        <f ca="1">H61*25%</f>
        <v>5.75</v>
      </c>
    </row>
    <row r="64" spans="1:11" customFormat="1" x14ac:dyDescent="0.35">
      <c r="A64" s="113" t="s">
        <v>218</v>
      </c>
      <c r="B64" s="113"/>
      <c r="C64" s="67">
        <f ca="1">J65</f>
        <v>23</v>
      </c>
      <c r="D64" s="99">
        <f ca="1">((100/H61)*C64)/100</f>
        <v>1</v>
      </c>
      <c r="E64" s="141">
        <f ca="1">(((C65/H61*10)+(40/(D61+F61+H61)*C66)+(7.5/(H61)*C67)+(7.5/(H61)*C68)+(10/H61*C69)+(10/H61*C70)+(5/H61*C71)+(5/H61*C72)+(5/H61*C73))/100)</f>
        <v>1</v>
      </c>
      <c r="F64" s="141"/>
      <c r="G64" s="141">
        <f ca="1">((((C64/H61)*20)+((C65/H61)*25)+(30/(H61+F61+D61)*C66)+(5/H61*C67)+(5/H61*C68)+(5/H61*C69)+(5/H61*C70)+(0/H61*C71)+(0/H61*C72)+(5/H61*C73))/100)</f>
        <v>1</v>
      </c>
      <c r="H64" s="141"/>
      <c r="I64" s="60" t="s">
        <v>144</v>
      </c>
      <c r="J64" s="75">
        <f ca="1">H61*50%</f>
        <v>11.5</v>
      </c>
    </row>
    <row r="65" spans="1:14" customFormat="1" x14ac:dyDescent="0.35">
      <c r="A65" s="113" t="s">
        <v>53</v>
      </c>
      <c r="B65" s="113"/>
      <c r="C65" s="68">
        <f ca="1">J73</f>
        <v>23</v>
      </c>
      <c r="D65" s="99">
        <f ca="1">((100/H61)*C65)/100</f>
        <v>1</v>
      </c>
      <c r="E65" s="141"/>
      <c r="F65" s="141"/>
      <c r="G65" s="141"/>
      <c r="H65" s="141"/>
      <c r="I65" s="60" t="s">
        <v>145</v>
      </c>
      <c r="J65" s="75">
        <f ca="1">H61</f>
        <v>23</v>
      </c>
    </row>
    <row r="66" spans="1:14" customFormat="1" x14ac:dyDescent="0.35">
      <c r="A66" s="180" t="s">
        <v>219</v>
      </c>
      <c r="B66" s="180"/>
      <c r="C66" s="68">
        <v>24</v>
      </c>
      <c r="D66" s="99">
        <f ca="1">((100/(D61+F61+H61))*C66)/100</f>
        <v>1</v>
      </c>
      <c r="E66" s="141"/>
      <c r="F66" s="141"/>
      <c r="G66" s="141"/>
      <c r="H66" s="141"/>
      <c r="I66" s="60" t="s">
        <v>146</v>
      </c>
      <c r="J66" s="76">
        <f ca="1">(IF(B61&gt;1,(H61/(B61+2)),H61/4))</f>
        <v>5.75</v>
      </c>
      <c r="L66" s="77"/>
    </row>
    <row r="67" spans="1:14" customFormat="1" ht="15.75" customHeight="1" x14ac:dyDescent="0.35">
      <c r="A67" s="113" t="s">
        <v>220</v>
      </c>
      <c r="B67" s="113" t="s">
        <v>221</v>
      </c>
      <c r="C67" s="68">
        <v>23</v>
      </c>
      <c r="D67" s="99">
        <f ca="1">((100/H61)*C67)/100</f>
        <v>1</v>
      </c>
      <c r="E67" s="141"/>
      <c r="F67" s="141"/>
      <c r="G67" s="141"/>
      <c r="H67" s="141"/>
      <c r="I67" s="60" t="s">
        <v>147</v>
      </c>
      <c r="J67" s="76">
        <f ca="1">(IF(B61&gt;1,(H61/(B61+2)+J66),H61/4+J66))</f>
        <v>11.5</v>
      </c>
      <c r="L67" s="77"/>
    </row>
    <row r="68" spans="1:14" customFormat="1" ht="15.75" customHeight="1" x14ac:dyDescent="0.35">
      <c r="A68" s="113" t="s">
        <v>222</v>
      </c>
      <c r="B68" s="113" t="s">
        <v>221</v>
      </c>
      <c r="C68" s="68">
        <v>23</v>
      </c>
      <c r="D68" s="99">
        <f ca="1">((100/H61)*C68)/100</f>
        <v>1</v>
      </c>
      <c r="E68" s="141"/>
      <c r="F68" s="141"/>
      <c r="G68" s="141"/>
      <c r="H68" s="141"/>
      <c r="I68" s="60" t="s">
        <v>223</v>
      </c>
      <c r="J68" s="76">
        <f>(IF(B61&gt;1,(H61/(B61+2)+J67),0))</f>
        <v>0</v>
      </c>
      <c r="L68" s="78"/>
      <c r="N68" s="77"/>
    </row>
    <row r="69" spans="1:14" customFormat="1" ht="15.75" customHeight="1" x14ac:dyDescent="0.35">
      <c r="A69" s="113" t="s">
        <v>224</v>
      </c>
      <c r="B69" s="113" t="s">
        <v>225</v>
      </c>
      <c r="C69" s="68">
        <v>23</v>
      </c>
      <c r="D69" s="99">
        <f ca="1">((100/(H61))*C69)/100</f>
        <v>1</v>
      </c>
      <c r="E69" s="141"/>
      <c r="F69" s="141"/>
      <c r="G69" s="141"/>
      <c r="H69" s="141"/>
      <c r="I69" s="60" t="s">
        <v>226</v>
      </c>
      <c r="J69" s="76">
        <f>(IF(B61&gt;2,(H61/(B61+2)+J68),0))</f>
        <v>0</v>
      </c>
      <c r="K69" s="79"/>
      <c r="L69" s="78"/>
    </row>
    <row r="70" spans="1:14" customFormat="1" ht="15.75" customHeight="1" x14ac:dyDescent="0.35">
      <c r="A70" s="113" t="s">
        <v>227</v>
      </c>
      <c r="B70" s="113" t="s">
        <v>227</v>
      </c>
      <c r="C70" s="67">
        <v>23</v>
      </c>
      <c r="D70" s="99">
        <f ca="1">((100/H61)*C70)/100</f>
        <v>1</v>
      </c>
      <c r="E70" s="141"/>
      <c r="F70" s="141"/>
      <c r="G70" s="141"/>
      <c r="H70" s="141"/>
      <c r="I70" s="60" t="s">
        <v>228</v>
      </c>
      <c r="J70" s="80">
        <f>(IF(B61&gt;3,(H61/(B61+2)+J69),0))</f>
        <v>0</v>
      </c>
      <c r="K70" s="79"/>
      <c r="L70" s="78"/>
    </row>
    <row r="71" spans="1:14" customFormat="1" ht="15.75" customHeight="1" x14ac:dyDescent="0.35">
      <c r="A71" s="113" t="s">
        <v>229</v>
      </c>
      <c r="B71" s="113"/>
      <c r="C71" s="67">
        <v>23</v>
      </c>
      <c r="D71" s="99">
        <f ca="1">((100/H61)*C71)/100</f>
        <v>1</v>
      </c>
      <c r="E71" s="141"/>
      <c r="F71" s="141"/>
      <c r="G71" s="141"/>
      <c r="H71" s="141"/>
      <c r="I71" s="60" t="s">
        <v>230</v>
      </c>
      <c r="J71" s="76">
        <f>(IF(B61&gt;4,(H61/(B61+2)+J70),0))</f>
        <v>0</v>
      </c>
      <c r="K71" s="77"/>
      <c r="L71" s="78"/>
    </row>
    <row r="72" spans="1:14" customFormat="1" ht="15.75" customHeight="1" x14ac:dyDescent="0.35">
      <c r="A72" s="113" t="s">
        <v>231</v>
      </c>
      <c r="B72" s="113" t="s">
        <v>231</v>
      </c>
      <c r="C72" s="67">
        <v>23</v>
      </c>
      <c r="D72" s="99">
        <f ca="1">((100/(H61))*C72)/100</f>
        <v>1</v>
      </c>
      <c r="E72" s="141"/>
      <c r="F72" s="141"/>
      <c r="G72" s="141"/>
      <c r="H72" s="141"/>
      <c r="I72" s="60" t="s">
        <v>148</v>
      </c>
      <c r="J72" s="76">
        <f ca="1">(IF(B61=1,(H61/(B61+3)+J67),IF(B61=0,(H61/4+J67),IF(B61&gt;1,0))))</f>
        <v>17.25</v>
      </c>
      <c r="K72" s="79"/>
      <c r="L72" s="78"/>
    </row>
    <row r="73" spans="1:14" customFormat="1" ht="16" thickBot="1" x14ac:dyDescent="0.4">
      <c r="A73" s="113" t="s">
        <v>232</v>
      </c>
      <c r="B73" s="113"/>
      <c r="C73" s="67">
        <v>23</v>
      </c>
      <c r="D73" s="99">
        <f ca="1">((100/(H61))*C73)/100</f>
        <v>1</v>
      </c>
      <c r="E73" s="141"/>
      <c r="F73" s="141"/>
      <c r="G73" s="141"/>
      <c r="H73" s="141"/>
      <c r="I73" s="81" t="s">
        <v>149</v>
      </c>
      <c r="J73" s="82">
        <f ca="1">(IF(B61&gt;1.5,(H61/(B61+2)+J67+MAX(0,J68-J67)+MAX(0,J69-J68)+MAX(0,J70-J69)+MAX(0,J71-J70)+MAX(0,J72-J71)),IF(B61=1,(H61/(B61+3)+J72),IF(B61=0,H61/4+J72))))</f>
        <v>23</v>
      </c>
      <c r="K73" s="79"/>
      <c r="L73" s="78"/>
    </row>
    <row r="74" spans="1:14" customFormat="1" ht="15.75" hidden="1" customHeight="1" x14ac:dyDescent="0.35">
      <c r="A74" s="110" t="s">
        <v>214</v>
      </c>
      <c r="B74" s="110"/>
      <c r="C74" s="110" t="s">
        <v>233</v>
      </c>
      <c r="D74" s="110"/>
      <c r="E74" s="110"/>
      <c r="F74" s="110"/>
      <c r="G74" s="110"/>
      <c r="H74" s="110"/>
      <c r="I74" s="26" t="str">
        <f ca="1"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completed","0")))))))))))&amp;(IF(C80=(D75+F75+H75),", RCC Slab",IF(C80&gt;0,", RCC upto "&amp;C80&amp;" Slab",""))&amp;(IF(C81=H75,", Brickwork",IF(C81&gt;0,", Brickwork upto "&amp;C81&amp;" Floor",""))&amp;(IF(C82=H75,", Internal Plaster",IF(C82&gt;0,", Internal Plaster upto "&amp;C82&amp;" Floor",""))&amp;(IF(C83=H75,", External Plaster",IF(C83&gt;0,", External Plaster upto "&amp;C83&amp;" Floor",""))&amp;(IF(C84=H75,", Flooring",IF(C84&gt;0,", Flooring upto "&amp;C84&amp;" Floor",""))&amp;(IF(C85=H75,", Painting",IF(C85&gt;0,", Painting upto "&amp;C85&amp;" Floor",""))&amp;(IF(C86&gt;0,", Finishing upto "&amp;C86&amp;" Floor","")&amp;(IF(C80&gt;0.5," Completed",""))))))))))))))</f>
        <v>Excavation work Completed. Plinth work completed, RCC upto 23 Slab, Brickwork upto 20 Floor, Internal Plaster upto 12 Floor, External Plaster upto 6 Floor Completed</v>
      </c>
      <c r="J74" s="27"/>
    </row>
    <row r="75" spans="1:14" customFormat="1" ht="16" hidden="1" thickBot="1" x14ac:dyDescent="0.4">
      <c r="A75" s="100" t="s">
        <v>215</v>
      </c>
      <c r="B75" s="100">
        <v>0</v>
      </c>
      <c r="C75" s="100" t="s">
        <v>106</v>
      </c>
      <c r="D75" s="100">
        <v>1</v>
      </c>
      <c r="E75" s="100" t="s">
        <v>105</v>
      </c>
      <c r="F75" s="100">
        <v>0</v>
      </c>
      <c r="G75" s="100" t="s">
        <v>120</v>
      </c>
      <c r="H75" s="100">
        <f ca="1">--TRIM(RIGHT(SUBSTITUTE(LEFT(C74,_xlfn.AGGREGATE(16,6,FIND({0,1,2,3,4,5,6,7,8,9},C74,ROW(INDIRECT("1:"&amp;LEN(C74)))),1))," ",REPT(" ",LEN(C74))),LEN(C74)))</f>
        <v>23</v>
      </c>
      <c r="I75" s="22"/>
      <c r="J75" s="29"/>
    </row>
    <row r="76" spans="1:14" customFormat="1" ht="32.25" hidden="1" customHeight="1" x14ac:dyDescent="0.35">
      <c r="A76" s="108" t="s">
        <v>131</v>
      </c>
      <c r="B76" s="108"/>
      <c r="C76" s="110" t="str">
        <f ca="1">I74</f>
        <v>Excavation work Completed. Plinth work completed, RCC upto 23 Slab, Brickwork upto 20 Floor, Internal Plaster upto 12 Floor, External Plaster upto 6 Floor Completed</v>
      </c>
      <c r="D76" s="110"/>
      <c r="E76" s="110"/>
      <c r="F76" s="110"/>
      <c r="G76" s="110"/>
      <c r="H76" s="110"/>
      <c r="I76" s="22" t="s">
        <v>152</v>
      </c>
      <c r="J76" s="29"/>
    </row>
    <row r="77" spans="1:14" customFormat="1" ht="16" hidden="1" thickBot="1" x14ac:dyDescent="0.4">
      <c r="A77" s="113" t="s">
        <v>52</v>
      </c>
      <c r="B77" s="113"/>
      <c r="C77" s="97" t="s">
        <v>216</v>
      </c>
      <c r="D77" s="97" t="s">
        <v>124</v>
      </c>
      <c r="E77" s="113" t="s">
        <v>126</v>
      </c>
      <c r="F77" s="113"/>
      <c r="G77" s="113" t="s">
        <v>125</v>
      </c>
      <c r="H77" s="113"/>
      <c r="I77" s="60" t="s">
        <v>217</v>
      </c>
      <c r="J77" s="30">
        <f ca="1">H75*25%</f>
        <v>5.75</v>
      </c>
    </row>
    <row r="78" spans="1:14" customFormat="1" ht="16" hidden="1" thickBot="1" x14ac:dyDescent="0.4">
      <c r="A78" s="113" t="s">
        <v>218</v>
      </c>
      <c r="B78" s="113"/>
      <c r="C78" s="67">
        <v>23</v>
      </c>
      <c r="D78" s="99">
        <f ca="1">((100/H75)*C78)/100</f>
        <v>1</v>
      </c>
      <c r="E78" s="141">
        <f ca="1">(((C79/H75*10)+(40/(D75+F75+H75)*C80)+(7.5/(H75)*C81)+(7.5/(H75)*C82)+(10/H75*C83)+(10/H75*C84)+(5/H75*C85)+(5/H75*C86)+(5/H75*C87))/100)</f>
        <v>0.61376811594202896</v>
      </c>
      <c r="F78" s="141"/>
      <c r="G78" s="141">
        <f ca="1">((((C78/H75)*20)+((C79/H75)*25)+(30/(H75+F75+D75)*C80)+(5/H75*C81)+(5/H75*C82)+(5/H75*C83)+(5/H75*C84)+(0/H75*C85)+(0/H75*C86)+(5/H75*C87))/100)</f>
        <v>0.82010869565217381</v>
      </c>
      <c r="H78" s="141"/>
      <c r="I78" s="60" t="s">
        <v>144</v>
      </c>
      <c r="J78" s="75">
        <f ca="1">H75*50%</f>
        <v>11.5</v>
      </c>
    </row>
    <row r="79" spans="1:14" customFormat="1" ht="16" hidden="1" thickBot="1" x14ac:dyDescent="0.4">
      <c r="A79" s="113" t="s">
        <v>53</v>
      </c>
      <c r="B79" s="113"/>
      <c r="C79" s="68">
        <f ca="1">J87</f>
        <v>23</v>
      </c>
      <c r="D79" s="99">
        <f ca="1">((100/H75)*C79)/100</f>
        <v>1</v>
      </c>
      <c r="E79" s="141"/>
      <c r="F79" s="141"/>
      <c r="G79" s="141"/>
      <c r="H79" s="141"/>
      <c r="I79" s="60" t="s">
        <v>145</v>
      </c>
      <c r="J79" s="75">
        <f ca="1">H75</f>
        <v>23</v>
      </c>
    </row>
    <row r="80" spans="1:14" customFormat="1" ht="16" hidden="1" thickBot="1" x14ac:dyDescent="0.4">
      <c r="A80" s="113" t="s">
        <v>219</v>
      </c>
      <c r="B80" s="113"/>
      <c r="C80" s="68">
        <v>23</v>
      </c>
      <c r="D80" s="99">
        <f ca="1">((100/(D75+F75+H75))*C80)/100</f>
        <v>0.95833333333333348</v>
      </c>
      <c r="E80" s="141"/>
      <c r="F80" s="141"/>
      <c r="G80" s="141"/>
      <c r="H80" s="141"/>
      <c r="I80" s="60" t="s">
        <v>146</v>
      </c>
      <c r="J80" s="76">
        <f ca="1">(IF(B75&gt;1,(H75/(B75+2)),H75/4))</f>
        <v>5.75</v>
      </c>
      <c r="L80" s="77"/>
    </row>
    <row r="81" spans="1:14" customFormat="1" ht="15.75" hidden="1" customHeight="1" x14ac:dyDescent="0.35">
      <c r="A81" s="113" t="s">
        <v>220</v>
      </c>
      <c r="B81" s="113" t="s">
        <v>221</v>
      </c>
      <c r="C81" s="67">
        <v>20</v>
      </c>
      <c r="D81" s="99">
        <f ca="1">((100/H75)*C81)/100</f>
        <v>0.86956521739130432</v>
      </c>
      <c r="E81" s="141"/>
      <c r="F81" s="141"/>
      <c r="G81" s="141"/>
      <c r="H81" s="141"/>
      <c r="I81" s="60" t="s">
        <v>147</v>
      </c>
      <c r="J81" s="76">
        <f ca="1">(IF(B75&gt;1,(H75/(B75+2)+J80),H75/4+J80))</f>
        <v>11.5</v>
      </c>
      <c r="L81" s="77"/>
    </row>
    <row r="82" spans="1:14" customFormat="1" ht="15.75" hidden="1" customHeight="1" x14ac:dyDescent="0.35">
      <c r="A82" s="113" t="s">
        <v>222</v>
      </c>
      <c r="B82" s="113" t="s">
        <v>221</v>
      </c>
      <c r="C82" s="67">
        <v>12</v>
      </c>
      <c r="D82" s="99">
        <f ca="1">((100/H75)*C82)/100</f>
        <v>0.52173913043478259</v>
      </c>
      <c r="E82" s="141"/>
      <c r="F82" s="141"/>
      <c r="G82" s="141"/>
      <c r="H82" s="141"/>
      <c r="I82" s="60" t="s">
        <v>223</v>
      </c>
      <c r="J82" s="76">
        <f>(IF(B75&gt;1,(H75/(B75+2)+J81),0))</f>
        <v>0</v>
      </c>
      <c r="L82" s="78"/>
      <c r="N82" s="77"/>
    </row>
    <row r="83" spans="1:14" customFormat="1" ht="15.75" hidden="1" customHeight="1" x14ac:dyDescent="0.35">
      <c r="A83" s="113" t="s">
        <v>224</v>
      </c>
      <c r="B83" s="113" t="s">
        <v>225</v>
      </c>
      <c r="C83" s="67">
        <v>6</v>
      </c>
      <c r="D83" s="99">
        <f ca="1">((100/(H75))*C83)/100</f>
        <v>0.2608695652173913</v>
      </c>
      <c r="E83" s="141"/>
      <c r="F83" s="141"/>
      <c r="G83" s="141"/>
      <c r="H83" s="141"/>
      <c r="I83" s="60" t="s">
        <v>226</v>
      </c>
      <c r="J83" s="76">
        <f>(IF(B75&gt;2,(H75/(B75+2)+J82),0))</f>
        <v>0</v>
      </c>
      <c r="K83" s="79"/>
      <c r="L83" s="78"/>
    </row>
    <row r="84" spans="1:14" customFormat="1" ht="15.75" hidden="1" customHeight="1" x14ac:dyDescent="0.35">
      <c r="A84" s="113" t="s">
        <v>227</v>
      </c>
      <c r="B84" s="113" t="s">
        <v>227</v>
      </c>
      <c r="C84" s="67">
        <v>0</v>
      </c>
      <c r="D84" s="99">
        <f ca="1">((100/H75)*C84)/100</f>
        <v>0</v>
      </c>
      <c r="E84" s="141"/>
      <c r="F84" s="141"/>
      <c r="G84" s="141"/>
      <c r="H84" s="141"/>
      <c r="I84" s="60" t="s">
        <v>228</v>
      </c>
      <c r="J84" s="80">
        <f>(IF(B75&gt;3,(H75/(B75+2)+J83),0))</f>
        <v>0</v>
      </c>
      <c r="K84" s="79"/>
      <c r="L84" s="78"/>
    </row>
    <row r="85" spans="1:14" customFormat="1" ht="15.75" hidden="1" customHeight="1" x14ac:dyDescent="0.35">
      <c r="A85" s="113" t="s">
        <v>229</v>
      </c>
      <c r="B85" s="113"/>
      <c r="C85" s="67">
        <v>0</v>
      </c>
      <c r="D85" s="99">
        <f ca="1">((100/H75)*C85)/100</f>
        <v>0</v>
      </c>
      <c r="E85" s="141"/>
      <c r="F85" s="141"/>
      <c r="G85" s="141"/>
      <c r="H85" s="141"/>
      <c r="I85" s="60" t="s">
        <v>230</v>
      </c>
      <c r="J85" s="76">
        <f>(IF(B75&gt;4,(H75/(B75+2)+J84),0))</f>
        <v>0</v>
      </c>
      <c r="K85" s="77"/>
      <c r="L85" s="78"/>
    </row>
    <row r="86" spans="1:14" customFormat="1" ht="15.75" hidden="1" customHeight="1" x14ac:dyDescent="0.35">
      <c r="A86" s="113" t="s">
        <v>231</v>
      </c>
      <c r="B86" s="113" t="s">
        <v>231</v>
      </c>
      <c r="C86" s="67">
        <v>0</v>
      </c>
      <c r="D86" s="99">
        <f ca="1">((100/(H75))*C86)/100</f>
        <v>0</v>
      </c>
      <c r="E86" s="141"/>
      <c r="F86" s="141"/>
      <c r="G86" s="141"/>
      <c r="H86" s="141"/>
      <c r="I86" s="60" t="s">
        <v>148</v>
      </c>
      <c r="J86" s="76">
        <f ca="1">(IF(B75=1,(H75/(B75+3)+J81),IF(B75=0,(H75/4+J81),IF(B75&gt;1,0))))</f>
        <v>17.25</v>
      </c>
      <c r="K86" s="79"/>
      <c r="L86" s="78"/>
    </row>
    <row r="87" spans="1:14" customFormat="1" ht="16" hidden="1" thickBot="1" x14ac:dyDescent="0.4">
      <c r="A87" s="113" t="s">
        <v>232</v>
      </c>
      <c r="B87" s="113"/>
      <c r="C87" s="67">
        <v>0</v>
      </c>
      <c r="D87" s="99">
        <f ca="1">((100/(H75))*C87)/100</f>
        <v>0</v>
      </c>
      <c r="E87" s="141"/>
      <c r="F87" s="141"/>
      <c r="G87" s="141"/>
      <c r="H87" s="141"/>
      <c r="I87" s="81" t="s">
        <v>149</v>
      </c>
      <c r="J87" s="82">
        <f ca="1">(IF(B75&gt;1.5,(H75/(B75+2)+J81+MAX(0,J82-J81)+MAX(0,J83-J82)+MAX(0,J84-J83)+MAX(0,J85-J84)+MAX(0,J86-J85)),IF(B75=1,(H75/(B75+3)+J86),IF(B75=0,H75/4+J86))))</f>
        <v>23</v>
      </c>
      <c r="K87" s="79"/>
      <c r="L87" s="78"/>
    </row>
    <row r="88" spans="1:14" customFormat="1" ht="15.75" hidden="1" customHeight="1" x14ac:dyDescent="0.35">
      <c r="A88" s="144" t="s">
        <v>126</v>
      </c>
      <c r="B88" s="144"/>
      <c r="C88" s="146">
        <v>1</v>
      </c>
      <c r="D88" s="144"/>
      <c r="E88" s="145" t="s">
        <v>125</v>
      </c>
      <c r="F88" s="145"/>
      <c r="G88" s="145">
        <v>1</v>
      </c>
      <c r="H88" s="145"/>
      <c r="I88" s="93"/>
      <c r="J88" s="76"/>
      <c r="K88" s="79"/>
      <c r="L88" s="78"/>
    </row>
    <row r="89" spans="1:14" customFormat="1" ht="16.5" hidden="1" customHeight="1" thickBot="1" x14ac:dyDescent="0.4">
      <c r="A89" s="144"/>
      <c r="B89" s="144"/>
      <c r="C89" s="144"/>
      <c r="D89" s="144"/>
      <c r="E89" s="145"/>
      <c r="F89" s="145"/>
      <c r="G89" s="145"/>
      <c r="H89" s="145"/>
      <c r="I89" s="93"/>
      <c r="J89" s="76"/>
      <c r="K89" s="79"/>
      <c r="L89" s="78"/>
    </row>
    <row r="90" spans="1:14" customFormat="1" ht="15.75" customHeight="1" x14ac:dyDescent="0.35">
      <c r="A90" s="110" t="s">
        <v>214</v>
      </c>
      <c r="B90" s="110"/>
      <c r="C90" s="110" t="str">
        <f>D55</f>
        <v>Sale Building No.2 = C Wing = Gr + 1st to 40th Floor</v>
      </c>
      <c r="D90" s="110"/>
      <c r="E90" s="110"/>
      <c r="F90" s="110"/>
      <c r="G90" s="110"/>
      <c r="H90" s="110"/>
      <c r="I90" s="26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Slab, Brickwork, Internal Plaster, External Plaster, Flooring upto 36 Floor, Painting upto 35 Floor Completed</v>
      </c>
      <c r="J90" s="27"/>
    </row>
    <row r="91" spans="1:14" customFormat="1" x14ac:dyDescent="0.35">
      <c r="A91" s="100" t="s">
        <v>215</v>
      </c>
      <c r="B91" s="100">
        <v>0</v>
      </c>
      <c r="C91" s="100" t="s">
        <v>106</v>
      </c>
      <c r="D91" s="100">
        <v>1</v>
      </c>
      <c r="E91" s="100" t="s">
        <v>105</v>
      </c>
      <c r="F91" s="100">
        <v>0</v>
      </c>
      <c r="G91" s="100" t="s">
        <v>120</v>
      </c>
      <c r="H91" s="100">
        <f ca="1">--TRIM(RIGHT(SUBSTITUTE(LEFT(C90,_xlfn.AGGREGATE(16,6,FIND({0,1,2,3,4,5,6,7,8,9},C90,ROW(INDIRECT("1:"&amp;LEN(C90)))),1))," ",REPT(" ",LEN(C90))),LEN(C90)))</f>
        <v>40</v>
      </c>
      <c r="I91" s="22"/>
      <c r="J91" s="29"/>
    </row>
    <row r="92" spans="1:14" customFormat="1" ht="48" customHeight="1" x14ac:dyDescent="0.35">
      <c r="A92" s="108" t="s">
        <v>131</v>
      </c>
      <c r="B92" s="108"/>
      <c r="C92" s="110" t="str">
        <f ca="1">I90</f>
        <v>Excavation work Completed. Plinth work completed, RCC Slab, Brickwork, Internal Plaster, External Plaster, Flooring upto 36 Floor, Painting upto 35 Floor Completed</v>
      </c>
      <c r="D92" s="110"/>
      <c r="E92" s="110"/>
      <c r="F92" s="110"/>
      <c r="G92" s="110"/>
      <c r="H92" s="110"/>
      <c r="I92" s="22" t="s">
        <v>152</v>
      </c>
      <c r="J92" s="29"/>
    </row>
    <row r="93" spans="1:14" customFormat="1" x14ac:dyDescent="0.35">
      <c r="A93" s="112" t="s">
        <v>52</v>
      </c>
      <c r="B93" s="113"/>
      <c r="C93" s="66" t="s">
        <v>216</v>
      </c>
      <c r="D93" s="66" t="s">
        <v>124</v>
      </c>
      <c r="E93" s="113" t="s">
        <v>126</v>
      </c>
      <c r="F93" s="113"/>
      <c r="G93" s="113" t="s">
        <v>125</v>
      </c>
      <c r="H93" s="140"/>
      <c r="I93" s="60" t="s">
        <v>217</v>
      </c>
      <c r="J93" s="30">
        <f ca="1">H91*25%</f>
        <v>10</v>
      </c>
    </row>
    <row r="94" spans="1:14" customFormat="1" x14ac:dyDescent="0.35">
      <c r="A94" s="112" t="s">
        <v>218</v>
      </c>
      <c r="B94" s="113"/>
      <c r="C94" s="67">
        <f ca="1">J95</f>
        <v>40</v>
      </c>
      <c r="D94" s="72">
        <f ca="1">((100/H91)*C94)/100</f>
        <v>1</v>
      </c>
      <c r="E94" s="141">
        <f ca="1">(((C95/H91*10)+(40/(D91+F91+H91)*C96)+(7.5/(H91)*C97)+(7.5/(H91)*C98)+(10/H91*C99)+(10/H91*C100)+(5/H91*C101)+(5/H91*C102)+(5/H91*C103))/100)</f>
        <v>0.88375000000000004</v>
      </c>
      <c r="F94" s="141"/>
      <c r="G94" s="141">
        <f ca="1">((((C94/H91)*20)+((C95/H91)*25)+(30/(H91+F91+D91)*C96)+(5/H91*C97)+(5/H91*C98)+(5/H91*C99)+(5/H91*C100)+(0/H91*C101)+(0/H91*C102)+(5/H91*C103))/100)</f>
        <v>0.94499999999999995</v>
      </c>
      <c r="H94" s="165"/>
      <c r="I94" s="60" t="s">
        <v>144</v>
      </c>
      <c r="J94" s="75">
        <f ca="1">H91*50%</f>
        <v>20</v>
      </c>
    </row>
    <row r="95" spans="1:14" customFormat="1" x14ac:dyDescent="0.35">
      <c r="A95" s="112" t="s">
        <v>53</v>
      </c>
      <c r="B95" s="113"/>
      <c r="C95" s="68">
        <v>40</v>
      </c>
      <c r="D95" s="72">
        <f ca="1">((100/H91)*C95)/100</f>
        <v>1</v>
      </c>
      <c r="E95" s="141"/>
      <c r="F95" s="141"/>
      <c r="G95" s="141"/>
      <c r="H95" s="165"/>
      <c r="I95" s="60" t="s">
        <v>145</v>
      </c>
      <c r="J95" s="75">
        <f ca="1">H91</f>
        <v>40</v>
      </c>
    </row>
    <row r="96" spans="1:14" customFormat="1" x14ac:dyDescent="0.35">
      <c r="A96" s="112" t="s">
        <v>219</v>
      </c>
      <c r="B96" s="113"/>
      <c r="C96" s="68">
        <v>41</v>
      </c>
      <c r="D96" s="72">
        <f ca="1">((100/(D91+F91+H91))*C96)/100</f>
        <v>1</v>
      </c>
      <c r="E96" s="141"/>
      <c r="F96" s="141"/>
      <c r="G96" s="141"/>
      <c r="H96" s="165"/>
      <c r="I96" s="60" t="s">
        <v>146</v>
      </c>
      <c r="J96" s="76">
        <f ca="1">(IF(B91&gt;1,(H91/(B91+2)),H91/4))</f>
        <v>10</v>
      </c>
      <c r="K96">
        <f>0.5*41</f>
        <v>20.5</v>
      </c>
      <c r="L96" s="77"/>
    </row>
    <row r="97" spans="1:14" customFormat="1" ht="15.75" customHeight="1" x14ac:dyDescent="0.35">
      <c r="A97" s="112" t="s">
        <v>220</v>
      </c>
      <c r="B97" s="113" t="s">
        <v>221</v>
      </c>
      <c r="C97" s="68">
        <v>40</v>
      </c>
      <c r="D97" s="72">
        <f ca="1">((100/H91)*C97)/100</f>
        <v>1</v>
      </c>
      <c r="E97" s="141"/>
      <c r="F97" s="141"/>
      <c r="G97" s="141"/>
      <c r="H97" s="165"/>
      <c r="I97" s="60" t="s">
        <v>147</v>
      </c>
      <c r="J97" s="76">
        <f ca="1">(IF(B91&gt;1,(H91/(B91+2)+J96),H91/4+J96))</f>
        <v>20</v>
      </c>
      <c r="L97" s="77"/>
    </row>
    <row r="98" spans="1:14" customFormat="1" ht="15.75" customHeight="1" x14ac:dyDescent="0.35">
      <c r="A98" s="112" t="s">
        <v>222</v>
      </c>
      <c r="B98" s="113" t="s">
        <v>221</v>
      </c>
      <c r="C98" s="68">
        <v>40</v>
      </c>
      <c r="D98" s="72">
        <f ca="1">((100/H91)*C98)/100</f>
        <v>1</v>
      </c>
      <c r="E98" s="141"/>
      <c r="F98" s="141"/>
      <c r="G98" s="141"/>
      <c r="H98" s="165"/>
      <c r="I98" s="60" t="s">
        <v>223</v>
      </c>
      <c r="J98" s="76">
        <f>(IF(B91&gt;1,(H91/(B91+2)+J97),0))</f>
        <v>0</v>
      </c>
      <c r="L98" s="78"/>
      <c r="N98" s="77"/>
    </row>
    <row r="99" spans="1:14" customFormat="1" ht="15.75" customHeight="1" x14ac:dyDescent="0.35">
      <c r="A99" s="112" t="s">
        <v>224</v>
      </c>
      <c r="B99" s="113" t="s">
        <v>225</v>
      </c>
      <c r="C99" s="68">
        <v>40</v>
      </c>
      <c r="D99" s="72">
        <f ca="1">((100/(H91))*C99)/100</f>
        <v>1</v>
      </c>
      <c r="E99" s="141"/>
      <c r="F99" s="141"/>
      <c r="G99" s="141"/>
      <c r="H99" s="165"/>
      <c r="I99" s="60" t="s">
        <v>226</v>
      </c>
      <c r="J99" s="76">
        <f>(IF(B91&gt;2,(H91/(B91+2)+J98),0))</f>
        <v>0</v>
      </c>
      <c r="K99" s="79"/>
      <c r="L99" s="78"/>
    </row>
    <row r="100" spans="1:14" customFormat="1" ht="15.75" customHeight="1" x14ac:dyDescent="0.35">
      <c r="A100" s="112" t="s">
        <v>227</v>
      </c>
      <c r="B100" s="113" t="s">
        <v>227</v>
      </c>
      <c r="C100" s="67">
        <v>36</v>
      </c>
      <c r="D100" s="72">
        <f ca="1">((100/H91)*C100)/100</f>
        <v>0.9</v>
      </c>
      <c r="E100" s="141"/>
      <c r="F100" s="141"/>
      <c r="G100" s="141"/>
      <c r="H100" s="165"/>
      <c r="I100" s="60" t="s">
        <v>228</v>
      </c>
      <c r="J100" s="80">
        <f>(IF(B91&gt;3,(H91/(B91+2)+J99),0))</f>
        <v>0</v>
      </c>
      <c r="K100" s="79"/>
      <c r="L100" s="78"/>
    </row>
    <row r="101" spans="1:14" customFormat="1" ht="15.75" customHeight="1" x14ac:dyDescent="0.35">
      <c r="A101" s="112" t="s">
        <v>229</v>
      </c>
      <c r="B101" s="113"/>
      <c r="C101" s="67">
        <v>35</v>
      </c>
      <c r="D101" s="72">
        <f ca="1">((100/H91)*C101)/100</f>
        <v>0.875</v>
      </c>
      <c r="E101" s="141"/>
      <c r="F101" s="141"/>
      <c r="G101" s="141"/>
      <c r="H101" s="165"/>
      <c r="I101" s="60" t="s">
        <v>230</v>
      </c>
      <c r="J101" s="76">
        <f>(IF(B91&gt;4,(H91/(B91+2)+J100),0))</f>
        <v>0</v>
      </c>
      <c r="K101" s="77"/>
      <c r="L101" s="78"/>
    </row>
    <row r="102" spans="1:14" customFormat="1" ht="15.75" customHeight="1" x14ac:dyDescent="0.35">
      <c r="A102" s="112" t="s">
        <v>231</v>
      </c>
      <c r="B102" s="113" t="s">
        <v>231</v>
      </c>
      <c r="C102" s="67">
        <v>0</v>
      </c>
      <c r="D102" s="72">
        <f ca="1">((100/(H91))*C102)/100</f>
        <v>0</v>
      </c>
      <c r="E102" s="141"/>
      <c r="F102" s="141"/>
      <c r="G102" s="141"/>
      <c r="H102" s="165"/>
      <c r="I102" s="60" t="s">
        <v>148</v>
      </c>
      <c r="J102" s="76">
        <f ca="1">(IF(B91=1,(H91/(B91+3)+J97),IF(B91=0,(H91/4+J97),IF(B91&gt;1,0))))</f>
        <v>30</v>
      </c>
      <c r="K102" s="79"/>
      <c r="L102" s="78"/>
    </row>
    <row r="103" spans="1:14" customFormat="1" ht="16" thickBot="1" x14ac:dyDescent="0.4">
      <c r="A103" s="117" t="s">
        <v>232</v>
      </c>
      <c r="B103" s="118"/>
      <c r="C103" s="69">
        <v>0</v>
      </c>
      <c r="D103" s="73">
        <f ca="1">((100/(H91))*C103)/100</f>
        <v>0</v>
      </c>
      <c r="E103" s="164"/>
      <c r="F103" s="164"/>
      <c r="G103" s="164"/>
      <c r="H103" s="166"/>
      <c r="I103" s="81" t="s">
        <v>149</v>
      </c>
      <c r="J103" s="82">
        <f ca="1">(IF(B91&gt;1.5,(H91/(B91+2)+J97+MAX(0,J98-J97)+MAX(0,J99-J98)+MAX(0,J100-J99)+MAX(0,J101-J100)+MAX(0,J102-J101)),IF(B91=1,(H91/(B91+3)+J102),IF(B91=0,H91/4+J102))))</f>
        <v>40</v>
      </c>
      <c r="K103" s="79"/>
      <c r="L103" s="78"/>
    </row>
    <row r="104" spans="1:14" customFormat="1" ht="15.75" hidden="1" customHeight="1" x14ac:dyDescent="0.35">
      <c r="A104" s="142" t="s">
        <v>214</v>
      </c>
      <c r="B104" s="143"/>
      <c r="C104" s="104" t="s">
        <v>278</v>
      </c>
      <c r="D104" s="105"/>
      <c r="E104" s="105"/>
      <c r="F104" s="105"/>
      <c r="G104" s="105"/>
      <c r="H104" s="106"/>
      <c r="I104" s="26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","0")))&amp;(IF(C109=0%,"",IF(C109=J110,"Footing work is process",IF(C109=J111,"Footing work Completed",IF(C109=J112,"1st Basement Completed",IF(C109=J113,"1st &amp; 2nd Basement Completed",IF(C109=J114,"1st to 3rd Basement Completed",IF(C109=J115,"1st to 4th Basement Completed",IF(C109=J116,"Plinth work is process",IF(C109=J117,"Plinth work completed","0")))))))))))&amp;(IF(C110=(D105+F105+H105),", RCC Slab",IF(C110&gt;0,", RCC upto "&amp;C110&amp;" Slab",""))&amp;(IF(C111=H105,", Brickwork",IF(C111&gt;0,", Brickwork upto "&amp;C111&amp;" Floor",""))&amp;(IF(C112=H105,", Internal Plaster",IF(C112&gt;0,", Internal Plaster upto "&amp;C112&amp;" Floor",""))&amp;(IF(C113=H105,", External Plaster",IF(C113&gt;0,", External Plaster upto "&amp;C113&amp;" Floor",""))&amp;(IF(C114=H105,", Flooring",IF(C114&gt;0,", Flooring upto "&amp;C114&amp;" Floor",""))&amp;(IF(C115=H105,", Painting",IF(C115&gt;0,", Painting upto "&amp;C115&amp;" Floor",""))&amp;(IF(C116&gt;0,", Finishing upto "&amp;C116&amp;" Floor","")&amp;(IF(C110&gt;0.5," Completed",""))))))))))))))</f>
        <v>Excavation work Completed. Plinth work completed, RCC Slab, Brickwork, Internal Plaster, External Plaster upto 21 Floor, Flooring upto 18 Floor, Painting upto 16 Floor, Finishing upto 5 Floor Completed</v>
      </c>
      <c r="J104" s="27"/>
    </row>
    <row r="105" spans="1:14" customFormat="1" hidden="1" x14ac:dyDescent="0.35">
      <c r="A105" s="74" t="s">
        <v>215</v>
      </c>
      <c r="B105" s="51">
        <v>0</v>
      </c>
      <c r="C105" s="51" t="s">
        <v>106</v>
      </c>
      <c r="D105" s="51">
        <v>1</v>
      </c>
      <c r="E105" s="51" t="s">
        <v>105</v>
      </c>
      <c r="F105" s="51">
        <v>0</v>
      </c>
      <c r="G105" s="51" t="s">
        <v>120</v>
      </c>
      <c r="H105" s="65">
        <f ca="1">--TRIM(RIGHT(SUBSTITUTE(LEFT(C104,_xlfn.AGGREGATE(16,6,FIND({0,1,2,3,4,5,6,7,8,9},C104,ROW(INDIRECT("1:"&amp;LEN(C104)))),1))," ",REPT(" ",LEN(C104))),LEN(C104)))</f>
        <v>23</v>
      </c>
      <c r="I105" s="22"/>
      <c r="J105" s="29"/>
    </row>
    <row r="106" spans="1:14" customFormat="1" ht="46.5" hidden="1" customHeight="1" x14ac:dyDescent="0.35">
      <c r="A106" s="107" t="s">
        <v>131</v>
      </c>
      <c r="B106" s="108"/>
      <c r="C106" s="110" t="str">
        <f ca="1">I104</f>
        <v>Excavation work Completed. Plinth work completed, RCC Slab, Brickwork, Internal Plaster, External Plaster upto 21 Floor, Flooring upto 18 Floor, Painting upto 16 Floor, Finishing upto 5 Floor Completed</v>
      </c>
      <c r="D106" s="110"/>
      <c r="E106" s="110"/>
      <c r="F106" s="110"/>
      <c r="G106" s="110"/>
      <c r="H106" s="111"/>
      <c r="I106" s="22" t="s">
        <v>152</v>
      </c>
      <c r="J106" s="29"/>
    </row>
    <row r="107" spans="1:14" customFormat="1" hidden="1" x14ac:dyDescent="0.35">
      <c r="A107" s="112" t="s">
        <v>52</v>
      </c>
      <c r="B107" s="113"/>
      <c r="C107" s="66" t="s">
        <v>216</v>
      </c>
      <c r="D107" s="66" t="s">
        <v>124</v>
      </c>
      <c r="E107" s="113" t="s">
        <v>126</v>
      </c>
      <c r="F107" s="113"/>
      <c r="G107" s="113" t="s">
        <v>125</v>
      </c>
      <c r="H107" s="140"/>
      <c r="I107" s="60" t="s">
        <v>217</v>
      </c>
      <c r="J107" s="30">
        <f ca="1">H105*25%</f>
        <v>5.75</v>
      </c>
    </row>
    <row r="108" spans="1:14" customFormat="1" hidden="1" x14ac:dyDescent="0.35">
      <c r="A108" s="112" t="s">
        <v>218</v>
      </c>
      <c r="B108" s="113"/>
      <c r="C108" s="67">
        <f ca="1">J109</f>
        <v>23</v>
      </c>
      <c r="D108" s="72">
        <f ca="1">((100/H105)*C108)/100</f>
        <v>1</v>
      </c>
      <c r="E108" s="141">
        <f ca="1">(((C109/H105*10)+(40/(D105+F105+H105)*C110)+(7.5/(H105)*C111)+(7.5/(H105)*C112)+(10/H105*C113)+(10/H105*C114)+(5/H105*C115)+(5/H105*C116)+(5/H105*C117))/100)</f>
        <v>0.86521739130434772</v>
      </c>
      <c r="F108" s="141"/>
      <c r="G108" s="141">
        <f ca="1">((((C108/H105)*20)+((C109/H105)*25)+(30/(H105+F105+D105)*C110)+(5/H105*C111)+(5/H105*C112)+(5/H105*C113)+(5/H105*C114)+(0/H105*C115)+(0/H105*C116)+(5/H105*C117))/100)</f>
        <v>0.93478260869565222</v>
      </c>
      <c r="H108" s="165"/>
      <c r="I108" s="60" t="s">
        <v>144</v>
      </c>
      <c r="J108" s="75">
        <f ca="1">H105*50%</f>
        <v>11.5</v>
      </c>
    </row>
    <row r="109" spans="1:14" customFormat="1" hidden="1" x14ac:dyDescent="0.35">
      <c r="A109" s="112" t="s">
        <v>53</v>
      </c>
      <c r="B109" s="113"/>
      <c r="C109" s="68">
        <v>23</v>
      </c>
      <c r="D109" s="72">
        <f ca="1">((100/H105)*C109)/100</f>
        <v>1</v>
      </c>
      <c r="E109" s="141"/>
      <c r="F109" s="141"/>
      <c r="G109" s="141"/>
      <c r="H109" s="165"/>
      <c r="I109" s="60" t="s">
        <v>145</v>
      </c>
      <c r="J109" s="75">
        <f ca="1">H105</f>
        <v>23</v>
      </c>
    </row>
    <row r="110" spans="1:14" customFormat="1" hidden="1" x14ac:dyDescent="0.35">
      <c r="A110" s="112" t="s">
        <v>219</v>
      </c>
      <c r="B110" s="113"/>
      <c r="C110" s="68">
        <v>24</v>
      </c>
      <c r="D110" s="72">
        <f ca="1">((100/(D105+F105+H105))*C110)/100</f>
        <v>1</v>
      </c>
      <c r="E110" s="141"/>
      <c r="F110" s="141"/>
      <c r="G110" s="141"/>
      <c r="H110" s="165"/>
      <c r="I110" s="60" t="s">
        <v>146</v>
      </c>
      <c r="J110" s="76">
        <f ca="1">(IF(B105&gt;1,(H105/(B105+2)),H105/4))</f>
        <v>5.75</v>
      </c>
      <c r="L110" s="77"/>
    </row>
    <row r="111" spans="1:14" customFormat="1" ht="15.75" hidden="1" customHeight="1" x14ac:dyDescent="0.35">
      <c r="A111" s="112" t="s">
        <v>220</v>
      </c>
      <c r="B111" s="113" t="s">
        <v>221</v>
      </c>
      <c r="C111" s="67">
        <v>23</v>
      </c>
      <c r="D111" s="72">
        <f ca="1">((100/H105)*C111)/100</f>
        <v>1</v>
      </c>
      <c r="E111" s="141"/>
      <c r="F111" s="141"/>
      <c r="G111" s="141"/>
      <c r="H111" s="165"/>
      <c r="I111" s="60" t="s">
        <v>147</v>
      </c>
      <c r="J111" s="76">
        <f ca="1">(IF(B105&gt;1,(H105/(B105+2)+J110),H105/4+J110))</f>
        <v>11.5</v>
      </c>
      <c r="L111" s="77"/>
    </row>
    <row r="112" spans="1:14" customFormat="1" ht="15.75" hidden="1" customHeight="1" x14ac:dyDescent="0.35">
      <c r="A112" s="112" t="s">
        <v>222</v>
      </c>
      <c r="B112" s="113" t="s">
        <v>221</v>
      </c>
      <c r="C112" s="68">
        <v>23</v>
      </c>
      <c r="D112" s="72">
        <f ca="1">((100/H105)*C112)/100</f>
        <v>1</v>
      </c>
      <c r="E112" s="141"/>
      <c r="F112" s="141"/>
      <c r="G112" s="141"/>
      <c r="H112" s="165"/>
      <c r="I112" s="60" t="s">
        <v>223</v>
      </c>
      <c r="J112" s="76">
        <f>(IF(B105&gt;1,(H105/(B105+2)+J111),0))</f>
        <v>0</v>
      </c>
      <c r="L112" s="78"/>
      <c r="N112" s="77"/>
    </row>
    <row r="113" spans="1:14" customFormat="1" ht="15.75" hidden="1" customHeight="1" x14ac:dyDescent="0.35">
      <c r="A113" s="112" t="s">
        <v>224</v>
      </c>
      <c r="B113" s="113" t="s">
        <v>225</v>
      </c>
      <c r="C113" s="68">
        <v>21</v>
      </c>
      <c r="D113" s="72">
        <f ca="1">((100/(H105))*C113)/100</f>
        <v>0.91304347826086951</v>
      </c>
      <c r="E113" s="141"/>
      <c r="F113" s="141"/>
      <c r="G113" s="141"/>
      <c r="H113" s="165"/>
      <c r="I113" s="60" t="s">
        <v>226</v>
      </c>
      <c r="J113" s="76">
        <f>(IF(B105&gt;2,(H105/(B105+2)+J112),0))</f>
        <v>0</v>
      </c>
      <c r="K113" s="79"/>
      <c r="L113" s="78"/>
    </row>
    <row r="114" spans="1:14" customFormat="1" ht="15.75" hidden="1" customHeight="1" x14ac:dyDescent="0.35">
      <c r="A114" s="112" t="s">
        <v>227</v>
      </c>
      <c r="B114" s="113" t="s">
        <v>227</v>
      </c>
      <c r="C114" s="67">
        <v>18</v>
      </c>
      <c r="D114" s="72">
        <f ca="1">((100/H105)*C114)/100</f>
        <v>0.78260869565217395</v>
      </c>
      <c r="E114" s="141"/>
      <c r="F114" s="141"/>
      <c r="G114" s="141"/>
      <c r="H114" s="165"/>
      <c r="I114" s="60" t="s">
        <v>228</v>
      </c>
      <c r="J114" s="80">
        <f>(IF(B105&gt;3,(H105/(B105+2)+J113),0))</f>
        <v>0</v>
      </c>
      <c r="K114" s="79"/>
      <c r="L114" s="78"/>
    </row>
    <row r="115" spans="1:14" customFormat="1" ht="15.75" hidden="1" customHeight="1" x14ac:dyDescent="0.35">
      <c r="A115" s="112" t="s">
        <v>229</v>
      </c>
      <c r="B115" s="113"/>
      <c r="C115" s="67">
        <v>16</v>
      </c>
      <c r="D115" s="72">
        <f ca="1">((100/H105)*C115)/100</f>
        <v>0.69565217391304346</v>
      </c>
      <c r="E115" s="141"/>
      <c r="F115" s="141"/>
      <c r="G115" s="141"/>
      <c r="H115" s="165"/>
      <c r="I115" s="60" t="s">
        <v>230</v>
      </c>
      <c r="J115" s="76">
        <f>(IF(B105&gt;4,(H105/(B105+2)+J114),0))</f>
        <v>0</v>
      </c>
      <c r="K115" s="77"/>
      <c r="L115" s="78"/>
    </row>
    <row r="116" spans="1:14" customFormat="1" ht="15.75" hidden="1" customHeight="1" x14ac:dyDescent="0.35">
      <c r="A116" s="112" t="s">
        <v>231</v>
      </c>
      <c r="B116" s="113" t="s">
        <v>231</v>
      </c>
      <c r="C116" s="67">
        <v>5</v>
      </c>
      <c r="D116" s="72">
        <f ca="1">((100/(H105))*C116)/100</f>
        <v>0.21739130434782608</v>
      </c>
      <c r="E116" s="141"/>
      <c r="F116" s="141"/>
      <c r="G116" s="141"/>
      <c r="H116" s="165"/>
      <c r="I116" s="60" t="s">
        <v>148</v>
      </c>
      <c r="J116" s="76">
        <f ca="1">(IF(B105=1,(H105/(B105+3)+J111),IF(B105=0,(H105/4+J111),IF(B105&gt;1,0))))</f>
        <v>17.25</v>
      </c>
      <c r="K116" s="79"/>
      <c r="L116" s="78"/>
    </row>
    <row r="117" spans="1:14" customFormat="1" ht="16" hidden="1" thickBot="1" x14ac:dyDescent="0.4">
      <c r="A117" s="117" t="s">
        <v>232</v>
      </c>
      <c r="B117" s="118"/>
      <c r="C117" s="69">
        <v>0</v>
      </c>
      <c r="D117" s="73">
        <f ca="1">((100/(H105))*C117)/100</f>
        <v>0</v>
      </c>
      <c r="E117" s="164"/>
      <c r="F117" s="164"/>
      <c r="G117" s="164"/>
      <c r="H117" s="166"/>
      <c r="I117" s="81" t="s">
        <v>149</v>
      </c>
      <c r="J117" s="82">
        <f ca="1">(IF(B105&gt;1.5,(H105/(B105+2)+J111+MAX(0,J112-J111)+MAX(0,J113-J112)+MAX(0,J114-J113)+MAX(0,J115-J114)+MAX(0,J116-J115)),IF(B105=1,(H105/(B105+3)+J116),IF(B105=0,H105/4+J116))))</f>
        <v>23</v>
      </c>
      <c r="K117" s="79"/>
      <c r="L117" s="78"/>
    </row>
    <row r="118" spans="1:14" customFormat="1" ht="15.75" hidden="1" customHeight="1" x14ac:dyDescent="0.35">
      <c r="A118" s="142" t="s">
        <v>214</v>
      </c>
      <c r="B118" s="143"/>
      <c r="C118" s="104" t="s">
        <v>264</v>
      </c>
      <c r="D118" s="105"/>
      <c r="E118" s="105"/>
      <c r="F118" s="105"/>
      <c r="G118" s="105"/>
      <c r="H118" s="106"/>
      <c r="I118" s="26" t="str">
        <f ca="1">(IF(E122&gt;99%,"All work completed. Please provide OC.",IF(E122&gt;89.8%,"Plinth, RCC, Brick, Plaster, Flooring, Painting work Completed. Finishing work is in process.",IF(E122&lt;94%,(IF(C122=0,"Work not yet Started.",IF(D122=25%,"Piling work in process",IF(D122=50%,"Excavation work in process",IF(D122=100%,"Excavation work Completed. ","0")))&amp;(IF(C123=0%,"",IF(C123=J124,"Footing work is process",IF(C123=J125,"Footing work Completed",IF(C123=J126,"1st Basement Completed",IF(C123=J127,"1st &amp; 2nd Basement Completed",IF(C123=J128,"1st to 3rd Basement Completed",IF(C123=J129,"1st to 4th Basement Completed",IF(C123=J130,"Plinth work is process",IF(C123=J131,"Plinth work completed","0")))))))))))&amp;(IF(C124=(D119+F119+H119),", RCC Slab",IF(C124&gt;0,", RCC upto "&amp;C124&amp;" Slab",""))&amp;(IF(C125=H119,", Brickwork",IF(C125&gt;0,", Brickwork upto "&amp;C125&amp;" Floor",""))&amp;(IF(C126=H119,", Internal Plaster",IF(C126&gt;0,", Internal Plaster upto "&amp;C126&amp;" Floor",""))&amp;(IF(C127=H119,", External Plaster",IF(C127&gt;0,", External Plaster upto "&amp;C127&amp;" Floor",""))&amp;(IF(C128=H119,", Flooring",IF(C128&gt;0,", Flooring upto "&amp;C128&amp;" Floor",""))&amp;(IF(C129=H119,", Painting",IF(C129&gt;0,", Painting upto "&amp;C129&amp;" Floor",""))&amp;(IF(C130&gt;0,", Finishing upto "&amp;C130&amp;" Floor","")&amp;(IF(C124&gt;0.5," Completed",""))))))))))))))</f>
        <v>Excavation work Completed. Plinth work completed, RCC upto 19 Slab, Brickwork upto 15 Floor, Internal Plaster upto 5 Floor Completed</v>
      </c>
      <c r="J118" s="27"/>
    </row>
    <row r="119" spans="1:14" customFormat="1" hidden="1" x14ac:dyDescent="0.35">
      <c r="A119" s="74" t="s">
        <v>215</v>
      </c>
      <c r="B119" s="51">
        <v>0</v>
      </c>
      <c r="C119" s="51" t="s">
        <v>106</v>
      </c>
      <c r="D119" s="51">
        <v>1</v>
      </c>
      <c r="E119" s="51" t="s">
        <v>105</v>
      </c>
      <c r="F119" s="51">
        <v>0</v>
      </c>
      <c r="G119" s="51" t="s">
        <v>120</v>
      </c>
      <c r="H119" s="65">
        <f ca="1">--TRIM(RIGHT(SUBSTITUTE(LEFT(C118,_xlfn.AGGREGATE(16,6,FIND({0,1,2,3,4,5,6,7,8,9},C118,ROW(INDIRECT("1:"&amp;LEN(C118)))),1))," ",REPT(" ",LEN(C118))),LEN(C118)))</f>
        <v>23</v>
      </c>
      <c r="I119" s="22"/>
      <c r="J119" s="29"/>
    </row>
    <row r="120" spans="1:14" customFormat="1" hidden="1" x14ac:dyDescent="0.35">
      <c r="A120" s="107" t="s">
        <v>131</v>
      </c>
      <c r="B120" s="108"/>
      <c r="C120" s="110" t="str">
        <f ca="1">I118</f>
        <v>Excavation work Completed. Plinth work completed, RCC upto 19 Slab, Brickwork upto 15 Floor, Internal Plaster upto 5 Floor Completed</v>
      </c>
      <c r="D120" s="110"/>
      <c r="E120" s="110"/>
      <c r="F120" s="110"/>
      <c r="G120" s="110"/>
      <c r="H120" s="111"/>
      <c r="I120" s="22" t="s">
        <v>152</v>
      </c>
      <c r="J120" s="29"/>
    </row>
    <row r="121" spans="1:14" customFormat="1" hidden="1" x14ac:dyDescent="0.35">
      <c r="A121" s="112" t="s">
        <v>52</v>
      </c>
      <c r="B121" s="113"/>
      <c r="C121" s="66" t="s">
        <v>216</v>
      </c>
      <c r="D121" s="66" t="s">
        <v>124</v>
      </c>
      <c r="E121" s="113" t="s">
        <v>126</v>
      </c>
      <c r="F121" s="113"/>
      <c r="G121" s="113" t="s">
        <v>125</v>
      </c>
      <c r="H121" s="140"/>
      <c r="I121" s="60" t="s">
        <v>217</v>
      </c>
      <c r="J121" s="30">
        <f ca="1">H119*25%</f>
        <v>5.75</v>
      </c>
    </row>
    <row r="122" spans="1:14" customFormat="1" hidden="1" x14ac:dyDescent="0.35">
      <c r="A122" s="112" t="s">
        <v>218</v>
      </c>
      <c r="B122" s="113"/>
      <c r="C122" s="67">
        <f ca="1">J123</f>
        <v>23</v>
      </c>
      <c r="D122" s="72">
        <f ca="1">((100/H119)*C122)/100</f>
        <v>1</v>
      </c>
      <c r="E122" s="141">
        <f ca="1">(((C123/H119*10)+(40/(D119+F119+H119)*C124)+(7.5/(H119)*C125)+(7.5/(H119)*C126)+(10/H119*C127)+(10/H119*C128)+(5/H119*C129)+(5/H119*C130)+(5/H119*C131))/100)</f>
        <v>0.48188405797101452</v>
      </c>
      <c r="F122" s="141"/>
      <c r="G122" s="141">
        <f ca="1">((((C122/H119)*20)+((C123/H119)*25)+(30/(H119+F119+D119)*C124)+(5/H119*C125)+(5/H119*C126)+(5/H119*C127)+(5/H119*C128)+(0/H119*C129)+(0/H119*C130)+(5/H119*C131))/100)</f>
        <v>0.73097826086956519</v>
      </c>
      <c r="H122" s="165"/>
      <c r="I122" s="60" t="s">
        <v>144</v>
      </c>
      <c r="J122" s="75">
        <f ca="1">H119*50%</f>
        <v>11.5</v>
      </c>
    </row>
    <row r="123" spans="1:14" customFormat="1" hidden="1" x14ac:dyDescent="0.35">
      <c r="A123" s="112" t="s">
        <v>53</v>
      </c>
      <c r="B123" s="113"/>
      <c r="C123" s="68">
        <v>23</v>
      </c>
      <c r="D123" s="72">
        <f ca="1">((100/H119)*C123)/100</f>
        <v>1</v>
      </c>
      <c r="E123" s="141"/>
      <c r="F123" s="141"/>
      <c r="G123" s="141"/>
      <c r="H123" s="165"/>
      <c r="I123" s="60" t="s">
        <v>145</v>
      </c>
      <c r="J123" s="75">
        <f ca="1">H119</f>
        <v>23</v>
      </c>
    </row>
    <row r="124" spans="1:14" customFormat="1" hidden="1" x14ac:dyDescent="0.35">
      <c r="A124" s="112" t="s">
        <v>219</v>
      </c>
      <c r="B124" s="113"/>
      <c r="C124" s="68">
        <v>19</v>
      </c>
      <c r="D124" s="72">
        <f ca="1">((100/(D119+F119+H119))*C124)/100</f>
        <v>0.79166666666666674</v>
      </c>
      <c r="E124" s="141"/>
      <c r="F124" s="141"/>
      <c r="G124" s="141"/>
      <c r="H124" s="165"/>
      <c r="I124" s="60" t="s">
        <v>146</v>
      </c>
      <c r="J124" s="76">
        <f ca="1">(IF(B119&gt;1,(H119/(B119+2)),H119/4))</f>
        <v>5.75</v>
      </c>
      <c r="L124" s="77"/>
    </row>
    <row r="125" spans="1:14" customFormat="1" ht="15.75" hidden="1" customHeight="1" x14ac:dyDescent="0.35">
      <c r="A125" s="112" t="s">
        <v>220</v>
      </c>
      <c r="B125" s="113" t="s">
        <v>221</v>
      </c>
      <c r="C125" s="67">
        <v>15</v>
      </c>
      <c r="D125" s="72">
        <f ca="1">((100/H119)*C125)/100</f>
        <v>0.65217391304347827</v>
      </c>
      <c r="E125" s="141"/>
      <c r="F125" s="141"/>
      <c r="G125" s="141"/>
      <c r="H125" s="165"/>
      <c r="I125" s="60" t="s">
        <v>147</v>
      </c>
      <c r="J125" s="76">
        <f ca="1">(IF(B119&gt;1,(H119/(B119+2)+J124),H119/4+J124))</f>
        <v>11.5</v>
      </c>
      <c r="L125" s="77"/>
    </row>
    <row r="126" spans="1:14" customFormat="1" ht="15.75" hidden="1" customHeight="1" x14ac:dyDescent="0.35">
      <c r="A126" s="112" t="s">
        <v>222</v>
      </c>
      <c r="B126" s="113" t="s">
        <v>221</v>
      </c>
      <c r="C126" s="67">
        <v>5</v>
      </c>
      <c r="D126" s="72">
        <f ca="1">((100/H119)*C126)/100</f>
        <v>0.21739130434782608</v>
      </c>
      <c r="E126" s="141"/>
      <c r="F126" s="141"/>
      <c r="G126" s="141"/>
      <c r="H126" s="165"/>
      <c r="I126" s="60" t="s">
        <v>223</v>
      </c>
      <c r="J126" s="76">
        <f>(IF(B119&gt;1,(H119/(B119+2)+J125),0))</f>
        <v>0</v>
      </c>
      <c r="L126" s="78"/>
      <c r="N126" s="77"/>
    </row>
    <row r="127" spans="1:14" customFormat="1" ht="15.75" hidden="1" customHeight="1" x14ac:dyDescent="0.35">
      <c r="A127" s="112" t="s">
        <v>224</v>
      </c>
      <c r="B127" s="113" t="s">
        <v>225</v>
      </c>
      <c r="C127" s="67">
        <v>0</v>
      </c>
      <c r="D127" s="72">
        <f ca="1">((100/(H119))*C127)/100</f>
        <v>0</v>
      </c>
      <c r="E127" s="141"/>
      <c r="F127" s="141"/>
      <c r="G127" s="141"/>
      <c r="H127" s="165"/>
      <c r="I127" s="60" t="s">
        <v>226</v>
      </c>
      <c r="J127" s="76">
        <f>(IF(B119&gt;2,(H119/(B119+2)+J126),0))</f>
        <v>0</v>
      </c>
      <c r="K127" s="79"/>
      <c r="L127" s="78"/>
    </row>
    <row r="128" spans="1:14" customFormat="1" ht="15.75" hidden="1" customHeight="1" x14ac:dyDescent="0.35">
      <c r="A128" s="112" t="s">
        <v>227</v>
      </c>
      <c r="B128" s="113" t="s">
        <v>227</v>
      </c>
      <c r="C128" s="67">
        <v>0</v>
      </c>
      <c r="D128" s="72">
        <f ca="1">((100/H119)*C128)/100</f>
        <v>0</v>
      </c>
      <c r="E128" s="141"/>
      <c r="F128" s="141"/>
      <c r="G128" s="141"/>
      <c r="H128" s="165"/>
      <c r="I128" s="60" t="s">
        <v>228</v>
      </c>
      <c r="J128" s="80">
        <f>(IF(B119&gt;3,(H119/(B119+2)+J127),0))</f>
        <v>0</v>
      </c>
      <c r="K128" s="79"/>
      <c r="L128" s="78"/>
    </row>
    <row r="129" spans="1:20" customFormat="1" ht="15.75" hidden="1" customHeight="1" x14ac:dyDescent="0.35">
      <c r="A129" s="112" t="s">
        <v>229</v>
      </c>
      <c r="B129" s="113"/>
      <c r="C129" s="67">
        <v>0</v>
      </c>
      <c r="D129" s="72">
        <f ca="1">((100/H119)*C129)/100</f>
        <v>0</v>
      </c>
      <c r="E129" s="141"/>
      <c r="F129" s="141"/>
      <c r="G129" s="141"/>
      <c r="H129" s="165"/>
      <c r="I129" s="60" t="s">
        <v>230</v>
      </c>
      <c r="J129" s="76">
        <f>(IF(B119&gt;4,(H119/(B119+2)+J128),0))</f>
        <v>0</v>
      </c>
      <c r="K129" s="77"/>
      <c r="L129" s="78"/>
    </row>
    <row r="130" spans="1:20" customFormat="1" ht="15.75" hidden="1" customHeight="1" x14ac:dyDescent="0.35">
      <c r="A130" s="112" t="s">
        <v>231</v>
      </c>
      <c r="B130" s="113" t="s">
        <v>231</v>
      </c>
      <c r="C130" s="67">
        <v>0</v>
      </c>
      <c r="D130" s="72">
        <f ca="1">((100/(H119))*C130)/100</f>
        <v>0</v>
      </c>
      <c r="E130" s="141"/>
      <c r="F130" s="141"/>
      <c r="G130" s="141"/>
      <c r="H130" s="165"/>
      <c r="I130" s="60" t="s">
        <v>148</v>
      </c>
      <c r="J130" s="76">
        <f ca="1">(IF(B119=1,(H119/(B119+3)+J125),IF(B119=0,(H119/4+J125),IF(B119&gt;1,0))))</f>
        <v>17.25</v>
      </c>
      <c r="K130" s="79"/>
      <c r="L130" s="78"/>
    </row>
    <row r="131" spans="1:20" customFormat="1" ht="16" hidden="1" thickBot="1" x14ac:dyDescent="0.4">
      <c r="A131" s="117" t="s">
        <v>232</v>
      </c>
      <c r="B131" s="118"/>
      <c r="C131" s="69">
        <v>0</v>
      </c>
      <c r="D131" s="73">
        <f ca="1">((100/(H119))*C131)/100</f>
        <v>0</v>
      </c>
      <c r="E131" s="164"/>
      <c r="F131" s="164"/>
      <c r="G131" s="164"/>
      <c r="H131" s="166"/>
      <c r="I131" s="81" t="s">
        <v>149</v>
      </c>
      <c r="J131" s="82">
        <f ca="1">(IF(B119&gt;1.5,(H119/(B119+2)+J125+MAX(0,J126-J125)+MAX(0,J127-J126)+MAX(0,J128-J127)+MAX(0,J129-J128)+MAX(0,J130-J129)),IF(B119=1,(H119/(B119+3)+J130),IF(B119=0,H119/4+J130))))</f>
        <v>23</v>
      </c>
      <c r="K131" s="79"/>
      <c r="L131" s="78"/>
    </row>
    <row r="132" spans="1:20" x14ac:dyDescent="0.35">
      <c r="A132" s="196" t="s">
        <v>166</v>
      </c>
      <c r="B132" s="197"/>
      <c r="C132" s="197"/>
      <c r="D132" s="197"/>
      <c r="E132" s="198"/>
      <c r="F132" s="196" t="str">
        <f ca="1">(IF(E64="100%","Yes",IF(E64&gt;0%,"Under Construction",IF(E64=0%,"Work not yet Started"))))</f>
        <v>Under Construction</v>
      </c>
      <c r="G132" s="197"/>
      <c r="H132" s="198"/>
    </row>
    <row r="133" spans="1:20" x14ac:dyDescent="0.35">
      <c r="A133" s="170" t="s">
        <v>59</v>
      </c>
      <c r="B133" s="170"/>
      <c r="C133" s="170"/>
      <c r="D133" s="170"/>
      <c r="E133" s="170"/>
      <c r="F133" s="170"/>
      <c r="G133" s="170"/>
      <c r="H133" s="170"/>
    </row>
    <row r="134" spans="1:20" ht="15" customHeight="1" x14ac:dyDescent="0.35">
      <c r="A134" s="108" t="s">
        <v>109</v>
      </c>
      <c r="B134" s="108"/>
      <c r="C134" s="110" t="s">
        <v>110</v>
      </c>
      <c r="D134" s="110"/>
      <c r="E134" s="110"/>
      <c r="F134" s="110"/>
      <c r="G134" s="110"/>
      <c r="H134" s="110"/>
    </row>
    <row r="135" spans="1:20" x14ac:dyDescent="0.35">
      <c r="A135" s="178" t="s">
        <v>60</v>
      </c>
      <c r="B135" s="178"/>
      <c r="C135" s="178"/>
      <c r="D135" s="178"/>
      <c r="E135" s="178"/>
      <c r="F135" s="178"/>
      <c r="G135" s="178"/>
      <c r="H135" s="178"/>
    </row>
    <row r="136" spans="1:20" x14ac:dyDescent="0.35">
      <c r="A136" s="133" t="s">
        <v>111</v>
      </c>
      <c r="B136" s="133"/>
      <c r="C136" s="133"/>
      <c r="D136" s="133"/>
      <c r="E136" s="133"/>
      <c r="F136" s="122">
        <v>14800</v>
      </c>
      <c r="G136" s="122"/>
      <c r="H136" s="122"/>
      <c r="I136" s="87" t="s">
        <v>271</v>
      </c>
      <c r="J136" s="88">
        <v>45065</v>
      </c>
      <c r="K136" s="87" t="s">
        <v>272</v>
      </c>
      <c r="L136" s="87"/>
      <c r="M136" s="87"/>
      <c r="N136" s="87"/>
      <c r="O136" s="87"/>
      <c r="P136" s="87"/>
      <c r="Q136" s="87" t="s">
        <v>273</v>
      </c>
      <c r="T136" s="87"/>
    </row>
    <row r="137" spans="1:20" x14ac:dyDescent="0.35">
      <c r="A137" s="133" t="s">
        <v>118</v>
      </c>
      <c r="B137" s="133"/>
      <c r="C137" s="133"/>
      <c r="D137" s="133"/>
      <c r="E137" s="133"/>
      <c r="F137" s="122">
        <v>25000</v>
      </c>
      <c r="G137" s="122"/>
      <c r="H137" s="122"/>
      <c r="I137" s="89" t="s">
        <v>275</v>
      </c>
      <c r="J137" s="90">
        <v>45152</v>
      </c>
      <c r="K137" s="89" t="s">
        <v>272</v>
      </c>
      <c r="L137" s="89"/>
      <c r="M137" s="89"/>
      <c r="N137" s="89"/>
      <c r="O137" s="89"/>
      <c r="P137" s="89"/>
      <c r="Q137" s="89" t="s">
        <v>276</v>
      </c>
    </row>
    <row r="138" spans="1:20" x14ac:dyDescent="0.35">
      <c r="A138" s="133" t="s">
        <v>119</v>
      </c>
      <c r="B138" s="133"/>
      <c r="C138" s="133"/>
      <c r="D138" s="133"/>
      <c r="E138" s="133"/>
      <c r="F138" s="122">
        <v>22000</v>
      </c>
      <c r="G138" s="122"/>
      <c r="H138" s="122"/>
      <c r="I138" s="8" t="s">
        <v>277</v>
      </c>
      <c r="J138" s="62">
        <v>45166</v>
      </c>
      <c r="K138" s="89" t="s">
        <v>272</v>
      </c>
    </row>
    <row r="139" spans="1:20" s="12" customFormat="1" hidden="1" x14ac:dyDescent="0.3">
      <c r="A139" s="170" t="s">
        <v>136</v>
      </c>
      <c r="B139" s="170"/>
      <c r="C139" s="170"/>
      <c r="D139" s="170"/>
      <c r="E139" s="170"/>
      <c r="F139" s="122" t="s">
        <v>30</v>
      </c>
      <c r="G139" s="122"/>
      <c r="H139" s="122"/>
    </row>
    <row r="140" spans="1:20" s="12" customFormat="1" hidden="1" x14ac:dyDescent="0.3">
      <c r="A140" s="170" t="s">
        <v>137</v>
      </c>
      <c r="B140" s="170"/>
      <c r="C140" s="170"/>
      <c r="D140" s="170"/>
      <c r="E140" s="170"/>
      <c r="F140" s="122" t="s">
        <v>30</v>
      </c>
      <c r="G140" s="122"/>
      <c r="H140" s="122"/>
    </row>
    <row r="141" spans="1:20" s="12" customFormat="1" hidden="1" x14ac:dyDescent="0.3">
      <c r="A141" s="170" t="s">
        <v>138</v>
      </c>
      <c r="B141" s="170"/>
      <c r="C141" s="170"/>
      <c r="D141" s="170"/>
      <c r="E141" s="170"/>
      <c r="F141" s="122" t="s">
        <v>30</v>
      </c>
      <c r="G141" s="122"/>
      <c r="H141" s="122"/>
    </row>
    <row r="142" spans="1:20" s="12" customFormat="1" hidden="1" x14ac:dyDescent="0.3">
      <c r="A142" s="170" t="s">
        <v>139</v>
      </c>
      <c r="B142" s="170"/>
      <c r="C142" s="170"/>
      <c r="D142" s="170"/>
      <c r="E142" s="170"/>
      <c r="F142" s="122" t="s">
        <v>30</v>
      </c>
      <c r="G142" s="122"/>
      <c r="H142" s="122"/>
    </row>
    <row r="143" spans="1:20" s="12" customFormat="1" hidden="1" x14ac:dyDescent="0.3">
      <c r="A143" s="170" t="s">
        <v>140</v>
      </c>
      <c r="B143" s="170"/>
      <c r="C143" s="170"/>
      <c r="D143" s="170"/>
      <c r="E143" s="170"/>
      <c r="F143" s="122" t="s">
        <v>30</v>
      </c>
      <c r="G143" s="122"/>
      <c r="H143" s="122"/>
    </row>
    <row r="144" spans="1:20" s="12" customFormat="1" hidden="1" x14ac:dyDescent="0.3">
      <c r="A144" s="170" t="s">
        <v>141</v>
      </c>
      <c r="B144" s="170"/>
      <c r="C144" s="170"/>
      <c r="D144" s="170"/>
      <c r="E144" s="170"/>
      <c r="F144" s="122" t="s">
        <v>30</v>
      </c>
      <c r="G144" s="122"/>
      <c r="H144" s="122"/>
    </row>
    <row r="145" spans="1:10" s="12" customFormat="1" x14ac:dyDescent="0.3">
      <c r="A145" s="170" t="s">
        <v>142</v>
      </c>
      <c r="B145" s="170"/>
      <c r="C145" s="170"/>
      <c r="D145" s="170"/>
      <c r="E145" s="170"/>
      <c r="F145" s="122">
        <v>354000</v>
      </c>
      <c r="G145" s="122"/>
      <c r="H145" s="122"/>
    </row>
    <row r="146" spans="1:10" s="12" customFormat="1" x14ac:dyDescent="0.3">
      <c r="A146" s="170" t="s">
        <v>143</v>
      </c>
      <c r="B146" s="170"/>
      <c r="C146" s="170"/>
      <c r="D146" s="170"/>
      <c r="E146" s="170"/>
      <c r="F146" s="122">
        <v>200000</v>
      </c>
      <c r="G146" s="122"/>
      <c r="H146" s="122"/>
    </row>
    <row r="147" spans="1:10" s="12" customFormat="1" x14ac:dyDescent="0.3">
      <c r="A147" s="170" t="s">
        <v>263</v>
      </c>
      <c r="B147" s="170"/>
      <c r="C147" s="170"/>
      <c r="D147" s="170"/>
      <c r="E147" s="170"/>
      <c r="F147" s="122">
        <v>200000</v>
      </c>
      <c r="G147" s="122"/>
      <c r="H147" s="122"/>
    </row>
    <row r="148" spans="1:10" x14ac:dyDescent="0.35">
      <c r="A148" s="170" t="s">
        <v>61</v>
      </c>
      <c r="B148" s="170"/>
      <c r="C148" s="170"/>
      <c r="D148" s="170"/>
      <c r="E148" s="170"/>
      <c r="F148" s="122">
        <v>800000</v>
      </c>
      <c r="G148" s="122"/>
      <c r="H148" s="122"/>
    </row>
    <row r="149" spans="1:10" s="9" customFormat="1" x14ac:dyDescent="0.35">
      <c r="A149" s="178" t="s">
        <v>62</v>
      </c>
      <c r="B149" s="178"/>
      <c r="C149" s="178"/>
      <c r="D149" s="178"/>
      <c r="E149" s="178"/>
      <c r="F149" s="122">
        <f>F136*0.8</f>
        <v>11840</v>
      </c>
      <c r="G149" s="122"/>
      <c r="H149" s="122"/>
    </row>
    <row r="150" spans="1:10" s="1" customFormat="1" ht="15.75" customHeight="1" x14ac:dyDescent="0.35">
      <c r="A150" s="201" t="s">
        <v>112</v>
      </c>
      <c r="B150" s="201"/>
      <c r="C150" s="201"/>
      <c r="D150" s="201"/>
      <c r="E150" s="201"/>
      <c r="F150" s="201"/>
      <c r="G150" s="201"/>
      <c r="H150" s="201"/>
    </row>
    <row r="151" spans="1:10" s="1" customFormat="1" ht="15.75" customHeight="1" x14ac:dyDescent="0.35">
      <c r="A151" s="120" t="s">
        <v>63</v>
      </c>
      <c r="B151" s="120"/>
      <c r="C151" s="119" t="s">
        <v>115</v>
      </c>
      <c r="D151" s="119"/>
      <c r="E151" s="121" t="s">
        <v>64</v>
      </c>
      <c r="F151" s="121"/>
      <c r="G151" s="120" t="s">
        <v>65</v>
      </c>
      <c r="H151" s="120"/>
    </row>
    <row r="152" spans="1:10" s="1" customFormat="1" x14ac:dyDescent="0.35">
      <c r="A152" s="127" t="s">
        <v>208</v>
      </c>
      <c r="B152" s="127"/>
      <c r="C152" s="128">
        <f>COUNT(D174:D181)</f>
        <v>8</v>
      </c>
      <c r="D152" s="129"/>
      <c r="E152" s="130">
        <f>SUM(D174:D181)</f>
        <v>1171.0349351999998</v>
      </c>
      <c r="F152" s="131"/>
      <c r="G152" s="130">
        <f>SUM(F174:F181)</f>
        <v>1873.6558963199998</v>
      </c>
      <c r="H152" s="131"/>
    </row>
    <row r="153" spans="1:10" s="1" customFormat="1" ht="15.75" customHeight="1" x14ac:dyDescent="0.35">
      <c r="A153" s="127" t="s">
        <v>212</v>
      </c>
      <c r="B153" s="127"/>
      <c r="C153" s="128">
        <f>COUNT(D183:D184)</f>
        <v>2</v>
      </c>
      <c r="D153" s="129"/>
      <c r="E153" s="130">
        <f>SUM(D183:D184)</f>
        <v>3265.243254</v>
      </c>
      <c r="F153" s="131"/>
      <c r="G153" s="130">
        <f>SUM(F183:F184)</f>
        <v>5224.3892063999992</v>
      </c>
      <c r="H153" s="131"/>
    </row>
    <row r="154" spans="1:10" s="1" customFormat="1" ht="15.75" customHeight="1" x14ac:dyDescent="0.35">
      <c r="A154" s="127" t="s">
        <v>256</v>
      </c>
      <c r="B154" s="127"/>
      <c r="C154" s="128">
        <f>COUNT(D187:D198)</f>
        <v>12</v>
      </c>
      <c r="D154" s="129"/>
      <c r="E154" s="130">
        <f t="shared" ref="E154:G154" si="0">SUM(D187:D198)</f>
        <v>1591.5482051039999</v>
      </c>
      <c r="F154" s="131"/>
      <c r="G154" s="130">
        <f t="shared" si="0"/>
        <v>2546.4771281663998</v>
      </c>
      <c r="H154" s="131"/>
    </row>
    <row r="155" spans="1:10" s="1" customFormat="1" ht="15.75" customHeight="1" x14ac:dyDescent="0.35">
      <c r="A155" s="127" t="s">
        <v>257</v>
      </c>
      <c r="B155" s="127"/>
      <c r="C155" s="128">
        <f>COUNT(D200:D203)</f>
        <v>4</v>
      </c>
      <c r="D155" s="129"/>
      <c r="E155" s="130">
        <f>SUM(D200:D203)</f>
        <v>2340.0966946499998</v>
      </c>
      <c r="F155" s="131"/>
      <c r="G155" s="130">
        <f>SUM(F200:F203)</f>
        <v>3744.15471144</v>
      </c>
      <c r="H155" s="131"/>
    </row>
    <row r="156" spans="1:10" s="1" customFormat="1" ht="15.75" customHeight="1" x14ac:dyDescent="0.35">
      <c r="A156" s="127" t="s">
        <v>238</v>
      </c>
      <c r="B156" s="127"/>
      <c r="C156" s="128">
        <f>COUNT(D206:D210)</f>
        <v>5</v>
      </c>
      <c r="D156" s="129"/>
      <c r="E156" s="130">
        <f>SUM(D206:D210)</f>
        <v>779.73124319999988</v>
      </c>
      <c r="F156" s="131"/>
      <c r="G156" s="130">
        <f>SUM(F206:F210)</f>
        <v>1247.5699891199999</v>
      </c>
      <c r="H156" s="131"/>
    </row>
    <row r="157" spans="1:10" s="1" customFormat="1" ht="15.75" customHeight="1" x14ac:dyDescent="0.35">
      <c r="A157" s="127" t="s">
        <v>239</v>
      </c>
      <c r="B157" s="127"/>
      <c r="C157" s="128">
        <f>COUNT(D215:D219)</f>
        <v>5</v>
      </c>
      <c r="D157" s="129"/>
      <c r="E157" s="130">
        <f>SUM(D215:D219)</f>
        <v>738.20297772000004</v>
      </c>
      <c r="F157" s="131"/>
      <c r="G157" s="130">
        <f>SUM(F215:F219)</f>
        <v>1181.1247643520001</v>
      </c>
      <c r="H157" s="131"/>
    </row>
    <row r="158" spans="1:10" s="1" customFormat="1" ht="15.75" customHeight="1" x14ac:dyDescent="0.35">
      <c r="A158" s="127" t="s">
        <v>242</v>
      </c>
      <c r="B158" s="127"/>
      <c r="C158" s="128">
        <f>COUNT(D212,D221)</f>
        <v>2</v>
      </c>
      <c r="D158" s="129"/>
      <c r="E158" s="130">
        <f>SUM(D212,D221)</f>
        <v>3046.4466551999994</v>
      </c>
      <c r="F158" s="131"/>
      <c r="G158" s="130">
        <f>SUM(F212,F221)</f>
        <v>4874.3146483199998</v>
      </c>
      <c r="H158" s="131"/>
    </row>
    <row r="159" spans="1:10" s="1" customFormat="1" x14ac:dyDescent="0.35">
      <c r="A159" s="201" t="s">
        <v>67</v>
      </c>
      <c r="B159" s="201"/>
      <c r="C159" s="212">
        <f>SUM(C152:D158)</f>
        <v>38</v>
      </c>
      <c r="D159" s="119"/>
      <c r="E159" s="211">
        <f>SUM(E152:F158)</f>
        <v>12932.303965073999</v>
      </c>
      <c r="F159" s="121"/>
      <c r="G159" s="120">
        <f>SUM(G152:H158)</f>
        <v>20691.6863441184</v>
      </c>
      <c r="H159" s="120"/>
      <c r="J159" s="86">
        <f>SUM(G159,G167)</f>
        <v>378016.18592811836</v>
      </c>
    </row>
    <row r="160" spans="1:10" s="1" customFormat="1" x14ac:dyDescent="0.35">
      <c r="A160" s="201" t="s">
        <v>104</v>
      </c>
      <c r="B160" s="201"/>
      <c r="C160" s="201"/>
      <c r="D160" s="201"/>
      <c r="E160" s="201"/>
      <c r="F160" s="201"/>
      <c r="G160" s="201"/>
      <c r="H160" s="201"/>
    </row>
    <row r="161" spans="1:14" s="1" customFormat="1" ht="15.75" customHeight="1" x14ac:dyDescent="0.35">
      <c r="A161" s="120" t="s">
        <v>63</v>
      </c>
      <c r="B161" s="120"/>
      <c r="C161" s="119" t="s">
        <v>115</v>
      </c>
      <c r="D161" s="119"/>
      <c r="E161" s="121" t="s">
        <v>64</v>
      </c>
      <c r="F161" s="121"/>
      <c r="G161" s="120" t="s">
        <v>65</v>
      </c>
      <c r="H161" s="120"/>
    </row>
    <row r="162" spans="1:14" s="1" customFormat="1" x14ac:dyDescent="0.35">
      <c r="A162" s="127" t="s">
        <v>187</v>
      </c>
      <c r="B162" s="127"/>
      <c r="C162" s="129">
        <f>COUNT(D226:D229)*19+COUNT(D231)*2+COUNT(D233:D234)*2+COUNT(D236)+COUNT(D239)</f>
        <v>84</v>
      </c>
      <c r="D162" s="129"/>
      <c r="E162" s="130">
        <f>SUM(D226:D229)*19+SUM(D231)*2+SUM(D233:D234)*2+SUM(D236)+SUM(D239)</f>
        <v>39184.081559999999</v>
      </c>
      <c r="F162" s="130"/>
      <c r="G162" s="130">
        <f>SUM(F226:F229)*19+SUM(F231)*2+SUM(F233:F234)*2+SUM(F236)+SUM(F239)</f>
        <v>62694.530495999999</v>
      </c>
      <c r="H162" s="130"/>
    </row>
    <row r="163" spans="1:14" s="1" customFormat="1" x14ac:dyDescent="0.35">
      <c r="A163" s="127" t="s">
        <v>188</v>
      </c>
      <c r="B163" s="127"/>
      <c r="C163" s="129">
        <f>COUNT(D242:D245)*19+COUNT(D247:D248)*2+COUNT(D250)*2+COUNT(D252)+COUNT(D255)</f>
        <v>84</v>
      </c>
      <c r="D163" s="129"/>
      <c r="E163" s="130">
        <f>SUM(D242:D245)*19+SUM(D247:D248)*2+SUM(D250)+SUM(D252)+SUM(D255)</f>
        <v>32126.7726</v>
      </c>
      <c r="F163" s="130"/>
      <c r="G163" s="130">
        <f>SUM(F242:F245)*19+SUM(F247:F248)*2+SUM(F250)+SUM(F252)+SUM(F255)</f>
        <v>51402.836159999999</v>
      </c>
      <c r="H163" s="130"/>
    </row>
    <row r="164" spans="1:14" s="1" customFormat="1" x14ac:dyDescent="0.35">
      <c r="A164" s="127" t="s">
        <v>247</v>
      </c>
      <c r="B164" s="127"/>
      <c r="C164" s="129">
        <f>COUNT(D258:D261)*33+COUNT(D263:D265)*4+COUNT(D267)+COUNT(D272)+COUNT(D274:D275)</f>
        <v>148</v>
      </c>
      <c r="D164" s="129"/>
      <c r="E164" s="130">
        <f>SUM(D258:D261)*33+SUM(D263:D265)*4+SUM(D267)+SUM(D272)+SUM(D274:D275)</f>
        <v>84867.573959999994</v>
      </c>
      <c r="F164" s="130"/>
      <c r="G164" s="130">
        <f>SUM(F258:F261)*33+SUM(F263:F265)*4+SUM(F267)+SUM(F272)+SUM(F274:F275)</f>
        <v>135788.11833600001</v>
      </c>
      <c r="H164" s="130"/>
    </row>
    <row r="165" spans="1:14" s="1" customFormat="1" x14ac:dyDescent="0.35">
      <c r="A165" s="127" t="s">
        <v>235</v>
      </c>
      <c r="B165" s="127"/>
      <c r="C165" s="129">
        <f>COUNT(D278:D280)*19+COUNT(D282)*2+COUNT(D284)*2+COUNT(D286)</f>
        <v>62</v>
      </c>
      <c r="D165" s="129"/>
      <c r="E165" s="130">
        <f>SUM(D278:D280)*19+SUM(D282)*2+SUM(D284)*2+SUM(D286)</f>
        <v>28000.177919999998</v>
      </c>
      <c r="F165" s="130"/>
      <c r="G165" s="130">
        <f>SUM(F278:F280)*19+SUM(F282)*2+SUM(F284)*2+SUM(F286)</f>
        <v>44800.284671999994</v>
      </c>
      <c r="H165" s="130"/>
    </row>
    <row r="166" spans="1:14" s="1" customFormat="1" x14ac:dyDescent="0.35">
      <c r="A166" s="127" t="s">
        <v>236</v>
      </c>
      <c r="B166" s="127"/>
      <c r="C166" s="129">
        <f>COUNT(D291:D294)*19+COUNT(D296:D297)*2+COUNT(D299)*2+COUNT(D301)+COUNT(D304)</f>
        <v>84</v>
      </c>
      <c r="D166" s="129"/>
      <c r="E166" s="130">
        <f>SUM(D291:D294)*19+SUM(D296:D297)*2+SUM(D299)*2+SUM(D301)+SUM(D304)</f>
        <v>39149.206199999986</v>
      </c>
      <c r="F166" s="130"/>
      <c r="G166" s="130">
        <f>SUM(F291:F294)*19+SUM(F296:F297)*2+SUM(F299)*2+SUM(F301)+SUM(F304)</f>
        <v>62638.729919999983</v>
      </c>
      <c r="H166" s="130"/>
    </row>
    <row r="167" spans="1:14" s="1" customFormat="1" x14ac:dyDescent="0.35">
      <c r="A167" s="201" t="s">
        <v>67</v>
      </c>
      <c r="B167" s="201"/>
      <c r="C167" s="119">
        <f>SUM(C162:D166)</f>
        <v>462</v>
      </c>
      <c r="D167" s="119"/>
      <c r="E167" s="211">
        <f>SUM(E162:F166)</f>
        <v>223327.81223999997</v>
      </c>
      <c r="F167" s="121"/>
      <c r="G167" s="120">
        <f>SUM(G162:H166)</f>
        <v>357324.49958399998</v>
      </c>
      <c r="H167" s="120"/>
    </row>
    <row r="168" spans="1:14" s="9" customFormat="1" x14ac:dyDescent="0.35">
      <c r="A168" s="182" t="s">
        <v>68</v>
      </c>
      <c r="B168" s="182"/>
      <c r="C168" s="182"/>
      <c r="D168" s="182"/>
      <c r="E168" s="182"/>
      <c r="F168" s="182"/>
      <c r="G168" s="182"/>
      <c r="H168" s="182"/>
    </row>
    <row r="169" spans="1:14" x14ac:dyDescent="0.35">
      <c r="A169" s="182" t="s">
        <v>69</v>
      </c>
      <c r="B169" s="182"/>
      <c r="C169" s="182"/>
      <c r="D169" s="182"/>
      <c r="E169" s="182"/>
      <c r="F169" s="190"/>
      <c r="G169" s="182"/>
      <c r="H169" s="182"/>
    </row>
    <row r="170" spans="1:14" ht="47.25" customHeight="1" x14ac:dyDescent="0.35">
      <c r="A170" s="167" t="s">
        <v>170</v>
      </c>
      <c r="B170" s="167" t="s">
        <v>169</v>
      </c>
      <c r="C170" s="167" t="s">
        <v>70</v>
      </c>
      <c r="D170" s="167" t="s">
        <v>71</v>
      </c>
      <c r="E170" s="168" t="s">
        <v>72</v>
      </c>
      <c r="F170" s="85" t="s">
        <v>167</v>
      </c>
      <c r="G170" s="171" t="s">
        <v>73</v>
      </c>
      <c r="H170" s="167"/>
    </row>
    <row r="171" spans="1:14" s="2" customFormat="1" ht="16.5" customHeight="1" x14ac:dyDescent="0.35">
      <c r="A171" s="167"/>
      <c r="B171" s="167"/>
      <c r="C171" s="167"/>
      <c r="D171" s="167"/>
      <c r="E171" s="168"/>
      <c r="F171" s="48">
        <v>0.6</v>
      </c>
      <c r="G171" s="171"/>
      <c r="H171" s="167"/>
    </row>
    <row r="172" spans="1:14" s="2" customFormat="1" x14ac:dyDescent="0.35">
      <c r="A172" s="132" t="s">
        <v>198</v>
      </c>
      <c r="B172" s="132"/>
      <c r="C172" s="132"/>
      <c r="D172" s="132"/>
      <c r="E172" s="132"/>
      <c r="F172" s="172"/>
      <c r="G172" s="132"/>
      <c r="H172" s="132"/>
    </row>
    <row r="173" spans="1:14" s="2" customFormat="1" ht="15.75" customHeight="1" x14ac:dyDescent="0.35">
      <c r="A173" s="132" t="s">
        <v>199</v>
      </c>
      <c r="B173" s="132"/>
      <c r="C173" s="132"/>
      <c r="D173" s="132"/>
      <c r="E173" s="132"/>
      <c r="F173" s="132"/>
      <c r="G173" s="132"/>
      <c r="H173" s="132"/>
    </row>
    <row r="174" spans="1:14" s="2" customFormat="1" ht="15.75" customHeight="1" x14ac:dyDescent="0.35">
      <c r="A174" s="123">
        <v>1</v>
      </c>
      <c r="B174" s="123"/>
      <c r="C174" s="50" t="s">
        <v>200</v>
      </c>
      <c r="D174" s="50">
        <f>2.085*3.58*10.764</f>
        <v>80.34572519999999</v>
      </c>
      <c r="E174" s="50">
        <v>0</v>
      </c>
      <c r="F174" s="50">
        <f>D174*(($F$171)+1)+E174</f>
        <v>128.55316031999999</v>
      </c>
      <c r="G174" s="123" t="str">
        <f>A173</f>
        <v>Ground Floor for Commercial &amp; Parking</v>
      </c>
      <c r="H174" s="123"/>
      <c r="I174" s="49"/>
      <c r="L174" s="147"/>
      <c r="M174" s="147"/>
      <c r="N174" s="49"/>
    </row>
    <row r="175" spans="1:14" s="2" customFormat="1" x14ac:dyDescent="0.35">
      <c r="A175" s="123">
        <v>2</v>
      </c>
      <c r="B175" s="123"/>
      <c r="C175" s="50" t="s">
        <v>200</v>
      </c>
      <c r="D175" s="50">
        <f>4.43*3.75*10.764</f>
        <v>178.81694999999996</v>
      </c>
      <c r="E175" s="50">
        <v>0</v>
      </c>
      <c r="F175" s="50">
        <f>D175*(($F$171)+1)+E175</f>
        <v>286.10711999999995</v>
      </c>
      <c r="G175" s="123"/>
      <c r="H175" s="123"/>
      <c r="I175" s="49"/>
      <c r="L175" s="147"/>
      <c r="M175" s="147"/>
      <c r="N175" s="49"/>
    </row>
    <row r="176" spans="1:14" s="2" customFormat="1" x14ac:dyDescent="0.35">
      <c r="A176" s="123">
        <v>3</v>
      </c>
      <c r="B176" s="123"/>
      <c r="C176" s="50" t="s">
        <v>200</v>
      </c>
      <c r="D176" s="50">
        <f>3.725*3.52*10.764</f>
        <v>141.13756799999999</v>
      </c>
      <c r="E176" s="50">
        <v>0</v>
      </c>
      <c r="F176" s="50">
        <f t="shared" ref="F176" si="1">D176*(($F$171)+1)+E176</f>
        <v>225.82010879999999</v>
      </c>
      <c r="G176" s="123"/>
      <c r="H176" s="123"/>
      <c r="I176" s="49"/>
      <c r="L176" s="147"/>
      <c r="M176" s="147"/>
      <c r="N176" s="49"/>
    </row>
    <row r="177" spans="1:14" s="2" customFormat="1" x14ac:dyDescent="0.35">
      <c r="A177" s="123">
        <v>4</v>
      </c>
      <c r="B177" s="123"/>
      <c r="C177" s="50" t="s">
        <v>200</v>
      </c>
      <c r="D177" s="50">
        <f>(3.01*3.75+5.43*1.9+1.28*1.9)*10.764</f>
        <v>258.72888599999993</v>
      </c>
      <c r="E177" s="50">
        <v>0</v>
      </c>
      <c r="F177" s="50">
        <f t="shared" ref="F177:F178" si="2">D177*(($F$171)+1)+E177</f>
        <v>413.96621759999994</v>
      </c>
      <c r="G177" s="123"/>
      <c r="H177" s="123"/>
      <c r="I177" s="49"/>
      <c r="L177" s="147"/>
      <c r="M177" s="147"/>
      <c r="N177" s="49"/>
    </row>
    <row r="178" spans="1:14" s="2" customFormat="1" x14ac:dyDescent="0.35">
      <c r="A178" s="123">
        <v>5</v>
      </c>
      <c r="B178" s="123"/>
      <c r="C178" s="50" t="s">
        <v>200</v>
      </c>
      <c r="D178" s="50">
        <f>2.945*3.75*10.764</f>
        <v>118.87492499999999</v>
      </c>
      <c r="E178" s="50">
        <v>0</v>
      </c>
      <c r="F178" s="50">
        <f t="shared" si="2"/>
        <v>190.19988000000001</v>
      </c>
      <c r="G178" s="123"/>
      <c r="H178" s="123"/>
      <c r="I178" s="49"/>
      <c r="L178" s="147"/>
      <c r="M178" s="147"/>
      <c r="N178" s="49"/>
    </row>
    <row r="179" spans="1:14" s="2" customFormat="1" x14ac:dyDescent="0.35">
      <c r="A179" s="123">
        <v>6</v>
      </c>
      <c r="B179" s="123"/>
      <c r="C179" s="50" t="s">
        <v>200</v>
      </c>
      <c r="D179" s="50">
        <f>2.97*3.75*10.764</f>
        <v>119.88405</v>
      </c>
      <c r="E179" s="50">
        <v>0</v>
      </c>
      <c r="F179" s="50">
        <f t="shared" ref="F179:F180" si="3">D179*(($F$171)+1)+E179</f>
        <v>191.81448</v>
      </c>
      <c r="G179" s="123"/>
      <c r="H179" s="123"/>
      <c r="I179" s="49"/>
      <c r="L179" s="147"/>
      <c r="M179" s="147"/>
      <c r="N179" s="49"/>
    </row>
    <row r="180" spans="1:14" s="2" customFormat="1" x14ac:dyDescent="0.35">
      <c r="A180" s="123">
        <v>7</v>
      </c>
      <c r="B180" s="123"/>
      <c r="C180" s="50" t="s">
        <v>200</v>
      </c>
      <c r="D180" s="50">
        <f>2.815*3.75*10.764</f>
        <v>113.627475</v>
      </c>
      <c r="E180" s="50">
        <v>0</v>
      </c>
      <c r="F180" s="50">
        <f t="shared" si="3"/>
        <v>181.80396000000002</v>
      </c>
      <c r="G180" s="123"/>
      <c r="H180" s="123"/>
      <c r="I180" s="49"/>
      <c r="L180" s="147"/>
      <c r="M180" s="147"/>
      <c r="N180" s="49"/>
    </row>
    <row r="181" spans="1:14" s="2" customFormat="1" x14ac:dyDescent="0.35">
      <c r="A181" s="123">
        <v>8</v>
      </c>
      <c r="B181" s="123"/>
      <c r="C181" s="50" t="s">
        <v>200</v>
      </c>
      <c r="D181" s="50">
        <f>(2.55*3.75+1.05*0.23+1.25*2.12+1.25*1.9)*10.764</f>
        <v>159.61935600000001</v>
      </c>
      <c r="E181" s="50">
        <v>0</v>
      </c>
      <c r="F181" s="50">
        <f t="shared" ref="F181" si="4">D181*(($F$171)+1)+E181</f>
        <v>255.39096960000003</v>
      </c>
      <c r="G181" s="123"/>
      <c r="H181" s="123"/>
      <c r="I181" s="49"/>
      <c r="L181" s="147"/>
      <c r="M181" s="147"/>
      <c r="N181" s="49"/>
    </row>
    <row r="182" spans="1:14" s="2" customFormat="1" ht="15.75" customHeight="1" x14ac:dyDescent="0.35">
      <c r="A182" s="132" t="s">
        <v>191</v>
      </c>
      <c r="B182" s="132"/>
      <c r="C182" s="132"/>
      <c r="D182" s="132"/>
      <c r="E182" s="132"/>
      <c r="F182" s="132"/>
      <c r="G182" s="132"/>
      <c r="H182" s="132"/>
    </row>
    <row r="183" spans="1:14" s="2" customFormat="1" ht="15.75" customHeight="1" x14ac:dyDescent="0.35">
      <c r="A183" s="123">
        <v>7</v>
      </c>
      <c r="B183" s="123"/>
      <c r="C183" s="50" t="s">
        <v>211</v>
      </c>
      <c r="D183" s="50">
        <f>(11.38*5.28+1.52*0.23+2.45*2.13+4.9*2.66+6.18*1.45+1.78*1.3+8.33*3.05+4.9*2.66+1.52*1.67+2.9*1.23+2.93*1.45+2*1.3+8.33*3.05)*10.764</f>
        <v>1795.0520015999998</v>
      </c>
      <c r="E183" s="50">
        <v>0</v>
      </c>
      <c r="F183" s="50">
        <f>D183*(($F$171)+1)+E183</f>
        <v>2872.0832025599998</v>
      </c>
      <c r="G183" s="123" t="str">
        <f>A182</f>
        <v>1st Floor for Commercial</v>
      </c>
      <c r="H183" s="123"/>
      <c r="I183" s="49"/>
      <c r="L183" s="147"/>
      <c r="M183" s="147"/>
      <c r="N183" s="49"/>
    </row>
    <row r="184" spans="1:14" s="2" customFormat="1" x14ac:dyDescent="0.35">
      <c r="A184" s="123">
        <v>8</v>
      </c>
      <c r="B184" s="123"/>
      <c r="C184" s="50" t="s">
        <v>211</v>
      </c>
      <c r="D184" s="50">
        <f>(13.63*5.28+2.31*0.23+1.2*1.9+5.48*1.9+4.9*2.66+1.52*1.67+2*1.3+2.93*1.45+2.9*1.23+8.33*3.05)*10.764</f>
        <v>1470.1912523999999</v>
      </c>
      <c r="E184" s="50">
        <v>0</v>
      </c>
      <c r="F184" s="50">
        <f>D184*(($F$171)+1)+E184</f>
        <v>2352.3060038399999</v>
      </c>
      <c r="G184" s="123"/>
      <c r="H184" s="123"/>
      <c r="I184" s="49"/>
      <c r="L184" s="147"/>
      <c r="M184" s="147"/>
      <c r="N184" s="49"/>
    </row>
    <row r="185" spans="1:14" s="2" customFormat="1" x14ac:dyDescent="0.35">
      <c r="A185" s="132" t="s">
        <v>247</v>
      </c>
      <c r="B185" s="132"/>
      <c r="C185" s="132"/>
      <c r="D185" s="132"/>
      <c r="E185" s="132"/>
      <c r="F185" s="132"/>
      <c r="G185" s="132"/>
      <c r="H185" s="132"/>
    </row>
    <row r="186" spans="1:14" s="2" customFormat="1" ht="15.75" customHeight="1" x14ac:dyDescent="0.35">
      <c r="A186" s="132" t="s">
        <v>199</v>
      </c>
      <c r="B186" s="132"/>
      <c r="C186" s="132"/>
      <c r="D186" s="132"/>
      <c r="E186" s="132"/>
      <c r="F186" s="132"/>
      <c r="G186" s="132"/>
      <c r="H186" s="132"/>
    </row>
    <row r="187" spans="1:14" s="2" customFormat="1" ht="15.75" customHeight="1" x14ac:dyDescent="0.35">
      <c r="A187" s="123">
        <v>9</v>
      </c>
      <c r="B187" s="123"/>
      <c r="C187" s="50" t="s">
        <v>200</v>
      </c>
      <c r="D187" s="50">
        <f>2.9*2.38*10.764</f>
        <v>74.293127999999982</v>
      </c>
      <c r="E187" s="50">
        <v>0</v>
      </c>
      <c r="F187" s="50">
        <f>D187*(($F$171)+1)+E187</f>
        <v>118.86900479999997</v>
      </c>
      <c r="G187" s="148" t="str">
        <f>A186</f>
        <v>Ground Floor for Commercial &amp; Parking</v>
      </c>
      <c r="H187" s="149"/>
      <c r="I187" s="49"/>
      <c r="L187" s="147"/>
      <c r="M187" s="147"/>
      <c r="N187" s="49"/>
    </row>
    <row r="188" spans="1:14" s="2" customFormat="1" ht="15.75" customHeight="1" x14ac:dyDescent="0.35">
      <c r="A188" s="123">
        <v>10</v>
      </c>
      <c r="B188" s="123"/>
      <c r="C188" s="50" t="s">
        <v>200</v>
      </c>
      <c r="D188" s="50">
        <f>(2.06*2.53+3.06*1.22+1.3*1.22)*10.764</f>
        <v>113.355684</v>
      </c>
      <c r="E188" s="50">
        <v>0</v>
      </c>
      <c r="F188" s="50">
        <f>D188*(($F$171)+1)+E188</f>
        <v>181.36909439999999</v>
      </c>
      <c r="G188" s="150"/>
      <c r="H188" s="151"/>
      <c r="I188" s="49"/>
      <c r="L188" s="147"/>
      <c r="M188" s="147"/>
      <c r="N188" s="49"/>
    </row>
    <row r="189" spans="1:14" s="2" customFormat="1" ht="15.75" customHeight="1" x14ac:dyDescent="0.35">
      <c r="A189" s="123">
        <v>11</v>
      </c>
      <c r="B189" s="123"/>
      <c r="C189" s="50" t="s">
        <v>200</v>
      </c>
      <c r="D189" s="50">
        <f>2.56*3.75*10.764</f>
        <v>103.33439999999999</v>
      </c>
      <c r="E189" s="50">
        <v>0</v>
      </c>
      <c r="F189" s="50">
        <f t="shared" ref="F189:F191" si="5">D189*(($F$171)+1)+E189</f>
        <v>165.33503999999999</v>
      </c>
      <c r="G189" s="150"/>
      <c r="H189" s="151"/>
      <c r="I189" s="49"/>
      <c r="L189" s="147"/>
      <c r="M189" s="147"/>
      <c r="N189" s="49"/>
    </row>
    <row r="190" spans="1:14" s="2" customFormat="1" ht="15.75" customHeight="1" x14ac:dyDescent="0.35">
      <c r="A190" s="123">
        <v>12</v>
      </c>
      <c r="B190" s="123"/>
      <c r="C190" s="50" t="s">
        <v>200</v>
      </c>
      <c r="D190" s="50">
        <f>(4.75*2.45+3.25*1.46+1.3*1.25+1.2*1.3+((1.02+1.15)/2)*0.52)*10.764</f>
        <v>216.69761879999996</v>
      </c>
      <c r="E190" s="50">
        <v>0</v>
      </c>
      <c r="F190" s="50">
        <f t="shared" si="5"/>
        <v>346.71619007999993</v>
      </c>
      <c r="G190" s="150"/>
      <c r="H190" s="151"/>
      <c r="I190" s="49"/>
      <c r="L190" s="147"/>
      <c r="M190" s="147"/>
      <c r="N190" s="49"/>
    </row>
    <row r="191" spans="1:14" s="2" customFormat="1" ht="15.75" customHeight="1" x14ac:dyDescent="0.35">
      <c r="A191" s="123">
        <v>13</v>
      </c>
      <c r="B191" s="123"/>
      <c r="C191" s="50" t="s">
        <v>200</v>
      </c>
      <c r="D191" s="50">
        <f>(2.69*2.95+0.5*1.2*1.02+((1.235+2.1)/2*1.48)+((2.55+2.11)/2*1.66)+((2.75+1.62)/2*0.82))*10.764</f>
        <v>179.48862359999995</v>
      </c>
      <c r="E191" s="50">
        <v>0</v>
      </c>
      <c r="F191" s="50">
        <f t="shared" si="5"/>
        <v>287.18179775999994</v>
      </c>
      <c r="G191" s="150"/>
      <c r="H191" s="151"/>
      <c r="I191" s="49"/>
      <c r="L191" s="147"/>
      <c r="M191" s="147"/>
      <c r="N191" s="49"/>
    </row>
    <row r="192" spans="1:14" s="2" customFormat="1" ht="15.75" customHeight="1" x14ac:dyDescent="0.35">
      <c r="A192" s="123">
        <v>14</v>
      </c>
      <c r="B192" s="123"/>
      <c r="C192" s="50" t="s">
        <v>200</v>
      </c>
      <c r="D192" s="50">
        <f>(2.998*1.41+((2.59*3.09)/2*1.52))*10.764</f>
        <v>110.97184550399999</v>
      </c>
      <c r="E192" s="50">
        <v>0</v>
      </c>
      <c r="F192" s="50">
        <f t="shared" ref="F192:F196" si="6">D192*(($F$171)+1)+E192</f>
        <v>177.5549528064</v>
      </c>
      <c r="G192" s="150"/>
      <c r="H192" s="151"/>
      <c r="I192" s="49"/>
      <c r="L192" s="147"/>
      <c r="M192" s="147"/>
      <c r="N192" s="49"/>
    </row>
    <row r="193" spans="1:14" s="2" customFormat="1" ht="15.75" customHeight="1" x14ac:dyDescent="0.35">
      <c r="A193" s="123">
        <v>15</v>
      </c>
      <c r="B193" s="123"/>
      <c r="C193" s="50" t="s">
        <v>200</v>
      </c>
      <c r="D193" s="50">
        <f>(3.08*2.75+1.8*2.15+1.49*2.48)*10.764</f>
        <v>172.60289279999998</v>
      </c>
      <c r="E193" s="50">
        <v>0</v>
      </c>
      <c r="F193" s="50">
        <f t="shared" si="6"/>
        <v>276.16462847999998</v>
      </c>
      <c r="G193" s="150"/>
      <c r="H193" s="151"/>
      <c r="I193" s="49"/>
      <c r="L193" s="147"/>
      <c r="M193" s="147"/>
      <c r="N193" s="49"/>
    </row>
    <row r="194" spans="1:14" s="2" customFormat="1" ht="15.75" customHeight="1" x14ac:dyDescent="0.35">
      <c r="A194" s="123">
        <v>16</v>
      </c>
      <c r="B194" s="123"/>
      <c r="C194" s="50" t="s">
        <v>200</v>
      </c>
      <c r="D194" s="50">
        <f>4.45*2.56*10.764</f>
        <v>122.62348800000001</v>
      </c>
      <c r="E194" s="50">
        <v>0</v>
      </c>
      <c r="F194" s="50">
        <f t="shared" si="6"/>
        <v>196.19758080000003</v>
      </c>
      <c r="G194" s="150"/>
      <c r="H194" s="151"/>
      <c r="I194" s="49"/>
      <c r="L194" s="147"/>
      <c r="M194" s="147"/>
      <c r="N194" s="49"/>
    </row>
    <row r="195" spans="1:14" s="2" customFormat="1" ht="15.75" customHeight="1" x14ac:dyDescent="0.35">
      <c r="A195" s="123">
        <v>17</v>
      </c>
      <c r="B195" s="123"/>
      <c r="C195" s="50" t="s">
        <v>200</v>
      </c>
      <c r="D195" s="50">
        <f>4.45*2.35*10.764</f>
        <v>112.56453</v>
      </c>
      <c r="E195" s="50">
        <v>0</v>
      </c>
      <c r="F195" s="50">
        <f t="shared" si="6"/>
        <v>180.10324800000001</v>
      </c>
      <c r="G195" s="150"/>
      <c r="H195" s="151"/>
      <c r="I195" s="49"/>
      <c r="L195" s="147"/>
      <c r="M195" s="147"/>
      <c r="N195" s="49"/>
    </row>
    <row r="196" spans="1:14" s="2" customFormat="1" ht="15.75" customHeight="1" x14ac:dyDescent="0.35">
      <c r="A196" s="123">
        <v>18</v>
      </c>
      <c r="B196" s="123"/>
      <c r="C196" s="50" t="s">
        <v>200</v>
      </c>
      <c r="D196" s="50">
        <f>4.48*2.56*10.764</f>
        <v>123.45016320000001</v>
      </c>
      <c r="E196" s="50">
        <v>0</v>
      </c>
      <c r="F196" s="50">
        <f t="shared" si="6"/>
        <v>197.52026112000001</v>
      </c>
      <c r="G196" s="150"/>
      <c r="H196" s="151"/>
      <c r="I196" s="49"/>
      <c r="L196" s="147"/>
      <c r="M196" s="147"/>
      <c r="N196" s="49"/>
    </row>
    <row r="197" spans="1:14" s="2" customFormat="1" ht="15.75" customHeight="1" x14ac:dyDescent="0.35">
      <c r="A197" s="123">
        <v>19</v>
      </c>
      <c r="B197" s="123"/>
      <c r="C197" s="50" t="s">
        <v>200</v>
      </c>
      <c r="D197" s="50">
        <f>4.45*2.55*10.764</f>
        <v>122.14448999999999</v>
      </c>
      <c r="E197" s="50">
        <v>0</v>
      </c>
      <c r="F197" s="50">
        <f t="shared" ref="F197:F198" si="7">D197*(($F$171)+1)+E197</f>
        <v>195.431184</v>
      </c>
      <c r="G197" s="150"/>
      <c r="H197" s="151"/>
      <c r="I197" s="49"/>
      <c r="L197" s="147"/>
      <c r="M197" s="147"/>
      <c r="N197" s="49"/>
    </row>
    <row r="198" spans="1:14" s="2" customFormat="1" ht="15.75" customHeight="1" x14ac:dyDescent="0.35">
      <c r="A198" s="123">
        <v>20</v>
      </c>
      <c r="B198" s="123"/>
      <c r="C198" s="50" t="s">
        <v>200</v>
      </c>
      <c r="D198" s="50">
        <f>(3.36*3.03+1.35*1.01+1.22*1.2)*10.764</f>
        <v>140.02134119999999</v>
      </c>
      <c r="E198" s="50">
        <v>0</v>
      </c>
      <c r="F198" s="50">
        <f t="shared" si="7"/>
        <v>224.03414592000001</v>
      </c>
      <c r="G198" s="152"/>
      <c r="H198" s="153"/>
      <c r="I198" s="49"/>
      <c r="L198" s="147"/>
      <c r="M198" s="147"/>
      <c r="N198" s="49"/>
    </row>
    <row r="199" spans="1:14" s="2" customFormat="1" ht="15.75" customHeight="1" x14ac:dyDescent="0.35">
      <c r="A199" s="132" t="s">
        <v>191</v>
      </c>
      <c r="B199" s="132"/>
      <c r="C199" s="132"/>
      <c r="D199" s="132"/>
      <c r="E199" s="132"/>
      <c r="F199" s="132"/>
      <c r="G199" s="132"/>
      <c r="H199" s="132"/>
    </row>
    <row r="200" spans="1:14" s="2" customFormat="1" ht="15.75" customHeight="1" x14ac:dyDescent="0.35">
      <c r="A200" s="123">
        <v>3</v>
      </c>
      <c r="B200" s="123"/>
      <c r="C200" s="50" t="s">
        <v>211</v>
      </c>
      <c r="D200" s="50">
        <f>(4.525*8.33+1.3*2.08+1.45*5.58)*10.764</f>
        <v>521.92752300000006</v>
      </c>
      <c r="E200" s="50">
        <v>0</v>
      </c>
      <c r="F200" s="50">
        <f>D200*(($F$171)+1)+E200</f>
        <v>835.08403680000015</v>
      </c>
      <c r="G200" s="148" t="str">
        <f>A199</f>
        <v>1st Floor for Commercial</v>
      </c>
      <c r="H200" s="149"/>
      <c r="I200" s="49"/>
      <c r="L200" s="147"/>
      <c r="M200" s="147"/>
      <c r="N200" s="49"/>
    </row>
    <row r="201" spans="1:14" s="2" customFormat="1" ht="15.75" customHeight="1" x14ac:dyDescent="0.35">
      <c r="A201" s="123">
        <v>4</v>
      </c>
      <c r="B201" s="123"/>
      <c r="C201" s="50" t="s">
        <v>211</v>
      </c>
      <c r="D201" s="50">
        <f>(5.975*6.66+4.525*2.575+1.3*2.15+((4.135+4.525)/2)*1.545)*10.764</f>
        <v>655.85294190000002</v>
      </c>
      <c r="E201" s="50">
        <v>0</v>
      </c>
      <c r="F201" s="50">
        <f>D201*(($F$171)+1)+E201</f>
        <v>1049.36470704</v>
      </c>
      <c r="G201" s="150"/>
      <c r="H201" s="151"/>
      <c r="I201" s="49"/>
      <c r="L201" s="147"/>
      <c r="M201" s="147"/>
      <c r="N201" s="49"/>
    </row>
    <row r="202" spans="1:14" s="2" customFormat="1" ht="15.75" customHeight="1" x14ac:dyDescent="0.35">
      <c r="A202" s="123">
        <v>5</v>
      </c>
      <c r="B202" s="123"/>
      <c r="C202" s="50" t="s">
        <v>211</v>
      </c>
      <c r="D202" s="50">
        <f>(4.85*3.83+2.4*1.45*2.15*1.3+0.97*5.78+0.5*2.81*0.29+0.5+6.87*1.8+0.5*6.87*0.745+5.69*0.43*0.5+0.5*4.755*0.385+((4.62+5.78)/2)*2.56)*10.764</f>
        <v>701.72574614999996</v>
      </c>
      <c r="E202" s="50">
        <v>0</v>
      </c>
      <c r="F202" s="50">
        <f>D202*(($F$171)+1)+E202</f>
        <v>1122.76119384</v>
      </c>
      <c r="G202" s="150"/>
      <c r="H202" s="151"/>
      <c r="I202" s="49"/>
      <c r="L202" s="147"/>
      <c r="M202" s="147"/>
      <c r="N202" s="49"/>
    </row>
    <row r="203" spans="1:14" s="2" customFormat="1" ht="15.75" customHeight="1" x14ac:dyDescent="0.35">
      <c r="A203" s="123">
        <v>6</v>
      </c>
      <c r="B203" s="123"/>
      <c r="C203" s="50" t="s">
        <v>211</v>
      </c>
      <c r="D203" s="50">
        <f>(8.33*3.83+5.58*1.45+2.15*1.3)*10.764</f>
        <v>460.59048360000003</v>
      </c>
      <c r="E203" s="50">
        <v>0</v>
      </c>
      <c r="F203" s="50">
        <f>D203*(($F$171)+1)+E203</f>
        <v>736.94477376000009</v>
      </c>
      <c r="G203" s="152"/>
      <c r="H203" s="153"/>
      <c r="I203" s="49"/>
      <c r="L203" s="147"/>
      <c r="M203" s="147"/>
      <c r="N203" s="49"/>
    </row>
    <row r="204" spans="1:14" s="2" customFormat="1" x14ac:dyDescent="0.35">
      <c r="A204" s="132" t="s">
        <v>235</v>
      </c>
      <c r="B204" s="132"/>
      <c r="C204" s="132"/>
      <c r="D204" s="132"/>
      <c r="E204" s="132"/>
      <c r="F204" s="132"/>
      <c r="G204" s="132"/>
      <c r="H204" s="132"/>
    </row>
    <row r="205" spans="1:14" s="2" customFormat="1" ht="15.75" customHeight="1" x14ac:dyDescent="0.35">
      <c r="A205" s="132" t="s">
        <v>199</v>
      </c>
      <c r="B205" s="132"/>
      <c r="C205" s="132"/>
      <c r="D205" s="132"/>
      <c r="E205" s="132"/>
      <c r="F205" s="132"/>
      <c r="G205" s="132"/>
      <c r="H205" s="132"/>
    </row>
    <row r="206" spans="1:14" s="2" customFormat="1" ht="15.75" customHeight="1" x14ac:dyDescent="0.35">
      <c r="A206" s="123">
        <v>21</v>
      </c>
      <c r="B206" s="123"/>
      <c r="C206" s="98" t="s">
        <v>200</v>
      </c>
      <c r="D206" s="98">
        <f>(2.95*3.25+1.5*1.38+1.3*1.3)*10.764</f>
        <v>143.67248999999998</v>
      </c>
      <c r="E206" s="98">
        <v>0</v>
      </c>
      <c r="F206" s="98">
        <f>D206*(($F$171)+1)+E206</f>
        <v>229.87598399999999</v>
      </c>
      <c r="G206" s="123" t="str">
        <f>A205</f>
        <v>Ground Floor for Commercial &amp; Parking</v>
      </c>
      <c r="H206" s="123"/>
      <c r="I206" s="49"/>
      <c r="L206" s="147"/>
      <c r="M206" s="147"/>
      <c r="N206" s="49"/>
    </row>
    <row r="207" spans="1:14" s="2" customFormat="1" ht="15.75" customHeight="1" x14ac:dyDescent="0.35">
      <c r="A207" s="123">
        <v>22</v>
      </c>
      <c r="B207" s="123"/>
      <c r="C207" s="98" t="s">
        <v>200</v>
      </c>
      <c r="D207" s="98">
        <f>(2.63*4.93+4.13*1.9+1.3*1.9)*10.764</f>
        <v>250.61713559999995</v>
      </c>
      <c r="E207" s="98">
        <v>0</v>
      </c>
      <c r="F207" s="98">
        <f>D207*(($F$171)+1)+E207</f>
        <v>400.98741695999996</v>
      </c>
      <c r="G207" s="123"/>
      <c r="H207" s="123"/>
      <c r="I207" s="49"/>
      <c r="L207" s="147"/>
      <c r="M207" s="147"/>
      <c r="N207" s="49"/>
    </row>
    <row r="208" spans="1:14" s="2" customFormat="1" ht="15.75" customHeight="1" x14ac:dyDescent="0.35">
      <c r="A208" s="123">
        <v>23</v>
      </c>
      <c r="B208" s="123"/>
      <c r="C208" s="98" t="s">
        <v>200</v>
      </c>
      <c r="D208" s="98">
        <f>2.68*4.63*10.764</f>
        <v>133.5640176</v>
      </c>
      <c r="E208" s="98">
        <v>0</v>
      </c>
      <c r="F208" s="98">
        <f t="shared" ref="F208:F210" si="8">D208*(($F$171)+1)+E208</f>
        <v>213.70242816000001</v>
      </c>
      <c r="G208" s="123"/>
      <c r="H208" s="123"/>
      <c r="I208" s="49"/>
      <c r="L208" s="147"/>
      <c r="M208" s="147"/>
      <c r="N208" s="49"/>
    </row>
    <row r="209" spans="1:24" s="2" customFormat="1" ht="15.75" customHeight="1" x14ac:dyDescent="0.35">
      <c r="A209" s="123">
        <v>24</v>
      </c>
      <c r="B209" s="123"/>
      <c r="C209" s="98" t="s">
        <v>200</v>
      </c>
      <c r="D209" s="98">
        <f>2.925*4*10.764</f>
        <v>125.93879999999999</v>
      </c>
      <c r="E209" s="98">
        <v>0</v>
      </c>
      <c r="F209" s="98">
        <f t="shared" si="8"/>
        <v>201.50207999999998</v>
      </c>
      <c r="G209" s="123"/>
      <c r="H209" s="123"/>
      <c r="I209" s="49"/>
      <c r="L209" s="147"/>
      <c r="M209" s="147"/>
      <c r="N209" s="49"/>
    </row>
    <row r="210" spans="1:24" s="2" customFormat="1" ht="15.75" customHeight="1" x14ac:dyDescent="0.35">
      <c r="A210" s="123">
        <v>25</v>
      </c>
      <c r="B210" s="123"/>
      <c r="C210" s="98" t="s">
        <v>200</v>
      </c>
      <c r="D210" s="98">
        <f>2.925*4*10.764</f>
        <v>125.93879999999999</v>
      </c>
      <c r="E210" s="98">
        <v>0</v>
      </c>
      <c r="F210" s="98">
        <f t="shared" si="8"/>
        <v>201.50207999999998</v>
      </c>
      <c r="G210" s="123"/>
      <c r="H210" s="123"/>
      <c r="I210" s="49"/>
      <c r="L210" s="147"/>
      <c r="M210" s="147"/>
      <c r="N210" s="49"/>
    </row>
    <row r="211" spans="1:24" s="2" customFormat="1" ht="15.75" customHeight="1" x14ac:dyDescent="0.35">
      <c r="A211" s="132" t="s">
        <v>191</v>
      </c>
      <c r="B211" s="132"/>
      <c r="C211" s="132"/>
      <c r="D211" s="132"/>
      <c r="E211" s="132"/>
      <c r="F211" s="132"/>
      <c r="G211" s="132"/>
      <c r="H211" s="132"/>
    </row>
    <row r="212" spans="1:24" s="2" customFormat="1" ht="15.75" customHeight="1" x14ac:dyDescent="0.35">
      <c r="A212" s="123">
        <v>2</v>
      </c>
      <c r="B212" s="123"/>
      <c r="C212" s="50" t="s">
        <v>211</v>
      </c>
      <c r="D212" s="50">
        <f>(14.51*5.49+4.13*1.9+4.9*2.66+2.53*0.23+1.3*1.9+1.52*1.45+6.18*4.5+2.15*3.05+2*1.3)*10.764</f>
        <v>1536.7149251999999</v>
      </c>
      <c r="E212" s="50">
        <v>0</v>
      </c>
      <c r="F212" s="50">
        <f>D212*(($F$171)+1)+E212</f>
        <v>2458.7438803200002</v>
      </c>
      <c r="G212" s="123" t="str">
        <f>A211</f>
        <v>1st Floor for Commercial</v>
      </c>
      <c r="H212" s="123"/>
      <c r="I212" s="49"/>
      <c r="L212" s="147"/>
      <c r="M212" s="147"/>
      <c r="N212" s="49"/>
    </row>
    <row r="213" spans="1:24" s="2" customFormat="1" x14ac:dyDescent="0.35">
      <c r="A213" s="132" t="s">
        <v>236</v>
      </c>
      <c r="B213" s="132"/>
      <c r="C213" s="132"/>
      <c r="D213" s="132"/>
      <c r="E213" s="132"/>
      <c r="F213" s="132"/>
      <c r="G213" s="132"/>
      <c r="H213" s="132"/>
    </row>
    <row r="214" spans="1:24" s="2" customFormat="1" ht="15.75" customHeight="1" x14ac:dyDescent="0.35">
      <c r="A214" s="132" t="s">
        <v>199</v>
      </c>
      <c r="B214" s="132"/>
      <c r="C214" s="132"/>
      <c r="D214" s="132"/>
      <c r="E214" s="132"/>
      <c r="F214" s="132"/>
      <c r="G214" s="132"/>
      <c r="H214" s="132"/>
    </row>
    <row r="215" spans="1:24" s="2" customFormat="1" ht="15.75" customHeight="1" x14ac:dyDescent="0.35">
      <c r="A215" s="123">
        <v>26</v>
      </c>
      <c r="B215" s="123"/>
      <c r="C215" s="50" t="s">
        <v>200</v>
      </c>
      <c r="D215" s="50">
        <f>(2.926*4.23+4.97*1.98+2.11*0.46+1.25*1.98)*10.764</f>
        <v>276.23846952000002</v>
      </c>
      <c r="E215" s="50">
        <v>0</v>
      </c>
      <c r="F215" s="50">
        <f>D215*(($F$171)+1)+E215</f>
        <v>441.98155123200007</v>
      </c>
      <c r="G215" s="123" t="str">
        <f>A214</f>
        <v>Ground Floor for Commercial &amp; Parking</v>
      </c>
      <c r="H215" s="123"/>
      <c r="I215" s="49"/>
      <c r="L215" s="147"/>
      <c r="M215" s="147"/>
      <c r="N215" s="49"/>
    </row>
    <row r="216" spans="1:24" s="2" customFormat="1" ht="15.75" customHeight="1" x14ac:dyDescent="0.35">
      <c r="A216" s="123">
        <v>27</v>
      </c>
      <c r="B216" s="123"/>
      <c r="C216" s="50" t="s">
        <v>200</v>
      </c>
      <c r="D216" s="50">
        <f>(2.88*4)*10.764</f>
        <v>124.00127999999999</v>
      </c>
      <c r="E216" s="50">
        <v>0</v>
      </c>
      <c r="F216" s="50">
        <f>D216*(($F$171)+1)+E216</f>
        <v>198.40204800000001</v>
      </c>
      <c r="G216" s="123"/>
      <c r="H216" s="123"/>
      <c r="I216" s="49"/>
      <c r="L216" s="147"/>
      <c r="M216" s="147"/>
      <c r="N216" s="49"/>
    </row>
    <row r="217" spans="1:24" s="2" customFormat="1" ht="15.75" customHeight="1" x14ac:dyDescent="0.35">
      <c r="A217" s="123">
        <v>28</v>
      </c>
      <c r="B217" s="123"/>
      <c r="C217" s="50" t="s">
        <v>200</v>
      </c>
      <c r="D217" s="50">
        <f>2.92*4*10.764</f>
        <v>125.72351999999999</v>
      </c>
      <c r="E217" s="50">
        <v>0</v>
      </c>
      <c r="F217" s="50">
        <f>D217*(($F$171)+1)+E217</f>
        <v>201.15763200000001</v>
      </c>
      <c r="G217" s="123"/>
      <c r="H217" s="123"/>
      <c r="I217" s="49"/>
      <c r="L217" s="147"/>
      <c r="M217" s="147"/>
      <c r="N217" s="49"/>
    </row>
    <row r="218" spans="1:24" s="2" customFormat="1" ht="15.75" customHeight="1" x14ac:dyDescent="0.35">
      <c r="A218" s="123">
        <v>29</v>
      </c>
      <c r="B218" s="123"/>
      <c r="C218" s="50" t="s">
        <v>200</v>
      </c>
      <c r="D218" s="50">
        <f>2.915*4*10.764</f>
        <v>125.50824</v>
      </c>
      <c r="E218" s="50">
        <v>0</v>
      </c>
      <c r="F218" s="50">
        <f t="shared" ref="F218:F219" si="9">D218*(($F$171)+1)+E218</f>
        <v>200.81318400000001</v>
      </c>
      <c r="G218" s="123"/>
      <c r="H218" s="123"/>
      <c r="I218" s="49"/>
      <c r="L218" s="147"/>
      <c r="M218" s="147"/>
      <c r="N218" s="49"/>
    </row>
    <row r="219" spans="1:24" s="2" customFormat="1" ht="15.75" customHeight="1" x14ac:dyDescent="0.35">
      <c r="A219" s="123">
        <v>30</v>
      </c>
      <c r="B219" s="123"/>
      <c r="C219" s="50" t="s">
        <v>200</v>
      </c>
      <c r="D219" s="50">
        <f>(2.085*2.93+0.9*1+1.165*0.9)*10.764</f>
        <v>86.731468200000009</v>
      </c>
      <c r="E219" s="50">
        <v>0</v>
      </c>
      <c r="F219" s="50">
        <f t="shared" si="9"/>
        <v>138.77034912000002</v>
      </c>
      <c r="G219" s="123"/>
      <c r="H219" s="123"/>
      <c r="I219" s="49"/>
      <c r="L219" s="147"/>
      <c r="M219" s="147"/>
      <c r="N219" s="49"/>
    </row>
    <row r="220" spans="1:24" s="2" customFormat="1" ht="15.75" customHeight="1" x14ac:dyDescent="0.35">
      <c r="A220" s="132" t="s">
        <v>191</v>
      </c>
      <c r="B220" s="132"/>
      <c r="C220" s="132"/>
      <c r="D220" s="132"/>
      <c r="E220" s="132"/>
      <c r="F220" s="132"/>
      <c r="G220" s="132"/>
      <c r="H220" s="132"/>
    </row>
    <row r="221" spans="1:24" s="2" customFormat="1" ht="15.75" customHeight="1" x14ac:dyDescent="0.35">
      <c r="A221" s="123">
        <v>1</v>
      </c>
      <c r="B221" s="123"/>
      <c r="C221" s="50" t="s">
        <v>211</v>
      </c>
      <c r="D221" s="50">
        <f>(13.63*5.49+2.31*0.23+5.38*1.9+1.3*1.9+4.9*2.66+1.52*1.45+6.18*4.5+2.15*3.05+2*1.3)*10.764</f>
        <v>1509.7317299999997</v>
      </c>
      <c r="E221" s="50">
        <v>0</v>
      </c>
      <c r="F221" s="50">
        <f>D221*(($F$171)+1)+E221</f>
        <v>2415.5707679999996</v>
      </c>
      <c r="G221" s="123" t="str">
        <f>A220</f>
        <v>1st Floor for Commercial</v>
      </c>
      <c r="H221" s="123"/>
      <c r="I221" s="49"/>
      <c r="L221" s="147"/>
      <c r="M221" s="147"/>
      <c r="N221" s="49"/>
    </row>
    <row r="222" spans="1:24" ht="47.25" customHeight="1" x14ac:dyDescent="0.35">
      <c r="A222" s="167" t="s">
        <v>171</v>
      </c>
      <c r="B222" s="167" t="s">
        <v>172</v>
      </c>
      <c r="C222" s="167" t="s">
        <v>70</v>
      </c>
      <c r="D222" s="167" t="s">
        <v>71</v>
      </c>
      <c r="E222" s="168" t="s">
        <v>72</v>
      </c>
      <c r="F222" s="85" t="s">
        <v>167</v>
      </c>
      <c r="G222" s="171" t="s">
        <v>73</v>
      </c>
      <c r="H222" s="16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s="2" customFormat="1" x14ac:dyDescent="0.35">
      <c r="A223" s="167"/>
      <c r="B223" s="167"/>
      <c r="C223" s="167"/>
      <c r="D223" s="167"/>
      <c r="E223" s="168"/>
      <c r="F223" s="48">
        <v>0.6</v>
      </c>
      <c r="G223" s="171"/>
      <c r="H223" s="167"/>
      <c r="I223" s="49"/>
      <c r="O223" s="2" t="str">
        <f>LEFT(A225,SUM(LEN(A225)-LEN(SUBSTITUTE(A225,{"0","1","2","3"},""))))</f>
        <v xml:space="preserve">2nd to </v>
      </c>
      <c r="P223" s="2">
        <f ca="1">--TRIM(RIGHT(SUBSTITUTE(LEFT(A225,_xlfn.AGGREGATE(16,6,FIND({0,1,2,3,4,5,6,7,8,9},A225,ROW(INDIRECT("1:"&amp;LEN(A225)))),1))," ",REPT(" ",LEN(A225))),LEN(A225)))</f>
        <v>23</v>
      </c>
    </row>
    <row r="224" spans="1:24" s="2" customFormat="1" x14ac:dyDescent="0.35">
      <c r="A224" s="132" t="s">
        <v>187</v>
      </c>
      <c r="B224" s="132"/>
      <c r="C224" s="132"/>
      <c r="D224" s="132"/>
      <c r="E224" s="132"/>
      <c r="F224" s="172"/>
      <c r="G224" s="132"/>
      <c r="H224" s="132"/>
      <c r="I224" s="49"/>
      <c r="L224" s="2" t="str">
        <f ca="1">O224&amp;""&amp;M224&amp;""&amp;P224</f>
        <v>201,..,2301</v>
      </c>
      <c r="M224" s="2" t="s">
        <v>168</v>
      </c>
      <c r="N224" s="49">
        <v>1</v>
      </c>
      <c r="O224" s="2">
        <f ca="1">(SUMPRODUCT(MID(0&amp;O223, LARGE(INDEX(ISNUMBER(--MID(O223, ROW(INDIRECT("1:"&amp;LEN(O223))), 1)) * ROW(INDIRECT("1:"&amp;LEN(O223))), 0), ROW(INDIRECT("1:"&amp;LEN(O223))))+1, 1) * 10^ROW(INDIRECT("1:"&amp;LEN(O223)))/10))*N224*100+1</f>
        <v>201</v>
      </c>
      <c r="P224" s="2">
        <f ca="1">(SUMPRODUCT(MID(0&amp;P223, LARGE(INDEX(ISNUMBER(--MID(P223, ROW(INDIRECT("1:"&amp;LEN(P223))), 1)) * ROW(INDIRECT("1:"&amp;LEN(P223))), 0), ROW(INDIRECT("1:"&amp;LEN(P223))))+1, 1) * 10^ROW(INDIRECT("1:"&amp;LEN(P223)))/10))*N224*100+1</f>
        <v>2301</v>
      </c>
    </row>
    <row r="225" spans="1:16" s="2" customFormat="1" ht="15.75" customHeight="1" x14ac:dyDescent="0.35">
      <c r="A225" s="132" t="s">
        <v>192</v>
      </c>
      <c r="B225" s="132"/>
      <c r="C225" s="132"/>
      <c r="D225" s="132"/>
      <c r="E225" s="132"/>
      <c r="F225" s="132"/>
      <c r="G225" s="132"/>
      <c r="H225" s="132"/>
      <c r="I225" s="49"/>
      <c r="L225" s="2" t="str">
        <f ca="1">O225&amp;""&amp;M225&amp;""&amp;P225</f>
        <v>202,..,2302</v>
      </c>
      <c r="M225" s="2" t="s">
        <v>168</v>
      </c>
      <c r="N225" s="49">
        <f t="shared" ref="N225:P227" si="10">N224+1</f>
        <v>2</v>
      </c>
      <c r="O225" s="2">
        <f t="shared" ca="1" si="10"/>
        <v>202</v>
      </c>
      <c r="P225" s="2">
        <f t="shared" ca="1" si="10"/>
        <v>2302</v>
      </c>
    </row>
    <row r="226" spans="1:16" s="2" customFormat="1" ht="15.75" customHeight="1" x14ac:dyDescent="0.35">
      <c r="A226" s="123">
        <v>1</v>
      </c>
      <c r="B226" s="123"/>
      <c r="C226" s="50" t="s">
        <v>189</v>
      </c>
      <c r="D226" s="50">
        <f>35.87*10.764</f>
        <v>386.10467999999997</v>
      </c>
      <c r="E226" s="50">
        <v>0</v>
      </c>
      <c r="F226" s="50">
        <f>D226*(($F$223)+1)+E226</f>
        <v>617.76748799999996</v>
      </c>
      <c r="G226" s="123" t="str">
        <f>A225</f>
        <v xml:space="preserve">2nd to 7th, 9th to 14th, 16th to 21st &amp; 23rd Floor </v>
      </c>
      <c r="H226" s="123"/>
      <c r="I226" s="49"/>
      <c r="L226" s="2" t="str">
        <f ca="1">O226&amp;""&amp;M226&amp;""&amp;P226</f>
        <v>203,..,2303</v>
      </c>
      <c r="M226" s="2" t="s">
        <v>168</v>
      </c>
      <c r="N226" s="49">
        <f t="shared" si="10"/>
        <v>3</v>
      </c>
      <c r="O226" s="2">
        <f t="shared" ca="1" si="10"/>
        <v>203</v>
      </c>
      <c r="P226" s="2">
        <f t="shared" ca="1" si="10"/>
        <v>2303</v>
      </c>
    </row>
    <row r="227" spans="1:16" s="2" customFormat="1" ht="15.75" customHeight="1" x14ac:dyDescent="0.35">
      <c r="A227" s="123">
        <v>2</v>
      </c>
      <c r="B227" s="123"/>
      <c r="C227" s="50" t="s">
        <v>190</v>
      </c>
      <c r="D227" s="50">
        <f>47.12*10.764</f>
        <v>507.19967999999994</v>
      </c>
      <c r="E227" s="50">
        <v>0</v>
      </c>
      <c r="F227" s="50">
        <f>D227*(($F$223)+1)+E227</f>
        <v>811.51948799999991</v>
      </c>
      <c r="G227" s="123"/>
      <c r="H227" s="123"/>
      <c r="I227" s="49"/>
      <c r="L227" s="2" t="str">
        <f ca="1">O227&amp;""&amp;M227&amp;""&amp;P227</f>
        <v>204,..,2304</v>
      </c>
      <c r="M227" s="2" t="s">
        <v>168</v>
      </c>
      <c r="N227" s="49">
        <f t="shared" si="10"/>
        <v>4</v>
      </c>
      <c r="O227" s="2">
        <f t="shared" ca="1" si="10"/>
        <v>204</v>
      </c>
      <c r="P227" s="2">
        <f t="shared" ca="1" si="10"/>
        <v>2304</v>
      </c>
    </row>
    <row r="228" spans="1:16" s="2" customFormat="1" ht="15.75" customHeight="1" x14ac:dyDescent="0.35">
      <c r="A228" s="123">
        <v>3</v>
      </c>
      <c r="B228" s="123"/>
      <c r="C228" s="50" t="s">
        <v>190</v>
      </c>
      <c r="D228" s="50">
        <f>55.83*10.764</f>
        <v>600.95411999999999</v>
      </c>
      <c r="E228" s="50">
        <v>0</v>
      </c>
      <c r="F228" s="50">
        <f>D228*(($F$223)+1)+E228</f>
        <v>961.52659200000005</v>
      </c>
      <c r="G228" s="123"/>
      <c r="H228" s="123"/>
      <c r="I228" s="49"/>
      <c r="O228" s="2" t="str">
        <f>LEFT(A230,SUM(LEN(A230)-LEN(SUBSTITUTE(A230,{"0","1","2","3"},""))))</f>
        <v>8</v>
      </c>
      <c r="P228" s="2">
        <f ca="1">--TRIM(RIGHT(SUBSTITUTE(LEFT(A230,_xlfn.AGGREGATE(16,6,FIND({0,1,2,3,4,5,6,7,8,9},A230,ROW(INDIRECT("1:"&amp;LEN(A230)))),1))," ",REPT(" ",LEN(A230))),LEN(A230)))</f>
        <v>15</v>
      </c>
    </row>
    <row r="229" spans="1:16" s="2" customFormat="1" ht="15.75" customHeight="1" x14ac:dyDescent="0.35">
      <c r="A229" s="123">
        <v>4</v>
      </c>
      <c r="B229" s="123"/>
      <c r="C229" s="50" t="s">
        <v>189</v>
      </c>
      <c r="D229" s="50">
        <f>35.62*10.764</f>
        <v>383.41367999999994</v>
      </c>
      <c r="E229" s="50">
        <v>0</v>
      </c>
      <c r="F229" s="50">
        <f>D229*(($F$223)+1)+E229</f>
        <v>613.46188799999993</v>
      </c>
      <c r="G229" s="123"/>
      <c r="H229" s="123"/>
      <c r="I229" s="49"/>
      <c r="J229" s="2">
        <f>23000/1.6</f>
        <v>14375</v>
      </c>
      <c r="L229" s="2" t="str">
        <f ca="1">O229&amp;""&amp;M229&amp;""&amp;P229</f>
        <v>801,..,1501</v>
      </c>
      <c r="M229" s="2" t="s">
        <v>168</v>
      </c>
      <c r="N229" s="49">
        <v>1</v>
      </c>
      <c r="O229" s="2">
        <f ca="1">(SUMPRODUCT(MID(0&amp;O228, LARGE(INDEX(ISNUMBER(--MID(O228, ROW(INDIRECT("1:"&amp;LEN(O228))), 1)) * ROW(INDIRECT("1:"&amp;LEN(O228))), 0), ROW(INDIRECT("1:"&amp;LEN(O228))))+1, 1) * 10^ROW(INDIRECT("1:"&amp;LEN(O228)))/10))*N229*100+1</f>
        <v>801</v>
      </c>
      <c r="P229" s="2">
        <f ca="1">(SUMPRODUCT(MID(0&amp;P228, LARGE(INDEX(ISNUMBER(--MID(P228, ROW(INDIRECT("1:"&amp;LEN(P228))), 1)) * ROW(INDIRECT("1:"&amp;LEN(P228))), 0), ROW(INDIRECT("1:"&amp;LEN(P228))))+1, 1) * 10^ROW(INDIRECT("1:"&amp;LEN(P228)))/10))*N229*100+1</f>
        <v>1501</v>
      </c>
    </row>
    <row r="230" spans="1:16" s="2" customFormat="1" ht="15.75" customHeight="1" x14ac:dyDescent="0.35">
      <c r="A230" s="154" t="s">
        <v>203</v>
      </c>
      <c r="B230" s="154"/>
      <c r="C230" s="154"/>
      <c r="D230" s="154"/>
      <c r="E230" s="154"/>
      <c r="F230" s="154"/>
      <c r="G230" s="154"/>
      <c r="H230" s="154"/>
      <c r="I230" s="49"/>
      <c r="L230" s="2" t="str">
        <f ca="1">O230&amp;""&amp;M230&amp;""&amp;P230</f>
        <v>802,..,1502</v>
      </c>
      <c r="M230" s="2" t="s">
        <v>168</v>
      </c>
      <c r="N230" s="49">
        <f t="shared" ref="N230:P230" si="11">N229+1</f>
        <v>2</v>
      </c>
      <c r="O230" s="2">
        <f t="shared" ca="1" si="11"/>
        <v>802</v>
      </c>
      <c r="P230" s="2">
        <f t="shared" ca="1" si="11"/>
        <v>1502</v>
      </c>
    </row>
    <row r="231" spans="1:16" s="2" customFormat="1" ht="15.75" customHeight="1" x14ac:dyDescent="0.35">
      <c r="A231" s="123">
        <v>1</v>
      </c>
      <c r="B231" s="123"/>
      <c r="C231" s="50" t="s">
        <v>189</v>
      </c>
      <c r="D231" s="50">
        <f>35.87*10.764</f>
        <v>386.10467999999997</v>
      </c>
      <c r="E231" s="50">
        <v>0</v>
      </c>
      <c r="F231" s="50">
        <f>D231*(($F$223)+1)+E231</f>
        <v>617.76748799999996</v>
      </c>
      <c r="G231" s="123" t="str">
        <f>A230</f>
        <v>8th &amp; 15th Floor (Part Refuge Area)</v>
      </c>
      <c r="H231" s="123"/>
      <c r="I231" s="49"/>
      <c r="L231" s="2" t="str">
        <f ca="1">O231&amp;""&amp;M231&amp;""&amp;P231</f>
        <v>803,..,1503</v>
      </c>
      <c r="M231" s="2" t="s">
        <v>168</v>
      </c>
      <c r="N231" s="49">
        <f t="shared" ref="N231:P231" si="12">N230+1</f>
        <v>3</v>
      </c>
      <c r="O231" s="2">
        <f t="shared" ca="1" si="12"/>
        <v>803</v>
      </c>
      <c r="P231" s="2">
        <f t="shared" ca="1" si="12"/>
        <v>1503</v>
      </c>
    </row>
    <row r="232" spans="1:16" s="2" customFormat="1" ht="15.75" customHeight="1" x14ac:dyDescent="0.35">
      <c r="A232" s="123">
        <v>2</v>
      </c>
      <c r="B232" s="123"/>
      <c r="C232" s="123" t="s">
        <v>201</v>
      </c>
      <c r="D232" s="123"/>
      <c r="E232" s="123"/>
      <c r="F232" s="123"/>
      <c r="G232" s="123"/>
      <c r="H232" s="123"/>
      <c r="I232" s="49"/>
      <c r="L232" s="2" t="str">
        <f ca="1">O232&amp;""&amp;M232&amp;""&amp;P232</f>
        <v>804,..,1504</v>
      </c>
      <c r="M232" s="2" t="s">
        <v>168</v>
      </c>
      <c r="N232" s="49">
        <f t="shared" ref="N232:P232" si="13">N231+1</f>
        <v>4</v>
      </c>
      <c r="O232" s="2">
        <f t="shared" ca="1" si="13"/>
        <v>804</v>
      </c>
      <c r="P232" s="2">
        <f t="shared" ca="1" si="13"/>
        <v>1504</v>
      </c>
    </row>
    <row r="233" spans="1:16" s="2" customFormat="1" ht="15.75" customHeight="1" x14ac:dyDescent="0.35">
      <c r="A233" s="123">
        <v>3</v>
      </c>
      <c r="B233" s="123"/>
      <c r="C233" s="50" t="s">
        <v>190</v>
      </c>
      <c r="D233" s="50">
        <f>55.83*10.764</f>
        <v>600.95411999999999</v>
      </c>
      <c r="E233" s="50">
        <v>0</v>
      </c>
      <c r="F233" s="50">
        <f>D233*(($F$223)+1)+E233</f>
        <v>961.52659200000005</v>
      </c>
      <c r="G233" s="123"/>
      <c r="H233" s="123"/>
      <c r="I233" s="49">
        <f>13000000/F233</f>
        <v>13520.166897266632</v>
      </c>
      <c r="O233" s="2" t="str">
        <f>LEFT(A235,SUM(LEN(A235)-LEN(SUBSTITUTE(A235,{"0","1","2","3"},""))))</f>
        <v xml:space="preserve"> 2</v>
      </c>
      <c r="P233" s="2">
        <f ca="1">--TRIM(RIGHT(SUBSTITUTE(LEFT(A235,_xlfn.AGGREGATE(16,6,FIND({0,1,2,3,4,5,6,7,8,9},A235,ROW(INDIRECT("1:"&amp;LEN(A235)))),1))," ",REPT(" ",LEN(A235))),LEN(A235)))</f>
        <v>22</v>
      </c>
    </row>
    <row r="234" spans="1:16" s="2" customFormat="1" ht="15.75" customHeight="1" x14ac:dyDescent="0.35">
      <c r="A234" s="123">
        <v>4</v>
      </c>
      <c r="B234" s="123"/>
      <c r="C234" s="50" t="s">
        <v>189</v>
      </c>
      <c r="D234" s="50">
        <f>35.62*10.764</f>
        <v>383.41367999999994</v>
      </c>
      <c r="E234" s="50">
        <v>0</v>
      </c>
      <c r="F234" s="50">
        <f>D234*(($F$223)+1)+E234</f>
        <v>613.46188799999993</v>
      </c>
      <c r="G234" s="123"/>
      <c r="H234" s="123"/>
      <c r="I234" s="49"/>
      <c r="L234" s="2" t="str">
        <f ca="1">O234&amp;""&amp;M234&amp;""&amp;P234</f>
        <v>201,..,2201</v>
      </c>
      <c r="M234" s="2" t="s">
        <v>168</v>
      </c>
      <c r="N234" s="49">
        <v>1</v>
      </c>
      <c r="O234" s="2">
        <f ca="1">(SUMPRODUCT(MID(0&amp;O233, LARGE(INDEX(ISNUMBER(--MID(O233, ROW(INDIRECT("1:"&amp;LEN(O233))), 1)) * ROW(INDIRECT("1:"&amp;LEN(O233))), 0), ROW(INDIRECT("1:"&amp;LEN(O233))))+1, 1) * 10^ROW(INDIRECT("1:"&amp;LEN(O233)))/10))*N234*100+1</f>
        <v>201</v>
      </c>
      <c r="P234" s="2">
        <f ca="1">(SUMPRODUCT(MID(0&amp;P233, LARGE(INDEX(ISNUMBER(--MID(P233, ROW(INDIRECT("1:"&amp;LEN(P233))), 1)) * ROW(INDIRECT("1:"&amp;LEN(P233))), 0), ROW(INDIRECT("1:"&amp;LEN(P233))))+1, 1) * 10^ROW(INDIRECT("1:"&amp;LEN(P233)))/10))*N234*100+1</f>
        <v>2201</v>
      </c>
    </row>
    <row r="235" spans="1:16" s="2" customFormat="1" ht="15.75" customHeight="1" x14ac:dyDescent="0.35">
      <c r="A235" s="154" t="s">
        <v>204</v>
      </c>
      <c r="B235" s="154"/>
      <c r="C235" s="154"/>
      <c r="D235" s="154"/>
      <c r="E235" s="154"/>
      <c r="F235" s="154"/>
      <c r="G235" s="154"/>
      <c r="H235" s="154"/>
      <c r="I235" s="49"/>
      <c r="L235" s="2" t="str">
        <f ca="1">O235&amp;""&amp;M235&amp;""&amp;P235</f>
        <v>202,..,2202</v>
      </c>
      <c r="M235" s="2" t="s">
        <v>168</v>
      </c>
      <c r="N235" s="49">
        <f t="shared" ref="N235:P235" si="14">N234+1</f>
        <v>2</v>
      </c>
      <c r="O235" s="2">
        <f t="shared" ca="1" si="14"/>
        <v>202</v>
      </c>
      <c r="P235" s="2">
        <f t="shared" ca="1" si="14"/>
        <v>2202</v>
      </c>
    </row>
    <row r="236" spans="1:16" s="2" customFormat="1" ht="15.75" customHeight="1" x14ac:dyDescent="0.35">
      <c r="A236" s="123">
        <v>1</v>
      </c>
      <c r="B236" s="123"/>
      <c r="C236" s="50" t="s">
        <v>189</v>
      </c>
      <c r="D236" s="50">
        <f>35.87*10.764</f>
        <v>386.10467999999997</v>
      </c>
      <c r="E236" s="50">
        <v>0</v>
      </c>
      <c r="F236" s="50">
        <f>D236*(($F$223)+1)+E236</f>
        <v>617.76748799999996</v>
      </c>
      <c r="G236" s="123" t="str">
        <f>A235</f>
        <v xml:space="preserve"> 22nd Floor  (Part Refuge Area &amp; Part Fitness Centre)</v>
      </c>
      <c r="H236" s="123"/>
      <c r="I236" s="49"/>
      <c r="L236" s="2" t="str">
        <f ca="1">O236&amp;""&amp;M236&amp;""&amp;P236</f>
        <v>203,..,2203</v>
      </c>
      <c r="M236" s="2" t="s">
        <v>168</v>
      </c>
      <c r="N236" s="49">
        <f t="shared" ref="N236:P236" si="15">N235+1</f>
        <v>3</v>
      </c>
      <c r="O236" s="2">
        <f t="shared" ca="1" si="15"/>
        <v>203</v>
      </c>
      <c r="P236" s="2">
        <f t="shared" ca="1" si="15"/>
        <v>2203</v>
      </c>
    </row>
    <row r="237" spans="1:16" s="2" customFormat="1" ht="15.75" customHeight="1" x14ac:dyDescent="0.35">
      <c r="A237" s="123">
        <v>2</v>
      </c>
      <c r="B237" s="123"/>
      <c r="C237" s="123" t="s">
        <v>201</v>
      </c>
      <c r="D237" s="123"/>
      <c r="E237" s="123"/>
      <c r="F237" s="123"/>
      <c r="G237" s="123"/>
      <c r="H237" s="123"/>
      <c r="I237" s="49"/>
      <c r="L237" s="2" t="str">
        <f ca="1">O237&amp;""&amp;M237&amp;""&amp;P237</f>
        <v>204,..,2204</v>
      </c>
      <c r="M237" s="2" t="s">
        <v>168</v>
      </c>
      <c r="N237" s="49">
        <f t="shared" ref="N237:P237" si="16">N236+1</f>
        <v>4</v>
      </c>
      <c r="O237" s="2">
        <f t="shared" ca="1" si="16"/>
        <v>204</v>
      </c>
      <c r="P237" s="2">
        <f t="shared" ca="1" si="16"/>
        <v>2204</v>
      </c>
    </row>
    <row r="238" spans="1:16" s="2" customFormat="1" ht="15.75" customHeight="1" x14ac:dyDescent="0.35">
      <c r="A238" s="123">
        <v>3</v>
      </c>
      <c r="B238" s="123"/>
      <c r="C238" s="123" t="s">
        <v>202</v>
      </c>
      <c r="D238" s="123"/>
      <c r="E238" s="123"/>
      <c r="F238" s="123"/>
      <c r="G238" s="123"/>
      <c r="H238" s="123"/>
    </row>
    <row r="239" spans="1:16" s="2" customFormat="1" ht="15.75" customHeight="1" x14ac:dyDescent="0.35">
      <c r="A239" s="123">
        <v>4</v>
      </c>
      <c r="B239" s="123"/>
      <c r="C239" s="50" t="s">
        <v>189</v>
      </c>
      <c r="D239" s="50">
        <f>35.42*10.764</f>
        <v>381.26087999999999</v>
      </c>
      <c r="E239" s="50">
        <v>0</v>
      </c>
      <c r="F239" s="50">
        <f>D239*(($F$223)+1)+E239</f>
        <v>610.01740800000005</v>
      </c>
      <c r="G239" s="123"/>
      <c r="H239" s="123"/>
      <c r="I239" s="49"/>
      <c r="O239" s="2" t="str">
        <f>LEFT(A241,SUM(LEN(A241)-LEN(SUBSTITUTE(A241,{"0","1","2","3"},""))))</f>
        <v xml:space="preserve">2nd to </v>
      </c>
      <c r="P239" s="2">
        <f ca="1">--TRIM(RIGHT(SUBSTITUTE(LEFT(A241,_xlfn.AGGREGATE(16,6,FIND({0,1,2,3,4,5,6,7,8,9},A241,ROW(INDIRECT("1:"&amp;LEN(A241)))),1))," ",REPT(" ",LEN(A241))),LEN(A241)))</f>
        <v>23</v>
      </c>
    </row>
    <row r="240" spans="1:16" s="2" customFormat="1" x14ac:dyDescent="0.35">
      <c r="A240" s="132" t="s">
        <v>188</v>
      </c>
      <c r="B240" s="132"/>
      <c r="C240" s="132"/>
      <c r="D240" s="132"/>
      <c r="E240" s="132"/>
      <c r="F240" s="132"/>
      <c r="G240" s="132"/>
      <c r="H240" s="132"/>
      <c r="I240" s="49"/>
      <c r="L240" s="2" t="str">
        <f ca="1">O240&amp;""&amp;M240&amp;""&amp;P240</f>
        <v>201,..,2301</v>
      </c>
      <c r="M240" s="2" t="s">
        <v>168</v>
      </c>
      <c r="N240" s="49">
        <v>1</v>
      </c>
      <c r="O240" s="2">
        <f ca="1">(SUMPRODUCT(MID(0&amp;O239, LARGE(INDEX(ISNUMBER(--MID(O239, ROW(INDIRECT("1:"&amp;LEN(O239))), 1)) * ROW(INDIRECT("1:"&amp;LEN(O239))), 0), ROW(INDIRECT("1:"&amp;LEN(O239))))+1, 1) * 10^ROW(INDIRECT("1:"&amp;LEN(O239)))/10))*N240*100+1</f>
        <v>201</v>
      </c>
      <c r="P240" s="2">
        <f ca="1">(SUMPRODUCT(MID(0&amp;P239, LARGE(INDEX(ISNUMBER(--MID(P239, ROW(INDIRECT("1:"&amp;LEN(P239))), 1)) * ROW(INDIRECT("1:"&amp;LEN(P239))), 0), ROW(INDIRECT("1:"&amp;LEN(P239))))+1, 1) * 10^ROW(INDIRECT("1:"&amp;LEN(P239)))/10))*N240*100+1</f>
        <v>2301</v>
      </c>
    </row>
    <row r="241" spans="1:24" s="2" customFormat="1" ht="15.75" customHeight="1" x14ac:dyDescent="0.35">
      <c r="A241" s="132" t="s">
        <v>192</v>
      </c>
      <c r="B241" s="132"/>
      <c r="C241" s="132"/>
      <c r="D241" s="132"/>
      <c r="E241" s="132"/>
      <c r="F241" s="132"/>
      <c r="G241" s="132"/>
      <c r="H241" s="132"/>
      <c r="I241" s="49"/>
      <c r="L241" s="2" t="str">
        <f t="shared" ref="L241:L243" ca="1" si="17">O241&amp;""&amp;M241&amp;""&amp;P241</f>
        <v>202,..,2302</v>
      </c>
      <c r="M241" s="2" t="s">
        <v>168</v>
      </c>
      <c r="N241" s="49">
        <f t="shared" ref="N241:P241" si="18">N240+1</f>
        <v>2</v>
      </c>
      <c r="O241" s="2">
        <f t="shared" ca="1" si="18"/>
        <v>202</v>
      </c>
      <c r="P241" s="2">
        <f t="shared" ca="1" si="18"/>
        <v>2302</v>
      </c>
    </row>
    <row r="242" spans="1:24" s="2" customFormat="1" ht="15.75" customHeight="1" x14ac:dyDescent="0.35">
      <c r="A242" s="123">
        <v>1</v>
      </c>
      <c r="B242" s="123"/>
      <c r="C242" s="50" t="s">
        <v>189</v>
      </c>
      <c r="D242" s="50">
        <f>35.99*10.764</f>
        <v>387.39636000000002</v>
      </c>
      <c r="E242" s="50">
        <v>0</v>
      </c>
      <c r="F242" s="50">
        <f t="shared" ref="F242:F245" si="19">D242*(($F$223)+1)+E242</f>
        <v>619.83417600000007</v>
      </c>
      <c r="G242" s="123" t="str">
        <f>A241</f>
        <v xml:space="preserve">2nd to 7th, 9th to 14th, 16th to 21st &amp; 23rd Floor </v>
      </c>
      <c r="H242" s="123"/>
      <c r="I242" s="49"/>
      <c r="L242" s="2" t="str">
        <f t="shared" ca="1" si="17"/>
        <v>203,..,2303</v>
      </c>
      <c r="M242" s="2" t="s">
        <v>168</v>
      </c>
      <c r="N242" s="49">
        <f t="shared" ref="N242:P242" si="20">N241+1</f>
        <v>3</v>
      </c>
      <c r="O242" s="2">
        <f t="shared" ca="1" si="20"/>
        <v>203</v>
      </c>
      <c r="P242" s="2">
        <f t="shared" ca="1" si="20"/>
        <v>2303</v>
      </c>
    </row>
    <row r="243" spans="1:24" s="2" customFormat="1" ht="15.75" customHeight="1" x14ac:dyDescent="0.35">
      <c r="A243" s="123">
        <v>2</v>
      </c>
      <c r="B243" s="123"/>
      <c r="C243" s="50" t="s">
        <v>189</v>
      </c>
      <c r="D243" s="50">
        <f>35.99*10.764</f>
        <v>387.39636000000002</v>
      </c>
      <c r="E243" s="50">
        <v>0</v>
      </c>
      <c r="F243" s="50">
        <f>D243*(($F$223)+1)+E243</f>
        <v>619.83417600000007</v>
      </c>
      <c r="G243" s="123"/>
      <c r="H243" s="123"/>
      <c r="I243" s="49"/>
      <c r="L243" s="2" t="str">
        <f t="shared" ca="1" si="17"/>
        <v>204,..,2304</v>
      </c>
      <c r="M243" s="2" t="s">
        <v>168</v>
      </c>
      <c r="N243" s="49">
        <f t="shared" ref="N243:P243" si="21">N242+1</f>
        <v>4</v>
      </c>
      <c r="O243" s="2">
        <f t="shared" ca="1" si="21"/>
        <v>204</v>
      </c>
      <c r="P243" s="2">
        <f t="shared" ca="1" si="21"/>
        <v>2304</v>
      </c>
    </row>
    <row r="244" spans="1:24" s="2" customFormat="1" ht="15.75" customHeight="1" x14ac:dyDescent="0.35">
      <c r="A244" s="123">
        <v>3</v>
      </c>
      <c r="B244" s="123"/>
      <c r="C244" s="50" t="s">
        <v>189</v>
      </c>
      <c r="D244" s="50">
        <f>35.99*10.764</f>
        <v>387.39636000000002</v>
      </c>
      <c r="E244" s="50">
        <v>0</v>
      </c>
      <c r="F244" s="50">
        <f t="shared" si="19"/>
        <v>619.83417600000007</v>
      </c>
      <c r="G244" s="123"/>
      <c r="H244" s="123"/>
      <c r="I244" s="49"/>
      <c r="O244" s="2" t="str">
        <f>LEFT(A246,SUM(LEN(A246)-LEN(SUBSTITUTE(A246,{"0","1","2","3"},""))))</f>
        <v>8</v>
      </c>
      <c r="P244" s="2">
        <f ca="1">--TRIM(RIGHT(SUBSTITUTE(LEFT(A246,_xlfn.AGGREGATE(16,6,FIND({0,1,2,3,4,5,6,7,8,9},A246,ROW(INDIRECT("1:"&amp;LEN(A246)))),1))," ",REPT(" ",LEN(A246))),LEN(A246)))</f>
        <v>15</v>
      </c>
    </row>
    <row r="245" spans="1:24" s="2" customFormat="1" ht="15.75" customHeight="1" x14ac:dyDescent="0.35">
      <c r="A245" s="123">
        <v>4</v>
      </c>
      <c r="B245" s="123"/>
      <c r="C245" s="50" t="s">
        <v>189</v>
      </c>
      <c r="D245" s="50">
        <f>35.87*10.764</f>
        <v>386.10467999999997</v>
      </c>
      <c r="E245" s="50">
        <v>0</v>
      </c>
      <c r="F245" s="50">
        <f t="shared" si="19"/>
        <v>617.76748799999996</v>
      </c>
      <c r="G245" s="123"/>
      <c r="H245" s="123"/>
      <c r="I245" s="49"/>
      <c r="L245" s="2" t="str">
        <f ca="1">O245&amp;""&amp;M245&amp;""&amp;P245</f>
        <v>801,..,1501</v>
      </c>
      <c r="M245" s="2" t="s">
        <v>168</v>
      </c>
      <c r="N245" s="49">
        <v>1</v>
      </c>
      <c r="O245" s="2">
        <f ca="1">(SUMPRODUCT(MID(0&amp;O244, LARGE(INDEX(ISNUMBER(--MID(O244, ROW(INDIRECT("1:"&amp;LEN(O244))), 1)) * ROW(INDIRECT("1:"&amp;LEN(O244))), 0), ROW(INDIRECT("1:"&amp;LEN(O244))))+1, 1) * 10^ROW(INDIRECT("1:"&amp;LEN(O244)))/10))*N245*100+1</f>
        <v>801</v>
      </c>
      <c r="P245" s="2">
        <f ca="1">(SUMPRODUCT(MID(0&amp;P244, LARGE(INDEX(ISNUMBER(--MID(P244, ROW(INDIRECT("1:"&amp;LEN(P244))), 1)) * ROW(INDIRECT("1:"&amp;LEN(P244))), 0), ROW(INDIRECT("1:"&amp;LEN(P244))))+1, 1) * 10^ROW(INDIRECT("1:"&amp;LEN(P244)))/10))*N245*100+1</f>
        <v>1501</v>
      </c>
    </row>
    <row r="246" spans="1:24" s="2" customFormat="1" ht="15.75" customHeight="1" x14ac:dyDescent="0.35">
      <c r="A246" s="154" t="s">
        <v>203</v>
      </c>
      <c r="B246" s="154"/>
      <c r="C246" s="154"/>
      <c r="D246" s="154"/>
      <c r="E246" s="154"/>
      <c r="F246" s="154"/>
      <c r="G246" s="154"/>
      <c r="H246" s="154"/>
      <c r="I246" s="49"/>
      <c r="L246" s="2" t="str">
        <f t="shared" ref="L246:L248" ca="1" si="22">O246&amp;""&amp;M246&amp;""&amp;P246</f>
        <v>802,..,1502</v>
      </c>
      <c r="M246" s="2" t="s">
        <v>168</v>
      </c>
      <c r="N246" s="49">
        <f t="shared" ref="N246:P246" si="23">N245+1</f>
        <v>2</v>
      </c>
      <c r="O246" s="2">
        <f t="shared" ca="1" si="23"/>
        <v>802</v>
      </c>
      <c r="P246" s="2">
        <f t="shared" ca="1" si="23"/>
        <v>1502</v>
      </c>
    </row>
    <row r="247" spans="1:24" s="2" customFormat="1" ht="15.75" customHeight="1" x14ac:dyDescent="0.35">
      <c r="A247" s="123">
        <v>1</v>
      </c>
      <c r="B247" s="123"/>
      <c r="C247" s="98" t="s">
        <v>189</v>
      </c>
      <c r="D247" s="98">
        <f>35.99*10.764</f>
        <v>387.39636000000002</v>
      </c>
      <c r="E247" s="98">
        <v>0</v>
      </c>
      <c r="F247" s="98">
        <f t="shared" ref="F247" si="24">D247*(($F$223)+1)+E247</f>
        <v>619.83417600000007</v>
      </c>
      <c r="G247" s="123" t="str">
        <f>A246</f>
        <v>8th &amp; 15th Floor (Part Refuge Area)</v>
      </c>
      <c r="H247" s="123"/>
      <c r="I247" s="49"/>
      <c r="L247" s="2" t="str">
        <f t="shared" ca="1" si="22"/>
        <v>803,..,1503</v>
      </c>
      <c r="M247" s="2" t="s">
        <v>168</v>
      </c>
      <c r="N247" s="49">
        <f t="shared" ref="N247:P247" si="25">N246+1</f>
        <v>3</v>
      </c>
      <c r="O247" s="2">
        <f t="shared" ca="1" si="25"/>
        <v>803</v>
      </c>
      <c r="P247" s="2">
        <f t="shared" ca="1" si="25"/>
        <v>1503</v>
      </c>
    </row>
    <row r="248" spans="1:24" s="2" customFormat="1" ht="15.75" customHeight="1" x14ac:dyDescent="0.35">
      <c r="A248" s="123">
        <v>2</v>
      </c>
      <c r="B248" s="123"/>
      <c r="C248" s="98" t="s">
        <v>189</v>
      </c>
      <c r="D248" s="98">
        <f>35.99*10.764</f>
        <v>387.39636000000002</v>
      </c>
      <c r="E248" s="98">
        <v>0</v>
      </c>
      <c r="F248" s="98">
        <f>D248*(($F$223)+1)+E248</f>
        <v>619.83417600000007</v>
      </c>
      <c r="G248" s="123"/>
      <c r="H248" s="123"/>
      <c r="I248" s="49"/>
      <c r="L248" s="2" t="str">
        <f t="shared" ca="1" si="22"/>
        <v>804,..,1504</v>
      </c>
      <c r="M248" s="2" t="s">
        <v>168</v>
      </c>
      <c r="N248" s="49">
        <f t="shared" ref="N248:P248" si="26">N247+1</f>
        <v>4</v>
      </c>
      <c r="O248" s="2">
        <f t="shared" ca="1" si="26"/>
        <v>804</v>
      </c>
      <c r="P248" s="2">
        <f t="shared" ca="1" si="26"/>
        <v>1504</v>
      </c>
    </row>
    <row r="249" spans="1:24" s="2" customFormat="1" ht="15.75" customHeight="1" x14ac:dyDescent="0.35">
      <c r="A249" s="123">
        <v>3</v>
      </c>
      <c r="B249" s="123"/>
      <c r="C249" s="123" t="s">
        <v>201</v>
      </c>
      <c r="D249" s="123"/>
      <c r="E249" s="123"/>
      <c r="F249" s="123"/>
      <c r="G249" s="123"/>
      <c r="H249" s="123"/>
      <c r="I249" s="49"/>
      <c r="O249" s="2" t="str">
        <f>LEFT(A251,SUM(LEN(A251)-LEN(SUBSTITUTE(A251,{"0","1","2","3"},""))))</f>
        <v xml:space="preserve"> 2</v>
      </c>
      <c r="P249" s="2">
        <f ca="1">--TRIM(RIGHT(SUBSTITUTE(LEFT(A251,_xlfn.AGGREGATE(16,6,FIND({0,1,2,3,4,5,6,7,8,9},A251,ROW(INDIRECT("1:"&amp;LEN(A251)))),1))," ",REPT(" ",LEN(A251))),LEN(A251)))</f>
        <v>22</v>
      </c>
    </row>
    <row r="250" spans="1:24" s="2" customFormat="1" ht="15.75" customHeight="1" x14ac:dyDescent="0.35">
      <c r="A250" s="123">
        <v>4</v>
      </c>
      <c r="B250" s="123"/>
      <c r="C250" s="98" t="s">
        <v>189</v>
      </c>
      <c r="D250" s="98">
        <f>35.87*10.764</f>
        <v>386.10467999999997</v>
      </c>
      <c r="E250" s="98">
        <v>0</v>
      </c>
      <c r="F250" s="98">
        <f>D250*(($F$223)+1)+E250</f>
        <v>617.76748799999996</v>
      </c>
      <c r="G250" s="123"/>
      <c r="H250" s="123"/>
      <c r="I250" s="49"/>
      <c r="L250" s="2" t="str">
        <f ca="1">O250&amp;""&amp;M250&amp;""&amp;P250</f>
        <v>201,..,2201</v>
      </c>
      <c r="M250" s="2" t="s">
        <v>168</v>
      </c>
      <c r="N250" s="49">
        <v>1</v>
      </c>
      <c r="O250" s="2">
        <f ca="1">(SUMPRODUCT(MID(0&amp;O249, LARGE(INDEX(ISNUMBER(--MID(O249, ROW(INDIRECT("1:"&amp;LEN(O249))), 1)) * ROW(INDIRECT("1:"&amp;LEN(O249))), 0), ROW(INDIRECT("1:"&amp;LEN(O249))))+1, 1) * 10^ROW(INDIRECT("1:"&amp;LEN(O249)))/10))*N250*100+1</f>
        <v>201</v>
      </c>
      <c r="P250" s="2">
        <f ca="1">(SUMPRODUCT(MID(0&amp;P249, LARGE(INDEX(ISNUMBER(--MID(P249, ROW(INDIRECT("1:"&amp;LEN(P249))), 1)) * ROW(INDIRECT("1:"&amp;LEN(P249))), 0), ROW(INDIRECT("1:"&amp;LEN(P249))))+1, 1) * 10^ROW(INDIRECT("1:"&amp;LEN(P249)))/10))*N250*100+1</f>
        <v>2201</v>
      </c>
    </row>
    <row r="251" spans="1:24" s="2" customFormat="1" ht="15.75" customHeight="1" x14ac:dyDescent="0.35">
      <c r="A251" s="154" t="s">
        <v>204</v>
      </c>
      <c r="B251" s="154"/>
      <c r="C251" s="154"/>
      <c r="D251" s="154"/>
      <c r="E251" s="154"/>
      <c r="F251" s="154"/>
      <c r="G251" s="154"/>
      <c r="H251" s="154"/>
      <c r="I251" s="49"/>
      <c r="L251" s="2" t="str">
        <f t="shared" ref="L251:L253" ca="1" si="27">O251&amp;""&amp;M251&amp;""&amp;P251</f>
        <v>202,..,2202</v>
      </c>
      <c r="M251" s="2" t="s">
        <v>168</v>
      </c>
      <c r="N251" s="49">
        <f t="shared" ref="N251:P251" si="28">N250+1</f>
        <v>2</v>
      </c>
      <c r="O251" s="2">
        <f t="shared" ca="1" si="28"/>
        <v>202</v>
      </c>
      <c r="P251" s="2">
        <f t="shared" ca="1" si="28"/>
        <v>2202</v>
      </c>
    </row>
    <row r="252" spans="1:24" s="2" customFormat="1" ht="15.75" customHeight="1" x14ac:dyDescent="0.35">
      <c r="A252" s="123">
        <v>1</v>
      </c>
      <c r="B252" s="123"/>
      <c r="C252" s="98" t="s">
        <v>189</v>
      </c>
      <c r="D252" s="98">
        <f>35.99*10.764</f>
        <v>387.39636000000002</v>
      </c>
      <c r="E252" s="98">
        <v>0</v>
      </c>
      <c r="F252" s="98">
        <f t="shared" ref="F252" si="29">D252*(($F$223)+1)+E252</f>
        <v>619.83417600000007</v>
      </c>
      <c r="G252" s="123" t="str">
        <f>A251</f>
        <v xml:space="preserve"> 22nd Floor  (Part Refuge Area &amp; Part Fitness Centre)</v>
      </c>
      <c r="H252" s="123"/>
      <c r="I252" s="49"/>
      <c r="L252" s="2" t="str">
        <f t="shared" ca="1" si="27"/>
        <v>203,..,2203</v>
      </c>
      <c r="M252" s="2" t="s">
        <v>168</v>
      </c>
      <c r="N252" s="49">
        <f t="shared" ref="N252:P252" si="30">N251+1</f>
        <v>3</v>
      </c>
      <c r="O252" s="2">
        <f t="shared" ca="1" si="30"/>
        <v>203</v>
      </c>
      <c r="P252" s="2">
        <f t="shared" ca="1" si="30"/>
        <v>2203</v>
      </c>
    </row>
    <row r="253" spans="1:24" s="2" customFormat="1" ht="15.75" customHeight="1" x14ac:dyDescent="0.35">
      <c r="A253" s="123">
        <v>2</v>
      </c>
      <c r="B253" s="123"/>
      <c r="C253" s="123" t="s">
        <v>202</v>
      </c>
      <c r="D253" s="123"/>
      <c r="E253" s="123"/>
      <c r="F253" s="123"/>
      <c r="G253" s="123"/>
      <c r="H253" s="123"/>
      <c r="I253" s="49"/>
      <c r="L253" s="2" t="str">
        <f t="shared" ca="1" si="27"/>
        <v>204,..,2204</v>
      </c>
      <c r="M253" s="2" t="s">
        <v>168</v>
      </c>
      <c r="N253" s="49">
        <f t="shared" ref="N253:P253" si="31">N252+1</f>
        <v>4</v>
      </c>
      <c r="O253" s="2">
        <f t="shared" ca="1" si="31"/>
        <v>204</v>
      </c>
      <c r="P253" s="2">
        <f t="shared" ca="1" si="31"/>
        <v>2204</v>
      </c>
    </row>
    <row r="254" spans="1:24" s="2" customFormat="1" ht="15.75" customHeight="1" x14ac:dyDescent="0.35">
      <c r="A254" s="123">
        <v>3</v>
      </c>
      <c r="B254" s="123"/>
      <c r="C254" s="123" t="s">
        <v>201</v>
      </c>
      <c r="D254" s="123"/>
      <c r="E254" s="123"/>
      <c r="F254" s="123"/>
      <c r="G254" s="123"/>
      <c r="H254" s="12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s="2" customFormat="1" ht="15.75" customHeight="1" x14ac:dyDescent="0.35">
      <c r="A255" s="123">
        <v>4</v>
      </c>
      <c r="B255" s="123"/>
      <c r="C255" s="98" t="s">
        <v>189</v>
      </c>
      <c r="D255" s="98">
        <f>35.87*10.764</f>
        <v>386.10467999999997</v>
      </c>
      <c r="E255" s="98">
        <v>0</v>
      </c>
      <c r="F255" s="98">
        <f t="shared" ref="F255" si="32">D255*(($F$223)+1)+E255</f>
        <v>617.76748799999996</v>
      </c>
      <c r="G255" s="123"/>
      <c r="H255" s="12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s="2" customFormat="1" x14ac:dyDescent="0.35">
      <c r="A256" s="132" t="s">
        <v>247</v>
      </c>
      <c r="B256" s="132"/>
      <c r="C256" s="132"/>
      <c r="D256" s="132"/>
      <c r="E256" s="132"/>
      <c r="F256" s="132"/>
      <c r="G256" s="132"/>
      <c r="H256" s="132"/>
      <c r="I256" s="49"/>
      <c r="L256" s="2" t="e">
        <f ca="1">O256&amp;""&amp;M256&amp;""&amp;P256</f>
        <v>#REF!</v>
      </c>
      <c r="M256" s="2" t="s">
        <v>168</v>
      </c>
      <c r="N256" s="49">
        <v>1</v>
      </c>
      <c r="O256" s="2" t="e">
        <f ca="1">(SUMPRODUCT(MID(0&amp;O255, LARGE(INDEX(ISNUMBER(--MID(O255, ROW(INDIRECT("1:"&amp;LEN(O255))), 1)) * ROW(INDIRECT("1:"&amp;LEN(O255))), 0), ROW(INDIRECT("1:"&amp;LEN(O255))))+1, 1) * 10^ROW(INDIRECT("1:"&amp;LEN(O255)))/10))*N256*100+1</f>
        <v>#REF!</v>
      </c>
      <c r="P256" s="2" t="e">
        <f ca="1">(SUMPRODUCT(MID(0&amp;P255, LARGE(INDEX(ISNUMBER(--MID(P255, ROW(INDIRECT("1:"&amp;LEN(P255))), 1)) * ROW(INDIRECT("1:"&amp;LEN(P255))), 0), ROW(INDIRECT("1:"&amp;LEN(P255))))+1, 1) * 10^ROW(INDIRECT("1:"&amp;LEN(P255)))/10))*N256*100+1</f>
        <v>#REF!</v>
      </c>
    </row>
    <row r="257" spans="1:16" s="2" customFormat="1" ht="15.75" customHeight="1" x14ac:dyDescent="0.35">
      <c r="A257" s="132" t="s">
        <v>248</v>
      </c>
      <c r="B257" s="132"/>
      <c r="C257" s="132"/>
      <c r="D257" s="132"/>
      <c r="E257" s="132"/>
      <c r="F257" s="132"/>
      <c r="G257" s="132"/>
      <c r="H257" s="132"/>
      <c r="I257" s="49"/>
      <c r="L257" s="2" t="e">
        <f t="shared" ref="L257:L259" ca="1" si="33">O257&amp;""&amp;M257&amp;""&amp;P257</f>
        <v>#REF!</v>
      </c>
      <c r="M257" s="2" t="s">
        <v>168</v>
      </c>
      <c r="N257" s="49">
        <f t="shared" ref="N257:P257" si="34">N256+1</f>
        <v>2</v>
      </c>
      <c r="O257" s="2" t="e">
        <f t="shared" ca="1" si="34"/>
        <v>#REF!</v>
      </c>
      <c r="P257" s="2" t="e">
        <f t="shared" ca="1" si="34"/>
        <v>#REF!</v>
      </c>
    </row>
    <row r="258" spans="1:16" s="2" customFormat="1" ht="15.75" customHeight="1" x14ac:dyDescent="0.35">
      <c r="A258" s="123">
        <v>1</v>
      </c>
      <c r="B258" s="123"/>
      <c r="C258" s="50" t="s">
        <v>190</v>
      </c>
      <c r="D258" s="50">
        <f>53.05*10.764</f>
        <v>571.03019999999992</v>
      </c>
      <c r="E258" s="50">
        <v>0</v>
      </c>
      <c r="F258" s="50">
        <f t="shared" ref="F258" si="35">D258*(($F$223)+1)+E258</f>
        <v>913.6483199999999</v>
      </c>
      <c r="G258" s="123" t="str">
        <f>A257</f>
        <v xml:space="preserve">2nd to 7th, 9th to 14th, 16th to 21st &amp; 23rd to 28th, 30th to 35th, 37th to 39th Floor </v>
      </c>
      <c r="H258" s="123"/>
      <c r="I258" s="49"/>
      <c r="L258" s="2" t="e">
        <f t="shared" ca="1" si="33"/>
        <v>#REF!</v>
      </c>
      <c r="M258" s="2" t="s">
        <v>168</v>
      </c>
      <c r="N258" s="49">
        <f t="shared" ref="N258:P258" si="36">N257+1</f>
        <v>3</v>
      </c>
      <c r="O258" s="2" t="e">
        <f t="shared" ca="1" si="36"/>
        <v>#REF!</v>
      </c>
      <c r="P258" s="2" t="e">
        <f t="shared" ca="1" si="36"/>
        <v>#REF!</v>
      </c>
    </row>
    <row r="259" spans="1:16" s="2" customFormat="1" ht="15.75" customHeight="1" x14ac:dyDescent="0.35">
      <c r="A259" s="123">
        <v>2</v>
      </c>
      <c r="B259" s="123"/>
      <c r="C259" s="50" t="s">
        <v>190</v>
      </c>
      <c r="D259" s="50">
        <f>53.98*10.764</f>
        <v>581.04071999999996</v>
      </c>
      <c r="E259" s="50">
        <v>0</v>
      </c>
      <c r="F259" s="50">
        <f>D259*(($F$223)+1)+E259</f>
        <v>929.66515200000003</v>
      </c>
      <c r="G259" s="123"/>
      <c r="H259" s="123"/>
      <c r="I259" s="49">
        <f>13000000/F259</f>
        <v>13983.529415976216</v>
      </c>
      <c r="L259" s="2" t="e">
        <f t="shared" ca="1" si="33"/>
        <v>#REF!</v>
      </c>
      <c r="M259" s="2" t="s">
        <v>168</v>
      </c>
      <c r="N259" s="49">
        <f t="shared" ref="N259:P259" si="37">N258+1</f>
        <v>4</v>
      </c>
      <c r="O259" s="2" t="e">
        <f t="shared" ca="1" si="37"/>
        <v>#REF!</v>
      </c>
      <c r="P259" s="2" t="e">
        <f t="shared" ca="1" si="37"/>
        <v>#REF!</v>
      </c>
    </row>
    <row r="260" spans="1:16" s="2" customFormat="1" ht="15.75" customHeight="1" x14ac:dyDescent="0.35">
      <c r="A260" s="123">
        <v>3</v>
      </c>
      <c r="B260" s="123"/>
      <c r="C260" s="50" t="s">
        <v>190</v>
      </c>
      <c r="D260" s="50">
        <f>52.44*10.764</f>
        <v>564.46415999999999</v>
      </c>
      <c r="E260" s="50">
        <v>0</v>
      </c>
      <c r="F260" s="50">
        <f t="shared" ref="F260:F261" si="38">D260*(($F$223)+1)+E260</f>
        <v>903.14265599999999</v>
      </c>
      <c r="G260" s="123"/>
      <c r="H260" s="123"/>
      <c r="I260" s="49"/>
      <c r="O260" s="2" t="str">
        <f>LEFT(A276,SUM(LEN(A276)-LEN(SUBSTITUTE(A276,{"0","1","2","3"},""))))</f>
        <v/>
      </c>
      <c r="P260" s="2" t="e">
        <f ca="1">--TRIM(RIGHT(SUBSTITUTE(LEFT(A276,_xlfn.AGGREGATE(16,6,FIND({0,1,2,3,4,5,6,7,8,9},A276,ROW(INDIRECT("1:"&amp;LEN(A276)))),1))," ",REPT(" ",LEN(A276))),LEN(A276)))</f>
        <v>#NUM!</v>
      </c>
    </row>
    <row r="261" spans="1:16" s="2" customFormat="1" ht="15.75" customHeight="1" x14ac:dyDescent="0.35">
      <c r="A261" s="123">
        <v>4</v>
      </c>
      <c r="B261" s="123"/>
      <c r="C261" s="50" t="s">
        <v>190</v>
      </c>
      <c r="D261" s="50">
        <f>53.69*10.764</f>
        <v>577.91915999999992</v>
      </c>
      <c r="E261" s="50">
        <v>0</v>
      </c>
      <c r="F261" s="50">
        <f t="shared" si="38"/>
        <v>924.67065599999989</v>
      </c>
      <c r="G261" s="123"/>
      <c r="H261" s="123"/>
      <c r="I261" s="49"/>
      <c r="L261" s="2" t="e">
        <f ca="1">O261&amp;""&amp;M261&amp;""&amp;P261</f>
        <v>#REF!</v>
      </c>
      <c r="M261" s="2" t="s">
        <v>168</v>
      </c>
      <c r="N261" s="49">
        <v>1</v>
      </c>
      <c r="O261" s="2" t="e">
        <f ca="1">(SUMPRODUCT(MID(0&amp;O260, LARGE(INDEX(ISNUMBER(--MID(O260, ROW(INDIRECT("1:"&amp;LEN(O260))), 1)) * ROW(INDIRECT("1:"&amp;LEN(O260))), 0), ROW(INDIRECT("1:"&amp;LEN(O260))))+1, 1) * 10^ROW(INDIRECT("1:"&amp;LEN(O260)))/10))*N261*100+1</f>
        <v>#REF!</v>
      </c>
      <c r="P261" s="2" t="e">
        <f ca="1">(SUMPRODUCT(MID(0&amp;P260, LARGE(INDEX(ISNUMBER(--MID(P260, ROW(INDIRECT("1:"&amp;LEN(P260))), 1)) * ROW(INDIRECT("1:"&amp;LEN(P260))), 0), ROW(INDIRECT("1:"&amp;LEN(P260))))+1, 1) * 10^ROW(INDIRECT("1:"&amp;LEN(P260)))/10))*N261*100+1</f>
        <v>#NUM!</v>
      </c>
    </row>
    <row r="262" spans="1:16" s="2" customFormat="1" ht="15.75" customHeight="1" x14ac:dyDescent="0.35">
      <c r="A262" s="132" t="s">
        <v>249</v>
      </c>
      <c r="B262" s="132"/>
      <c r="C262" s="132"/>
      <c r="D262" s="132"/>
      <c r="E262" s="132"/>
      <c r="F262" s="132"/>
      <c r="G262" s="132"/>
      <c r="H262" s="132"/>
      <c r="I262" s="49"/>
      <c r="L262" s="2" t="e">
        <f t="shared" ref="L262:L264" ca="1" si="39">O262&amp;""&amp;M262&amp;""&amp;P262</f>
        <v>#REF!</v>
      </c>
      <c r="M262" s="2" t="s">
        <v>168</v>
      </c>
      <c r="N262" s="49">
        <f t="shared" ref="N262:P262" si="40">N261+1</f>
        <v>2</v>
      </c>
      <c r="O262" s="2" t="e">
        <f t="shared" ca="1" si="40"/>
        <v>#REF!</v>
      </c>
      <c r="P262" s="2" t="e">
        <f t="shared" ca="1" si="40"/>
        <v>#NUM!</v>
      </c>
    </row>
    <row r="263" spans="1:16" s="2" customFormat="1" ht="15.75" customHeight="1" x14ac:dyDescent="0.35">
      <c r="A263" s="123">
        <v>1</v>
      </c>
      <c r="B263" s="123"/>
      <c r="C263" s="50" t="s">
        <v>190</v>
      </c>
      <c r="D263" s="50">
        <f>53.05*10.764</f>
        <v>571.03019999999992</v>
      </c>
      <c r="E263" s="50">
        <v>0</v>
      </c>
      <c r="F263" s="50">
        <f t="shared" ref="F263" si="41">D263*(($F$223)+1)+E263</f>
        <v>913.6483199999999</v>
      </c>
      <c r="G263" s="148" t="str">
        <f>A262</f>
        <v>8th, 15th, 22nd &amp; 29th Floor (Part Refuge Area)</v>
      </c>
      <c r="H263" s="213"/>
      <c r="I263" s="49"/>
      <c r="L263" s="2" t="e">
        <f t="shared" ca="1" si="39"/>
        <v>#REF!</v>
      </c>
      <c r="M263" s="2" t="s">
        <v>168</v>
      </c>
      <c r="N263" s="49">
        <f t="shared" ref="N263:P263" si="42">N262+1</f>
        <v>3</v>
      </c>
      <c r="O263" s="2" t="e">
        <f t="shared" ca="1" si="42"/>
        <v>#REF!</v>
      </c>
      <c r="P263" s="2" t="e">
        <f t="shared" ca="1" si="42"/>
        <v>#NUM!</v>
      </c>
    </row>
    <row r="264" spans="1:16" s="2" customFormat="1" ht="15.75" customHeight="1" x14ac:dyDescent="0.35">
      <c r="A264" s="123">
        <v>2</v>
      </c>
      <c r="B264" s="123"/>
      <c r="C264" s="50" t="s">
        <v>190</v>
      </c>
      <c r="D264" s="50">
        <f>53.98*10.764</f>
        <v>581.04071999999996</v>
      </c>
      <c r="E264" s="50">
        <v>0</v>
      </c>
      <c r="F264" s="50">
        <f>D264*(($F$223)+1)+E264</f>
        <v>929.66515200000003</v>
      </c>
      <c r="G264" s="150"/>
      <c r="H264" s="214"/>
      <c r="I264" s="49"/>
      <c r="L264" s="2" t="e">
        <f t="shared" ca="1" si="39"/>
        <v>#REF!</v>
      </c>
      <c r="M264" s="2" t="s">
        <v>168</v>
      </c>
      <c r="N264" s="49">
        <f t="shared" ref="N264:P264" si="43">N263+1</f>
        <v>4</v>
      </c>
      <c r="O264" s="2" t="e">
        <f t="shared" ca="1" si="43"/>
        <v>#REF!</v>
      </c>
      <c r="P264" s="2" t="e">
        <f t="shared" ca="1" si="43"/>
        <v>#NUM!</v>
      </c>
    </row>
    <row r="265" spans="1:16" s="2" customFormat="1" ht="15.75" customHeight="1" x14ac:dyDescent="0.35">
      <c r="A265" s="123">
        <v>3</v>
      </c>
      <c r="B265" s="123"/>
      <c r="C265" s="50" t="s">
        <v>190</v>
      </c>
      <c r="D265" s="50">
        <f>52.44*10.764</f>
        <v>564.46415999999999</v>
      </c>
      <c r="E265" s="50">
        <v>0</v>
      </c>
      <c r="F265" s="50">
        <f t="shared" ref="F265" si="44">D265*(($F$223)+1)+E265</f>
        <v>903.14265599999999</v>
      </c>
      <c r="G265" s="152"/>
      <c r="H265" s="215"/>
      <c r="I265" s="49"/>
      <c r="O265" s="2" t="str">
        <f>LEFT(A281,SUM(LEN(A281)-LEN(SUBSTITUTE(A281,{"0","1","2","3"},""))))</f>
        <v>8</v>
      </c>
      <c r="P265" s="2">
        <f ca="1">--TRIM(RIGHT(SUBSTITUTE(LEFT(A281,_xlfn.AGGREGATE(16,6,FIND({0,1,2,3,4,5,6,7,8,9},A281,ROW(INDIRECT("1:"&amp;LEN(A281)))),1))," ",REPT(" ",LEN(A281))),LEN(A281)))</f>
        <v>15</v>
      </c>
    </row>
    <row r="266" spans="1:16" s="2" customFormat="1" ht="15.75" customHeight="1" x14ac:dyDescent="0.35">
      <c r="A266" s="132" t="s">
        <v>250</v>
      </c>
      <c r="B266" s="132"/>
      <c r="C266" s="132"/>
      <c r="D266" s="132"/>
      <c r="E266" s="132"/>
      <c r="F266" s="132"/>
      <c r="G266" s="132"/>
      <c r="H266" s="132"/>
      <c r="I266" s="49"/>
      <c r="L266" s="2" t="str">
        <f t="shared" ref="L266:L268" ca="1" si="45">O266&amp;""&amp;M266&amp;""&amp;P266</f>
        <v>9,..,16</v>
      </c>
      <c r="M266" s="2" t="s">
        <v>168</v>
      </c>
      <c r="N266" s="49">
        <f t="shared" ref="N266:P266" si="46">N265+1</f>
        <v>1</v>
      </c>
      <c r="O266" s="2">
        <f t="shared" si="46"/>
        <v>9</v>
      </c>
      <c r="P266" s="2">
        <f t="shared" ca="1" si="46"/>
        <v>16</v>
      </c>
    </row>
    <row r="267" spans="1:16" s="2" customFormat="1" ht="15.75" customHeight="1" x14ac:dyDescent="0.35">
      <c r="A267" s="123">
        <v>1</v>
      </c>
      <c r="B267" s="123"/>
      <c r="C267" s="50" t="s">
        <v>190</v>
      </c>
      <c r="D267" s="50">
        <f>53.05*10.764</f>
        <v>571.03019999999992</v>
      </c>
      <c r="E267" s="50">
        <v>0</v>
      </c>
      <c r="F267" s="50">
        <f t="shared" ref="F267:F269" si="47">D267*(($F$223)+1)+E267</f>
        <v>913.6483199999999</v>
      </c>
      <c r="G267" s="123" t="str">
        <f>A266</f>
        <v>36th Floor (Part Refuge Area &amp; Health Center)</v>
      </c>
      <c r="H267" s="123"/>
      <c r="I267" s="49"/>
      <c r="L267" s="2" t="str">
        <f t="shared" ca="1" si="45"/>
        <v>10,..,17</v>
      </c>
      <c r="M267" s="2" t="s">
        <v>168</v>
      </c>
      <c r="N267" s="49">
        <f t="shared" ref="N267:P267" si="48">N266+1</f>
        <v>2</v>
      </c>
      <c r="O267" s="2">
        <f t="shared" si="48"/>
        <v>10</v>
      </c>
      <c r="P267" s="2">
        <f t="shared" ca="1" si="48"/>
        <v>17</v>
      </c>
    </row>
    <row r="268" spans="1:16" s="2" customFormat="1" ht="15.75" customHeight="1" x14ac:dyDescent="0.35">
      <c r="A268" s="123">
        <v>2</v>
      </c>
      <c r="B268" s="123"/>
      <c r="C268" s="124" t="s">
        <v>251</v>
      </c>
      <c r="D268" s="125">
        <f t="shared" ref="D268:D269" si="49">52.44*10.764</f>
        <v>564.46415999999999</v>
      </c>
      <c r="E268" s="125">
        <v>-1</v>
      </c>
      <c r="F268" s="126">
        <f t="shared" si="47"/>
        <v>902.14265599999999</v>
      </c>
      <c r="G268" s="123"/>
      <c r="H268" s="123"/>
      <c r="I268" s="49"/>
      <c r="L268" s="2" t="str">
        <f t="shared" ca="1" si="45"/>
        <v>11,..,18</v>
      </c>
      <c r="M268" s="2" t="s">
        <v>168</v>
      </c>
      <c r="N268" s="49">
        <f t="shared" ref="N268:P268" si="50">N267+1</f>
        <v>3</v>
      </c>
      <c r="O268" s="2">
        <f t="shared" si="50"/>
        <v>11</v>
      </c>
      <c r="P268" s="2">
        <f t="shared" ca="1" si="50"/>
        <v>18</v>
      </c>
    </row>
    <row r="269" spans="1:16" s="2" customFormat="1" ht="15.75" customHeight="1" x14ac:dyDescent="0.35">
      <c r="A269" s="123">
        <v>3</v>
      </c>
      <c r="B269" s="123"/>
      <c r="C269" s="124" t="s">
        <v>251</v>
      </c>
      <c r="D269" s="125">
        <f t="shared" si="49"/>
        <v>564.46415999999999</v>
      </c>
      <c r="E269" s="125">
        <v>0</v>
      </c>
      <c r="F269" s="126">
        <f t="shared" si="47"/>
        <v>903.14265599999999</v>
      </c>
      <c r="G269" s="123"/>
      <c r="H269" s="123"/>
      <c r="I269" s="49"/>
      <c r="O269" s="2" t="str">
        <f>LEFT(A285,SUM(LEN(A285)-LEN(SUBSTITUTE(A285,{"0","1","2","3"},""))))</f>
        <v xml:space="preserve"> 2</v>
      </c>
      <c r="P269" s="2">
        <f ca="1">--TRIM(RIGHT(SUBSTITUTE(LEFT(A285,_xlfn.AGGREGATE(16,6,FIND({0,1,2,3,4,5,6,7,8,9},A285,ROW(INDIRECT("1:"&amp;LEN(A285)))),1))," ",REPT(" ",LEN(A285))),LEN(A285)))</f>
        <v>22</v>
      </c>
    </row>
    <row r="270" spans="1:16" s="2" customFormat="1" ht="15.75" customHeight="1" x14ac:dyDescent="0.35">
      <c r="A270" s="123">
        <v>4</v>
      </c>
      <c r="B270" s="123"/>
      <c r="C270" s="124" t="s">
        <v>201</v>
      </c>
      <c r="D270" s="125">
        <f>52.44*10.764</f>
        <v>564.46415999999999</v>
      </c>
      <c r="E270" s="125">
        <v>1</v>
      </c>
      <c r="F270" s="126">
        <f t="shared" ref="F270" si="51">D270*(($F$223)+1)+E270</f>
        <v>904.14265599999999</v>
      </c>
      <c r="G270" s="123"/>
      <c r="H270" s="123"/>
      <c r="I270" s="49"/>
      <c r="L270" s="2" t="str">
        <f ca="1">O270&amp;""&amp;M270&amp;""&amp;P270</f>
        <v>201,..,2201</v>
      </c>
      <c r="M270" s="2" t="s">
        <v>168</v>
      </c>
      <c r="N270" s="49">
        <v>1</v>
      </c>
      <c r="O270" s="2">
        <f ca="1">(SUMPRODUCT(MID(0&amp;O269, LARGE(INDEX(ISNUMBER(--MID(O269, ROW(INDIRECT("1:"&amp;LEN(O269))), 1)) * ROW(INDIRECT("1:"&amp;LEN(O269))), 0), ROW(INDIRECT("1:"&amp;LEN(O269))))+1, 1) * 10^ROW(INDIRECT("1:"&amp;LEN(O269)))/10))*N270*100+1</f>
        <v>201</v>
      </c>
      <c r="P270" s="2">
        <f ca="1">(SUMPRODUCT(MID(0&amp;P269, LARGE(INDEX(ISNUMBER(--MID(P269, ROW(INDIRECT("1:"&amp;LEN(P269))), 1)) * ROW(INDIRECT("1:"&amp;LEN(P269))), 0), ROW(INDIRECT("1:"&amp;LEN(P269))))+1, 1) * 10^ROW(INDIRECT("1:"&amp;LEN(P269)))/10))*N270*100+1</f>
        <v>2201</v>
      </c>
    </row>
    <row r="271" spans="1:16" s="2" customFormat="1" ht="15.75" customHeight="1" x14ac:dyDescent="0.35">
      <c r="A271" s="132" t="s">
        <v>252</v>
      </c>
      <c r="B271" s="132"/>
      <c r="C271" s="132"/>
      <c r="D271" s="132"/>
      <c r="E271" s="132"/>
      <c r="F271" s="132"/>
      <c r="G271" s="132"/>
      <c r="H271" s="132"/>
      <c r="I271" s="49"/>
      <c r="L271" s="2" t="str">
        <f t="shared" ref="L271:L273" ca="1" si="52">O271&amp;""&amp;M271&amp;""&amp;P271</f>
        <v>202,..,2202</v>
      </c>
      <c r="M271" s="2" t="s">
        <v>168</v>
      </c>
      <c r="N271" s="49">
        <f t="shared" ref="N271:P271" si="53">N270+1</f>
        <v>2</v>
      </c>
      <c r="O271" s="2">
        <f t="shared" ca="1" si="53"/>
        <v>202</v>
      </c>
      <c r="P271" s="2">
        <f t="shared" ca="1" si="53"/>
        <v>2202</v>
      </c>
    </row>
    <row r="272" spans="1:16" s="2" customFormat="1" ht="15.75" customHeight="1" x14ac:dyDescent="0.35">
      <c r="A272" s="123">
        <v>1</v>
      </c>
      <c r="B272" s="123"/>
      <c r="C272" s="50" t="s">
        <v>190</v>
      </c>
      <c r="D272" s="50">
        <f>53.05*10.764</f>
        <v>571.03019999999992</v>
      </c>
      <c r="E272" s="50">
        <v>0</v>
      </c>
      <c r="F272" s="50">
        <f t="shared" ref="F272" si="54">D272*(($F$223)+1)+E272</f>
        <v>913.6483199999999</v>
      </c>
      <c r="G272" s="123" t="str">
        <f>A271</f>
        <v>40th Floor (Part Terrace Area)</v>
      </c>
      <c r="H272" s="123"/>
      <c r="I272" s="49"/>
      <c r="L272" s="2" t="str">
        <f t="shared" ca="1" si="52"/>
        <v>203,..,2203</v>
      </c>
      <c r="M272" s="2" t="s">
        <v>168</v>
      </c>
      <c r="N272" s="49">
        <f t="shared" ref="N272:P272" si="55">N271+1</f>
        <v>3</v>
      </c>
      <c r="O272" s="2">
        <f t="shared" ca="1" si="55"/>
        <v>203</v>
      </c>
      <c r="P272" s="2">
        <f t="shared" ca="1" si="55"/>
        <v>2203</v>
      </c>
    </row>
    <row r="273" spans="1:24" s="2" customFormat="1" ht="15.75" customHeight="1" x14ac:dyDescent="0.35">
      <c r="A273" s="123">
        <v>2</v>
      </c>
      <c r="B273" s="123"/>
      <c r="C273" s="124" t="s">
        <v>253</v>
      </c>
      <c r="D273" s="125"/>
      <c r="E273" s="125"/>
      <c r="F273" s="126"/>
      <c r="G273" s="123"/>
      <c r="H273" s="123"/>
      <c r="I273" s="49"/>
      <c r="L273" s="2" t="str">
        <f t="shared" ca="1" si="52"/>
        <v>204,..,2204</v>
      </c>
      <c r="M273" s="2" t="s">
        <v>168</v>
      </c>
      <c r="N273" s="49">
        <f t="shared" ref="N273:P273" si="56">N272+1</f>
        <v>4</v>
      </c>
      <c r="O273" s="2">
        <f t="shared" ca="1" si="56"/>
        <v>204</v>
      </c>
      <c r="P273" s="2">
        <f t="shared" ca="1" si="56"/>
        <v>2204</v>
      </c>
    </row>
    <row r="274" spans="1:24" s="2" customFormat="1" ht="15.75" customHeight="1" x14ac:dyDescent="0.35">
      <c r="A274" s="123">
        <v>3</v>
      </c>
      <c r="B274" s="123"/>
      <c r="C274" s="50" t="s">
        <v>190</v>
      </c>
      <c r="D274" s="50">
        <f>52.44*10.764</f>
        <v>564.46415999999999</v>
      </c>
      <c r="E274" s="50">
        <v>0</v>
      </c>
      <c r="F274" s="50">
        <f t="shared" ref="F274:F275" si="57">D274*(($F$223)+1)+E274</f>
        <v>903.14265599999999</v>
      </c>
      <c r="G274" s="123"/>
      <c r="H274" s="123"/>
      <c r="I274" s="49"/>
      <c r="O274" s="2" t="str">
        <f>LEFT(A290,SUM(LEN(A290)-LEN(SUBSTITUTE(A290,{"0","1","2","3"},""))))</f>
        <v xml:space="preserve">2nd to </v>
      </c>
      <c r="P274" s="2">
        <f ca="1">--TRIM(RIGHT(SUBSTITUTE(LEFT(A290,_xlfn.AGGREGATE(16,6,FIND({0,1,2,3,4,5,6,7,8,9},A290,ROW(INDIRECT("1:"&amp;LEN(A290)))),1))," ",REPT(" ",LEN(A290))),LEN(A290)))</f>
        <v>23</v>
      </c>
    </row>
    <row r="275" spans="1:24" s="2" customFormat="1" ht="15.75" customHeight="1" x14ac:dyDescent="0.35">
      <c r="A275" s="123">
        <v>4</v>
      </c>
      <c r="B275" s="123"/>
      <c r="C275" s="50" t="s">
        <v>190</v>
      </c>
      <c r="D275" s="50">
        <f>53.69*10.764</f>
        <v>577.91915999999992</v>
      </c>
      <c r="E275" s="50">
        <v>0</v>
      </c>
      <c r="F275" s="50">
        <f t="shared" si="57"/>
        <v>924.67065599999989</v>
      </c>
      <c r="G275" s="123"/>
      <c r="H275" s="123"/>
      <c r="I275" s="49"/>
      <c r="L275" s="2" t="str">
        <f ca="1">O275&amp;""&amp;M275&amp;""&amp;P275</f>
        <v>201,..,2301</v>
      </c>
      <c r="M275" s="2" t="s">
        <v>168</v>
      </c>
      <c r="N275" s="49">
        <v>1</v>
      </c>
      <c r="O275" s="2">
        <f ca="1">(SUMPRODUCT(MID(0&amp;O274, LARGE(INDEX(ISNUMBER(--MID(O274, ROW(INDIRECT("1:"&amp;LEN(O274))), 1)) * ROW(INDIRECT("1:"&amp;LEN(O274))), 0), ROW(INDIRECT("1:"&amp;LEN(O274))))+1, 1) * 10^ROW(INDIRECT("1:"&amp;LEN(O274)))/10))*N275*100+1</f>
        <v>201</v>
      </c>
      <c r="P275" s="2">
        <f ca="1">(SUMPRODUCT(MID(0&amp;P274, LARGE(INDEX(ISNUMBER(--MID(P274, ROW(INDIRECT("1:"&amp;LEN(P274))), 1)) * ROW(INDIRECT("1:"&amp;LEN(P274))), 0), ROW(INDIRECT("1:"&amp;LEN(P274))))+1, 1) * 10^ROW(INDIRECT("1:"&amp;LEN(P274)))/10))*N275*100+1</f>
        <v>2301</v>
      </c>
    </row>
    <row r="276" spans="1:24" s="2" customFormat="1" x14ac:dyDescent="0.35">
      <c r="A276" s="161" t="s">
        <v>235</v>
      </c>
      <c r="B276" s="162"/>
      <c r="C276" s="162"/>
      <c r="D276" s="162"/>
      <c r="E276" s="162"/>
      <c r="F276" s="162"/>
      <c r="G276" s="162"/>
      <c r="H276" s="163"/>
      <c r="I276" s="49"/>
      <c r="L276" s="2" t="e">
        <f ca="1">O276&amp;""&amp;M276&amp;""&amp;P276</f>
        <v>#REF!</v>
      </c>
      <c r="M276" s="2" t="s">
        <v>168</v>
      </c>
      <c r="N276" s="49">
        <v>1</v>
      </c>
      <c r="O276" s="2" t="e">
        <f ca="1">(SUMPRODUCT(MID(0&amp;O255, LARGE(INDEX(ISNUMBER(--MID(O255, ROW(INDIRECT("1:"&amp;LEN(O255))), 1)) * ROW(INDIRECT("1:"&amp;LEN(O255))), 0), ROW(INDIRECT("1:"&amp;LEN(O255))))+1, 1) * 10^ROW(INDIRECT("1:"&amp;LEN(O255)))/10))*N276*100+1</f>
        <v>#REF!</v>
      </c>
      <c r="P276" s="2" t="e">
        <f ca="1">(SUMPRODUCT(MID(0&amp;P255, LARGE(INDEX(ISNUMBER(--MID(P255, ROW(INDIRECT("1:"&amp;LEN(P255))), 1)) * ROW(INDIRECT("1:"&amp;LEN(P255))), 0), ROW(INDIRECT("1:"&amp;LEN(P255))))+1, 1) * 10^ROW(INDIRECT("1:"&amp;LEN(P255)))/10))*N276*100+1</f>
        <v>#REF!</v>
      </c>
    </row>
    <row r="277" spans="1:24" s="2" customFormat="1" ht="15.75" customHeight="1" x14ac:dyDescent="0.35">
      <c r="A277" s="161" t="s">
        <v>192</v>
      </c>
      <c r="B277" s="162"/>
      <c r="C277" s="162"/>
      <c r="D277" s="162"/>
      <c r="E277" s="162"/>
      <c r="F277" s="162"/>
      <c r="G277" s="162"/>
      <c r="H277" s="163"/>
      <c r="I277" s="49"/>
      <c r="L277" s="2" t="e">
        <f t="shared" ref="L277:L279" ca="1" si="58">O277&amp;""&amp;M277&amp;""&amp;P277</f>
        <v>#REF!</v>
      </c>
      <c r="M277" s="2" t="s">
        <v>168</v>
      </c>
      <c r="N277" s="49">
        <f t="shared" ref="N277:P277" si="59">N276+1</f>
        <v>2</v>
      </c>
      <c r="O277" s="2" t="e">
        <f t="shared" ca="1" si="59"/>
        <v>#REF!</v>
      </c>
      <c r="P277" s="2" t="e">
        <f t="shared" ca="1" si="59"/>
        <v>#REF!</v>
      </c>
    </row>
    <row r="278" spans="1:24" s="2" customFormat="1" ht="15.75" customHeight="1" x14ac:dyDescent="0.35">
      <c r="A278" s="124">
        <v>1</v>
      </c>
      <c r="B278" s="126"/>
      <c r="C278" s="50" t="s">
        <v>189</v>
      </c>
      <c r="D278" s="50">
        <f>35.87*10.764</f>
        <v>386.10467999999997</v>
      </c>
      <c r="E278" s="50">
        <v>0</v>
      </c>
      <c r="F278" s="50">
        <f t="shared" ref="F278" si="60">D278*(($F$223)+1)+E278</f>
        <v>617.76748799999996</v>
      </c>
      <c r="G278" s="148" t="str">
        <f>A277</f>
        <v xml:space="preserve">2nd to 7th, 9th to 14th, 16th to 21st &amp; 23rd Floor </v>
      </c>
      <c r="H278" s="149"/>
      <c r="I278" s="49"/>
      <c r="L278" s="2" t="e">
        <f t="shared" ca="1" si="58"/>
        <v>#REF!</v>
      </c>
      <c r="M278" s="2" t="s">
        <v>168</v>
      </c>
      <c r="N278" s="49">
        <f t="shared" ref="N278:P278" si="61">N277+1</f>
        <v>3</v>
      </c>
      <c r="O278" s="2" t="e">
        <f t="shared" ca="1" si="61"/>
        <v>#REF!</v>
      </c>
      <c r="P278" s="2" t="e">
        <f t="shared" ca="1" si="61"/>
        <v>#REF!</v>
      </c>
    </row>
    <row r="279" spans="1:24" s="2" customFormat="1" ht="15.75" customHeight="1" x14ac:dyDescent="0.35">
      <c r="A279" s="124">
        <v>2</v>
      </c>
      <c r="B279" s="126"/>
      <c r="C279" s="50" t="s">
        <v>189</v>
      </c>
      <c r="D279" s="50">
        <f>35.99*10.764</f>
        <v>387.39636000000002</v>
      </c>
      <c r="E279" s="50">
        <v>0</v>
      </c>
      <c r="F279" s="50">
        <f>D279*(($F$223)+1)+E279</f>
        <v>619.83417600000007</v>
      </c>
      <c r="G279" s="150"/>
      <c r="H279" s="151"/>
      <c r="I279" s="49"/>
      <c r="L279" s="2" t="e">
        <f t="shared" ca="1" si="58"/>
        <v>#REF!</v>
      </c>
      <c r="M279" s="2" t="s">
        <v>168</v>
      </c>
      <c r="N279" s="49">
        <f t="shared" ref="N279:P279" si="62">N278+1</f>
        <v>4</v>
      </c>
      <c r="O279" s="2" t="e">
        <f t="shared" ca="1" si="62"/>
        <v>#REF!</v>
      </c>
      <c r="P279" s="2" t="e">
        <f t="shared" ca="1" si="62"/>
        <v>#REF!</v>
      </c>
    </row>
    <row r="280" spans="1:24" s="2" customFormat="1" ht="15.75" customHeight="1" x14ac:dyDescent="0.35">
      <c r="A280" s="124">
        <v>3</v>
      </c>
      <c r="B280" s="126"/>
      <c r="C280" s="50" t="s">
        <v>190</v>
      </c>
      <c r="D280" s="50">
        <f>53.73*10.764</f>
        <v>578.34971999999993</v>
      </c>
      <c r="E280" s="50">
        <v>0</v>
      </c>
      <c r="F280" s="50">
        <f>D280*(($F$223)+1)+E280</f>
        <v>925.35955199999989</v>
      </c>
      <c r="G280" s="150"/>
      <c r="H280" s="151"/>
      <c r="I280" s="49"/>
      <c r="O280" s="2" t="str">
        <f>LEFT(A281,SUM(LEN(A281)-LEN(SUBSTITUTE(A281,{"0","1","2","3"},""))))</f>
        <v>8</v>
      </c>
      <c r="P280" s="2">
        <f ca="1">--TRIM(RIGHT(SUBSTITUTE(LEFT(A281,_xlfn.AGGREGATE(16,6,FIND({0,1,2,3,4,5,6,7,8,9},A281,ROW(INDIRECT("1:"&amp;LEN(A281)))),1))," ",REPT(" ",LEN(A281))),LEN(A281)))</f>
        <v>15</v>
      </c>
    </row>
    <row r="281" spans="1:24" s="2" customFormat="1" ht="15.75" customHeight="1" x14ac:dyDescent="0.35">
      <c r="A281" s="155" t="s">
        <v>203</v>
      </c>
      <c r="B281" s="156"/>
      <c r="C281" s="156"/>
      <c r="D281" s="156"/>
      <c r="E281" s="156"/>
      <c r="F281" s="156"/>
      <c r="G281" s="156"/>
      <c r="H281" s="157"/>
      <c r="I281" s="49"/>
      <c r="L281" s="2" t="e">
        <f t="shared" ref="L281:L282" si="63">O281&amp;""&amp;M281&amp;""&amp;P281</f>
        <v>#REF!</v>
      </c>
      <c r="M281" s="2" t="s">
        <v>168</v>
      </c>
      <c r="N281" s="49" t="e">
        <f>#REF!+1</f>
        <v>#REF!</v>
      </c>
      <c r="O281" s="2" t="e">
        <f>#REF!+1</f>
        <v>#REF!</v>
      </c>
      <c r="P281" s="2" t="e">
        <f>#REF!+1</f>
        <v>#REF!</v>
      </c>
    </row>
    <row r="282" spans="1:24" s="2" customFormat="1" ht="15.75" customHeight="1" x14ac:dyDescent="0.35">
      <c r="A282" s="124">
        <v>1</v>
      </c>
      <c r="B282" s="126"/>
      <c r="C282" s="50" t="s">
        <v>189</v>
      </c>
      <c r="D282" s="50">
        <f>35.87*10.764</f>
        <v>386.10467999999997</v>
      </c>
      <c r="E282" s="50">
        <v>0</v>
      </c>
      <c r="F282" s="50">
        <f t="shared" ref="F282" si="64">D282*(($F$223)+1)+E282</f>
        <v>617.76748799999996</v>
      </c>
      <c r="G282" s="148" t="str">
        <f>A281</f>
        <v>8th &amp; 15th Floor (Part Refuge Area)</v>
      </c>
      <c r="H282" s="149"/>
      <c r="I282" s="49"/>
      <c r="L282" s="2" t="e">
        <f t="shared" si="63"/>
        <v>#REF!</v>
      </c>
      <c r="M282" s="2" t="s">
        <v>168</v>
      </c>
      <c r="N282" s="49" t="e">
        <f t="shared" ref="N282:P282" si="65">N281+1</f>
        <v>#REF!</v>
      </c>
      <c r="O282" s="2" t="e">
        <f t="shared" si="65"/>
        <v>#REF!</v>
      </c>
      <c r="P282" s="2" t="e">
        <f t="shared" si="65"/>
        <v>#REF!</v>
      </c>
    </row>
    <row r="283" spans="1:24" s="2" customFormat="1" ht="15.75" customHeight="1" x14ac:dyDescent="0.35">
      <c r="A283" s="124">
        <v>2</v>
      </c>
      <c r="B283" s="126"/>
      <c r="C283" s="124" t="s">
        <v>201</v>
      </c>
      <c r="D283" s="125"/>
      <c r="E283" s="125"/>
      <c r="F283" s="126"/>
      <c r="G283" s="150"/>
      <c r="H283" s="151"/>
      <c r="I283" s="49"/>
      <c r="O283" s="2" t="str">
        <f>LEFT(A285,SUM(LEN(A285)-LEN(SUBSTITUTE(A285,{"0","1","2","3"},""))))</f>
        <v xml:space="preserve"> 2</v>
      </c>
      <c r="P283" s="2">
        <f ca="1">--TRIM(RIGHT(SUBSTITUTE(LEFT(A285,_xlfn.AGGREGATE(16,6,FIND({0,1,2,3,4,5,6,7,8,9},A285,ROW(INDIRECT("1:"&amp;LEN(A285)))),1))," ",REPT(" ",LEN(A285))),LEN(A285)))</f>
        <v>22</v>
      </c>
    </row>
    <row r="284" spans="1:24" s="2" customFormat="1" ht="15.75" customHeight="1" x14ac:dyDescent="0.35">
      <c r="A284" s="124">
        <v>3</v>
      </c>
      <c r="B284" s="126"/>
      <c r="C284" s="50" t="s">
        <v>190</v>
      </c>
      <c r="D284" s="50">
        <f>53.73*10.764</f>
        <v>578.34971999999993</v>
      </c>
      <c r="E284" s="50">
        <v>0</v>
      </c>
      <c r="F284" s="50">
        <f>D284*(($F$223)+1)+E284</f>
        <v>925.35955199999989</v>
      </c>
      <c r="G284" s="152"/>
      <c r="H284" s="153"/>
      <c r="I284" s="49"/>
      <c r="L284" s="2" t="str">
        <f ca="1">O284&amp;""&amp;M284&amp;""&amp;P284</f>
        <v>201,..,2201</v>
      </c>
      <c r="M284" s="2" t="s">
        <v>168</v>
      </c>
      <c r="N284" s="49">
        <v>1</v>
      </c>
      <c r="O284" s="2">
        <f ca="1">(SUMPRODUCT(MID(0&amp;O283, LARGE(INDEX(ISNUMBER(--MID(O283, ROW(INDIRECT("1:"&amp;LEN(O283))), 1)) * ROW(INDIRECT("1:"&amp;LEN(O283))), 0), ROW(INDIRECT("1:"&amp;LEN(O283))))+1, 1) * 10^ROW(INDIRECT("1:"&amp;LEN(O283)))/10))*N284*100+1</f>
        <v>201</v>
      </c>
      <c r="P284" s="2">
        <f ca="1">(SUMPRODUCT(MID(0&amp;P283, LARGE(INDEX(ISNUMBER(--MID(P283, ROW(INDIRECT("1:"&amp;LEN(P283))), 1)) * ROW(INDIRECT("1:"&amp;LEN(P283))), 0), ROW(INDIRECT("1:"&amp;LEN(P283))))+1, 1) * 10^ROW(INDIRECT("1:"&amp;LEN(P283)))/10))*N284*100+1</f>
        <v>2201</v>
      </c>
    </row>
    <row r="285" spans="1:24" s="2" customFormat="1" ht="15.75" customHeight="1" x14ac:dyDescent="0.35">
      <c r="A285" s="155" t="s">
        <v>204</v>
      </c>
      <c r="B285" s="156"/>
      <c r="C285" s="156"/>
      <c r="D285" s="156"/>
      <c r="E285" s="156"/>
      <c r="F285" s="156"/>
      <c r="G285" s="156"/>
      <c r="H285" s="157"/>
      <c r="I285" s="49"/>
      <c r="L285" s="2" t="str">
        <f t="shared" ref="L285:L287" ca="1" si="66">O285&amp;""&amp;M285&amp;""&amp;P285</f>
        <v>202,..,2202</v>
      </c>
      <c r="M285" s="2" t="s">
        <v>168</v>
      </c>
      <c r="N285" s="49">
        <f t="shared" ref="N285:P285" si="67">N284+1</f>
        <v>2</v>
      </c>
      <c r="O285" s="2">
        <f t="shared" ca="1" si="67"/>
        <v>202</v>
      </c>
      <c r="P285" s="2">
        <f t="shared" ca="1" si="67"/>
        <v>2202</v>
      </c>
    </row>
    <row r="286" spans="1:24" s="2" customFormat="1" ht="15.75" customHeight="1" x14ac:dyDescent="0.35">
      <c r="A286" s="124">
        <v>1</v>
      </c>
      <c r="B286" s="126"/>
      <c r="C286" s="50" t="s">
        <v>189</v>
      </c>
      <c r="D286" s="50">
        <f>35.87*10.764</f>
        <v>386.10467999999997</v>
      </c>
      <c r="E286" s="50">
        <v>0</v>
      </c>
      <c r="F286" s="50">
        <f t="shared" ref="F286" si="68">D286*(($F$223)+1)+E286</f>
        <v>617.76748799999996</v>
      </c>
      <c r="G286" s="148" t="str">
        <f>A285</f>
        <v xml:space="preserve"> 22nd Floor  (Part Refuge Area &amp; Part Fitness Centre)</v>
      </c>
      <c r="H286" s="149"/>
      <c r="I286" s="49"/>
      <c r="L286" s="2" t="str">
        <f t="shared" ca="1" si="66"/>
        <v>203,..,2203</v>
      </c>
      <c r="M286" s="2" t="s">
        <v>168</v>
      </c>
      <c r="N286" s="49">
        <f t="shared" ref="N286:P286" si="69">N285+1</f>
        <v>3</v>
      </c>
      <c r="O286" s="2">
        <f t="shared" ca="1" si="69"/>
        <v>203</v>
      </c>
      <c r="P286" s="2">
        <f t="shared" ca="1" si="69"/>
        <v>2203</v>
      </c>
    </row>
    <row r="287" spans="1:24" s="2" customFormat="1" ht="15.75" customHeight="1" x14ac:dyDescent="0.35">
      <c r="A287" s="124">
        <v>2</v>
      </c>
      <c r="B287" s="126"/>
      <c r="C287" s="124" t="s">
        <v>201</v>
      </c>
      <c r="D287" s="125"/>
      <c r="E287" s="125"/>
      <c r="F287" s="126"/>
      <c r="G287" s="150"/>
      <c r="H287" s="151"/>
      <c r="I287" s="49"/>
      <c r="L287" s="2" t="str">
        <f t="shared" ca="1" si="66"/>
        <v>204,..,2204</v>
      </c>
      <c r="M287" s="2" t="s">
        <v>168</v>
      </c>
      <c r="N287" s="49">
        <f t="shared" ref="N287:P287" si="70">N286+1</f>
        <v>4</v>
      </c>
      <c r="O287" s="2">
        <f t="shared" ca="1" si="70"/>
        <v>204</v>
      </c>
      <c r="P287" s="2">
        <f t="shared" ca="1" si="70"/>
        <v>2204</v>
      </c>
    </row>
    <row r="288" spans="1:24" s="2" customFormat="1" ht="15.75" customHeight="1" x14ac:dyDescent="0.35">
      <c r="A288" s="124">
        <v>3</v>
      </c>
      <c r="B288" s="126"/>
      <c r="C288" s="124" t="s">
        <v>202</v>
      </c>
      <c r="D288" s="125"/>
      <c r="E288" s="125"/>
      <c r="F288" s="126"/>
      <c r="G288" s="150"/>
      <c r="H288" s="15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s="2" customFormat="1" x14ac:dyDescent="0.35">
      <c r="A289" s="161" t="s">
        <v>236</v>
      </c>
      <c r="B289" s="162"/>
      <c r="C289" s="162"/>
      <c r="D289" s="162"/>
      <c r="E289" s="162"/>
      <c r="F289" s="162"/>
      <c r="G289" s="162"/>
      <c r="H289" s="163"/>
      <c r="I289" s="49"/>
      <c r="L289" s="2" t="e">
        <f ca="1">O289&amp;""&amp;M289&amp;""&amp;P289</f>
        <v>#REF!</v>
      </c>
      <c r="M289" s="2" t="s">
        <v>168</v>
      </c>
      <c r="N289" s="49">
        <v>1</v>
      </c>
      <c r="O289" s="2" t="e">
        <f ca="1">(SUMPRODUCT(MID(0&amp;#REF!, LARGE(INDEX(ISNUMBER(--MID(#REF!, ROW(INDIRECT("1:"&amp;LEN(#REF!))), 1)) * ROW(INDIRECT("1:"&amp;LEN(#REF!))), 0), ROW(INDIRECT("1:"&amp;LEN(#REF!))))+1, 1) * 10^ROW(INDIRECT("1:"&amp;LEN(#REF!)))/10))*N289*100+1</f>
        <v>#REF!</v>
      </c>
      <c r="P289" s="2" t="e">
        <f ca="1">(SUMPRODUCT(MID(0&amp;#REF!, LARGE(INDEX(ISNUMBER(--MID(#REF!, ROW(INDIRECT("1:"&amp;LEN(#REF!))), 1)) * ROW(INDIRECT("1:"&amp;LEN(#REF!))), 0), ROW(INDIRECT("1:"&amp;LEN(#REF!))))+1, 1) * 10^ROW(INDIRECT("1:"&amp;LEN(#REF!)))/10))*N289*100+1</f>
        <v>#REF!</v>
      </c>
    </row>
    <row r="290" spans="1:24" s="2" customFormat="1" ht="15.75" customHeight="1" x14ac:dyDescent="0.35">
      <c r="A290" s="132" t="s">
        <v>192</v>
      </c>
      <c r="B290" s="132"/>
      <c r="C290" s="132"/>
      <c r="D290" s="132"/>
      <c r="E290" s="132"/>
      <c r="F290" s="132"/>
      <c r="G290" s="132"/>
      <c r="H290" s="132"/>
      <c r="I290" s="49"/>
      <c r="L290" s="2" t="e">
        <f t="shared" ref="L290:L292" ca="1" si="71">O290&amp;""&amp;M290&amp;""&amp;P290</f>
        <v>#REF!</v>
      </c>
      <c r="M290" s="2" t="s">
        <v>168</v>
      </c>
      <c r="N290" s="49">
        <f t="shared" ref="N290:P290" si="72">N289+1</f>
        <v>2</v>
      </c>
      <c r="O290" s="2" t="e">
        <f t="shared" ca="1" si="72"/>
        <v>#REF!</v>
      </c>
      <c r="P290" s="2" t="e">
        <f t="shared" ca="1" si="72"/>
        <v>#REF!</v>
      </c>
    </row>
    <row r="291" spans="1:24" s="2" customFormat="1" ht="15.75" customHeight="1" x14ac:dyDescent="0.35">
      <c r="A291" s="123">
        <v>1</v>
      </c>
      <c r="B291" s="123"/>
      <c r="C291" s="98" t="s">
        <v>189</v>
      </c>
      <c r="D291" s="98">
        <f>35.62*10.764</f>
        <v>383.41367999999994</v>
      </c>
      <c r="E291" s="98">
        <v>0</v>
      </c>
      <c r="F291" s="98">
        <f t="shared" ref="F291" si="73">D291*(($F$223)+1)+E291</f>
        <v>613.46188799999993</v>
      </c>
      <c r="G291" s="123" t="str">
        <f>A290</f>
        <v xml:space="preserve">2nd to 7th, 9th to 14th, 16th to 21st &amp; 23rd Floor </v>
      </c>
      <c r="H291" s="123"/>
      <c r="I291" s="49"/>
      <c r="L291" s="2" t="e">
        <f t="shared" ca="1" si="71"/>
        <v>#REF!</v>
      </c>
      <c r="M291" s="2" t="s">
        <v>168</v>
      </c>
      <c r="N291" s="49">
        <f t="shared" ref="N291:P291" si="74">N290+1</f>
        <v>3</v>
      </c>
      <c r="O291" s="2" t="e">
        <f t="shared" ca="1" si="74"/>
        <v>#REF!</v>
      </c>
      <c r="P291" s="2" t="e">
        <f t="shared" ca="1" si="74"/>
        <v>#REF!</v>
      </c>
    </row>
    <row r="292" spans="1:24" s="2" customFormat="1" ht="15.75" customHeight="1" x14ac:dyDescent="0.35">
      <c r="A292" s="123">
        <v>2</v>
      </c>
      <c r="B292" s="123"/>
      <c r="C292" s="98" t="s">
        <v>190</v>
      </c>
      <c r="D292" s="98">
        <f>55.82*10.764</f>
        <v>600.84647999999993</v>
      </c>
      <c r="E292" s="98">
        <v>0</v>
      </c>
      <c r="F292" s="98">
        <f>D292*(($F$223)+1)+E292</f>
        <v>961.35436799999991</v>
      </c>
      <c r="G292" s="123"/>
      <c r="H292" s="123"/>
      <c r="I292" s="49">
        <f>13000000/F292</f>
        <v>13522.588998108136</v>
      </c>
      <c r="L292" s="2" t="e">
        <f t="shared" ca="1" si="71"/>
        <v>#REF!</v>
      </c>
      <c r="M292" s="2" t="s">
        <v>168</v>
      </c>
      <c r="N292" s="49">
        <f t="shared" ref="N292:P292" si="75">N291+1</f>
        <v>4</v>
      </c>
      <c r="O292" s="2" t="e">
        <f t="shared" ca="1" si="75"/>
        <v>#REF!</v>
      </c>
      <c r="P292" s="2" t="e">
        <f t="shared" ca="1" si="75"/>
        <v>#REF!</v>
      </c>
    </row>
    <row r="293" spans="1:24" s="2" customFormat="1" ht="15.75" customHeight="1" x14ac:dyDescent="0.35">
      <c r="A293" s="123">
        <v>3</v>
      </c>
      <c r="B293" s="123"/>
      <c r="C293" s="98" t="s">
        <v>189</v>
      </c>
      <c r="D293" s="98">
        <f>46.95*10.764</f>
        <v>505.3698</v>
      </c>
      <c r="E293" s="98">
        <v>0</v>
      </c>
      <c r="F293" s="98">
        <f t="shared" ref="F293:F294" si="76">D293*(($F$223)+1)+E293</f>
        <v>808.59168</v>
      </c>
      <c r="G293" s="123"/>
      <c r="H293" s="123"/>
      <c r="I293" s="49"/>
      <c r="O293" s="2" t="str">
        <f>LEFT(A295,SUM(LEN(A295)-LEN(SUBSTITUTE(A295,{"0","1","2","3"},""))))</f>
        <v>8</v>
      </c>
      <c r="P293" s="2">
        <f ca="1">--TRIM(RIGHT(SUBSTITUTE(LEFT(A295,_xlfn.AGGREGATE(16,6,FIND({0,1,2,3,4,5,6,7,8,9},A295,ROW(INDIRECT("1:"&amp;LEN(A295)))),1))," ",REPT(" ",LEN(A295))),LEN(A295)))</f>
        <v>15</v>
      </c>
    </row>
    <row r="294" spans="1:24" s="2" customFormat="1" ht="15.75" customHeight="1" x14ac:dyDescent="0.35">
      <c r="A294" s="123">
        <v>4</v>
      </c>
      <c r="B294" s="123"/>
      <c r="C294" s="98" t="s">
        <v>189</v>
      </c>
      <c r="D294" s="98">
        <f>35.87*10.764</f>
        <v>386.10467999999997</v>
      </c>
      <c r="E294" s="98">
        <v>0</v>
      </c>
      <c r="F294" s="98">
        <f t="shared" si="76"/>
        <v>617.76748799999996</v>
      </c>
      <c r="G294" s="123"/>
      <c r="H294" s="123"/>
      <c r="I294" s="49"/>
      <c r="L294" s="2" t="str">
        <f ca="1">O294&amp;""&amp;M294&amp;""&amp;P294</f>
        <v>801,..,1501</v>
      </c>
      <c r="M294" s="2" t="s">
        <v>168</v>
      </c>
      <c r="N294" s="49">
        <v>1</v>
      </c>
      <c r="O294" s="2">
        <f ca="1">(SUMPRODUCT(MID(0&amp;O293, LARGE(INDEX(ISNUMBER(--MID(O293, ROW(INDIRECT("1:"&amp;LEN(O293))), 1)) * ROW(INDIRECT("1:"&amp;LEN(O293))), 0), ROW(INDIRECT("1:"&amp;LEN(O293))))+1, 1) * 10^ROW(INDIRECT("1:"&amp;LEN(O293)))/10))*N294*100+1</f>
        <v>801</v>
      </c>
      <c r="P294" s="2">
        <f ca="1">(SUMPRODUCT(MID(0&amp;P293, LARGE(INDEX(ISNUMBER(--MID(P293, ROW(INDIRECT("1:"&amp;LEN(P293))), 1)) * ROW(INDIRECT("1:"&amp;LEN(P293))), 0), ROW(INDIRECT("1:"&amp;LEN(P293))))+1, 1) * 10^ROW(INDIRECT("1:"&amp;LEN(P293)))/10))*N294*100+1</f>
        <v>1501</v>
      </c>
    </row>
    <row r="295" spans="1:24" s="2" customFormat="1" ht="15.75" customHeight="1" x14ac:dyDescent="0.35">
      <c r="A295" s="154" t="s">
        <v>203</v>
      </c>
      <c r="B295" s="154"/>
      <c r="C295" s="154"/>
      <c r="D295" s="154"/>
      <c r="E295" s="154"/>
      <c r="F295" s="154"/>
      <c r="G295" s="154"/>
      <c r="H295" s="154"/>
      <c r="I295" s="49"/>
      <c r="L295" s="2" t="str">
        <f t="shared" ref="L295:L297" ca="1" si="77">O295&amp;""&amp;M295&amp;""&amp;P295</f>
        <v>802,..,1502</v>
      </c>
      <c r="M295" s="2" t="s">
        <v>168</v>
      </c>
      <c r="N295" s="49">
        <f t="shared" ref="N295:P295" si="78">N294+1</f>
        <v>2</v>
      </c>
      <c r="O295" s="2">
        <f t="shared" ca="1" si="78"/>
        <v>802</v>
      </c>
      <c r="P295" s="2">
        <f t="shared" ca="1" si="78"/>
        <v>1502</v>
      </c>
    </row>
    <row r="296" spans="1:24" s="2" customFormat="1" ht="15.75" customHeight="1" x14ac:dyDescent="0.35">
      <c r="A296" s="123">
        <v>1</v>
      </c>
      <c r="B296" s="123"/>
      <c r="C296" s="98" t="s">
        <v>189</v>
      </c>
      <c r="D296" s="98">
        <f>35.62*10.764</f>
        <v>383.41367999999994</v>
      </c>
      <c r="E296" s="98">
        <v>0</v>
      </c>
      <c r="F296" s="98">
        <f t="shared" ref="F296" si="79">D296*(($F$223)+1)+E296</f>
        <v>613.46188799999993</v>
      </c>
      <c r="G296" s="123" t="str">
        <f>A295</f>
        <v>8th &amp; 15th Floor (Part Refuge Area)</v>
      </c>
      <c r="H296" s="123"/>
      <c r="I296" s="49"/>
      <c r="L296" s="2" t="str">
        <f t="shared" ca="1" si="77"/>
        <v>803,..,1503</v>
      </c>
      <c r="M296" s="2" t="s">
        <v>168</v>
      </c>
      <c r="N296" s="49">
        <f t="shared" ref="N296:P296" si="80">N295+1</f>
        <v>3</v>
      </c>
      <c r="O296" s="2">
        <f t="shared" ca="1" si="80"/>
        <v>803</v>
      </c>
      <c r="P296" s="2">
        <f t="shared" ca="1" si="80"/>
        <v>1503</v>
      </c>
    </row>
    <row r="297" spans="1:24" s="2" customFormat="1" ht="15.75" customHeight="1" x14ac:dyDescent="0.35">
      <c r="A297" s="123">
        <v>2</v>
      </c>
      <c r="B297" s="123"/>
      <c r="C297" s="98" t="s">
        <v>190</v>
      </c>
      <c r="D297" s="98">
        <f>55.82*10.764</f>
        <v>600.84647999999993</v>
      </c>
      <c r="E297" s="98">
        <v>0</v>
      </c>
      <c r="F297" s="98">
        <f>D297*(($F$223)+1)+E297</f>
        <v>961.35436799999991</v>
      </c>
      <c r="G297" s="123"/>
      <c r="H297" s="123"/>
      <c r="I297" s="49"/>
      <c r="L297" s="2" t="str">
        <f t="shared" ca="1" si="77"/>
        <v>804,..,1504</v>
      </c>
      <c r="M297" s="2" t="s">
        <v>168</v>
      </c>
      <c r="N297" s="49">
        <f t="shared" ref="N297:P297" si="81">N296+1</f>
        <v>4</v>
      </c>
      <c r="O297" s="2">
        <f t="shared" ca="1" si="81"/>
        <v>804</v>
      </c>
      <c r="P297" s="2">
        <f t="shared" ca="1" si="81"/>
        <v>1504</v>
      </c>
    </row>
    <row r="298" spans="1:24" s="2" customFormat="1" ht="15.75" customHeight="1" x14ac:dyDescent="0.35">
      <c r="A298" s="123">
        <v>3</v>
      </c>
      <c r="B298" s="123"/>
      <c r="C298" s="123" t="s">
        <v>201</v>
      </c>
      <c r="D298" s="123"/>
      <c r="E298" s="123"/>
      <c r="F298" s="123"/>
      <c r="G298" s="123"/>
      <c r="H298" s="123"/>
      <c r="I298" s="49"/>
      <c r="O298" s="2" t="str">
        <f>LEFT(A300,SUM(LEN(A300)-LEN(SUBSTITUTE(A300,{"0","1","2","3"},""))))</f>
        <v xml:space="preserve"> 2</v>
      </c>
      <c r="P298" s="2">
        <f ca="1">--TRIM(RIGHT(SUBSTITUTE(LEFT(A300,_xlfn.AGGREGATE(16,6,FIND({0,1,2,3,4,5,6,7,8,9},A300,ROW(INDIRECT("1:"&amp;LEN(A300)))),1))," ",REPT(" ",LEN(A300))),LEN(A300)))</f>
        <v>22</v>
      </c>
    </row>
    <row r="299" spans="1:24" s="2" customFormat="1" ht="15.75" customHeight="1" x14ac:dyDescent="0.35">
      <c r="A299" s="123">
        <v>4</v>
      </c>
      <c r="B299" s="123"/>
      <c r="C299" s="98" t="s">
        <v>189</v>
      </c>
      <c r="D299" s="98">
        <f>35.87*10.764</f>
        <v>386.10467999999997</v>
      </c>
      <c r="E299" s="98">
        <v>0</v>
      </c>
      <c r="F299" s="98">
        <f>D299*(($F$223)+1)+E299</f>
        <v>617.76748799999996</v>
      </c>
      <c r="G299" s="123"/>
      <c r="H299" s="123"/>
      <c r="I299" s="49"/>
      <c r="L299" s="2" t="str">
        <f ca="1">O299&amp;""&amp;M299&amp;""&amp;P299</f>
        <v>201,..,2201</v>
      </c>
      <c r="M299" s="2" t="s">
        <v>168</v>
      </c>
      <c r="N299" s="49">
        <v>1</v>
      </c>
      <c r="O299" s="2">
        <f ca="1">(SUMPRODUCT(MID(0&amp;O298, LARGE(INDEX(ISNUMBER(--MID(O298, ROW(INDIRECT("1:"&amp;LEN(O298))), 1)) * ROW(INDIRECT("1:"&amp;LEN(O298))), 0), ROW(INDIRECT("1:"&amp;LEN(O298))))+1, 1) * 10^ROW(INDIRECT("1:"&amp;LEN(O298)))/10))*N299*100+1</f>
        <v>201</v>
      </c>
      <c r="P299" s="2">
        <f ca="1">(SUMPRODUCT(MID(0&amp;P298, LARGE(INDEX(ISNUMBER(--MID(P298, ROW(INDIRECT("1:"&amp;LEN(P298))), 1)) * ROW(INDIRECT("1:"&amp;LEN(P298))), 0), ROW(INDIRECT("1:"&amp;LEN(P298))))+1, 1) * 10^ROW(INDIRECT("1:"&amp;LEN(P298)))/10))*N299*100+1</f>
        <v>2201</v>
      </c>
    </row>
    <row r="300" spans="1:24" s="2" customFormat="1" ht="15.75" customHeight="1" x14ac:dyDescent="0.35">
      <c r="A300" s="155" t="s">
        <v>204</v>
      </c>
      <c r="B300" s="156"/>
      <c r="C300" s="156"/>
      <c r="D300" s="156"/>
      <c r="E300" s="156"/>
      <c r="F300" s="156"/>
      <c r="G300" s="156"/>
      <c r="H300" s="157"/>
      <c r="I300" s="49"/>
      <c r="L300" s="2" t="str">
        <f t="shared" ref="L300:L302" ca="1" si="82">O300&amp;""&amp;M300&amp;""&amp;P300</f>
        <v>202,..,2202</v>
      </c>
      <c r="M300" s="2" t="s">
        <v>168</v>
      </c>
      <c r="N300" s="49">
        <f t="shared" ref="N300:P300" si="83">N299+1</f>
        <v>2</v>
      </c>
      <c r="O300" s="2">
        <f t="shared" ca="1" si="83"/>
        <v>202</v>
      </c>
      <c r="P300" s="2">
        <f t="shared" ca="1" si="83"/>
        <v>2202</v>
      </c>
    </row>
    <row r="301" spans="1:24" s="2" customFormat="1" ht="15.75" customHeight="1" x14ac:dyDescent="0.35">
      <c r="A301" s="124">
        <v>1</v>
      </c>
      <c r="B301" s="126"/>
      <c r="C301" s="50" t="s">
        <v>189</v>
      </c>
      <c r="D301" s="50">
        <f>35.62*10.764</f>
        <v>383.41367999999994</v>
      </c>
      <c r="E301" s="50">
        <v>0</v>
      </c>
      <c r="F301" s="50">
        <f t="shared" ref="F301" si="84">D301*(($F$223)+1)+E301</f>
        <v>613.46188799999993</v>
      </c>
      <c r="G301" s="148" t="str">
        <f>A300</f>
        <v xml:space="preserve"> 22nd Floor  (Part Refuge Area &amp; Part Fitness Centre)</v>
      </c>
      <c r="H301" s="149"/>
      <c r="I301" s="49"/>
      <c r="L301" s="2" t="str">
        <f t="shared" ca="1" si="82"/>
        <v>203,..,2203</v>
      </c>
      <c r="M301" s="2" t="s">
        <v>168</v>
      </c>
      <c r="N301" s="49">
        <f t="shared" ref="N301:P301" si="85">N300+1</f>
        <v>3</v>
      </c>
      <c r="O301" s="2">
        <f t="shared" ca="1" si="85"/>
        <v>203</v>
      </c>
      <c r="P301" s="2">
        <f t="shared" ca="1" si="85"/>
        <v>2203</v>
      </c>
    </row>
    <row r="302" spans="1:24" s="2" customFormat="1" ht="15.75" customHeight="1" x14ac:dyDescent="0.35">
      <c r="A302" s="124">
        <v>2</v>
      </c>
      <c r="B302" s="126"/>
      <c r="C302" s="124" t="s">
        <v>202</v>
      </c>
      <c r="D302" s="125"/>
      <c r="E302" s="125"/>
      <c r="F302" s="126"/>
      <c r="G302" s="150"/>
      <c r="H302" s="151"/>
      <c r="I302" s="49"/>
      <c r="L302" s="2" t="str">
        <f t="shared" ca="1" si="82"/>
        <v>204,..,2204</v>
      </c>
      <c r="M302" s="2" t="s">
        <v>168</v>
      </c>
      <c r="N302" s="49">
        <f t="shared" ref="N302:P302" si="86">N301+1</f>
        <v>4</v>
      </c>
      <c r="O302" s="2">
        <f t="shared" ca="1" si="86"/>
        <v>204</v>
      </c>
      <c r="P302" s="2">
        <f t="shared" ca="1" si="86"/>
        <v>2204</v>
      </c>
    </row>
    <row r="303" spans="1:24" s="2" customFormat="1" ht="15.75" customHeight="1" x14ac:dyDescent="0.35">
      <c r="A303" s="124">
        <v>3</v>
      </c>
      <c r="B303" s="126"/>
      <c r="C303" s="124" t="s">
        <v>201</v>
      </c>
      <c r="D303" s="125"/>
      <c r="E303" s="125"/>
      <c r="F303" s="126"/>
      <c r="G303" s="150"/>
      <c r="H303" s="15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s="2" customFormat="1" ht="15.75" customHeight="1" x14ac:dyDescent="0.35">
      <c r="A304" s="124">
        <v>4</v>
      </c>
      <c r="B304" s="126"/>
      <c r="C304" s="50" t="s">
        <v>189</v>
      </c>
      <c r="D304" s="50">
        <f>35.87*10.764</f>
        <v>386.10467999999997</v>
      </c>
      <c r="E304" s="50">
        <v>0</v>
      </c>
      <c r="F304" s="50">
        <f t="shared" ref="F304" si="87">D304*(($F$223)+1)+E304</f>
        <v>617.76748799999996</v>
      </c>
      <c r="G304" s="152"/>
      <c r="H304" s="15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s="1" customFormat="1" x14ac:dyDescent="0.35">
      <c r="A305" s="202" t="s">
        <v>81</v>
      </c>
      <c r="B305" s="202"/>
      <c r="C305" s="202"/>
      <c r="D305" s="202"/>
      <c r="E305" s="202"/>
      <c r="F305" s="202"/>
      <c r="G305" s="202"/>
      <c r="H305" s="202"/>
    </row>
    <row r="306" spans="1:24" s="1" customFormat="1" ht="32" customHeight="1" x14ac:dyDescent="0.35">
      <c r="A306" s="64">
        <v>1</v>
      </c>
      <c r="B306" s="158" t="s">
        <v>283</v>
      </c>
      <c r="C306" s="159"/>
      <c r="D306" s="159"/>
      <c r="E306" s="159"/>
      <c r="F306" s="159"/>
      <c r="G306" s="159"/>
      <c r="H306" s="160"/>
    </row>
    <row r="307" spans="1:24" s="1" customFormat="1" x14ac:dyDescent="0.35">
      <c r="A307" s="64">
        <v>2</v>
      </c>
      <c r="B307" s="158" t="s">
        <v>205</v>
      </c>
      <c r="C307" s="159"/>
      <c r="D307" s="159"/>
      <c r="E307" s="159"/>
      <c r="F307" s="159"/>
      <c r="G307" s="159"/>
      <c r="H307" s="160"/>
    </row>
    <row r="308" spans="1:24" s="1" customFormat="1" x14ac:dyDescent="0.35">
      <c r="A308" s="64">
        <v>3</v>
      </c>
      <c r="B308" s="114" t="s">
        <v>176</v>
      </c>
      <c r="C308" s="115"/>
      <c r="D308" s="115"/>
      <c r="E308" s="115"/>
      <c r="F308" s="115"/>
      <c r="G308" s="115"/>
      <c r="H308" s="116"/>
    </row>
    <row r="309" spans="1:24" s="1" customFormat="1" x14ac:dyDescent="0.35">
      <c r="A309" s="64">
        <v>4</v>
      </c>
      <c r="B309" s="114" t="s">
        <v>237</v>
      </c>
      <c r="C309" s="115"/>
      <c r="D309" s="115"/>
      <c r="E309" s="115"/>
      <c r="F309" s="115"/>
      <c r="G309" s="115"/>
      <c r="H309" s="116"/>
    </row>
    <row r="310" spans="1:24" s="1" customFormat="1" x14ac:dyDescent="0.35">
      <c r="A310" s="64">
        <v>5</v>
      </c>
      <c r="B310" s="114" t="s">
        <v>177</v>
      </c>
      <c r="C310" s="115"/>
      <c r="D310" s="115"/>
      <c r="E310" s="115"/>
      <c r="F310" s="115"/>
      <c r="G310" s="115"/>
      <c r="H310" s="116"/>
    </row>
    <row r="311" spans="1:24" s="1" customFormat="1" x14ac:dyDescent="0.35">
      <c r="A311" s="64">
        <v>6</v>
      </c>
      <c r="B311" s="114" t="s">
        <v>178</v>
      </c>
      <c r="C311" s="115"/>
      <c r="D311" s="115"/>
      <c r="E311" s="115"/>
      <c r="F311" s="115"/>
      <c r="G311" s="115"/>
      <c r="H311" s="116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s="1" customFormat="1" ht="32.25" customHeight="1" x14ac:dyDescent="0.35">
      <c r="A312" s="64">
        <v>7</v>
      </c>
      <c r="B312" s="114" t="s">
        <v>261</v>
      </c>
      <c r="C312" s="115"/>
      <c r="D312" s="115"/>
      <c r="E312" s="115"/>
      <c r="F312" s="115"/>
      <c r="G312" s="115"/>
      <c r="H312" s="116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s="1" customFormat="1" hidden="1" x14ac:dyDescent="0.35">
      <c r="A313" s="64">
        <v>8</v>
      </c>
      <c r="B313" s="101" t="s">
        <v>274</v>
      </c>
      <c r="C313" s="102"/>
      <c r="D313" s="102"/>
      <c r="E313" s="102"/>
      <c r="F313" s="102"/>
      <c r="G313" s="102"/>
      <c r="H313" s="103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s="1" customFormat="1" ht="33.75" hidden="1" customHeight="1" x14ac:dyDescent="0.35">
      <c r="A314" s="64">
        <v>8</v>
      </c>
      <c r="B314" s="114" t="s">
        <v>243</v>
      </c>
      <c r="C314" s="115"/>
      <c r="D314" s="115"/>
      <c r="E314" s="115"/>
      <c r="F314" s="115"/>
      <c r="G314" s="115"/>
      <c r="H314" s="116"/>
    </row>
    <row r="315" spans="1:24" s="1" customFormat="1" ht="18" customHeight="1" x14ac:dyDescent="0.35">
      <c r="A315" s="64">
        <v>9</v>
      </c>
      <c r="B315" s="101" t="s">
        <v>241</v>
      </c>
      <c r="C315" s="102"/>
      <c r="D315" s="102"/>
      <c r="E315" s="102"/>
      <c r="F315" s="102"/>
      <c r="G315" s="102"/>
      <c r="H315" s="103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s="1" customFormat="1" x14ac:dyDescent="0.35">
      <c r="A316" s="64">
        <v>10</v>
      </c>
      <c r="B316" s="101" t="s">
        <v>262</v>
      </c>
      <c r="C316" s="102"/>
      <c r="D316" s="102"/>
      <c r="E316" s="102"/>
      <c r="F316" s="102"/>
      <c r="G316" s="102"/>
      <c r="H316" s="103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s="1" customFormat="1" x14ac:dyDescent="0.35">
      <c r="A317" s="64">
        <v>11</v>
      </c>
      <c r="B317" s="101" t="s">
        <v>270</v>
      </c>
      <c r="C317" s="102"/>
      <c r="D317" s="102"/>
      <c r="E317" s="102"/>
      <c r="F317" s="102"/>
      <c r="G317" s="102"/>
      <c r="H317" s="103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s="1" customFormat="1" hidden="1" x14ac:dyDescent="0.35">
      <c r="A318" s="64">
        <v>12</v>
      </c>
      <c r="B318" s="101" t="s">
        <v>279</v>
      </c>
      <c r="C318" s="102"/>
      <c r="D318" s="102"/>
      <c r="E318" s="102"/>
      <c r="F318" s="102"/>
      <c r="G318" s="102"/>
      <c r="H318" s="103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x14ac:dyDescent="0.35">
      <c r="A319" s="210" t="s">
        <v>74</v>
      </c>
      <c r="B319" s="210"/>
      <c r="C319" s="210"/>
      <c r="D319" s="210"/>
      <c r="E319" s="210"/>
      <c r="F319" s="210"/>
      <c r="G319" s="210"/>
      <c r="H319" s="210"/>
    </row>
    <row r="320" spans="1:24" x14ac:dyDescent="0.35">
      <c r="A320" s="170" t="s">
        <v>75</v>
      </c>
      <c r="B320" s="170"/>
      <c r="C320" s="170"/>
      <c r="D320" s="170"/>
      <c r="E320" s="170"/>
      <c r="F320" s="170"/>
      <c r="G320" s="170"/>
      <c r="H320" s="170"/>
    </row>
    <row r="321" spans="1:8" ht="15.75" customHeight="1" x14ac:dyDescent="0.35">
      <c r="A321" s="169" t="s">
        <v>76</v>
      </c>
      <c r="B321" s="169"/>
      <c r="C321" s="169"/>
      <c r="D321" s="169"/>
      <c r="E321" s="169"/>
      <c r="F321" s="169"/>
      <c r="G321" s="169"/>
      <c r="H321" s="169"/>
    </row>
    <row r="322" spans="1:8" x14ac:dyDescent="0.35">
      <c r="A322" s="170" t="s">
        <v>77</v>
      </c>
      <c r="B322" s="170"/>
      <c r="C322" s="170"/>
      <c r="D322" s="170"/>
      <c r="E322" s="170"/>
      <c r="F322" s="170"/>
      <c r="G322" s="170"/>
      <c r="H322" s="170"/>
    </row>
    <row r="323" spans="1:8" x14ac:dyDescent="0.35">
      <c r="A323" s="170" t="s">
        <v>78</v>
      </c>
      <c r="B323" s="170"/>
      <c r="C323" s="170"/>
      <c r="D323" s="170"/>
      <c r="E323" s="170"/>
      <c r="F323" s="170"/>
      <c r="G323" s="170"/>
      <c r="H323" s="170"/>
    </row>
    <row r="324" spans="1:8" x14ac:dyDescent="0.35">
      <c r="A324" s="170" t="s">
        <v>179</v>
      </c>
      <c r="B324" s="170"/>
      <c r="C324" s="170"/>
      <c r="D324" s="170"/>
      <c r="E324" s="170"/>
      <c r="F324" s="170"/>
      <c r="G324" s="170"/>
      <c r="H324" s="170"/>
    </row>
    <row r="325" spans="1:8" ht="31.5" hidden="1" customHeight="1" x14ac:dyDescent="0.35">
      <c r="A325" s="175" t="s">
        <v>180</v>
      </c>
      <c r="B325" s="175"/>
      <c r="C325" s="175"/>
      <c r="D325" s="175"/>
      <c r="E325" s="175"/>
      <c r="F325" s="175"/>
      <c r="G325" s="175"/>
      <c r="H325" s="175"/>
    </row>
    <row r="326" spans="1:8" x14ac:dyDescent="0.35">
      <c r="A326" s="200" t="s">
        <v>114</v>
      </c>
      <c r="B326" s="200"/>
      <c r="C326" s="200" t="s">
        <v>281</v>
      </c>
      <c r="D326" s="200"/>
      <c r="E326" s="200" t="s">
        <v>154</v>
      </c>
      <c r="F326" s="200"/>
      <c r="G326" s="200" t="s">
        <v>284</v>
      </c>
      <c r="H326" s="200"/>
    </row>
    <row r="327" spans="1:8" x14ac:dyDescent="0.35">
      <c r="A327" s="199" t="s">
        <v>116</v>
      </c>
      <c r="B327" s="199"/>
      <c r="C327" s="199"/>
      <c r="D327" s="199"/>
      <c r="E327" s="199"/>
      <c r="F327" s="199"/>
      <c r="G327" s="199"/>
      <c r="H327" s="199"/>
    </row>
    <row r="328" spans="1:8" x14ac:dyDescent="0.35">
      <c r="A328" s="199"/>
      <c r="B328" s="199"/>
      <c r="C328" s="199"/>
      <c r="D328" s="199"/>
      <c r="E328" s="199"/>
      <c r="F328" s="199"/>
      <c r="G328" s="199"/>
      <c r="H328" s="199"/>
    </row>
    <row r="329" spans="1:8" x14ac:dyDescent="0.35">
      <c r="A329" s="199"/>
      <c r="B329" s="199"/>
      <c r="C329" s="199"/>
      <c r="D329" s="199"/>
      <c r="E329" s="199"/>
      <c r="F329" s="199"/>
      <c r="G329" s="199"/>
      <c r="H329" s="199"/>
    </row>
    <row r="330" spans="1:8" x14ac:dyDescent="0.35">
      <c r="A330" s="199"/>
      <c r="B330" s="199"/>
      <c r="C330" s="199"/>
      <c r="D330" s="199"/>
      <c r="E330" s="199"/>
      <c r="F330" s="199"/>
      <c r="G330" s="199"/>
      <c r="H330" s="199"/>
    </row>
    <row r="331" spans="1:8" x14ac:dyDescent="0.35">
      <c r="A331" s="18" t="s">
        <v>79</v>
      </c>
      <c r="B331" s="19"/>
      <c r="C331" s="19"/>
      <c r="D331" s="18" t="str">
        <f>E8</f>
        <v>Veena Smart Homes</v>
      </c>
      <c r="F331" s="19"/>
      <c r="G331" s="19"/>
      <c r="H331" s="19"/>
    </row>
    <row r="332" spans="1:8" x14ac:dyDescent="0.35">
      <c r="A332" s="19"/>
      <c r="B332" s="19"/>
      <c r="C332" s="19"/>
      <c r="D332" s="19"/>
      <c r="E332" s="19"/>
      <c r="F332" s="19"/>
      <c r="G332" s="19"/>
      <c r="H332" s="19"/>
    </row>
    <row r="333" spans="1:8" x14ac:dyDescent="0.35">
      <c r="A333" s="19"/>
      <c r="B333" s="19"/>
      <c r="C333" s="19"/>
      <c r="D333" s="19"/>
      <c r="E333" s="19"/>
      <c r="F333" s="19"/>
      <c r="G333" s="19"/>
      <c r="H333" s="19"/>
    </row>
    <row r="334" spans="1:8" ht="15" customHeight="1" x14ac:dyDescent="0.35"/>
    <row r="337" spans="9:9" x14ac:dyDescent="0.35">
      <c r="I337"/>
    </row>
    <row r="375" spans="1:1" x14ac:dyDescent="0.35">
      <c r="A375" s="21" t="s">
        <v>80</v>
      </c>
    </row>
  </sheetData>
  <mergeCells count="573">
    <mergeCell ref="B317:H317"/>
    <mergeCell ref="C35:H35"/>
    <mergeCell ref="A36:B36"/>
    <mergeCell ref="C36:H36"/>
    <mergeCell ref="A130:B130"/>
    <mergeCell ref="A131:B131"/>
    <mergeCell ref="G159:H159"/>
    <mergeCell ref="A167:B167"/>
    <mergeCell ref="A156:B156"/>
    <mergeCell ref="C156:D156"/>
    <mergeCell ref="E156:F156"/>
    <mergeCell ref="G156:H156"/>
    <mergeCell ref="A158:B158"/>
    <mergeCell ref="A277:H277"/>
    <mergeCell ref="A278:B278"/>
    <mergeCell ref="G278:H280"/>
    <mergeCell ref="A279:B279"/>
    <mergeCell ref="A280:B280"/>
    <mergeCell ref="C253:F253"/>
    <mergeCell ref="A246:H246"/>
    <mergeCell ref="A262:H262"/>
    <mergeCell ref="A263:B263"/>
    <mergeCell ref="A264:B264"/>
    <mergeCell ref="A265:B265"/>
    <mergeCell ref="L181:M181"/>
    <mergeCell ref="L176:M176"/>
    <mergeCell ref="L174:M174"/>
    <mergeCell ref="L180:M180"/>
    <mergeCell ref="L179:M179"/>
    <mergeCell ref="L175:M175"/>
    <mergeCell ref="C163:D163"/>
    <mergeCell ref="E163:F163"/>
    <mergeCell ref="G163:H163"/>
    <mergeCell ref="C167:D167"/>
    <mergeCell ref="E167:F167"/>
    <mergeCell ref="G167:H167"/>
    <mergeCell ref="G263:H265"/>
    <mergeCell ref="C273:F273"/>
    <mergeCell ref="A266:H266"/>
    <mergeCell ref="A267:B267"/>
    <mergeCell ref="G267:H270"/>
    <mergeCell ref="A276:H276"/>
    <mergeCell ref="A218:B218"/>
    <mergeCell ref="A224:H224"/>
    <mergeCell ref="A255:B255"/>
    <mergeCell ref="G252:H255"/>
    <mergeCell ref="A268:B268"/>
    <mergeCell ref="A250:B250"/>
    <mergeCell ref="A242:B242"/>
    <mergeCell ref="A243:B243"/>
    <mergeCell ref="A244:B244"/>
    <mergeCell ref="A245:B245"/>
    <mergeCell ref="A248:B248"/>
    <mergeCell ref="A249:B249"/>
    <mergeCell ref="A185:H185"/>
    <mergeCell ref="A186:H186"/>
    <mergeCell ref="A187:B187"/>
    <mergeCell ref="A238:B238"/>
    <mergeCell ref="A184:B184"/>
    <mergeCell ref="A285:H285"/>
    <mergeCell ref="A286:B286"/>
    <mergeCell ref="G286:H288"/>
    <mergeCell ref="A287:B287"/>
    <mergeCell ref="C287:F287"/>
    <mergeCell ref="A288:B288"/>
    <mergeCell ref="C288:F288"/>
    <mergeCell ref="A281:H281"/>
    <mergeCell ref="A282:B282"/>
    <mergeCell ref="G282:H284"/>
    <mergeCell ref="A283:B283"/>
    <mergeCell ref="C283:F283"/>
    <mergeCell ref="A284:B284"/>
    <mergeCell ref="C254:F254"/>
    <mergeCell ref="A236:B236"/>
    <mergeCell ref="A237:B237"/>
    <mergeCell ref="A239:B239"/>
    <mergeCell ref="C238:F238"/>
    <mergeCell ref="A247:B247"/>
    <mergeCell ref="A240:H240"/>
    <mergeCell ref="G247:H250"/>
    <mergeCell ref="G242:H245"/>
    <mergeCell ref="G236:H239"/>
    <mergeCell ref="A210:B210"/>
    <mergeCell ref="L218:M218"/>
    <mergeCell ref="L219:M219"/>
    <mergeCell ref="A211:H211"/>
    <mergeCell ref="A214:H214"/>
    <mergeCell ref="L215:M215"/>
    <mergeCell ref="A215:B215"/>
    <mergeCell ref="A216:B216"/>
    <mergeCell ref="L207:M207"/>
    <mergeCell ref="L208:M208"/>
    <mergeCell ref="L209:M209"/>
    <mergeCell ref="L210:M210"/>
    <mergeCell ref="A217:B217"/>
    <mergeCell ref="A213:H213"/>
    <mergeCell ref="A104:B104"/>
    <mergeCell ref="C104:H104"/>
    <mergeCell ref="A106:B106"/>
    <mergeCell ref="C106:H106"/>
    <mergeCell ref="A107:B107"/>
    <mergeCell ref="E107:F107"/>
    <mergeCell ref="G107:H107"/>
    <mergeCell ref="A57:C57"/>
    <mergeCell ref="D56:H56"/>
    <mergeCell ref="A72:B72"/>
    <mergeCell ref="A73:B73"/>
    <mergeCell ref="A74:B74"/>
    <mergeCell ref="C74:H74"/>
    <mergeCell ref="A76:B76"/>
    <mergeCell ref="C76:H76"/>
    <mergeCell ref="A77:B77"/>
    <mergeCell ref="E77:F77"/>
    <mergeCell ref="G77:H77"/>
    <mergeCell ref="A78:B78"/>
    <mergeCell ref="E78:F87"/>
    <mergeCell ref="E63:F63"/>
    <mergeCell ref="A95:B95"/>
    <mergeCell ref="A96:B96"/>
    <mergeCell ref="A97:B97"/>
    <mergeCell ref="A120:B120"/>
    <mergeCell ref="C120:H120"/>
    <mergeCell ref="A121:B121"/>
    <mergeCell ref="E121:F121"/>
    <mergeCell ref="G121:H121"/>
    <mergeCell ref="A122:B122"/>
    <mergeCell ref="E122:F131"/>
    <mergeCell ref="G122:H131"/>
    <mergeCell ref="A123:B123"/>
    <mergeCell ref="A124:B124"/>
    <mergeCell ref="A125:B125"/>
    <mergeCell ref="A126:B126"/>
    <mergeCell ref="A127:B127"/>
    <mergeCell ref="A128:B128"/>
    <mergeCell ref="A129:B129"/>
    <mergeCell ref="A324:H324"/>
    <mergeCell ref="A325:H325"/>
    <mergeCell ref="F136:H136"/>
    <mergeCell ref="A133:H133"/>
    <mergeCell ref="A134:B134"/>
    <mergeCell ref="C134:H134"/>
    <mergeCell ref="F137:H137"/>
    <mergeCell ref="A137:E137"/>
    <mergeCell ref="F138:H138"/>
    <mergeCell ref="A175:B175"/>
    <mergeCell ref="A143:E143"/>
    <mergeCell ref="F143:H143"/>
    <mergeCell ref="A139:E139"/>
    <mergeCell ref="F139:H139"/>
    <mergeCell ref="A140:E140"/>
    <mergeCell ref="F140:H140"/>
    <mergeCell ref="A319:H319"/>
    <mergeCell ref="A320:H320"/>
    <mergeCell ref="C162:D162"/>
    <mergeCell ref="F145:H145"/>
    <mergeCell ref="A141:E141"/>
    <mergeCell ref="F141:H141"/>
    <mergeCell ref="A142:E142"/>
    <mergeCell ref="F142:H142"/>
    <mergeCell ref="C32:E32"/>
    <mergeCell ref="C33:E33"/>
    <mergeCell ref="D57:H57"/>
    <mergeCell ref="C46:E46"/>
    <mergeCell ref="A49:B49"/>
    <mergeCell ref="C49:E49"/>
    <mergeCell ref="A46:B46"/>
    <mergeCell ref="A50:H50"/>
    <mergeCell ref="A51:C51"/>
    <mergeCell ref="D54:H54"/>
    <mergeCell ref="A52:C52"/>
    <mergeCell ref="D52:H52"/>
    <mergeCell ref="A53:C53"/>
    <mergeCell ref="G49:H49"/>
    <mergeCell ref="A45:B45"/>
    <mergeCell ref="C45:E45"/>
    <mergeCell ref="G45:H45"/>
    <mergeCell ref="D53:H53"/>
    <mergeCell ref="A40:D40"/>
    <mergeCell ref="E40:H40"/>
    <mergeCell ref="G46:H46"/>
    <mergeCell ref="A47:B48"/>
    <mergeCell ref="G47:H47"/>
    <mergeCell ref="E41:H41"/>
    <mergeCell ref="A327:H330"/>
    <mergeCell ref="A326:B326"/>
    <mergeCell ref="E326:F326"/>
    <mergeCell ref="C326:D326"/>
    <mergeCell ref="G326:H326"/>
    <mergeCell ref="A150:H150"/>
    <mergeCell ref="A148:E148"/>
    <mergeCell ref="F148:H148"/>
    <mergeCell ref="A149:E149"/>
    <mergeCell ref="F149:H149"/>
    <mergeCell ref="A162:B162"/>
    <mergeCell ref="A228:B228"/>
    <mergeCell ref="A152:B152"/>
    <mergeCell ref="A322:H322"/>
    <mergeCell ref="A160:H160"/>
    <mergeCell ref="A179:B179"/>
    <mergeCell ref="A180:B180"/>
    <mergeCell ref="A174:B174"/>
    <mergeCell ref="A176:B176"/>
    <mergeCell ref="A177:B177"/>
    <mergeCell ref="A178:B178"/>
    <mergeCell ref="A173:H173"/>
    <mergeCell ref="A323:H323"/>
    <mergeCell ref="A305:H305"/>
    <mergeCell ref="D51:H51"/>
    <mergeCell ref="C47:E47"/>
    <mergeCell ref="A138:E138"/>
    <mergeCell ref="A135:H135"/>
    <mergeCell ref="A136:E136"/>
    <mergeCell ref="A58:C58"/>
    <mergeCell ref="D58:H58"/>
    <mergeCell ref="A169:H169"/>
    <mergeCell ref="A161:B161"/>
    <mergeCell ref="A168:H168"/>
    <mergeCell ref="A144:E144"/>
    <mergeCell ref="A59:C59"/>
    <mergeCell ref="D59:H59"/>
    <mergeCell ref="A146:E146"/>
    <mergeCell ref="C48:H48"/>
    <mergeCell ref="A132:E132"/>
    <mergeCell ref="F132:H132"/>
    <mergeCell ref="A56:C56"/>
    <mergeCell ref="A65:B65"/>
    <mergeCell ref="A66:B66"/>
    <mergeCell ref="A67:B67"/>
    <mergeCell ref="A98:B98"/>
    <mergeCell ref="A99:B99"/>
    <mergeCell ref="A147:E147"/>
    <mergeCell ref="E42:H42"/>
    <mergeCell ref="E43:H43"/>
    <mergeCell ref="A41:D41"/>
    <mergeCell ref="A42:D42"/>
    <mergeCell ref="A43:D43"/>
    <mergeCell ref="A44:H4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A39:D39"/>
    <mergeCell ref="C30:E30"/>
    <mergeCell ref="A31:B31"/>
    <mergeCell ref="C31:E31"/>
    <mergeCell ref="A32:B32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A23:D23"/>
    <mergeCell ref="A321:H321"/>
    <mergeCell ref="G151:H151"/>
    <mergeCell ref="A145:E145"/>
    <mergeCell ref="C152:D152"/>
    <mergeCell ref="E152:F152"/>
    <mergeCell ref="G152:H152"/>
    <mergeCell ref="C161:D161"/>
    <mergeCell ref="E161:F161"/>
    <mergeCell ref="G161:H161"/>
    <mergeCell ref="G170:H171"/>
    <mergeCell ref="C222:C223"/>
    <mergeCell ref="D222:D223"/>
    <mergeCell ref="E222:E223"/>
    <mergeCell ref="G222:H223"/>
    <mergeCell ref="D170:D171"/>
    <mergeCell ref="C170:C171"/>
    <mergeCell ref="B222:B223"/>
    <mergeCell ref="A222:A223"/>
    <mergeCell ref="E162:F162"/>
    <mergeCell ref="A232:B232"/>
    <mergeCell ref="A172:H172"/>
    <mergeCell ref="A204:H204"/>
    <mergeCell ref="A205:H205"/>
    <mergeCell ref="A163:B163"/>
    <mergeCell ref="L184:M184"/>
    <mergeCell ref="G183:H184"/>
    <mergeCell ref="L178:M178"/>
    <mergeCell ref="L177:M177"/>
    <mergeCell ref="G231:H234"/>
    <mergeCell ref="G226:H229"/>
    <mergeCell ref="G174:H181"/>
    <mergeCell ref="A233:B233"/>
    <mergeCell ref="A234:B234"/>
    <mergeCell ref="A225:H225"/>
    <mergeCell ref="A229:B229"/>
    <mergeCell ref="A226:B226"/>
    <mergeCell ref="A227:B227"/>
    <mergeCell ref="L212:M212"/>
    <mergeCell ref="G212:H212"/>
    <mergeCell ref="A220:H220"/>
    <mergeCell ref="A221:B221"/>
    <mergeCell ref="G221:H221"/>
    <mergeCell ref="L221:M221"/>
    <mergeCell ref="A206:B206"/>
    <mergeCell ref="A181:B181"/>
    <mergeCell ref="A182:H182"/>
    <mergeCell ref="G215:H219"/>
    <mergeCell ref="A219:B219"/>
    <mergeCell ref="A68:B68"/>
    <mergeCell ref="A69:B69"/>
    <mergeCell ref="A70:B70"/>
    <mergeCell ref="A71:B71"/>
    <mergeCell ref="A183:B183"/>
    <mergeCell ref="L183:M183"/>
    <mergeCell ref="A153:B153"/>
    <mergeCell ref="A108:B108"/>
    <mergeCell ref="E108:F117"/>
    <mergeCell ref="G108:H117"/>
    <mergeCell ref="A109:B109"/>
    <mergeCell ref="A110:B110"/>
    <mergeCell ref="A111:B111"/>
    <mergeCell ref="A112:B112"/>
    <mergeCell ref="A113:B113"/>
    <mergeCell ref="A114:B114"/>
    <mergeCell ref="A115:B115"/>
    <mergeCell ref="G153:H153"/>
    <mergeCell ref="A94:B94"/>
    <mergeCell ref="E94:F103"/>
    <mergeCell ref="G94:H103"/>
    <mergeCell ref="B170:B171"/>
    <mergeCell ref="A170:A171"/>
    <mergeCell ref="E170:E171"/>
    <mergeCell ref="A116:B116"/>
    <mergeCell ref="A117:B117"/>
    <mergeCell ref="C153:D153"/>
    <mergeCell ref="E153:F153"/>
    <mergeCell ref="A289:H289"/>
    <mergeCell ref="A290:H290"/>
    <mergeCell ref="A291:B291"/>
    <mergeCell ref="G291:H294"/>
    <mergeCell ref="A292:B292"/>
    <mergeCell ref="A293:B293"/>
    <mergeCell ref="A294:B294"/>
    <mergeCell ref="A165:B165"/>
    <mergeCell ref="C165:D165"/>
    <mergeCell ref="E165:F165"/>
    <mergeCell ref="G165:H165"/>
    <mergeCell ref="A166:B166"/>
    <mergeCell ref="C166:D166"/>
    <mergeCell ref="E166:F166"/>
    <mergeCell ref="G166:H166"/>
    <mergeCell ref="C249:F249"/>
    <mergeCell ref="A251:H251"/>
    <mergeCell ref="F147:H147"/>
    <mergeCell ref="A118:B118"/>
    <mergeCell ref="C118:H118"/>
    <mergeCell ref="B315:H315"/>
    <mergeCell ref="A295:H295"/>
    <mergeCell ref="A296:B296"/>
    <mergeCell ref="G296:H299"/>
    <mergeCell ref="A297:B297"/>
    <mergeCell ref="A298:B298"/>
    <mergeCell ref="C298:F298"/>
    <mergeCell ref="A299:B299"/>
    <mergeCell ref="A300:H300"/>
    <mergeCell ref="A301:B301"/>
    <mergeCell ref="G301:H304"/>
    <mergeCell ref="A302:B302"/>
    <mergeCell ref="C302:F302"/>
    <mergeCell ref="A303:B303"/>
    <mergeCell ref="C303:F303"/>
    <mergeCell ref="A304:B304"/>
    <mergeCell ref="B311:H311"/>
    <mergeCell ref="B313:H313"/>
    <mergeCell ref="B306:H306"/>
    <mergeCell ref="B307:H307"/>
    <mergeCell ref="B308:H308"/>
    <mergeCell ref="B309:H309"/>
    <mergeCell ref="B310:H310"/>
    <mergeCell ref="B314:H314"/>
    <mergeCell ref="A189:B189"/>
    <mergeCell ref="L189:M189"/>
    <mergeCell ref="A190:B190"/>
    <mergeCell ref="L190:M190"/>
    <mergeCell ref="G206:H210"/>
    <mergeCell ref="C237:F237"/>
    <mergeCell ref="A199:H199"/>
    <mergeCell ref="A200:B200"/>
    <mergeCell ref="L200:M200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235:H235"/>
    <mergeCell ref="L217:M217"/>
    <mergeCell ref="A207:B207"/>
    <mergeCell ref="A241:H241"/>
    <mergeCell ref="A258:B258"/>
    <mergeCell ref="G258:H261"/>
    <mergeCell ref="A259:B259"/>
    <mergeCell ref="A260:B260"/>
    <mergeCell ref="A261:B261"/>
    <mergeCell ref="L201:M201"/>
    <mergeCell ref="A202:B202"/>
    <mergeCell ref="L202:M202"/>
    <mergeCell ref="A203:B203"/>
    <mergeCell ref="L203:M203"/>
    <mergeCell ref="G200:H203"/>
    <mergeCell ref="A256:H256"/>
    <mergeCell ref="A201:B201"/>
    <mergeCell ref="A252:B252"/>
    <mergeCell ref="A253:B253"/>
    <mergeCell ref="A254:B254"/>
    <mergeCell ref="A212:B212"/>
    <mergeCell ref="A257:H257"/>
    <mergeCell ref="A230:H230"/>
    <mergeCell ref="A231:B231"/>
    <mergeCell ref="C232:F232"/>
    <mergeCell ref="A208:B208"/>
    <mergeCell ref="A209:B209"/>
    <mergeCell ref="A81:B81"/>
    <mergeCell ref="A82:B82"/>
    <mergeCell ref="A60:B60"/>
    <mergeCell ref="A88:B89"/>
    <mergeCell ref="E88:F89"/>
    <mergeCell ref="C88:D89"/>
    <mergeCell ref="G88:H89"/>
    <mergeCell ref="L206:M206"/>
    <mergeCell ref="L216:M216"/>
    <mergeCell ref="L198:M198"/>
    <mergeCell ref="G187:H198"/>
    <mergeCell ref="A191:B191"/>
    <mergeCell ref="L191:M191"/>
    <mergeCell ref="A198:B198"/>
    <mergeCell ref="G63:H63"/>
    <mergeCell ref="A64:B64"/>
    <mergeCell ref="E64:F73"/>
    <mergeCell ref="G64:H73"/>
    <mergeCell ref="C157:D157"/>
    <mergeCell ref="E157:F157"/>
    <mergeCell ref="G157:H157"/>
    <mergeCell ref="L187:M187"/>
    <mergeCell ref="A188:B188"/>
    <mergeCell ref="L188:M188"/>
    <mergeCell ref="A271:H271"/>
    <mergeCell ref="A272:B272"/>
    <mergeCell ref="G272:H275"/>
    <mergeCell ref="A273:B273"/>
    <mergeCell ref="A274:B274"/>
    <mergeCell ref="A275:B275"/>
    <mergeCell ref="A157:B157"/>
    <mergeCell ref="D55:H55"/>
    <mergeCell ref="A54:C55"/>
    <mergeCell ref="A90:B90"/>
    <mergeCell ref="C90:H90"/>
    <mergeCell ref="A92:B92"/>
    <mergeCell ref="C92:H92"/>
    <mergeCell ref="A93:B93"/>
    <mergeCell ref="E93:F93"/>
    <mergeCell ref="G93:H93"/>
    <mergeCell ref="A83:B83"/>
    <mergeCell ref="A84:B84"/>
    <mergeCell ref="A85:B85"/>
    <mergeCell ref="A86:B86"/>
    <mergeCell ref="A87:B87"/>
    <mergeCell ref="G78:H87"/>
    <mergeCell ref="A79:B79"/>
    <mergeCell ref="A80:B80"/>
    <mergeCell ref="G154:H154"/>
    <mergeCell ref="A155:B155"/>
    <mergeCell ref="C155:D155"/>
    <mergeCell ref="E155:F155"/>
    <mergeCell ref="G155:H155"/>
    <mergeCell ref="A164:B164"/>
    <mergeCell ref="C164:D164"/>
    <mergeCell ref="E164:F164"/>
    <mergeCell ref="G164:H164"/>
    <mergeCell ref="C158:D158"/>
    <mergeCell ref="E158:F158"/>
    <mergeCell ref="G158:H158"/>
    <mergeCell ref="E159:F159"/>
    <mergeCell ref="G162:H162"/>
    <mergeCell ref="A159:B159"/>
    <mergeCell ref="C159:D159"/>
    <mergeCell ref="B318:H318"/>
    <mergeCell ref="C60:H60"/>
    <mergeCell ref="A62:B62"/>
    <mergeCell ref="C62:H62"/>
    <mergeCell ref="A63:B63"/>
    <mergeCell ref="B312:H312"/>
    <mergeCell ref="A100:B100"/>
    <mergeCell ref="A101:B101"/>
    <mergeCell ref="A102:B102"/>
    <mergeCell ref="A103:B103"/>
    <mergeCell ref="C151:D151"/>
    <mergeCell ref="A151:B151"/>
    <mergeCell ref="E151:F151"/>
    <mergeCell ref="F146:H146"/>
    <mergeCell ref="F144:H144"/>
    <mergeCell ref="A269:B269"/>
    <mergeCell ref="A270:B270"/>
    <mergeCell ref="C268:F268"/>
    <mergeCell ref="C269:F269"/>
    <mergeCell ref="C270:F270"/>
    <mergeCell ref="B316:H316"/>
    <mergeCell ref="A154:B154"/>
    <mergeCell ref="C154:D154"/>
    <mergeCell ref="E154:F154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6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  &amp;P</oddFooter>
  </headerFooter>
  <rowBreaks count="3" manualBreakCount="3">
    <brk id="89" max="16383" man="1"/>
    <brk id="330" max="16383" man="1"/>
    <brk id="37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workbookViewId="0">
      <selection activeCell="H13" sqref="H13"/>
    </sheetView>
  </sheetViews>
  <sheetFormatPr defaultRowHeight="14.5" x14ac:dyDescent="0.35"/>
  <cols>
    <col min="2" max="12" width="14.26953125" customWidth="1"/>
  </cols>
  <sheetData>
    <row r="1" spans="2:12" ht="15" thickBot="1" x14ac:dyDescent="0.4"/>
    <row r="2" spans="2:12" ht="15.5" x14ac:dyDescent="0.35">
      <c r="B2" s="231" t="s">
        <v>173</v>
      </c>
      <c r="C2" s="232"/>
      <c r="D2" s="232"/>
      <c r="E2" s="232"/>
      <c r="F2" s="232"/>
      <c r="G2" s="232"/>
      <c r="H2" s="232"/>
      <c r="I2" s="233"/>
      <c r="J2" s="25" t="str">
        <f>(IF(D6=0,"Work not yet Started.",IF(D6=1,"Excavation work in process",IF(D6=2,"Excavation work completed",IF(D6=4,"Footing work is process",IF(D6=5,"Footing work Completed",IF(D6=7,"Plinth work is process",IF(D6=10,"Plinth work completed","0")))))))&amp;(IF(D7&gt;0,", RCC upto "&amp;D7&amp;" Slab completed",""))&amp;(IF(D8&gt;0,", Brickwork upto "&amp;D8&amp;" Floor completed"," "))&amp;(IF(D9&gt;0,", Plaster upto "&amp;D9&amp;" Floor completed"," "))&amp;(IF(D10&gt;0,", Flooring upto "&amp;D10&amp;" Floor completed"," "))&amp;(IF(D11&gt;0,", Painting upto "&amp;D11&amp;" Floor completed"," "))&amp;(IF(D12&gt;0,", Finishing upto "&amp;D12&amp;" Floor completed"," ")))</f>
        <v xml:space="preserve">Plinth work completed     </v>
      </c>
      <c r="K2" s="26"/>
      <c r="L2" s="27"/>
    </row>
    <row r="3" spans="2:12" ht="15.5" x14ac:dyDescent="0.35">
      <c r="B3" s="234" t="s">
        <v>106</v>
      </c>
      <c r="C3" s="235"/>
      <c r="D3" s="236">
        <v>1</v>
      </c>
      <c r="E3" s="237"/>
      <c r="F3" s="51" t="s">
        <v>105</v>
      </c>
      <c r="G3" s="14">
        <v>3</v>
      </c>
      <c r="H3" s="52" t="s">
        <v>120</v>
      </c>
      <c r="I3" s="23">
        <v>42</v>
      </c>
      <c r="J3" s="28" t="s">
        <v>151</v>
      </c>
      <c r="K3" s="22"/>
      <c r="L3" s="29"/>
    </row>
    <row r="4" spans="2:12" ht="15.5" x14ac:dyDescent="0.35">
      <c r="B4" s="238" t="s">
        <v>131</v>
      </c>
      <c r="C4" s="181"/>
      <c r="D4" s="110" t="str">
        <f>J2</f>
        <v xml:space="preserve">Plinth work completed     </v>
      </c>
      <c r="E4" s="110"/>
      <c r="F4" s="110"/>
      <c r="G4" s="110"/>
      <c r="H4" s="110"/>
      <c r="I4" s="111"/>
      <c r="J4" s="28" t="s">
        <v>165</v>
      </c>
      <c r="K4" s="22"/>
      <c r="L4" s="29"/>
    </row>
    <row r="5" spans="2:12" ht="31" x14ac:dyDescent="0.35">
      <c r="B5" s="216" t="s">
        <v>52</v>
      </c>
      <c r="C5" s="217"/>
      <c r="D5" s="15" t="s">
        <v>123</v>
      </c>
      <c r="E5" s="15" t="s">
        <v>124</v>
      </c>
      <c r="F5" s="229" t="s">
        <v>126</v>
      </c>
      <c r="G5" s="229"/>
      <c r="H5" s="229" t="s">
        <v>125</v>
      </c>
      <c r="I5" s="230"/>
      <c r="J5" s="28" t="s">
        <v>152</v>
      </c>
      <c r="K5" s="8"/>
      <c r="L5" s="30"/>
    </row>
    <row r="6" spans="2:12" ht="15.5" x14ac:dyDescent="0.35">
      <c r="B6" s="216" t="s">
        <v>53</v>
      </c>
      <c r="C6" s="217"/>
      <c r="D6" s="16">
        <v>10</v>
      </c>
      <c r="E6" s="53">
        <f>((100/10)*D6)/100</f>
        <v>1</v>
      </c>
      <c r="F6" s="218">
        <f>(IF(D4=J4,"100%",IF(D4=J5,"100%",((D6+(40/(D3+G3+I3)*D7)+(15/I3*D8)+(10/I3*D9)+(10/I3*D10)+(5/I3*D11)+(5/I3*D12))/100))))</f>
        <v>0.1</v>
      </c>
      <c r="G6" s="219"/>
      <c r="H6" s="218">
        <f>((IF(D6=1,"2",IF(D6=2,"4",IF(D6=4,"8",IF(D6=5,"15",IF(D6=7,"20",IF(D6=10,"30","0")))))))/100)+(((30/(I3+G3+D3)*D7)+(15/I3*D8)+(10/I3*D9)+(5/I3*D10)+(5/I3*D11)+(5/I3*D12))/100)</f>
        <v>0.3</v>
      </c>
      <c r="I6" s="224"/>
      <c r="J6" s="31"/>
      <c r="K6" s="8"/>
      <c r="L6" s="30"/>
    </row>
    <row r="7" spans="2:12" ht="15.5" x14ac:dyDescent="0.35">
      <c r="B7" s="216" t="s">
        <v>150</v>
      </c>
      <c r="C7" s="217"/>
      <c r="D7" s="17">
        <v>0</v>
      </c>
      <c r="E7" s="53">
        <f>((100/(D3+G3+I3))*D7)/100</f>
        <v>0</v>
      </c>
      <c r="F7" s="220"/>
      <c r="G7" s="221"/>
      <c r="H7" s="220"/>
      <c r="I7" s="225"/>
      <c r="J7" s="32" t="s">
        <v>144</v>
      </c>
      <c r="K7" s="33">
        <v>0.01</v>
      </c>
      <c r="L7" s="34">
        <v>0.02</v>
      </c>
    </row>
    <row r="8" spans="2:12" ht="15.5" x14ac:dyDescent="0.35">
      <c r="B8" s="216" t="s">
        <v>54</v>
      </c>
      <c r="C8" s="217"/>
      <c r="D8" s="16">
        <v>0</v>
      </c>
      <c r="E8" s="53">
        <f>((100/(G3+I3))*D8)/100</f>
        <v>0</v>
      </c>
      <c r="F8" s="220"/>
      <c r="G8" s="221"/>
      <c r="H8" s="220"/>
      <c r="I8" s="225"/>
      <c r="J8" s="32" t="s">
        <v>145</v>
      </c>
      <c r="K8" s="33">
        <v>0.02</v>
      </c>
      <c r="L8" s="34">
        <v>0.04</v>
      </c>
    </row>
    <row r="9" spans="2:12" ht="15.5" x14ac:dyDescent="0.35">
      <c r="B9" s="216" t="s">
        <v>55</v>
      </c>
      <c r="C9" s="217"/>
      <c r="D9" s="16">
        <v>0</v>
      </c>
      <c r="E9" s="53">
        <f>((100/(G3+I3))*D9)/100</f>
        <v>0</v>
      </c>
      <c r="F9" s="220"/>
      <c r="G9" s="221"/>
      <c r="H9" s="220"/>
      <c r="I9" s="225"/>
      <c r="J9" s="32" t="s">
        <v>146</v>
      </c>
      <c r="K9" s="33">
        <v>0.04</v>
      </c>
      <c r="L9" s="34">
        <v>0.08</v>
      </c>
    </row>
    <row r="10" spans="2:12" ht="15.5" x14ac:dyDescent="0.35">
      <c r="B10" s="216" t="s">
        <v>56</v>
      </c>
      <c r="C10" s="217"/>
      <c r="D10" s="16">
        <v>0</v>
      </c>
      <c r="E10" s="53">
        <f>((100/(G3+I3))*D10)/100</f>
        <v>0</v>
      </c>
      <c r="F10" s="220"/>
      <c r="G10" s="221"/>
      <c r="H10" s="220"/>
      <c r="I10" s="225"/>
      <c r="J10" s="32" t="s">
        <v>147</v>
      </c>
      <c r="K10" s="33">
        <v>0.05</v>
      </c>
      <c r="L10" s="34">
        <v>0.15</v>
      </c>
    </row>
    <row r="11" spans="2:12" ht="15.5" x14ac:dyDescent="0.35">
      <c r="B11" s="216" t="s">
        <v>57</v>
      </c>
      <c r="C11" s="217"/>
      <c r="D11" s="16">
        <v>0</v>
      </c>
      <c r="E11" s="53">
        <f>((100/(G3+I3))*D11)/100</f>
        <v>0</v>
      </c>
      <c r="F11" s="220"/>
      <c r="G11" s="221"/>
      <c r="H11" s="220"/>
      <c r="I11" s="225"/>
      <c r="J11" s="32" t="s">
        <v>148</v>
      </c>
      <c r="K11" s="33">
        <v>7.0000000000000007E-2</v>
      </c>
      <c r="L11" s="34">
        <v>0.2</v>
      </c>
    </row>
    <row r="12" spans="2:12" ht="16" thickBot="1" x14ac:dyDescent="0.4">
      <c r="B12" s="227" t="s">
        <v>58</v>
      </c>
      <c r="C12" s="228"/>
      <c r="D12" s="24">
        <v>0</v>
      </c>
      <c r="E12" s="54">
        <f>((100/(G3+I3))*D12)/100</f>
        <v>0</v>
      </c>
      <c r="F12" s="222"/>
      <c r="G12" s="223"/>
      <c r="H12" s="222"/>
      <c r="I12" s="226"/>
      <c r="J12" s="35" t="s">
        <v>149</v>
      </c>
      <c r="K12" s="36">
        <v>0.1</v>
      </c>
      <c r="L12" s="37">
        <v>0.3</v>
      </c>
    </row>
    <row r="13" spans="2:12" ht="15.5" x14ac:dyDescent="0.35">
      <c r="B13" s="57"/>
      <c r="C13" s="57"/>
      <c r="D13" s="58"/>
      <c r="E13" s="59"/>
      <c r="F13" s="59"/>
      <c r="G13" s="59"/>
      <c r="H13" s="59"/>
      <c r="I13" s="59"/>
      <c r="J13" s="60"/>
      <c r="K13" s="33"/>
      <c r="L13" s="33"/>
    </row>
    <row r="14" spans="2:12" x14ac:dyDescent="0.35">
      <c r="F14" s="55">
        <f>F6</f>
        <v>0.1</v>
      </c>
      <c r="H14" s="55">
        <f>H6</f>
        <v>0.3</v>
      </c>
    </row>
    <row r="15" spans="2:12" x14ac:dyDescent="0.35">
      <c r="F15" s="56"/>
      <c r="H15" s="56"/>
    </row>
  </sheetData>
  <mergeCells count="17">
    <mergeCell ref="B5:C5"/>
    <mergeCell ref="F5:G5"/>
    <mergeCell ref="H5:I5"/>
    <mergeCell ref="B2:I2"/>
    <mergeCell ref="B3:C3"/>
    <mergeCell ref="D3:E3"/>
    <mergeCell ref="B4:C4"/>
    <mergeCell ref="D4:I4"/>
    <mergeCell ref="B6:C6"/>
    <mergeCell ref="F6:G12"/>
    <mergeCell ref="H6:I12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M197" sqref="M197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82</v>
      </c>
      <c r="C2" s="239"/>
      <c r="D2" s="239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83</v>
      </c>
      <c r="B4" s="5" t="s">
        <v>84</v>
      </c>
      <c r="C4" s="240" t="s">
        <v>85</v>
      </c>
      <c r="D4" s="240"/>
      <c r="E4" s="240"/>
      <c r="F4" s="6"/>
      <c r="G4" s="240" t="s">
        <v>86</v>
      </c>
      <c r="H4" s="240"/>
      <c r="I4" s="240"/>
      <c r="J4" s="240" t="s">
        <v>87</v>
      </c>
      <c r="K4" s="240"/>
      <c r="L4" s="240"/>
    </row>
    <row r="5" spans="1:12" x14ac:dyDescent="0.35">
      <c r="A5" s="3">
        <v>202</v>
      </c>
      <c r="B5" s="5"/>
      <c r="C5" s="5" t="s">
        <v>88</v>
      </c>
      <c r="D5" s="5" t="s">
        <v>89</v>
      </c>
      <c r="E5" s="5" t="s">
        <v>66</v>
      </c>
      <c r="F5" s="5"/>
      <c r="G5" s="5" t="s">
        <v>88</v>
      </c>
      <c r="H5" s="5" t="s">
        <v>89</v>
      </c>
      <c r="I5" s="5" t="s">
        <v>66</v>
      </c>
      <c r="J5" s="5" t="s">
        <v>88</v>
      </c>
      <c r="K5" s="5" t="s">
        <v>89</v>
      </c>
      <c r="L5" s="5" t="s">
        <v>66</v>
      </c>
    </row>
    <row r="6" spans="1:12" x14ac:dyDescent="0.35">
      <c r="B6" s="7" t="s">
        <v>90</v>
      </c>
      <c r="C6" s="7">
        <v>4.5</v>
      </c>
      <c r="D6" s="7">
        <v>2.9</v>
      </c>
      <c r="E6" s="7">
        <f>C6*D6</f>
        <v>13.049999999999999</v>
      </c>
      <c r="F6" s="7" t="s">
        <v>91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92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93</v>
      </c>
      <c r="C9" s="7">
        <v>1.88</v>
      </c>
      <c r="D9" s="7">
        <v>2.13</v>
      </c>
      <c r="E9" s="7">
        <f t="shared" si="0"/>
        <v>4.0043999999999995</v>
      </c>
      <c r="F9" s="7" t="s">
        <v>91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92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94</v>
      </c>
      <c r="C13" s="7"/>
      <c r="D13" s="7"/>
      <c r="E13" s="7">
        <f t="shared" si="0"/>
        <v>0</v>
      </c>
      <c r="F13" s="7" t="s">
        <v>91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92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95</v>
      </c>
      <c r="C17" s="7"/>
      <c r="D17" s="7"/>
      <c r="E17" s="7">
        <f t="shared" si="0"/>
        <v>0</v>
      </c>
      <c r="F17" s="7" t="s">
        <v>91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92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95</v>
      </c>
      <c r="C20" s="7"/>
      <c r="D20" s="7"/>
      <c r="E20" s="7">
        <f t="shared" si="0"/>
        <v>0</v>
      </c>
      <c r="F20" s="7" t="s">
        <v>91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92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96</v>
      </c>
      <c r="C23" s="7">
        <v>1.9</v>
      </c>
      <c r="D23" s="7">
        <v>1.07</v>
      </c>
      <c r="E23" s="7">
        <f t="shared" si="0"/>
        <v>2.0329999999999999</v>
      </c>
      <c r="F23" s="7" t="s">
        <v>97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98</v>
      </c>
      <c r="C24" s="7"/>
      <c r="D24" s="7"/>
      <c r="E24" s="7">
        <f t="shared" si="0"/>
        <v>0</v>
      </c>
      <c r="F24" s="7" t="s">
        <v>97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99</v>
      </c>
      <c r="C25" s="7"/>
      <c r="D25" s="7"/>
      <c r="E25" s="7">
        <f t="shared" si="0"/>
        <v>0</v>
      </c>
      <c r="F25" s="7" t="s">
        <v>97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100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101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102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103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67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7"/>
  <sheetViews>
    <sheetView zoomScale="115" zoomScaleNormal="115" workbookViewId="0">
      <selection activeCell="F13" sqref="F13"/>
    </sheetView>
  </sheetViews>
  <sheetFormatPr defaultColWidth="8.7265625" defaultRowHeight="14.5" x14ac:dyDescent="0.35"/>
  <cols>
    <col min="1" max="1" width="8.7265625" style="38"/>
    <col min="2" max="2" width="22.26953125" style="38" customWidth="1"/>
    <col min="3" max="3" width="37" style="38" customWidth="1"/>
    <col min="4" max="5" width="11.453125" style="38" customWidth="1"/>
    <col min="6" max="6" width="14" style="38" customWidth="1"/>
    <col min="7" max="7" width="20" style="38" customWidth="1"/>
    <col min="8" max="8" width="16.453125" style="38" customWidth="1"/>
    <col min="9" max="16384" width="8.7265625" style="38"/>
  </cols>
  <sheetData>
    <row r="1" spans="1:9" ht="15" customHeight="1" x14ac:dyDescent="0.35"/>
    <row r="2" spans="1:9" ht="15" customHeight="1" x14ac:dyDescent="0.35">
      <c r="A2" s="39"/>
      <c r="B2" s="39"/>
      <c r="C2" s="39"/>
      <c r="D2" s="39"/>
      <c r="E2" s="39"/>
      <c r="F2" s="39"/>
      <c r="G2" s="39"/>
      <c r="H2" s="39"/>
    </row>
    <row r="3" spans="1:9" ht="15.75" customHeight="1" x14ac:dyDescent="0.35">
      <c r="A3" s="39"/>
      <c r="B3" s="241" t="s">
        <v>155</v>
      </c>
      <c r="C3" s="241"/>
      <c r="D3" s="241"/>
      <c r="E3" s="241"/>
      <c r="F3" s="241"/>
      <c r="G3" s="241"/>
      <c r="H3" s="241"/>
    </row>
    <row r="4" spans="1:9" x14ac:dyDescent="0.35">
      <c r="A4" s="39"/>
      <c r="B4" s="40" t="s">
        <v>156</v>
      </c>
      <c r="C4" s="40" t="s">
        <v>157</v>
      </c>
      <c r="D4" s="40" t="s">
        <v>83</v>
      </c>
      <c r="E4" s="40" t="s">
        <v>158</v>
      </c>
      <c r="F4" s="40" t="s">
        <v>163</v>
      </c>
      <c r="G4" s="40" t="s">
        <v>164</v>
      </c>
      <c r="H4" s="40" t="s">
        <v>159</v>
      </c>
    </row>
    <row r="5" spans="1:9" ht="15" customHeight="1" x14ac:dyDescent="0.35">
      <c r="A5" s="39"/>
      <c r="B5" s="42" t="s">
        <v>160</v>
      </c>
      <c r="C5" s="70" t="s">
        <v>183</v>
      </c>
      <c r="D5" s="71" t="s">
        <v>189</v>
      </c>
      <c r="E5" s="42">
        <v>382.01</v>
      </c>
      <c r="F5" s="43">
        <f>E5*1.6</f>
        <v>611.21600000000001</v>
      </c>
      <c r="G5" s="43">
        <f>H5/F5</f>
        <v>11452.57977539855</v>
      </c>
      <c r="H5" s="44">
        <v>7000000</v>
      </c>
    </row>
    <row r="6" spans="1:9" x14ac:dyDescent="0.35">
      <c r="A6" s="39"/>
      <c r="B6" s="42" t="s">
        <v>160</v>
      </c>
      <c r="C6" s="70" t="s">
        <v>183</v>
      </c>
      <c r="D6" s="71" t="s">
        <v>189</v>
      </c>
      <c r="E6" s="42">
        <v>386</v>
      </c>
      <c r="F6" s="43">
        <f t="shared" ref="F6:F11" si="0">E6*1.6</f>
        <v>617.6</v>
      </c>
      <c r="G6" s="43">
        <f t="shared" ref="G6:G11" si="1">H6/F6</f>
        <v>11452.396373056994</v>
      </c>
      <c r="H6" s="44">
        <v>7073000</v>
      </c>
    </row>
    <row r="7" spans="1:9" ht="15" customHeight="1" x14ac:dyDescent="0.35">
      <c r="A7" s="39"/>
      <c r="B7" s="42" t="s">
        <v>160</v>
      </c>
      <c r="C7" s="70" t="s">
        <v>183</v>
      </c>
      <c r="D7" s="71" t="s">
        <v>190</v>
      </c>
      <c r="E7" s="42">
        <v>505</v>
      </c>
      <c r="F7" s="43">
        <f t="shared" si="0"/>
        <v>808</v>
      </c>
      <c r="G7" s="43">
        <f t="shared" si="1"/>
        <v>11386.138613861385</v>
      </c>
      <c r="H7" s="44">
        <v>9200000</v>
      </c>
    </row>
    <row r="8" spans="1:9" x14ac:dyDescent="0.35">
      <c r="A8" s="39"/>
      <c r="B8" s="42" t="s">
        <v>160</v>
      </c>
      <c r="C8" s="70" t="s">
        <v>183</v>
      </c>
      <c r="D8" s="71" t="s">
        <v>190</v>
      </c>
      <c r="E8" s="42">
        <v>600</v>
      </c>
      <c r="F8" s="43">
        <f t="shared" si="0"/>
        <v>960</v>
      </c>
      <c r="G8" s="43">
        <f t="shared" si="1"/>
        <v>11354.166666666666</v>
      </c>
      <c r="H8" s="44">
        <v>10900000</v>
      </c>
    </row>
    <row r="9" spans="1:9" ht="15" customHeight="1" x14ac:dyDescent="0.35">
      <c r="A9" s="39"/>
      <c r="B9" s="71" t="s">
        <v>209</v>
      </c>
      <c r="C9" s="70" t="s">
        <v>183</v>
      </c>
      <c r="D9" s="71" t="s">
        <v>189</v>
      </c>
      <c r="E9" s="42">
        <v>382</v>
      </c>
      <c r="F9" s="43">
        <f t="shared" si="0"/>
        <v>611.20000000000005</v>
      </c>
      <c r="G9" s="43">
        <f t="shared" si="1"/>
        <v>11289.267015706806</v>
      </c>
      <c r="H9" s="44">
        <v>6900000</v>
      </c>
    </row>
    <row r="10" spans="1:9" ht="15" customHeight="1" x14ac:dyDescent="0.35">
      <c r="A10" s="39"/>
      <c r="B10" s="71" t="s">
        <v>209</v>
      </c>
      <c r="C10" s="70" t="s">
        <v>183</v>
      </c>
      <c r="D10" s="71" t="s">
        <v>189</v>
      </c>
      <c r="E10" s="42">
        <v>387</v>
      </c>
      <c r="F10" s="43">
        <f t="shared" si="0"/>
        <v>619.20000000000005</v>
      </c>
      <c r="G10" s="43">
        <f t="shared" si="1"/>
        <v>11224.160206718345</v>
      </c>
      <c r="H10" s="44">
        <v>6950000</v>
      </c>
    </row>
    <row r="11" spans="1:9" ht="15" customHeight="1" x14ac:dyDescent="0.35">
      <c r="A11" s="39"/>
      <c r="B11" s="71" t="s">
        <v>209</v>
      </c>
      <c r="C11" s="70" t="s">
        <v>183</v>
      </c>
      <c r="D11" s="71" t="s">
        <v>190</v>
      </c>
      <c r="E11" s="42">
        <v>505</v>
      </c>
      <c r="F11" s="43">
        <f t="shared" si="0"/>
        <v>808</v>
      </c>
      <c r="G11" s="43">
        <f t="shared" si="1"/>
        <v>11138.613861386139</v>
      </c>
      <c r="H11" s="44">
        <v>9000000</v>
      </c>
    </row>
    <row r="12" spans="1:9" ht="15" customHeight="1" x14ac:dyDescent="0.35">
      <c r="A12" s="39"/>
      <c r="B12" s="71" t="s">
        <v>209</v>
      </c>
      <c r="C12" s="70" t="s">
        <v>183</v>
      </c>
      <c r="D12" s="71" t="s">
        <v>190</v>
      </c>
      <c r="E12" s="42">
        <v>601</v>
      </c>
      <c r="F12" s="43">
        <f t="shared" ref="F12" si="2">E12*1.6</f>
        <v>961.6</v>
      </c>
      <c r="G12" s="43">
        <f t="shared" ref="G12" si="3">H12/F12</f>
        <v>11127.287853577371</v>
      </c>
      <c r="H12" s="44">
        <v>10700000</v>
      </c>
    </row>
    <row r="13" spans="1:9" ht="15" customHeight="1" x14ac:dyDescent="0.35">
      <c r="A13" s="39"/>
      <c r="B13" s="45" t="s">
        <v>161</v>
      </c>
      <c r="C13" s="42"/>
      <c r="D13" s="71"/>
      <c r="E13" s="42"/>
      <c r="F13" s="42"/>
      <c r="G13" s="46">
        <f>AVERAGE(G5:G12)</f>
        <v>11303.076295796531</v>
      </c>
      <c r="H13" s="42"/>
    </row>
    <row r="14" spans="1:9" ht="15" customHeight="1" x14ac:dyDescent="0.35">
      <c r="B14" s="45" t="s">
        <v>162</v>
      </c>
      <c r="C14" s="42"/>
      <c r="D14" s="42"/>
      <c r="E14" s="42"/>
      <c r="F14" s="47"/>
      <c r="G14" s="45">
        <v>11300</v>
      </c>
      <c r="H14" s="45"/>
      <c r="I14" s="41"/>
    </row>
    <row r="15" spans="1:9" ht="15" customHeight="1" x14ac:dyDescent="0.35"/>
    <row r="16" spans="1:9" ht="15" customHeight="1" x14ac:dyDescent="0.35"/>
    <row r="17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2025-05-10T07:04:45Z</cp:lastPrinted>
  <dcterms:created xsi:type="dcterms:W3CDTF">2019-07-16T09:29:46Z</dcterms:created>
  <dcterms:modified xsi:type="dcterms:W3CDTF">2025-08-17T15:58:28Z</dcterms:modified>
</cp:coreProperties>
</file>