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8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9" i="1" l="1"/>
  <c r="J218" i="1"/>
  <c r="J217" i="1"/>
  <c r="J216" i="1"/>
  <c r="D444" i="1" l="1"/>
  <c r="J191" i="1"/>
  <c r="J190" i="1"/>
  <c r="J189" i="1"/>
  <c r="J188" i="1"/>
  <c r="J177" i="1"/>
  <c r="J176" i="1"/>
  <c r="J175" i="1"/>
  <c r="J174" i="1"/>
  <c r="H181" i="1"/>
  <c r="H167" i="1"/>
  <c r="J185" i="1" l="1"/>
  <c r="C184" i="1" s="1"/>
  <c r="D184" i="1" s="1"/>
  <c r="J183" i="1"/>
  <c r="J180" i="1"/>
  <c r="J182" i="1" s="1"/>
  <c r="D193" i="1"/>
  <c r="D191" i="1"/>
  <c r="D189" i="1"/>
  <c r="D187" i="1"/>
  <c r="J186" i="1"/>
  <c r="J187" i="1" s="1"/>
  <c r="J192" i="1" s="1"/>
  <c r="J193" i="1" s="1"/>
  <c r="C185" i="1" s="1"/>
  <c r="D192" i="1"/>
  <c r="D190" i="1"/>
  <c r="D188" i="1"/>
  <c r="D186" i="1"/>
  <c r="J184" i="1"/>
  <c r="J172" i="1"/>
  <c r="J173" i="1" s="1"/>
  <c r="J178" i="1" s="1"/>
  <c r="J179" i="1" s="1"/>
  <c r="C171" i="1" s="1"/>
  <c r="D178" i="1"/>
  <c r="D176" i="1"/>
  <c r="D174" i="1"/>
  <c r="D172" i="1"/>
  <c r="J170" i="1"/>
  <c r="J166" i="1"/>
  <c r="J168" i="1" s="1"/>
  <c r="J171" i="1"/>
  <c r="C170" i="1" s="1"/>
  <c r="J169" i="1"/>
  <c r="D179" i="1"/>
  <c r="D177" i="1"/>
  <c r="D175" i="1"/>
  <c r="D173" i="1"/>
  <c r="J121" i="1"/>
  <c r="J120" i="1"/>
  <c r="J119" i="1"/>
  <c r="J118" i="1"/>
  <c r="J107" i="1"/>
  <c r="J106" i="1"/>
  <c r="J105" i="1"/>
  <c r="J104" i="1"/>
  <c r="J93" i="1"/>
  <c r="J92" i="1"/>
  <c r="J91" i="1"/>
  <c r="J90" i="1"/>
  <c r="H97" i="1"/>
  <c r="H83" i="1"/>
  <c r="H111" i="1"/>
  <c r="E184" i="1" l="1"/>
  <c r="D185" i="1"/>
  <c r="I181" i="1" s="1"/>
  <c r="I182" i="1" s="1"/>
  <c r="G184" i="1"/>
  <c r="J181" i="1"/>
  <c r="E170" i="1"/>
  <c r="D171" i="1"/>
  <c r="G170" i="1"/>
  <c r="D170" i="1"/>
  <c r="J167" i="1" s="1"/>
  <c r="D122" i="1"/>
  <c r="D118" i="1"/>
  <c r="J114" i="1"/>
  <c r="D121" i="1"/>
  <c r="D120" i="1"/>
  <c r="D116" i="1"/>
  <c r="J110" i="1"/>
  <c r="J112" i="1" s="1"/>
  <c r="J115" i="1"/>
  <c r="C114" i="1" s="1"/>
  <c r="D114" i="1" s="1"/>
  <c r="J113" i="1"/>
  <c r="D119" i="1"/>
  <c r="D117" i="1"/>
  <c r="J116" i="1"/>
  <c r="J117" i="1" s="1"/>
  <c r="J122" i="1" s="1"/>
  <c r="J123" i="1" s="1"/>
  <c r="C115" i="1" s="1"/>
  <c r="D123" i="1"/>
  <c r="D103" i="1"/>
  <c r="D108" i="1"/>
  <c r="D104" i="1"/>
  <c r="J100" i="1"/>
  <c r="D107" i="1"/>
  <c r="J102" i="1"/>
  <c r="J103" i="1" s="1"/>
  <c r="J108" i="1" s="1"/>
  <c r="J109" i="1" s="1"/>
  <c r="C101" i="1" s="1"/>
  <c r="D106" i="1"/>
  <c r="D102" i="1"/>
  <c r="J96" i="1"/>
  <c r="J98" i="1" s="1"/>
  <c r="J101" i="1"/>
  <c r="C100" i="1" s="1"/>
  <c r="D100" i="1" s="1"/>
  <c r="J99" i="1"/>
  <c r="D109" i="1"/>
  <c r="D105" i="1"/>
  <c r="D94" i="1"/>
  <c r="D90" i="1"/>
  <c r="J86" i="1"/>
  <c r="D93" i="1"/>
  <c r="D89" i="1"/>
  <c r="D92" i="1"/>
  <c r="D88" i="1"/>
  <c r="J82" i="1"/>
  <c r="J84" i="1" s="1"/>
  <c r="J87" i="1"/>
  <c r="C86" i="1" s="1"/>
  <c r="J85" i="1"/>
  <c r="D95" i="1"/>
  <c r="D91" i="1"/>
  <c r="J88" i="1"/>
  <c r="J89" i="1" s="1"/>
  <c r="J94" i="1" s="1"/>
  <c r="J95" i="1" s="1"/>
  <c r="C87" i="1" s="1"/>
  <c r="C138" i="1"/>
  <c r="I180" i="1" l="1"/>
  <c r="C182" i="1" s="1"/>
  <c r="I167" i="1"/>
  <c r="E114" i="1"/>
  <c r="D115" i="1"/>
  <c r="I111" i="1" s="1"/>
  <c r="G114" i="1"/>
  <c r="J111" i="1"/>
  <c r="E100" i="1"/>
  <c r="D101" i="1"/>
  <c r="I97" i="1" s="1"/>
  <c r="G100" i="1"/>
  <c r="J97" i="1"/>
  <c r="E86" i="1"/>
  <c r="D87" i="1"/>
  <c r="G86" i="1"/>
  <c r="D86" i="1"/>
  <c r="J163" i="1"/>
  <c r="J162" i="1"/>
  <c r="J161" i="1"/>
  <c r="J160" i="1"/>
  <c r="J79" i="1"/>
  <c r="J78" i="1"/>
  <c r="J77" i="1"/>
  <c r="J76" i="1"/>
  <c r="H153" i="1"/>
  <c r="H69" i="1"/>
  <c r="I168" i="1" l="1"/>
  <c r="I166" i="1" s="1"/>
  <c r="C168" i="1" s="1"/>
  <c r="I83" i="1"/>
  <c r="I84" i="1" s="1"/>
  <c r="I112" i="1"/>
  <c r="I110" i="1" s="1"/>
  <c r="C112" i="1" s="1"/>
  <c r="I98" i="1"/>
  <c r="I96" i="1" s="1"/>
  <c r="C98" i="1" s="1"/>
  <c r="J83" i="1"/>
  <c r="J158" i="1"/>
  <c r="J159" i="1" s="1"/>
  <c r="J164" i="1" s="1"/>
  <c r="J165" i="1" s="1"/>
  <c r="C157" i="1" s="1"/>
  <c r="D164" i="1"/>
  <c r="D162" i="1"/>
  <c r="D160" i="1"/>
  <c r="D158" i="1"/>
  <c r="J156" i="1"/>
  <c r="J152" i="1"/>
  <c r="J154" i="1" s="1"/>
  <c r="J157" i="1"/>
  <c r="C156" i="1" s="1"/>
  <c r="D156" i="1" s="1"/>
  <c r="J155" i="1"/>
  <c r="D165" i="1"/>
  <c r="D163" i="1"/>
  <c r="D161" i="1"/>
  <c r="D159" i="1"/>
  <c r="J74" i="1"/>
  <c r="J75" i="1" s="1"/>
  <c r="J80" i="1" s="1"/>
  <c r="J81" i="1" s="1"/>
  <c r="C73" i="1" s="1"/>
  <c r="D80" i="1"/>
  <c r="D78" i="1"/>
  <c r="D76" i="1"/>
  <c r="D74" i="1"/>
  <c r="J72" i="1"/>
  <c r="J68" i="1"/>
  <c r="J70" i="1" s="1"/>
  <c r="J73" i="1"/>
  <c r="C72" i="1" s="1"/>
  <c r="J71" i="1"/>
  <c r="D81" i="1"/>
  <c r="D79" i="1"/>
  <c r="D77" i="1"/>
  <c r="D75" i="1"/>
  <c r="D383" i="1"/>
  <c r="F383" i="1" s="1"/>
  <c r="D382" i="1"/>
  <c r="F382" i="1" s="1"/>
  <c r="I82" i="1" l="1"/>
  <c r="C84" i="1" s="1"/>
  <c r="E156" i="1"/>
  <c r="D157" i="1"/>
  <c r="I153" i="1" s="1"/>
  <c r="I154" i="1" s="1"/>
  <c r="G156" i="1"/>
  <c r="J153" i="1"/>
  <c r="E72" i="1"/>
  <c r="D73" i="1"/>
  <c r="G72" i="1"/>
  <c r="D72" i="1"/>
  <c r="J69" i="1" s="1"/>
  <c r="D363" i="1"/>
  <c r="F363" i="1" s="1"/>
  <c r="D362" i="1"/>
  <c r="F362" i="1" s="1"/>
  <c r="D361" i="1"/>
  <c r="F361" i="1" s="1"/>
  <c r="I360" i="1"/>
  <c r="G360" i="1"/>
  <c r="D360" i="1"/>
  <c r="F360" i="1" s="1"/>
  <c r="D358" i="1"/>
  <c r="F358" i="1" s="1"/>
  <c r="I357" i="1"/>
  <c r="G357" i="1"/>
  <c r="D357" i="1"/>
  <c r="F357" i="1" s="1"/>
  <c r="D280" i="1"/>
  <c r="D281" i="1"/>
  <c r="D282" i="1"/>
  <c r="D283" i="1"/>
  <c r="D288" i="1"/>
  <c r="F288" i="1" s="1"/>
  <c r="D287" i="1"/>
  <c r="F287" i="1" s="1"/>
  <c r="D286" i="1"/>
  <c r="D292" i="1"/>
  <c r="F292" i="1" s="1"/>
  <c r="D291" i="1"/>
  <c r="F291" i="1" s="1"/>
  <c r="D290" i="1"/>
  <c r="F290" i="1" s="1"/>
  <c r="D296" i="1"/>
  <c r="F296" i="1" s="1"/>
  <c r="D295" i="1"/>
  <c r="F295" i="1" s="1"/>
  <c r="D301" i="1"/>
  <c r="F301" i="1" s="1"/>
  <c r="D300" i="1"/>
  <c r="D299" i="1"/>
  <c r="F299" i="1" s="1"/>
  <c r="D298" i="1"/>
  <c r="F298" i="1" s="1"/>
  <c r="D305" i="1"/>
  <c r="F305" i="1" s="1"/>
  <c r="D304" i="1"/>
  <c r="F304" i="1" s="1"/>
  <c r="D310" i="1"/>
  <c r="F310" i="1" s="1"/>
  <c r="D309" i="1"/>
  <c r="F309" i="1" s="1"/>
  <c r="D308" i="1"/>
  <c r="F308" i="1" s="1"/>
  <c r="D307" i="1"/>
  <c r="F307" i="1" s="1"/>
  <c r="D314" i="1"/>
  <c r="F314" i="1" s="1"/>
  <c r="D313" i="1"/>
  <c r="F313" i="1" s="1"/>
  <c r="D319" i="1"/>
  <c r="D318" i="1"/>
  <c r="F318" i="1" s="1"/>
  <c r="D317" i="1"/>
  <c r="F317" i="1" s="1"/>
  <c r="D316" i="1"/>
  <c r="F316" i="1" s="1"/>
  <c r="D323" i="1"/>
  <c r="F323" i="1" s="1"/>
  <c r="D322" i="1"/>
  <c r="D328" i="1"/>
  <c r="F328" i="1" s="1"/>
  <c r="D327" i="1"/>
  <c r="F327" i="1" s="1"/>
  <c r="D326" i="1"/>
  <c r="F326" i="1" s="1"/>
  <c r="D325" i="1"/>
  <c r="F325" i="1" s="1"/>
  <c r="D333" i="1"/>
  <c r="F333" i="1" s="1"/>
  <c r="D332" i="1"/>
  <c r="F332" i="1" s="1"/>
  <c r="D331" i="1"/>
  <c r="F331" i="1" s="1"/>
  <c r="D338" i="1"/>
  <c r="F338" i="1" s="1"/>
  <c r="D337" i="1"/>
  <c r="F337" i="1" s="1"/>
  <c r="D336" i="1"/>
  <c r="F336" i="1" s="1"/>
  <c r="D335" i="1"/>
  <c r="F335" i="1" s="1"/>
  <c r="D342" i="1"/>
  <c r="F342" i="1" s="1"/>
  <c r="D341" i="1"/>
  <c r="D345" i="1"/>
  <c r="F345" i="1" s="1"/>
  <c r="D344" i="1"/>
  <c r="F344" i="1" s="1"/>
  <c r="D349" i="1"/>
  <c r="F349" i="1" s="1"/>
  <c r="D348" i="1"/>
  <c r="F348" i="1" s="1"/>
  <c r="D354" i="1"/>
  <c r="F354" i="1" s="1"/>
  <c r="D353" i="1"/>
  <c r="F353" i="1" s="1"/>
  <c r="D352" i="1"/>
  <c r="F352" i="1" s="1"/>
  <c r="D351" i="1"/>
  <c r="F351" i="1" s="1"/>
  <c r="D368" i="1"/>
  <c r="D367" i="1"/>
  <c r="D373" i="1"/>
  <c r="F373" i="1" s="1"/>
  <c r="D372" i="1"/>
  <c r="F372" i="1" s="1"/>
  <c r="D371" i="1"/>
  <c r="F371" i="1" s="1"/>
  <c r="D370" i="1"/>
  <c r="F370" i="1" s="1"/>
  <c r="D376" i="1"/>
  <c r="F376" i="1" s="1"/>
  <c r="D381" i="1"/>
  <c r="F381" i="1" s="1"/>
  <c r="D380" i="1"/>
  <c r="F380" i="1" s="1"/>
  <c r="D379" i="1"/>
  <c r="F379" i="1" s="1"/>
  <c r="D378" i="1"/>
  <c r="F378" i="1" s="1"/>
  <c r="D387" i="1"/>
  <c r="F387" i="1" s="1"/>
  <c r="D386" i="1"/>
  <c r="F386" i="1" s="1"/>
  <c r="D392" i="1"/>
  <c r="F392" i="1" s="1"/>
  <c r="D391" i="1"/>
  <c r="F391" i="1" s="1"/>
  <c r="D390" i="1"/>
  <c r="F390" i="1" s="1"/>
  <c r="D389" i="1"/>
  <c r="F389" i="1" s="1"/>
  <c r="D396" i="1"/>
  <c r="F396" i="1" s="1"/>
  <c r="D395" i="1"/>
  <c r="F395" i="1" s="1"/>
  <c r="D401" i="1"/>
  <c r="F401" i="1" s="1"/>
  <c r="D400" i="1"/>
  <c r="F400" i="1" s="1"/>
  <c r="D399" i="1"/>
  <c r="D398" i="1"/>
  <c r="F398" i="1" s="1"/>
  <c r="D405" i="1"/>
  <c r="F405" i="1" s="1"/>
  <c r="D404" i="1"/>
  <c r="F404" i="1" s="1"/>
  <c r="D410" i="1"/>
  <c r="F410" i="1" s="1"/>
  <c r="D409" i="1"/>
  <c r="F409" i="1" s="1"/>
  <c r="D408" i="1"/>
  <c r="F408" i="1" s="1"/>
  <c r="D407" i="1"/>
  <c r="F407" i="1" s="1"/>
  <c r="D414" i="1"/>
  <c r="D413" i="1"/>
  <c r="F413" i="1" s="1"/>
  <c r="D419" i="1"/>
  <c r="F419" i="1" s="1"/>
  <c r="D418" i="1"/>
  <c r="F418" i="1" s="1"/>
  <c r="D417" i="1"/>
  <c r="F417" i="1" s="1"/>
  <c r="D416" i="1"/>
  <c r="F416" i="1" s="1"/>
  <c r="I419" i="1"/>
  <c r="G416" i="1"/>
  <c r="F414" i="1"/>
  <c r="G413" i="1"/>
  <c r="G407" i="1"/>
  <c r="G404" i="1"/>
  <c r="F399" i="1"/>
  <c r="G398" i="1"/>
  <c r="G395" i="1"/>
  <c r="G389" i="1"/>
  <c r="G386" i="1"/>
  <c r="G378" i="1"/>
  <c r="G376" i="1"/>
  <c r="G370" i="1"/>
  <c r="I351" i="1"/>
  <c r="G351" i="1"/>
  <c r="I348" i="1"/>
  <c r="G348" i="1"/>
  <c r="G344" i="1"/>
  <c r="G341" i="1"/>
  <c r="I325" i="1"/>
  <c r="G325" i="1"/>
  <c r="I322" i="1"/>
  <c r="G322" i="1"/>
  <c r="F319" i="1"/>
  <c r="I316" i="1"/>
  <c r="G316" i="1"/>
  <c r="I313" i="1"/>
  <c r="G313" i="1"/>
  <c r="I307" i="1"/>
  <c r="G307" i="1"/>
  <c r="I304" i="1"/>
  <c r="G304" i="1"/>
  <c r="F300" i="1"/>
  <c r="I298" i="1"/>
  <c r="G298" i="1"/>
  <c r="I295" i="1"/>
  <c r="G295" i="1"/>
  <c r="I333" i="1"/>
  <c r="G335" i="1"/>
  <c r="G331" i="1"/>
  <c r="F286" i="1"/>
  <c r="G286" i="1"/>
  <c r="G290" i="1"/>
  <c r="I280" i="1"/>
  <c r="H209" i="1"/>
  <c r="J213" i="1" l="1"/>
  <c r="C212" i="1" s="1"/>
  <c r="J212" i="1"/>
  <c r="D219" i="1"/>
  <c r="D215" i="1"/>
  <c r="J214" i="1"/>
  <c r="D214" i="1"/>
  <c r="J208" i="1"/>
  <c r="J210" i="1" s="1"/>
  <c r="J211" i="1"/>
  <c r="D221" i="1"/>
  <c r="D217" i="1"/>
  <c r="D220" i="1"/>
  <c r="D216" i="1"/>
  <c r="D218" i="1"/>
  <c r="C258" i="1"/>
  <c r="G265" i="1"/>
  <c r="C251" i="1"/>
  <c r="C252" i="1"/>
  <c r="G252" i="1"/>
  <c r="G269" i="1"/>
  <c r="C256" i="1"/>
  <c r="G254" i="1"/>
  <c r="G267" i="1"/>
  <c r="E265" i="1"/>
  <c r="G259" i="1"/>
  <c r="C264" i="1"/>
  <c r="F322" i="1"/>
  <c r="G256" i="1" s="1"/>
  <c r="F341" i="1"/>
  <c r="G258" i="1" s="1"/>
  <c r="G268" i="1"/>
  <c r="G266" i="1"/>
  <c r="E264" i="1"/>
  <c r="G257" i="1"/>
  <c r="G255" i="1"/>
  <c r="G253" i="1"/>
  <c r="I152" i="1"/>
  <c r="C154" i="1" s="1"/>
  <c r="I69" i="1"/>
  <c r="G260" i="1"/>
  <c r="E251" i="1"/>
  <c r="E257" i="1"/>
  <c r="C257" i="1"/>
  <c r="E259" i="1"/>
  <c r="E253" i="1"/>
  <c r="E255" i="1"/>
  <c r="C253" i="1"/>
  <c r="C255" i="1"/>
  <c r="C259" i="1"/>
  <c r="C265" i="1"/>
  <c r="C267" i="1"/>
  <c r="C269" i="1"/>
  <c r="E266" i="1"/>
  <c r="E267" i="1"/>
  <c r="E252" i="1"/>
  <c r="E258" i="1"/>
  <c r="E260" i="1"/>
  <c r="E254" i="1"/>
  <c r="E256" i="1"/>
  <c r="C254" i="1"/>
  <c r="C260" i="1"/>
  <c r="C266" i="1"/>
  <c r="C268" i="1"/>
  <c r="E268" i="1"/>
  <c r="E269" i="1"/>
  <c r="E42" i="1"/>
  <c r="E43" i="1" s="1"/>
  <c r="J215" i="1" l="1"/>
  <c r="J220" i="1" s="1"/>
  <c r="D212" i="1"/>
  <c r="C261" i="1"/>
  <c r="E270" i="1"/>
  <c r="C270" i="1"/>
  <c r="I70" i="1"/>
  <c r="I68" i="1" s="1"/>
  <c r="C70" i="1" s="1"/>
  <c r="E261" i="1"/>
  <c r="C222" i="1"/>
  <c r="J221" i="1" l="1"/>
  <c r="C213" i="1"/>
  <c r="J209" i="1" s="1"/>
  <c r="C271" i="1"/>
  <c r="E271" i="1"/>
  <c r="J233" i="1"/>
  <c r="J232" i="1"/>
  <c r="J231" i="1"/>
  <c r="J230" i="1"/>
  <c r="H223" i="1"/>
  <c r="E212" i="1" l="1"/>
  <c r="G212" i="1"/>
  <c r="D213" i="1"/>
  <c r="I209" i="1" s="1"/>
  <c r="I210" i="1" s="1"/>
  <c r="I208" i="1" s="1"/>
  <c r="C210" i="1" s="1"/>
  <c r="D235" i="1"/>
  <c r="D234" i="1"/>
  <c r="D230" i="1"/>
  <c r="J226" i="1"/>
  <c r="D229" i="1"/>
  <c r="D232" i="1"/>
  <c r="J222" i="1"/>
  <c r="J224" i="1" s="1"/>
  <c r="D231" i="1"/>
  <c r="J227" i="1"/>
  <c r="C226" i="1" s="1"/>
  <c r="J225" i="1"/>
  <c r="D233" i="1"/>
  <c r="J228" i="1"/>
  <c r="J229" i="1" s="1"/>
  <c r="C49" i="1"/>
  <c r="J234" i="1" l="1"/>
  <c r="D226" i="1"/>
  <c r="D228" i="1"/>
  <c r="C14" i="1"/>
  <c r="J235" i="1" l="1"/>
  <c r="C227" i="1"/>
  <c r="D227" i="1" s="1"/>
  <c r="E226" i="1"/>
  <c r="J223" i="1"/>
  <c r="G226" i="1"/>
  <c r="I223" i="1"/>
  <c r="F281" i="1"/>
  <c r="F282" i="1"/>
  <c r="F283" i="1"/>
  <c r="F280" i="1"/>
  <c r="G280" i="1"/>
  <c r="G251" i="1" l="1"/>
  <c r="G261" i="1" s="1"/>
  <c r="I224" i="1"/>
  <c r="I222" i="1" s="1"/>
  <c r="C224" i="1" s="1"/>
  <c r="F248" i="1"/>
  <c r="B422" i="1" l="1"/>
  <c r="F368" i="1" l="1"/>
  <c r="F367" i="1"/>
  <c r="G264" i="1" l="1"/>
  <c r="G270" i="1" s="1"/>
  <c r="G271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G367" i="1"/>
  <c r="J205" i="1"/>
  <c r="J204" i="1"/>
  <c r="J203" i="1"/>
  <c r="J202" i="1"/>
  <c r="J149" i="1"/>
  <c r="J148" i="1"/>
  <c r="J147" i="1"/>
  <c r="J146" i="1"/>
  <c r="J135" i="1"/>
  <c r="J134" i="1"/>
  <c r="J133" i="1"/>
  <c r="J132" i="1"/>
  <c r="D54" i="1"/>
  <c r="G49" i="1"/>
  <c r="E26" i="1"/>
  <c r="E24" i="1"/>
  <c r="E7" i="1"/>
  <c r="E3" i="1"/>
  <c r="H125" i="1"/>
  <c r="H195" i="1"/>
  <c r="H139" i="1"/>
  <c r="D62" i="1" l="1"/>
  <c r="D149" i="1"/>
  <c r="D150" i="1"/>
  <c r="D151" i="1"/>
  <c r="D145" i="1"/>
  <c r="D146" i="1"/>
  <c r="D147" i="1"/>
  <c r="D148" i="1"/>
  <c r="J138" i="1"/>
  <c r="J140" i="1" s="1"/>
  <c r="D137" i="1"/>
  <c r="D135" i="1"/>
  <c r="D134" i="1"/>
  <c r="D133" i="1"/>
  <c r="D131" i="1"/>
  <c r="J124" i="1"/>
  <c r="D136" i="1"/>
  <c r="D132" i="1"/>
  <c r="J128" i="1"/>
  <c r="J129" i="1"/>
  <c r="C128" i="1" s="1"/>
  <c r="J127" i="1"/>
  <c r="J130" i="1"/>
  <c r="J194" i="1"/>
  <c r="J196" i="1" s="1"/>
  <c r="J198" i="1"/>
  <c r="D207" i="1"/>
  <c r="D205" i="1"/>
  <c r="D203" i="1"/>
  <c r="D201" i="1"/>
  <c r="J199" i="1"/>
  <c r="C198" i="1" s="1"/>
  <c r="J197" i="1"/>
  <c r="J200" i="1"/>
  <c r="D206" i="1"/>
  <c r="D204" i="1"/>
  <c r="D202" i="1"/>
  <c r="J144" i="1"/>
  <c r="J142" i="1"/>
  <c r="J143" i="1"/>
  <c r="C142" i="1" s="1"/>
  <c r="J141" i="1"/>
  <c r="J201" i="1" l="1"/>
  <c r="J145" i="1"/>
  <c r="J150" i="1" s="1"/>
  <c r="J151" i="1" s="1"/>
  <c r="C143" i="1" s="1"/>
  <c r="E142" i="1" s="1"/>
  <c r="J131" i="1"/>
  <c r="J136" i="1" s="1"/>
  <c r="J137" i="1" s="1"/>
  <c r="C129" i="1" s="1"/>
  <c r="E128" i="1" s="1"/>
  <c r="D200" i="1"/>
  <c r="D198" i="1"/>
  <c r="D144" i="1"/>
  <c r="D130" i="1"/>
  <c r="J126" i="1"/>
  <c r="D128" i="1"/>
  <c r="D142" i="1"/>
  <c r="J206" i="1" l="1"/>
  <c r="J207" i="1" s="1"/>
  <c r="C199" i="1"/>
  <c r="D199" i="1" s="1"/>
  <c r="I195" i="1" s="1"/>
  <c r="J139" i="1"/>
  <c r="G142" i="1"/>
  <c r="D143" i="1"/>
  <c r="I139" i="1" s="1"/>
  <c r="G128" i="1"/>
  <c r="D66" i="1" s="1"/>
  <c r="D67" i="1" s="1"/>
  <c r="D129" i="1"/>
  <c r="I125" i="1" s="1"/>
  <c r="J125" i="1"/>
  <c r="J195" i="1" l="1"/>
  <c r="G198" i="1"/>
  <c r="E198" i="1"/>
  <c r="F67" i="1"/>
  <c r="I126" i="1"/>
  <c r="I124" i="1" s="1"/>
  <c r="C126" i="1" s="1"/>
  <c r="I196" i="1"/>
  <c r="I140" i="1"/>
  <c r="I138" i="1" s="1"/>
  <c r="C140" i="1" s="1"/>
  <c r="I194" i="1" l="1"/>
  <c r="C196" i="1" s="1"/>
</calcChain>
</file>

<file path=xl/sharedStrings.xml><?xml version="1.0" encoding="utf-8"?>
<sst xmlns="http://schemas.openxmlformats.org/spreadsheetml/2006/main" count="839" uniqueCount="252">
  <si>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</si>
  <si>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</si>
  <si>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</si>
  <si>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</si>
  <si>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</si>
  <si>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</si>
  <si>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</si>
  <si>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</si>
  <si>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</si>
  <si>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</si>
  <si>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</si>
  <si>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</si>
  <si>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</si>
  <si>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</si>
  <si>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</si>
  <si>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</si>
  <si>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</si>
  <si>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</si>
  <si>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</si>
  <si>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</si>
  <si>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</si>
  <si>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</si>
  <si>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</si>
  <si>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</si>
  <si>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</si>
  <si>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</si>
  <si>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</si>
  <si>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</si>
  <si>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</si>
  <si>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</si>
  <si>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</si>
  <si>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</si>
  <si>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</si>
  <si>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</si>
  <si>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</si>
  <si>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</si>
  <si>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</si>
  <si>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</si>
  <si>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</si>
  <si>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</si>
  <si>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</si>
  <si>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</si>
  <si>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</si>
  <si>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</si>
  <si>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</si>
  <si>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</si>
  <si>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</si>
  <si>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</si>
  <si>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</si>
  <si>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</si>
  <si>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</si>
  <si>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</si>
  <si>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</si>
  <si>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</si>
  <si>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</si>
  <si>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</si>
  <si>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</si>
  <si>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</si>
  <si>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</si>
  <si>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</si>
  <si>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</si>
  <si>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</si>
  <si>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</si>
  <si>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</si>
  <si>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</si>
  <si>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</si>
  <si>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</si>
  <si>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</si>
  <si>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</si>
  <si>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</si>
  <si>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</si>
  <si>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</si>
  <si>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</si>
  <si>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</si>
  <si>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</si>
  <si>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</si>
  <si>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</si>
  <si>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</si>
  <si>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</si>
  <si>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</si>
  <si>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</si>
  <si>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</si>
  <si>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</si>
  <si>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</si>
  <si>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</si>
  <si>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</si>
  <si>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</si>
  <si>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</si>
  <si>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</si>
  <si>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</si>
  <si>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</si>
  <si>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</si>
  <si>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</si>
  <si>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</si>
  <si>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</si>
  <si>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</si>
  <si>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</si>
  <si>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</si>
  <si>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</si>
  <si>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</si>
  <si>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</si>
  <si>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</si>
  <si>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</si>
  <si>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</si>
  <si>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</si>
  <si>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</si>
  <si>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</si>
  <si>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</si>
  <si>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</si>
  <si>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</si>
  <si>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</si>
  <si>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</si>
  <si>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</si>
  <si>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</si>
  <si>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</si>
  <si>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</si>
  <si>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</si>
  <si>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</si>
  <si>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</si>
  <si>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</si>
  <si>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</si>
  <si>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</si>
  <si>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</si>
  <si>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</si>
  <si>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</si>
  <si>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</si>
  <si>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</si>
  <si>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</si>
  <si>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</si>
  <si>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</si>
  <si>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</si>
  <si>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</si>
  <si>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</si>
  <si>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</si>
  <si>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</si>
  <si>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</si>
  <si>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</si>
  <si>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</si>
  <si>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</si>
  <si>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</si>
  <si>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</si>
  <si>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</si>
  <si>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</si>
  <si>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</si>
  <si>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</si>
  <si>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</si>
  <si>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</si>
  <si>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</si>
  <si>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</si>
  <si>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</si>
  <si>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</si>
  <si>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</si>
  <si>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</si>
  <si>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</si>
  <si>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</si>
  <si>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</si>
  <si>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</si>
  <si>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</si>
  <si>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</si>
  <si>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</si>
  <si>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</si>
  <si>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</si>
  <si>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</si>
  <si>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</si>
  <si>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Axis Goregaon</t>
  </si>
  <si>
    <t>Laxmi Associates</t>
  </si>
  <si>
    <t>P99000046728</t>
  </si>
  <si>
    <t>443 H.No.1 (Old S.No.32/1/1 Pt.32/4Pt..49A/3, 49A/4A, 49A/5B) S.No.32 H.No.2 &amp; 3, S.No.35 H.No.1/2 &amp; 14</t>
  </si>
  <si>
    <t>Survey No</t>
  </si>
  <si>
    <t>Virar</t>
  </si>
  <si>
    <t>Vasai</t>
  </si>
  <si>
    <t>Palghar</t>
  </si>
  <si>
    <t>VVCMC/TP/CC/VP-6273/420/2021-22</t>
  </si>
  <si>
    <t>As per RERA - 31/12/2026</t>
  </si>
  <si>
    <t>Veer Savarkar Marg</t>
  </si>
  <si>
    <t>Virar Motors</t>
  </si>
  <si>
    <t>Virar East</t>
  </si>
  <si>
    <t>Indian Airlines Colony</t>
  </si>
  <si>
    <t>1KM from Virar Railway Station</t>
  </si>
  <si>
    <t>Old Buildings</t>
  </si>
  <si>
    <t>Vishnu Govind Park</t>
  </si>
  <si>
    <t>Internal Road</t>
  </si>
  <si>
    <t>Shakun Park</t>
  </si>
  <si>
    <t>https://goo.gl/maps/LcbdK728cyQXNUDt5</t>
  </si>
  <si>
    <t>Vasai-Virar City Municipal Corporation</t>
  </si>
  <si>
    <t>Generator Charges</t>
  </si>
  <si>
    <t>Approved Plans, CC, Builder Saleable Area, Cost Sheet</t>
  </si>
  <si>
    <t>Latitude, Longitude</t>
  </si>
  <si>
    <t>19.462186, 72.816056</t>
  </si>
  <si>
    <t>Approved no of Floors (as per CC)</t>
  </si>
  <si>
    <t xml:space="preserve">1. Vitrified tiles flooring 2. Granite Kitchen Platform 3. Decorative Enternace etc.
</t>
  </si>
  <si>
    <t>Residential</t>
  </si>
  <si>
    <t>Building No.1 = Wing A to J
Building No.2 = Wing A to F</t>
  </si>
  <si>
    <t>Building No.1
Wing A to G = Gr/St + 1st to 7th Floor
Wing H to J = Gr/St + 1st to 6th Floor
Building No.2
Wing A &amp; B = Gr/St + 1st to 7th Floor
Wing C to F = Gr/St + 1st to 5th Floor</t>
  </si>
  <si>
    <t>Building No.2 Wing A &amp; B = Gr/St + 1st to 7th Floor</t>
  </si>
  <si>
    <t>Building No.2 Wing C to F = Gr/St + 1st to 5th Floor</t>
  </si>
  <si>
    <r>
      <t xml:space="preserve">Flat No.
</t>
    </r>
    <r>
      <rPr>
        <b/>
        <sz val="11"/>
        <rFont val="Times New Roman"/>
        <family val="1"/>
      </rPr>
      <t>(Approved Plan)</t>
    </r>
  </si>
  <si>
    <t>VVCMC/TP/CC/VP/6273/420/2021-22</t>
  </si>
  <si>
    <t>Ground Floor For Entranace Lobby, Drivers Room, Society Office, Meter Room &amp; Parking</t>
  </si>
  <si>
    <t>Building No.1</t>
  </si>
  <si>
    <t>Wing A</t>
  </si>
  <si>
    <t>1st to 7th Floor For Residential</t>
  </si>
  <si>
    <t>1BHK</t>
  </si>
  <si>
    <t>2BHK</t>
  </si>
  <si>
    <t>Wing B</t>
  </si>
  <si>
    <t>Ground Floor For Residential</t>
  </si>
  <si>
    <t>1st to 7th Floor</t>
  </si>
  <si>
    <t>Wing G</t>
  </si>
  <si>
    <t>Ground Floor For Entrance Lobby, Meter Room &amp; Residential</t>
  </si>
  <si>
    <t>Sale</t>
  </si>
  <si>
    <t>Rehab</t>
  </si>
  <si>
    <t>Ground Floor For Entrance Lobby, Meter Room, Residential &amp; Parking</t>
  </si>
  <si>
    <t>Wing D</t>
  </si>
  <si>
    <t>Wing E</t>
  </si>
  <si>
    <t>Wing F</t>
  </si>
  <si>
    <t>Wing C</t>
  </si>
  <si>
    <t>Wing H</t>
  </si>
  <si>
    <t>1st to 6th Floor</t>
  </si>
  <si>
    <t>Wing I</t>
  </si>
  <si>
    <t>1st to 6th Floor For Residential</t>
  </si>
  <si>
    <t>Building No.2</t>
  </si>
  <si>
    <t>Ground Floor For Meter Room, Residential &amp; Parking</t>
  </si>
  <si>
    <t>Ground Floor For Entranace Lobby, Drivers Room, Society Office, Meter Room, Residential &amp; Parking</t>
  </si>
  <si>
    <t>1st to 5th Floor For Residential</t>
  </si>
  <si>
    <t>Wing J</t>
  </si>
  <si>
    <t>Residential Area Details : Building No.1</t>
  </si>
  <si>
    <t>Residential Area Details : Building No.2</t>
  </si>
  <si>
    <t>Grand Total</t>
  </si>
  <si>
    <t>We considered Gross carpet area = Net carpet + Balcony + A.P Area.</t>
  </si>
  <si>
    <t>Layout :</t>
  </si>
  <si>
    <t>Building No.1 Wing A to E &amp; G to J = Gr/St + 1st to 7th Floor</t>
  </si>
  <si>
    <t xml:space="preserve">Sale Flats- 244 , Rehab Flats - 172 </t>
  </si>
  <si>
    <t>Shree Sai Residential Park</t>
  </si>
  <si>
    <t>16 Wings</t>
  </si>
  <si>
    <t xml:space="preserve">We have updated revised plans &amp; CC (on 17/06/2023).
</t>
  </si>
  <si>
    <t>Water, Electricity, Drainages, Generator Charges</t>
  </si>
  <si>
    <t>As per builder mail and on site met person, Building No. 1 (Wing C, D, E, F, I &amp; J) will be tenants wings.</t>
  </si>
  <si>
    <t>Navnath Bhatkar</t>
  </si>
  <si>
    <t>Building No.1 Wing E = Gr/St + 1st to 7th Floor</t>
  </si>
  <si>
    <t>Building No.1 Wing B = Gr/St + 1st to 7th Floor</t>
  </si>
  <si>
    <t>Since building no.2 have received CC on 27/12/2021, but as of construction work is not started.</t>
  </si>
  <si>
    <t>Building No.1 Wing C = Gr/St + 1st to 7th Floor</t>
  </si>
  <si>
    <t>Building No.1 Wing G = Gr/St + 1st to 7th Floor</t>
  </si>
  <si>
    <t>Building No.1 Wing H = Gr/St + 1st to 7th Floor</t>
  </si>
  <si>
    <t>Building No.1 Wing  I &amp; J = Gr/St + 1st to 7th Floor</t>
  </si>
  <si>
    <t>Building No.1 Wing D &amp; E = Gr/St + 1st to 7th Floor</t>
  </si>
  <si>
    <t>Building No.1 Wing F = Gr/St + 1st to 7th Floor</t>
  </si>
  <si>
    <t>Building No.1 Wing A &amp; B = Gr/St + 1st to 7th Floor</t>
  </si>
  <si>
    <t>Building No.1 Wing A, B, I &amp; J  = Construction work is in process at the time of visit.
Building No.1 C to F Wing = Construction work is same as last visit (dtd. 07/02/2025).
Building No.1 G &amp; H Wing = Construction work is same as last visit (dtd. 13/05/2025).
Building No. 2 Wing A to F = Construction work is in process at the time of visit.</t>
  </si>
  <si>
    <t>Building No.2 Wing A = Gr/St + 1st to 7th Floor</t>
  </si>
  <si>
    <t>Building No.2 Wing B = Gr/St + 1st to 7th Floor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</si>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</sst>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[&gt;0]0&quot;BHK&quot;;&quot;1RK&quot;"/>
    <numFmt numFmtId="168" formatCode="0.0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19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5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6" fillId="0" borderId="0" xfId="0" applyFont="1" applyProtection="1">
      <protection hidden="1"/>
    </xf>
    <xf numFmtId="0" fontId="16" fillId="0" borderId="11" xfId="0" applyFont="1" applyBorder="1" applyProtection="1">
      <protection hidden="1"/>
    </xf>
    <xf numFmtId="9" fontId="6" fillId="0" borderId="1" xfId="8" applyFont="1" applyFill="1" applyBorder="1" applyAlignment="1" applyProtection="1">
      <alignment horizontal="center" vertical="top" wrapText="1"/>
      <protection locked="0"/>
    </xf>
    <xf numFmtId="9" fontId="6" fillId="0" borderId="7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1" fillId="0" borderId="0" xfId="1" applyFont="1"/>
    <xf numFmtId="0" fontId="6" fillId="0" borderId="10" xfId="1" applyFont="1" applyBorder="1"/>
    <xf numFmtId="0" fontId="16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Protection="1">
      <protection locked="0"/>
    </xf>
    <xf numFmtId="0" fontId="22" fillId="2" borderId="30" xfId="0" applyFont="1" applyFill="1" applyBorder="1"/>
    <xf numFmtId="0" fontId="23" fillId="0" borderId="31" xfId="0" applyFont="1" applyBorder="1"/>
    <xf numFmtId="0" fontId="23" fillId="0" borderId="1" xfId="0" applyFont="1" applyBorder="1"/>
    <xf numFmtId="0" fontId="23" fillId="0" borderId="5" xfId="0" applyFont="1" applyBorder="1"/>
    <xf numFmtId="0" fontId="6" fillId="0" borderId="0" xfId="1" applyFont="1" applyAlignment="1">
      <alignment horizontal="center" vertical="center"/>
    </xf>
    <xf numFmtId="9" fontId="11" fillId="0" borderId="1" xfId="8" applyFont="1" applyFill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2" fillId="0" borderId="16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 applyAlignment="1">
      <alignment horizontal="center" vertical="center"/>
    </xf>
    <xf numFmtId="168" fontId="6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1" xfId="1" applyFont="1" applyFill="1" applyBorder="1" applyAlignment="1" applyProtection="1">
      <alignment vertical="top" wrapText="1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0" fontId="11" fillId="0" borderId="4" xfId="1" applyFont="1" applyFill="1" applyBorder="1" applyAlignment="1" applyProtection="1">
      <alignment horizontal="center" vertical="top"/>
      <protection locked="0"/>
    </xf>
    <xf numFmtId="0" fontId="11" fillId="0" borderId="5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top" wrapText="1"/>
      <protection locked="0"/>
    </xf>
    <xf numFmtId="1" fontId="12" fillId="0" borderId="3" xfId="1" applyNumberFormat="1" applyFont="1" applyFill="1" applyBorder="1" applyAlignment="1" applyProtection="1">
      <alignment horizontal="center" vertical="top" wrapText="1"/>
      <protection locked="0"/>
    </xf>
    <xf numFmtId="167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>
      <alignment horizontal="center" vertical="center"/>
    </xf>
    <xf numFmtId="1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 applyProtection="1">
      <alignment vertical="top"/>
      <protection locked="0"/>
    </xf>
    <xf numFmtId="0" fontId="7" fillId="0" borderId="0" xfId="1" applyFont="1" applyFill="1" applyAlignment="1" applyProtection="1">
      <alignment vertical="top" wrapText="1"/>
      <protection locked="0"/>
    </xf>
    <xf numFmtId="0" fontId="6" fillId="0" borderId="0" xfId="1" applyFont="1" applyFill="1" applyProtection="1">
      <protection locked="0"/>
    </xf>
    <xf numFmtId="0" fontId="9" fillId="0" borderId="0" xfId="1" applyFont="1" applyFill="1" applyProtection="1">
      <protection locked="0"/>
    </xf>
    <xf numFmtId="0" fontId="6" fillId="0" borderId="1" xfId="1" applyFont="1" applyFill="1" applyBorder="1" applyAlignment="1" applyProtection="1">
      <alignment horizontal="center" vertical="top" wrapText="1"/>
      <protection locked="0"/>
    </xf>
    <xf numFmtId="0" fontId="6" fillId="0" borderId="7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 wrapText="1"/>
      <protection locked="0"/>
    </xf>
    <xf numFmtId="0" fontId="6" fillId="0" borderId="7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0" fontId="22" fillId="2" borderId="15" xfId="0" applyFont="1" applyFill="1" applyBorder="1"/>
    <xf numFmtId="0" fontId="23" fillId="0" borderId="9" xfId="0" applyFont="1" applyBorder="1"/>
    <xf numFmtId="1" fontId="11" fillId="0" borderId="1" xfId="1" applyNumberFormat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0" fontId="12" fillId="0" borderId="22" xfId="1" applyFont="1" applyFill="1" applyBorder="1" applyAlignment="1" applyProtection="1">
      <alignment horizontal="left" vertical="top" wrapText="1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12" fillId="0" borderId="13" xfId="1" applyFont="1" applyFill="1" applyBorder="1" applyAlignment="1" applyProtection="1">
      <alignment horizontal="left" vertical="top" wrapText="1"/>
      <protection locked="0"/>
    </xf>
    <xf numFmtId="0" fontId="12" fillId="0" borderId="14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left" vertical="top" wrapText="1"/>
      <protection locked="0"/>
    </xf>
    <xf numFmtId="0" fontId="6" fillId="0" borderId="4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center" vertical="top" wrapText="1"/>
      <protection locked="0"/>
    </xf>
    <xf numFmtId="0" fontId="6" fillId="0" borderId="5" xfId="1" applyFont="1" applyFill="1" applyBorder="1" applyAlignment="1" applyProtection="1">
      <alignment horizontal="center" vertical="top" wrapText="1"/>
      <protection locked="0"/>
    </xf>
    <xf numFmtId="9" fontId="6" fillId="0" borderId="1" xfId="8" applyFont="1" applyFill="1" applyBorder="1" applyAlignment="1" applyProtection="1">
      <alignment horizontal="center" vertical="center" wrapText="1"/>
      <protection locked="0"/>
    </xf>
    <xf numFmtId="0" fontId="12" fillId="0" borderId="34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35" xfId="1" applyFont="1" applyFill="1" applyBorder="1" applyAlignment="1" applyProtection="1">
      <alignment horizontal="left" vertical="top" wrapText="1"/>
      <protection locked="0"/>
    </xf>
    <xf numFmtId="9" fontId="6" fillId="0" borderId="17" xfId="8" applyFont="1" applyFill="1" applyBorder="1" applyAlignment="1" applyProtection="1">
      <alignment horizontal="center" vertical="center" wrapText="1"/>
      <protection locked="0"/>
    </xf>
    <xf numFmtId="9" fontId="6" fillId="0" borderId="18" xfId="8" applyFont="1" applyFill="1" applyBorder="1" applyAlignment="1" applyProtection="1">
      <alignment horizontal="center" vertical="center" wrapText="1"/>
      <protection locked="0"/>
    </xf>
    <xf numFmtId="9" fontId="6" fillId="0" borderId="25" xfId="8" applyFont="1" applyFill="1" applyBorder="1" applyAlignment="1" applyProtection="1">
      <alignment horizontal="center" vertical="center" wrapText="1"/>
      <protection locked="0"/>
    </xf>
    <xf numFmtId="9" fontId="6" fillId="0" borderId="26" xfId="8" applyFont="1" applyFill="1" applyBorder="1" applyAlignment="1" applyProtection="1">
      <alignment horizontal="center" vertical="center" wrapText="1"/>
      <protection locked="0"/>
    </xf>
    <xf numFmtId="9" fontId="6" fillId="0" borderId="28" xfId="8" applyFont="1" applyFill="1" applyBorder="1" applyAlignment="1" applyProtection="1">
      <alignment horizontal="center" vertical="center" wrapText="1"/>
      <protection locked="0"/>
    </xf>
    <xf numFmtId="9" fontId="6" fillId="0" borderId="29" xfId="8" applyFont="1" applyFill="1" applyBorder="1" applyAlignment="1" applyProtection="1">
      <alignment horizontal="center" vertical="center" wrapText="1"/>
      <protection locked="0"/>
    </xf>
    <xf numFmtId="9" fontId="6" fillId="0" borderId="27" xfId="8" applyFont="1" applyFill="1" applyBorder="1" applyAlignment="1" applyProtection="1">
      <alignment horizontal="center" vertical="center" wrapText="1"/>
      <protection locked="0"/>
    </xf>
    <xf numFmtId="9" fontId="6" fillId="0" borderId="10" xfId="8" applyFont="1" applyFill="1" applyBorder="1" applyAlignment="1" applyProtection="1">
      <alignment horizontal="center" vertical="center" wrapText="1"/>
      <protection locked="0"/>
    </xf>
    <xf numFmtId="9" fontId="6" fillId="0" borderId="12" xfId="8" applyFont="1" applyFill="1" applyBorder="1" applyAlignment="1" applyProtection="1">
      <alignment horizontal="center" vertical="center" wrapText="1"/>
      <protection locked="0"/>
    </xf>
    <xf numFmtId="0" fontId="6" fillId="0" borderId="6" xfId="1" applyFont="1" applyFill="1" applyBorder="1" applyAlignment="1" applyProtection="1">
      <alignment horizontal="center" vertical="top" wrapText="1"/>
      <protection locked="0"/>
    </xf>
    <xf numFmtId="0" fontId="6" fillId="0" borderId="7" xfId="1" applyFont="1" applyFill="1" applyBorder="1" applyAlignment="1" applyProtection="1">
      <alignment horizontal="center" vertical="top" wrapText="1"/>
      <protection locked="0"/>
    </xf>
    <xf numFmtId="1" fontId="7" fillId="0" borderId="8" xfId="0" applyNumberFormat="1" applyFont="1" applyFill="1" applyBorder="1" applyAlignment="1" applyProtection="1">
      <alignment vertical="top" wrapText="1"/>
      <protection locked="0"/>
    </xf>
    <xf numFmtId="1" fontId="7" fillId="0" borderId="21" xfId="0" applyNumberFormat="1" applyFont="1" applyFill="1" applyBorder="1" applyAlignment="1" applyProtection="1">
      <alignment vertical="top" wrapText="1"/>
      <protection locked="0"/>
    </xf>
    <xf numFmtId="1" fontId="7" fillId="0" borderId="9" xfId="0" applyNumberFormat="1" applyFont="1" applyFill="1" applyBorder="1" applyAlignment="1" applyProtection="1">
      <alignment vertical="top"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/>
      <protection locked="0"/>
    </xf>
    <xf numFmtId="1" fontId="1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1" fontId="11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1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left" vertical="top"/>
      <protection locked="0"/>
    </xf>
    <xf numFmtId="1" fontId="12" fillId="0" borderId="32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33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24" fillId="0" borderId="1" xfId="10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left" vertical="top" wrapText="1"/>
      <protection locked="0"/>
    </xf>
    <xf numFmtId="0" fontId="5" fillId="0" borderId="8" xfId="1" applyFont="1" applyFill="1" applyBorder="1" applyAlignment="1" applyProtection="1">
      <alignment horizontal="left" vertical="top" wrapText="1"/>
      <protection locked="0"/>
    </xf>
    <xf numFmtId="0" fontId="5" fillId="0" borderId="9" xfId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/>
      <protection locked="0"/>
    </xf>
    <xf numFmtId="0" fontId="12" fillId="0" borderId="21" xfId="1" applyFont="1" applyFill="1" applyBorder="1" applyAlignment="1" applyProtection="1">
      <alignment horizontal="left" vertical="top"/>
      <protection locked="0"/>
    </xf>
    <xf numFmtId="0" fontId="12" fillId="0" borderId="9" xfId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left" vertical="top" wrapText="1"/>
      <protection locked="0"/>
    </xf>
    <xf numFmtId="1" fontId="12" fillId="0" borderId="17" xfId="1" applyNumberFormat="1" applyFont="1" applyFill="1" applyBorder="1" applyAlignment="1" applyProtection="1">
      <alignment horizontal="center" vertical="top" wrapText="1"/>
      <protection locked="0"/>
    </xf>
    <xf numFmtId="1" fontId="12" fillId="0" borderId="19" xfId="1" applyNumberFormat="1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Fill="1" applyBorder="1" applyAlignment="1" applyProtection="1">
      <alignment horizontal="center" vertical="top" wrapText="1"/>
      <protection locked="0"/>
    </xf>
    <xf numFmtId="1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1" fontId="12" fillId="0" borderId="33" xfId="0" applyNumberFormat="1" applyFont="1" applyFill="1" applyBorder="1" applyAlignment="1" applyProtection="1">
      <alignment horizontal="center" vertical="center"/>
      <protection locked="0"/>
    </xf>
    <xf numFmtId="0" fontId="12" fillId="0" borderId="33" xfId="0" applyFont="1" applyFill="1" applyBorder="1" applyAlignment="1" applyProtection="1">
      <alignment horizontal="center" vertical="center"/>
      <protection locked="0"/>
    </xf>
    <xf numFmtId="0" fontId="12" fillId="0" borderId="16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12" fillId="0" borderId="3" xfId="1" applyNumberFormat="1" applyFont="1" applyFill="1" applyBorder="1" applyAlignment="1" applyProtection="1">
      <alignment horizontal="center" vertical="top" wrapText="1"/>
      <protection locked="0"/>
    </xf>
    <xf numFmtId="1" fontId="12" fillId="0" borderId="16" xfId="1" applyNumberFormat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9" fontId="11" fillId="0" borderId="1" xfId="8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left"/>
      <protection locked="0"/>
    </xf>
    <xf numFmtId="2" fontId="5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5" fillId="0" borderId="16" xfId="1" applyFont="1" applyFill="1" applyBorder="1" applyAlignment="1" applyProtection="1">
      <alignment horizontal="left" vertical="top" wrapText="1"/>
      <protection locked="0"/>
    </xf>
    <xf numFmtId="1" fontId="5" fillId="0" borderId="1" xfId="1" applyNumberFormat="1" applyFont="1" applyFill="1" applyBorder="1" applyAlignment="1" applyProtection="1">
      <alignment horizontal="left" vertical="top" wrapText="1"/>
      <protection locked="0"/>
    </xf>
    <xf numFmtId="0" fontId="11" fillId="0" borderId="3" xfId="1" applyFont="1" applyFill="1" applyBorder="1" applyAlignment="1" applyProtection="1">
      <alignment horizontal="left" vertical="top" wrapText="1"/>
      <protection locked="0"/>
    </xf>
    <xf numFmtId="0" fontId="11" fillId="0" borderId="3" xfId="1" applyFont="1" applyFill="1" applyBorder="1" applyAlignment="1" applyProtection="1">
      <alignment horizontal="left" vertical="top"/>
      <protection locked="0"/>
    </xf>
    <xf numFmtId="0" fontId="11" fillId="0" borderId="17" xfId="1" applyFont="1" applyFill="1" applyBorder="1" applyAlignment="1" applyProtection="1">
      <alignment horizontal="left" vertical="top" wrapText="1"/>
      <protection locked="0"/>
    </xf>
    <xf numFmtId="0" fontId="11" fillId="0" borderId="24" xfId="1" applyFont="1" applyFill="1" applyBorder="1" applyAlignment="1" applyProtection="1">
      <alignment horizontal="left" vertical="top" wrapText="1"/>
      <protection locked="0"/>
    </xf>
    <xf numFmtId="0" fontId="11" fillId="0" borderId="18" xfId="1" applyFont="1" applyFill="1" applyBorder="1" applyAlignment="1" applyProtection="1">
      <alignment horizontal="left" vertical="top" wrapText="1"/>
      <protection locked="0"/>
    </xf>
    <xf numFmtId="14" fontId="5" fillId="0" borderId="8" xfId="1" applyNumberFormat="1" applyFont="1" applyFill="1" applyBorder="1" applyAlignment="1" applyProtection="1">
      <alignment horizontal="left" vertical="top" wrapText="1"/>
      <protection locked="0"/>
    </xf>
    <xf numFmtId="14" fontId="5" fillId="0" borderId="9" xfId="1" applyNumberFormat="1" applyFont="1" applyFill="1" applyBorder="1" applyAlignment="1" applyProtection="1">
      <alignment horizontal="left" vertical="top" wrapText="1"/>
      <protection locked="0"/>
    </xf>
    <xf numFmtId="0" fontId="5" fillId="0" borderId="17" xfId="1" applyFont="1" applyFill="1" applyBorder="1" applyAlignment="1" applyProtection="1">
      <alignment horizontal="left" vertical="top" wrapText="1"/>
      <protection locked="0"/>
    </xf>
    <xf numFmtId="0" fontId="5" fillId="0" borderId="18" xfId="1" applyFont="1" applyFill="1" applyBorder="1" applyAlignment="1" applyProtection="1">
      <alignment horizontal="left" vertical="top" wrapText="1"/>
      <protection locked="0"/>
    </xf>
    <xf numFmtId="0" fontId="5" fillId="0" borderId="19" xfId="1" applyFont="1" applyFill="1" applyBorder="1" applyAlignment="1" applyProtection="1">
      <alignment horizontal="left" vertical="top" wrapText="1"/>
      <protection locked="0"/>
    </xf>
    <xf numFmtId="0" fontId="5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left"/>
      <protection locked="0"/>
    </xf>
    <xf numFmtId="14" fontId="11" fillId="0" borderId="1" xfId="1" applyNumberFormat="1" applyFont="1" applyFill="1" applyBorder="1" applyAlignment="1" applyProtection="1">
      <alignment horizontal="left" vertical="top"/>
      <protection locked="0"/>
    </xf>
    <xf numFmtId="0" fontId="10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1" fontId="12" fillId="0" borderId="8" xfId="0" applyNumberFormat="1" applyFont="1" applyFill="1" applyBorder="1" applyAlignment="1" applyProtection="1">
      <alignment vertical="top" wrapText="1"/>
      <protection locked="0"/>
    </xf>
    <xf numFmtId="1" fontId="12" fillId="0" borderId="21" xfId="0" applyNumberFormat="1" applyFont="1" applyFill="1" applyBorder="1" applyAlignment="1" applyProtection="1">
      <alignment vertical="top" wrapText="1"/>
      <protection locked="0"/>
    </xf>
    <xf numFmtId="1" fontId="12" fillId="0" borderId="9" xfId="0" applyNumberFormat="1" applyFont="1" applyFill="1" applyBorder="1" applyAlignment="1" applyProtection="1">
      <alignment vertical="top" wrapText="1"/>
      <protection locked="0"/>
    </xf>
    <xf numFmtId="0" fontId="5" fillId="0" borderId="21" xfId="1" applyFont="1" applyFill="1" applyBorder="1" applyAlignment="1" applyProtection="1">
      <alignment horizontal="left" vertical="top" wrapText="1"/>
      <protection locked="0"/>
    </xf>
    <xf numFmtId="0" fontId="11" fillId="0" borderId="24" xfId="1" applyFont="1" applyFill="1" applyBorder="1" applyAlignment="1" applyProtection="1">
      <alignment horizontal="left" vertical="top"/>
      <protection locked="0"/>
    </xf>
    <xf numFmtId="0" fontId="11" fillId="0" borderId="18" xfId="1" applyFont="1" applyFill="1" applyBorder="1" applyAlignment="1" applyProtection="1">
      <alignment horizontal="left" vertical="top"/>
      <protection locked="0"/>
    </xf>
    <xf numFmtId="0" fontId="11" fillId="0" borderId="25" xfId="1" applyFont="1" applyFill="1" applyBorder="1" applyAlignment="1" applyProtection="1">
      <alignment horizontal="left" vertical="top" wrapText="1"/>
      <protection locked="0"/>
    </xf>
    <xf numFmtId="0" fontId="11" fillId="0" borderId="0" xfId="1" applyFont="1" applyFill="1" applyAlignment="1" applyProtection="1">
      <alignment horizontal="left" vertical="top"/>
      <protection locked="0"/>
    </xf>
    <xf numFmtId="0" fontId="11" fillId="0" borderId="26" xfId="1" applyFont="1" applyFill="1" applyBorder="1" applyAlignment="1" applyProtection="1">
      <alignment horizontal="left" vertical="top"/>
      <protection locked="0"/>
    </xf>
    <xf numFmtId="0" fontId="7" fillId="0" borderId="8" xfId="1" applyFont="1" applyFill="1" applyBorder="1" applyAlignment="1" applyProtection="1">
      <alignment horizontal="left" vertical="top" wrapText="1"/>
      <protection locked="0"/>
    </xf>
    <xf numFmtId="0" fontId="7" fillId="0" borderId="9" xfId="1" applyFont="1" applyFill="1" applyBorder="1" applyAlignment="1" applyProtection="1">
      <alignment horizontal="left" vertical="top" wrapText="1"/>
      <protection locked="0"/>
    </xf>
    <xf numFmtId="0" fontId="7" fillId="0" borderId="21" xfId="1" applyFont="1" applyFill="1" applyBorder="1" applyAlignment="1" applyProtection="1">
      <alignment horizontal="left" vertical="top" wrapText="1"/>
      <protection locked="0"/>
    </xf>
    <xf numFmtId="0" fontId="7" fillId="0" borderId="8" xfId="1" applyFont="1" applyFill="1" applyBorder="1" applyAlignment="1" applyProtection="1">
      <alignment horizontal="left" vertical="top"/>
      <protection locked="0"/>
    </xf>
    <xf numFmtId="0" fontId="7" fillId="0" borderId="9" xfId="1" applyFont="1" applyFill="1" applyBorder="1" applyAlignment="1" applyProtection="1">
      <alignment horizontal="left" vertical="top"/>
      <protection locked="0"/>
    </xf>
    <xf numFmtId="0" fontId="5" fillId="0" borderId="1" xfId="1" applyFont="1" applyFill="1" applyBorder="1" applyAlignment="1" applyProtection="1">
      <alignment vertical="top"/>
      <protection locked="0"/>
    </xf>
    <xf numFmtId="1" fontId="25" fillId="0" borderId="3" xfId="1" applyNumberFormat="1" applyFont="1" applyFill="1" applyBorder="1" applyAlignment="1" applyProtection="1">
      <alignment horizontal="center" vertical="top" wrapText="1"/>
      <protection locked="0"/>
    </xf>
    <xf numFmtId="1" fontId="25" fillId="0" borderId="16" xfId="1" applyNumberFormat="1" applyFont="1" applyFill="1" applyBorder="1" applyAlignment="1" applyProtection="1">
      <alignment horizontal="center" vertical="top" wrapText="1"/>
      <protection locked="0"/>
    </xf>
    <xf numFmtId="1" fontId="12" fillId="0" borderId="18" xfId="1" applyNumberFormat="1" applyFont="1" applyFill="1" applyBorder="1" applyAlignment="1" applyProtection="1">
      <alignment horizontal="center" vertical="top" wrapText="1"/>
      <protection locked="0"/>
    </xf>
    <xf numFmtId="1" fontId="12" fillId="0" borderId="20" xfId="1" applyNumberFormat="1" applyFont="1" applyFill="1" applyBorder="1" applyAlignment="1" applyProtection="1">
      <alignment horizontal="center" vertical="top" wrapText="1"/>
      <protection locked="0"/>
    </xf>
    <xf numFmtId="0" fontId="11" fillId="0" borderId="19" xfId="1" applyFont="1" applyFill="1" applyBorder="1" applyAlignment="1" applyProtection="1">
      <alignment horizontal="left" vertical="top"/>
      <protection locked="0"/>
    </xf>
    <xf numFmtId="0" fontId="11" fillId="0" borderId="2" xfId="1" applyFont="1" applyFill="1" applyBorder="1" applyAlignment="1" applyProtection="1">
      <alignment horizontal="left" vertical="top"/>
      <protection locked="0"/>
    </xf>
    <xf numFmtId="0" fontId="11" fillId="0" borderId="20" xfId="1" applyFont="1" applyFill="1" applyBorder="1" applyAlignment="1" applyProtection="1">
      <alignment horizontal="left" vertical="top"/>
      <protection locked="0"/>
    </xf>
    <xf numFmtId="0" fontId="11" fillId="0" borderId="0" xfId="1" applyFont="1" applyFill="1" applyBorder="1" applyAlignment="1" applyProtection="1">
      <alignment horizontal="left" vertical="top" wrapText="1"/>
      <protection locked="0"/>
    </xf>
    <xf numFmtId="0" fontId="11" fillId="0" borderId="26" xfId="1" applyFont="1" applyFill="1" applyBorder="1" applyAlignment="1" applyProtection="1">
      <alignment horizontal="left" vertical="top" wrapText="1"/>
      <protection locked="0"/>
    </xf>
    <xf numFmtId="0" fontId="11" fillId="0" borderId="19" xfId="1" applyFont="1" applyFill="1" applyBorder="1" applyAlignment="1" applyProtection="1">
      <alignment horizontal="left" vertical="top" wrapText="1"/>
      <protection locked="0"/>
    </xf>
    <xf numFmtId="0" fontId="11" fillId="0" borderId="2" xfId="1" applyFont="1" applyFill="1" applyBorder="1" applyAlignment="1" applyProtection="1">
      <alignment horizontal="left" vertical="top" wrapText="1"/>
      <protection locked="0"/>
    </xf>
    <xf numFmtId="0" fontId="11" fillId="0" borderId="25" xfId="1" applyFont="1" applyFill="1" applyBorder="1" applyAlignment="1" applyProtection="1">
      <alignment horizontal="left" vertical="top"/>
      <protection locked="0"/>
    </xf>
    <xf numFmtId="0" fontId="11" fillId="0" borderId="0" xfId="1" applyFont="1" applyFill="1" applyBorder="1" applyAlignment="1" applyProtection="1">
      <alignment horizontal="left" vertical="top"/>
      <protection locked="0"/>
    </xf>
    <xf numFmtId="1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26" Type="http://schemas.openxmlformats.org/officeDocument/2006/relationships/image" Target="../media/image25.png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2" Type="http://schemas.openxmlformats.org/officeDocument/2006/relationships/image" Target="../media/image2.png"/><Relationship Id="rId16" Type="http://schemas.openxmlformats.org/officeDocument/2006/relationships/image" Target="../media/image15.jpeg"/><Relationship Id="rId20" Type="http://schemas.openxmlformats.org/officeDocument/2006/relationships/image" Target="../media/image19.pn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5" Type="http://schemas.openxmlformats.org/officeDocument/2006/relationships/image" Target="../media/image4.jpeg"/><Relationship Id="rId15" Type="http://schemas.openxmlformats.org/officeDocument/2006/relationships/image" Target="../media/image14.jpe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10" Type="http://schemas.openxmlformats.org/officeDocument/2006/relationships/image" Target="../media/image9.jpe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" Type="http://schemas.microsoft.com/office/2007/relationships/hdphoto" Target="../media/hdphoto1.wdp"/><Relationship Id="rId9" Type="http://schemas.openxmlformats.org/officeDocument/2006/relationships/image" Target="../media/image8.jpeg"/><Relationship Id="rId14" Type="http://schemas.openxmlformats.org/officeDocument/2006/relationships/image" Target="../media/image13.jpe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8" Type="http://schemas.openxmlformats.org/officeDocument/2006/relationships/image" Target="../media/image7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311724</xdr:colOff>
      <xdr:row>532</xdr:row>
      <xdr:rowOff>147205</xdr:rowOff>
    </xdr:from>
    <xdr:to>
      <xdr:col>7</xdr:col>
      <xdr:colOff>562701</xdr:colOff>
      <xdr:row>551</xdr:row>
      <xdr:rowOff>64304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724" y="52283591"/>
          <a:ext cx="5940000" cy="37011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311724</xdr:colOff>
      <xdr:row>551</xdr:row>
      <xdr:rowOff>175919</xdr:rowOff>
    </xdr:from>
    <xdr:to>
      <xdr:col>7</xdr:col>
      <xdr:colOff>562701</xdr:colOff>
      <xdr:row>574</xdr:row>
      <xdr:rowOff>24076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724" y="45644805"/>
          <a:ext cx="5940000" cy="44288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16452</xdr:colOff>
      <xdr:row>516</xdr:row>
      <xdr:rowOff>166641</xdr:rowOff>
    </xdr:from>
    <xdr:to>
      <xdr:col>6</xdr:col>
      <xdr:colOff>112494</xdr:colOff>
      <xdr:row>530</xdr:row>
      <xdr:rowOff>102292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78552" y="107703891"/>
          <a:ext cx="3448842" cy="2736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438150</xdr:colOff>
      <xdr:row>487</xdr:row>
      <xdr:rowOff>146566</xdr:rowOff>
    </xdr:from>
    <xdr:to>
      <xdr:col>7</xdr:col>
      <xdr:colOff>25800</xdr:colOff>
      <xdr:row>516</xdr:row>
      <xdr:rowOff>105840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150" y="101883091"/>
          <a:ext cx="4521600" cy="57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127200</xdr:colOff>
      <xdr:row>492</xdr:row>
      <xdr:rowOff>51316</xdr:rowOff>
    </xdr:from>
    <xdr:to>
      <xdr:col>6</xdr:col>
      <xdr:colOff>622500</xdr:colOff>
      <xdr:row>511</xdr:row>
      <xdr:rowOff>184666</xdr:rowOff>
    </xdr:to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480000" y="102787966"/>
          <a:ext cx="2057400" cy="3933825"/>
        </a:xfrm>
        <a:prstGeom prst="rect">
          <a:avLst/>
        </a:prstGeom>
        <a:noFill/>
        <a:ln w="38100">
          <a:solidFill>
            <a:srgbClr val="FF0000"/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1</xdr:col>
      <xdr:colOff>771525</xdr:colOff>
      <xdr:row>489</xdr:row>
      <xdr:rowOff>108466</xdr:rowOff>
    </xdr:from>
    <xdr:to>
      <xdr:col>4</xdr:col>
      <xdr:colOff>57150</xdr:colOff>
      <xdr:row>502</xdr:row>
      <xdr:rowOff>70366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533525" y="102245041"/>
          <a:ext cx="1876425" cy="2562225"/>
        </a:xfrm>
        <a:prstGeom prst="rect">
          <a:avLst/>
        </a:prstGeom>
        <a:noFill/>
        <a:ln w="38100"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175301</xdr:colOff>
      <xdr:row>487</xdr:row>
      <xdr:rowOff>142875</xdr:rowOff>
    </xdr:from>
    <xdr:to>
      <xdr:col>3</xdr:col>
      <xdr:colOff>796248</xdr:colOff>
      <xdr:row>489</xdr:row>
      <xdr:rowOff>112157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737401" y="101879400"/>
          <a:ext cx="1468672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chemeClr val="accent5">
                  <a:lumMod val="75000"/>
                </a:schemeClr>
              </a:solidFill>
            </a:rPr>
            <a:t>Building No.2</a:t>
          </a:r>
        </a:p>
      </xdr:txBody>
    </xdr:sp>
    <xdr:clientData/>
  </xdr:twoCellAnchor>
  <xdr:twoCellAnchor>
    <xdr:from>
      <xdr:col>4</xdr:col>
      <xdr:colOff>478714</xdr:colOff>
      <xdr:row>489</xdr:row>
      <xdr:rowOff>186809</xdr:rowOff>
    </xdr:from>
    <xdr:to>
      <xdr:col>6</xdr:col>
      <xdr:colOff>385286</xdr:colOff>
      <xdr:row>491</xdr:row>
      <xdr:rowOff>156091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3831514" y="102323384"/>
          <a:ext cx="1468672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No.1</a:t>
          </a:r>
        </a:p>
      </xdr:txBody>
    </xdr:sp>
    <xdr:clientData/>
  </xdr:twoCellAnchor>
  <xdr:twoCellAnchor>
    <xdr:from>
      <xdr:col>11</xdr:col>
      <xdr:colOff>61203</xdr:colOff>
      <xdr:row>454</xdr:row>
      <xdr:rowOff>39781</xdr:rowOff>
    </xdr:from>
    <xdr:to>
      <xdr:col>15</xdr:col>
      <xdr:colOff>502817</xdr:colOff>
      <xdr:row>457</xdr:row>
      <xdr:rowOff>88636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9624303" y="103976581"/>
          <a:ext cx="3432464" cy="64893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b="1">
              <a:solidFill>
                <a:srgbClr val="FFFF00"/>
              </a:solidFill>
            </a:rPr>
            <a:t>Building No.1   </a:t>
          </a:r>
        </a:p>
        <a:p>
          <a:pPr algn="ctr"/>
          <a:r>
            <a:rPr lang="en-IN" b="1">
              <a:solidFill>
                <a:srgbClr val="FFFF00"/>
              </a:solidFill>
            </a:rPr>
            <a:t>Wing C &amp; D</a:t>
          </a:r>
        </a:p>
      </xdr:txBody>
    </xdr:sp>
    <xdr:clientData/>
  </xdr:twoCellAnchor>
  <xdr:twoCellAnchor>
    <xdr:from>
      <xdr:col>7</xdr:col>
      <xdr:colOff>813955</xdr:colOff>
      <xdr:row>457</xdr:row>
      <xdr:rowOff>184139</xdr:rowOff>
    </xdr:from>
    <xdr:to>
      <xdr:col>10</xdr:col>
      <xdr:colOff>220488</xdr:colOff>
      <xdr:row>461</xdr:row>
      <xdr:rowOff>33837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509905" y="104721014"/>
          <a:ext cx="2568833" cy="64979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b="1">
              <a:solidFill>
                <a:srgbClr val="FFFF00"/>
              </a:solidFill>
            </a:rPr>
            <a:t>Building No.1   </a:t>
          </a:r>
        </a:p>
        <a:p>
          <a:pPr algn="ctr"/>
          <a:r>
            <a:rPr lang="en-IN" b="1">
              <a:solidFill>
                <a:srgbClr val="FFFF00"/>
              </a:solidFill>
            </a:rPr>
            <a:t>Wing E &amp; F</a:t>
          </a:r>
        </a:p>
      </xdr:txBody>
    </xdr:sp>
    <xdr:clientData/>
  </xdr:twoCellAnchor>
  <xdr:twoCellAnchor>
    <xdr:from>
      <xdr:col>10</xdr:col>
      <xdr:colOff>436524</xdr:colOff>
      <xdr:row>457</xdr:row>
      <xdr:rowOff>184140</xdr:rowOff>
    </xdr:from>
    <xdr:to>
      <xdr:col>15</xdr:col>
      <xdr:colOff>176752</xdr:colOff>
      <xdr:row>461</xdr:row>
      <xdr:rowOff>33836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9294774" y="104721015"/>
          <a:ext cx="3435928" cy="64979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b="1">
              <a:solidFill>
                <a:srgbClr val="FFFF00"/>
              </a:solidFill>
            </a:rPr>
            <a:t>Building No.1   </a:t>
          </a:r>
        </a:p>
        <a:p>
          <a:pPr algn="ctr"/>
          <a:r>
            <a:rPr lang="en-IN" b="1">
              <a:solidFill>
                <a:srgbClr val="FFFF00"/>
              </a:solidFill>
            </a:rPr>
            <a:t>Wing G &amp; H</a:t>
          </a:r>
        </a:p>
      </xdr:txBody>
    </xdr:sp>
    <xdr:clientData/>
  </xdr:twoCellAnchor>
  <xdr:twoCellAnchor>
    <xdr:from>
      <xdr:col>9</xdr:col>
      <xdr:colOff>470664</xdr:colOff>
      <xdr:row>461</xdr:row>
      <xdr:rowOff>146658</xdr:rowOff>
    </xdr:from>
    <xdr:to>
      <xdr:col>14</xdr:col>
      <xdr:colOff>106983</xdr:colOff>
      <xdr:row>464</xdr:row>
      <xdr:rowOff>195512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8566914" y="105483633"/>
          <a:ext cx="3436794" cy="64892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b="1">
              <a:solidFill>
                <a:srgbClr val="FFFF00"/>
              </a:solidFill>
            </a:rPr>
            <a:t>Building No.1   </a:t>
          </a:r>
        </a:p>
        <a:p>
          <a:pPr algn="ctr"/>
          <a:r>
            <a:rPr lang="en-IN" b="1">
              <a:solidFill>
                <a:srgbClr val="FFFF00"/>
              </a:solidFill>
            </a:rPr>
            <a:t>Wing J</a:t>
          </a:r>
        </a:p>
      </xdr:txBody>
    </xdr:sp>
    <xdr:clientData/>
  </xdr:twoCellAnchor>
  <xdr:twoCellAnchor>
    <xdr:from>
      <xdr:col>15</xdr:col>
      <xdr:colOff>316951</xdr:colOff>
      <xdr:row>449</xdr:row>
      <xdr:rowOff>88900</xdr:rowOff>
    </xdr:from>
    <xdr:to>
      <xdr:col>15</xdr:col>
      <xdr:colOff>667103</xdr:colOff>
      <xdr:row>450</xdr:row>
      <xdr:rowOff>172255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2870901" y="103025575"/>
          <a:ext cx="350152" cy="2833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1E</a:t>
          </a:r>
        </a:p>
      </xdr:txBody>
    </xdr:sp>
    <xdr:clientData/>
  </xdr:twoCellAnchor>
  <xdr:twoCellAnchor>
    <xdr:from>
      <xdr:col>8</xdr:col>
      <xdr:colOff>418858</xdr:colOff>
      <xdr:row>459</xdr:row>
      <xdr:rowOff>35274</xdr:rowOff>
    </xdr:from>
    <xdr:to>
      <xdr:col>8</xdr:col>
      <xdr:colOff>769010</xdr:colOff>
      <xdr:row>460</xdr:row>
      <xdr:rowOff>118629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7353058" y="104972199"/>
          <a:ext cx="350152" cy="2833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1F</a:t>
          </a:r>
        </a:p>
      </xdr:txBody>
    </xdr:sp>
    <xdr:clientData/>
  </xdr:twoCellAnchor>
  <xdr:twoCellAnchor>
    <xdr:from>
      <xdr:col>10</xdr:col>
      <xdr:colOff>69424</xdr:colOff>
      <xdr:row>459</xdr:row>
      <xdr:rowOff>35274</xdr:rowOff>
    </xdr:from>
    <xdr:to>
      <xdr:col>10</xdr:col>
      <xdr:colOff>431800</xdr:colOff>
      <xdr:row>460</xdr:row>
      <xdr:rowOff>118629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8927674" y="104972199"/>
          <a:ext cx="362376" cy="2833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1G</a:t>
          </a:r>
        </a:p>
      </xdr:txBody>
    </xdr:sp>
    <xdr:clientData/>
  </xdr:twoCellAnchor>
  <xdr:twoCellAnchor>
    <xdr:from>
      <xdr:col>12</xdr:col>
      <xdr:colOff>202590</xdr:colOff>
      <xdr:row>458</xdr:row>
      <xdr:rowOff>194024</xdr:rowOff>
    </xdr:from>
    <xdr:to>
      <xdr:col>12</xdr:col>
      <xdr:colOff>590550</xdr:colOff>
      <xdr:row>460</xdr:row>
      <xdr:rowOff>80529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0470540" y="104930924"/>
          <a:ext cx="387960" cy="28655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1H</a:t>
          </a:r>
        </a:p>
      </xdr:txBody>
    </xdr:sp>
    <xdr:clientData/>
  </xdr:twoCellAnchor>
  <xdr:twoCellAnchor>
    <xdr:from>
      <xdr:col>8</xdr:col>
      <xdr:colOff>355358</xdr:colOff>
      <xdr:row>470</xdr:row>
      <xdr:rowOff>32448</xdr:rowOff>
    </xdr:from>
    <xdr:to>
      <xdr:col>8</xdr:col>
      <xdr:colOff>705510</xdr:colOff>
      <xdr:row>471</xdr:row>
      <xdr:rowOff>115803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7289558" y="107169648"/>
          <a:ext cx="350152" cy="2833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1I</a:t>
          </a:r>
        </a:p>
      </xdr:txBody>
    </xdr:sp>
    <xdr:clientData/>
  </xdr:twoCellAnchor>
  <xdr:twoCellAnchor>
    <xdr:from>
      <xdr:col>11</xdr:col>
      <xdr:colOff>486376</xdr:colOff>
      <xdr:row>470</xdr:row>
      <xdr:rowOff>32448</xdr:rowOff>
    </xdr:from>
    <xdr:to>
      <xdr:col>12</xdr:col>
      <xdr:colOff>99928</xdr:colOff>
      <xdr:row>471</xdr:row>
      <xdr:rowOff>115803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10049476" y="107169648"/>
          <a:ext cx="318402" cy="2833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1J</a:t>
          </a:r>
        </a:p>
      </xdr:txBody>
    </xdr:sp>
    <xdr:clientData/>
  </xdr:twoCellAnchor>
  <xdr:twoCellAnchor>
    <xdr:from>
      <xdr:col>8</xdr:col>
      <xdr:colOff>336550</xdr:colOff>
      <xdr:row>444</xdr:row>
      <xdr:rowOff>6350</xdr:rowOff>
    </xdr:from>
    <xdr:to>
      <xdr:col>16</xdr:col>
      <xdr:colOff>110956</xdr:colOff>
      <xdr:row>486</xdr:row>
      <xdr:rowOff>31750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607300" y="86213950"/>
          <a:ext cx="6473656" cy="8286750"/>
          <a:chOff x="336550" y="80937100"/>
          <a:chExt cx="6454606" cy="8286750"/>
        </a:xfrm>
      </xdr:grpSpPr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27286" y="87380369"/>
            <a:ext cx="2685509" cy="184348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551" y="809879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84611" y="809879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32671" y="809879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80731" y="809879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551" y="83118723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84610" y="83118723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32671" y="83118723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80731" y="83118723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5" name="Picture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550" y="8524954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7" name="Picture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84610" y="8524954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8" name="Picture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32671" y="8524954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2" name="Picture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80730" y="8524954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4" name="Rectangle 8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768351" y="80937100"/>
            <a:ext cx="496780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1A</a:t>
            </a:r>
          </a:p>
        </xdr:txBody>
      </xdr:sp>
      <xdr:sp macro="" textlink="">
        <xdr:nvSpPr>
          <xdr:cNvPr id="85" name="Rectangle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2740261" y="81210150"/>
            <a:ext cx="496780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1B</a:t>
            </a:r>
          </a:p>
        </xdr:txBody>
      </xdr:sp>
      <xdr:sp macro="" textlink="">
        <xdr:nvSpPr>
          <xdr:cNvPr id="86" name="Rectangle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4172421" y="80994250"/>
            <a:ext cx="496780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1C</a:t>
            </a:r>
          </a:p>
        </xdr:txBody>
      </xdr:sp>
      <xdr:sp macro="" textlink="">
        <xdr:nvSpPr>
          <xdr:cNvPr id="87" name="Rectangle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5896681" y="81102200"/>
            <a:ext cx="496780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1D</a:t>
            </a:r>
          </a:p>
        </xdr:txBody>
      </xdr:sp>
      <xdr:sp macro="" textlink="">
        <xdr:nvSpPr>
          <xdr:cNvPr id="88" name="Rectangle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1143001" y="83137773"/>
            <a:ext cx="496780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1E</a:t>
            </a:r>
          </a:p>
        </xdr:txBody>
      </xdr:sp>
      <xdr:sp macro="" textlink="">
        <xdr:nvSpPr>
          <xdr:cNvPr id="89" name="Rectangle 8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3038710" y="83112373"/>
            <a:ext cx="496780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1F</a:t>
            </a:r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4166071" y="83264773"/>
            <a:ext cx="496780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1G</a:t>
            </a:r>
          </a:p>
        </xdr:txBody>
      </xdr:sp>
      <xdr:sp macro="" textlink="">
        <xdr:nvSpPr>
          <xdr:cNvPr id="91" name="Rectangle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6074481" y="83290173"/>
            <a:ext cx="496780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1H</a:t>
            </a:r>
          </a:p>
        </xdr:txBody>
      </xdr:sp>
      <xdr:sp macro="" textlink="">
        <xdr:nvSpPr>
          <xdr:cNvPr id="92" name="Rectangle 9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565150" y="85376546"/>
            <a:ext cx="496780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1I</a:t>
            </a:r>
          </a:p>
        </xdr:txBody>
      </xdr:sp>
      <xdr:sp macro="" textlink="">
        <xdr:nvSpPr>
          <xdr:cNvPr id="93" name="Rectangle 9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2543410" y="85344796"/>
            <a:ext cx="496780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1J</a:t>
            </a:r>
          </a:p>
        </xdr:txBody>
      </xdr:sp>
    </xdr:grpSp>
    <xdr:clientData/>
  </xdr:twoCellAnchor>
  <xdr:twoCellAnchor>
    <xdr:from>
      <xdr:col>0</xdr:col>
      <xdr:colOff>368300</xdr:colOff>
      <xdr:row>444</xdr:row>
      <xdr:rowOff>107950</xdr:rowOff>
    </xdr:from>
    <xdr:to>
      <xdr:col>7</xdr:col>
      <xdr:colOff>941863</xdr:colOff>
      <xdr:row>486</xdr:row>
      <xdr:rowOff>6350</xdr:rowOff>
    </xdr:to>
    <xdr:grpSp>
      <xdr:nvGrpSpPr>
        <xdr:cNvPr id="10" name="Group 9"/>
        <xdr:cNvGrpSpPr/>
      </xdr:nvGrpSpPr>
      <xdr:grpSpPr>
        <a:xfrm>
          <a:off x="368300" y="86315550"/>
          <a:ext cx="6548913" cy="8159750"/>
          <a:chOff x="368300" y="86315550"/>
          <a:chExt cx="6548913" cy="8159750"/>
        </a:xfrm>
      </xdr:grpSpPr>
      <xdr:pic>
        <xdr:nvPicPr>
          <xdr:cNvPr id="107" name="Picture 106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45650" y="92754351"/>
            <a:ext cx="1537397" cy="172094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8" name="Picture 107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301" y="863155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9" name="Picture 108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8806" y="863155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0" name="Picture 109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09311" y="863155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1" name="Picture 110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79816" y="863155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2" name="Picture 111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301" y="88461817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3" name="Picture 112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8806" y="88461817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4" name="Picture 113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09310" y="88461817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5" name="Picture 114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79814" y="88461817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6" name="Picture 115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300" y="90608084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7" name="Picture 116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8805" y="90608084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8" name="Picture 117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81242" y="92754351"/>
            <a:ext cx="2733465" cy="172094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9" name="Picture 118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79813" y="90608084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0" name="Picture 119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09309" y="90608084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1" name="Picture 120"/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1480" y="92754351"/>
            <a:ext cx="1537397" cy="172094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22" name="Rectangle 121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831851" y="87477600"/>
            <a:ext cx="498246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1A</a:t>
            </a:r>
          </a:p>
        </xdr:txBody>
      </xdr:sp>
      <xdr:sp macro="" textlink="">
        <xdr:nvSpPr>
          <xdr:cNvPr id="123" name="Rectangle 122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2445206" y="87591900"/>
            <a:ext cx="498246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1B</a:t>
            </a:r>
          </a:p>
        </xdr:txBody>
      </xdr:sp>
      <xdr:sp macro="" textlink="">
        <xdr:nvSpPr>
          <xdr:cNvPr id="124" name="Rectangle 12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4096661" y="87318850"/>
            <a:ext cx="498246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1C</a:t>
            </a:r>
          </a:p>
        </xdr:txBody>
      </xdr:sp>
      <xdr:sp macro="" textlink="">
        <xdr:nvSpPr>
          <xdr:cNvPr id="125" name="Rectangle 124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5938616" y="87325200"/>
            <a:ext cx="498246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1D</a:t>
            </a:r>
          </a:p>
        </xdr:txBody>
      </xdr:sp>
      <xdr:sp macro="" textlink="">
        <xdr:nvSpPr>
          <xdr:cNvPr id="126" name="Rectangle 125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946151" y="89655617"/>
            <a:ext cx="498246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1E</a:t>
            </a:r>
          </a:p>
        </xdr:txBody>
      </xdr:sp>
      <xdr:sp macro="" textlink="">
        <xdr:nvSpPr>
          <xdr:cNvPr id="127" name="Rectangle 126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2896056" y="89623867"/>
            <a:ext cx="498246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1F</a:t>
            </a:r>
          </a:p>
        </xdr:txBody>
      </xdr:sp>
      <xdr:sp macro="" textlink="">
        <xdr:nvSpPr>
          <xdr:cNvPr id="128" name="Rectangle 127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4223660" y="89598467"/>
            <a:ext cx="498246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1G</a:t>
            </a:r>
          </a:p>
        </xdr:txBody>
      </xdr:sp>
      <xdr:sp macro="" textlink="">
        <xdr:nvSpPr>
          <xdr:cNvPr id="129" name="Rectangle 128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5913214" y="89630217"/>
            <a:ext cx="498246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1H</a:t>
            </a:r>
          </a:p>
        </xdr:txBody>
      </xdr:sp>
      <xdr:sp macro="" textlink="">
        <xdr:nvSpPr>
          <xdr:cNvPr id="130" name="Rectangle 129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901700" y="91668534"/>
            <a:ext cx="498246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1I</a:t>
            </a:r>
          </a:p>
        </xdr:txBody>
      </xdr:sp>
      <xdr:sp macro="" textlink="">
        <xdr:nvSpPr>
          <xdr:cNvPr id="131" name="Rectangle 130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2521405" y="91319284"/>
            <a:ext cx="498246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1J</a:t>
            </a:r>
          </a:p>
        </xdr:txBody>
      </xdr:sp>
      <xdr:sp macro="" textlink="">
        <xdr:nvSpPr>
          <xdr:cNvPr id="132" name="Rectangle 131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4426859" y="91573284"/>
            <a:ext cx="498246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2A</a:t>
            </a:r>
          </a:p>
        </xdr:txBody>
      </xdr:sp>
      <xdr:sp macro="" textlink="">
        <xdr:nvSpPr>
          <xdr:cNvPr id="133" name="Rectangle 132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5811613" y="91903484"/>
            <a:ext cx="498246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2B</a:t>
            </a:r>
          </a:p>
        </xdr:txBody>
      </xdr:sp>
      <xdr:sp macro="" textlink="">
        <xdr:nvSpPr>
          <xdr:cNvPr id="134" name="Rectangle 13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5748112" y="91204984"/>
            <a:ext cx="855887" cy="3114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2C</a:t>
            </a:r>
            <a:r>
              <a:rPr lang="en-IN" sz="1400" b="0" cap="none" spc="0" baseline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 to 2F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cxnSp macro="">
        <xdr:nvCxnSpPr>
          <xdr:cNvPr id="4" name="Straight Arrow Connector 3"/>
          <xdr:cNvCxnSpPr>
            <a:stCxn id="134" idx="2"/>
          </xdr:cNvCxnSpPr>
        </xdr:nvCxnSpPr>
        <xdr:spPr>
          <a:xfrm>
            <a:off x="6176056" y="91516480"/>
            <a:ext cx="142194" cy="139420"/>
          </a:xfrm>
          <a:prstGeom prst="straightConnector1">
            <a:avLst/>
          </a:prstGeom>
          <a:ln w="19050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LcbdK728cyQXNUDt5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75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34" customWidth="1"/>
    <col min="2" max="2" width="12" style="34" customWidth="1"/>
    <col min="3" max="3" width="12.7265625" style="34" customWidth="1"/>
    <col min="4" max="4" width="14.1796875" style="34" customWidth="1"/>
    <col min="5" max="7" width="11.7265625" style="34" customWidth="1"/>
    <col min="8" max="8" width="18.54296875" style="34" customWidth="1"/>
    <col min="9" max="9" width="17.453125" style="17" customWidth="1"/>
    <col min="10" max="10" width="11.453125" style="17" customWidth="1"/>
    <col min="11" max="11" width="10.54296875" style="17" bestFit="1" customWidth="1"/>
    <col min="12" max="12" width="10.54296875" style="17" customWidth="1"/>
    <col min="13" max="13" width="11.81640625" style="17" customWidth="1"/>
    <col min="14" max="14" width="12.54296875" style="17" customWidth="1"/>
    <col min="15" max="15" width="9.81640625" style="17" customWidth="1"/>
    <col min="16" max="16" width="11.7265625" style="17" customWidth="1"/>
    <col min="17" max="247" width="9.1796875" style="17"/>
    <col min="248" max="248" width="8.7265625" style="17" customWidth="1"/>
    <col min="249" max="249" width="9.81640625" style="17" customWidth="1"/>
    <col min="250" max="250" width="14.453125" style="17" customWidth="1"/>
    <col min="251" max="251" width="7.26953125" style="17" customWidth="1"/>
    <col min="252" max="252" width="5.54296875" style="17" customWidth="1"/>
    <col min="253" max="253" width="9" style="17" customWidth="1"/>
    <col min="254" max="255" width="9.81640625" style="17" customWidth="1"/>
    <col min="256" max="256" width="11.1796875" style="17" customWidth="1"/>
    <col min="257" max="257" width="2.81640625" style="17" customWidth="1"/>
    <col min="258" max="258" width="3.54296875" style="17" customWidth="1"/>
    <col min="259" max="503" width="9.1796875" style="17"/>
    <col min="504" max="504" width="8.7265625" style="17" customWidth="1"/>
    <col min="505" max="505" width="9.81640625" style="17" customWidth="1"/>
    <col min="506" max="506" width="14.453125" style="17" customWidth="1"/>
    <col min="507" max="507" width="7.26953125" style="17" customWidth="1"/>
    <col min="508" max="508" width="5.54296875" style="17" customWidth="1"/>
    <col min="509" max="509" width="9" style="17" customWidth="1"/>
    <col min="510" max="511" width="9.81640625" style="17" customWidth="1"/>
    <col min="512" max="512" width="11.1796875" style="17" customWidth="1"/>
    <col min="513" max="513" width="2.81640625" style="17" customWidth="1"/>
    <col min="514" max="514" width="3.54296875" style="17" customWidth="1"/>
    <col min="515" max="759" width="9.1796875" style="17"/>
    <col min="760" max="760" width="8.7265625" style="17" customWidth="1"/>
    <col min="761" max="761" width="9.81640625" style="17" customWidth="1"/>
    <col min="762" max="762" width="14.453125" style="17" customWidth="1"/>
    <col min="763" max="763" width="7.26953125" style="17" customWidth="1"/>
    <col min="764" max="764" width="5.54296875" style="17" customWidth="1"/>
    <col min="765" max="765" width="9" style="17" customWidth="1"/>
    <col min="766" max="767" width="9.81640625" style="17" customWidth="1"/>
    <col min="768" max="768" width="11.1796875" style="17" customWidth="1"/>
    <col min="769" max="769" width="2.81640625" style="17" customWidth="1"/>
    <col min="770" max="770" width="3.54296875" style="17" customWidth="1"/>
    <col min="771" max="1015" width="9.1796875" style="17"/>
    <col min="1016" max="1016" width="8.7265625" style="17" customWidth="1"/>
    <col min="1017" max="1017" width="9.81640625" style="17" customWidth="1"/>
    <col min="1018" max="1018" width="14.453125" style="17" customWidth="1"/>
    <col min="1019" max="1019" width="7.26953125" style="17" customWidth="1"/>
    <col min="1020" max="1020" width="5.54296875" style="17" customWidth="1"/>
    <col min="1021" max="1021" width="9" style="17" customWidth="1"/>
    <col min="1022" max="1023" width="9.81640625" style="17" customWidth="1"/>
    <col min="1024" max="1024" width="11.1796875" style="17" customWidth="1"/>
    <col min="1025" max="1025" width="2.81640625" style="17" customWidth="1"/>
    <col min="1026" max="1026" width="3.54296875" style="17" customWidth="1"/>
    <col min="1027" max="1271" width="9.1796875" style="17"/>
    <col min="1272" max="1272" width="8.7265625" style="17" customWidth="1"/>
    <col min="1273" max="1273" width="9.81640625" style="17" customWidth="1"/>
    <col min="1274" max="1274" width="14.453125" style="17" customWidth="1"/>
    <col min="1275" max="1275" width="7.26953125" style="17" customWidth="1"/>
    <col min="1276" max="1276" width="5.54296875" style="17" customWidth="1"/>
    <col min="1277" max="1277" width="9" style="17" customWidth="1"/>
    <col min="1278" max="1279" width="9.81640625" style="17" customWidth="1"/>
    <col min="1280" max="1280" width="11.1796875" style="17" customWidth="1"/>
    <col min="1281" max="1281" width="2.81640625" style="17" customWidth="1"/>
    <col min="1282" max="1282" width="3.54296875" style="17" customWidth="1"/>
    <col min="1283" max="1527" width="9.1796875" style="17"/>
    <col min="1528" max="1528" width="8.7265625" style="17" customWidth="1"/>
    <col min="1529" max="1529" width="9.81640625" style="17" customWidth="1"/>
    <col min="1530" max="1530" width="14.453125" style="17" customWidth="1"/>
    <col min="1531" max="1531" width="7.26953125" style="17" customWidth="1"/>
    <col min="1532" max="1532" width="5.54296875" style="17" customWidth="1"/>
    <col min="1533" max="1533" width="9" style="17" customWidth="1"/>
    <col min="1534" max="1535" width="9.81640625" style="17" customWidth="1"/>
    <col min="1536" max="1536" width="11.1796875" style="17" customWidth="1"/>
    <col min="1537" max="1537" width="2.81640625" style="17" customWidth="1"/>
    <col min="1538" max="1538" width="3.54296875" style="17" customWidth="1"/>
    <col min="1539" max="1783" width="9.1796875" style="17"/>
    <col min="1784" max="1784" width="8.7265625" style="17" customWidth="1"/>
    <col min="1785" max="1785" width="9.81640625" style="17" customWidth="1"/>
    <col min="1786" max="1786" width="14.453125" style="17" customWidth="1"/>
    <col min="1787" max="1787" width="7.26953125" style="17" customWidth="1"/>
    <col min="1788" max="1788" width="5.54296875" style="17" customWidth="1"/>
    <col min="1789" max="1789" width="9" style="17" customWidth="1"/>
    <col min="1790" max="1791" width="9.81640625" style="17" customWidth="1"/>
    <col min="1792" max="1792" width="11.1796875" style="17" customWidth="1"/>
    <col min="1793" max="1793" width="2.81640625" style="17" customWidth="1"/>
    <col min="1794" max="1794" width="3.54296875" style="17" customWidth="1"/>
    <col min="1795" max="2039" width="9.1796875" style="17"/>
    <col min="2040" max="2040" width="8.7265625" style="17" customWidth="1"/>
    <col min="2041" max="2041" width="9.81640625" style="17" customWidth="1"/>
    <col min="2042" max="2042" width="14.453125" style="17" customWidth="1"/>
    <col min="2043" max="2043" width="7.26953125" style="17" customWidth="1"/>
    <col min="2044" max="2044" width="5.54296875" style="17" customWidth="1"/>
    <col min="2045" max="2045" width="9" style="17" customWidth="1"/>
    <col min="2046" max="2047" width="9.81640625" style="17" customWidth="1"/>
    <col min="2048" max="2048" width="11.1796875" style="17" customWidth="1"/>
    <col min="2049" max="2049" width="2.81640625" style="17" customWidth="1"/>
    <col min="2050" max="2050" width="3.54296875" style="17" customWidth="1"/>
    <col min="2051" max="2295" width="9.1796875" style="17"/>
    <col min="2296" max="2296" width="8.7265625" style="17" customWidth="1"/>
    <col min="2297" max="2297" width="9.81640625" style="17" customWidth="1"/>
    <col min="2298" max="2298" width="14.453125" style="17" customWidth="1"/>
    <col min="2299" max="2299" width="7.26953125" style="17" customWidth="1"/>
    <col min="2300" max="2300" width="5.54296875" style="17" customWidth="1"/>
    <col min="2301" max="2301" width="9" style="17" customWidth="1"/>
    <col min="2302" max="2303" width="9.81640625" style="17" customWidth="1"/>
    <col min="2304" max="2304" width="11.1796875" style="17" customWidth="1"/>
    <col min="2305" max="2305" width="2.81640625" style="17" customWidth="1"/>
    <col min="2306" max="2306" width="3.54296875" style="17" customWidth="1"/>
    <col min="2307" max="2551" width="9.1796875" style="17"/>
    <col min="2552" max="2552" width="8.7265625" style="17" customWidth="1"/>
    <col min="2553" max="2553" width="9.81640625" style="17" customWidth="1"/>
    <col min="2554" max="2554" width="14.453125" style="17" customWidth="1"/>
    <col min="2555" max="2555" width="7.26953125" style="17" customWidth="1"/>
    <col min="2556" max="2556" width="5.54296875" style="17" customWidth="1"/>
    <col min="2557" max="2557" width="9" style="17" customWidth="1"/>
    <col min="2558" max="2559" width="9.81640625" style="17" customWidth="1"/>
    <col min="2560" max="2560" width="11.1796875" style="17" customWidth="1"/>
    <col min="2561" max="2561" width="2.81640625" style="17" customWidth="1"/>
    <col min="2562" max="2562" width="3.54296875" style="17" customWidth="1"/>
    <col min="2563" max="2807" width="9.1796875" style="17"/>
    <col min="2808" max="2808" width="8.7265625" style="17" customWidth="1"/>
    <col min="2809" max="2809" width="9.81640625" style="17" customWidth="1"/>
    <col min="2810" max="2810" width="14.453125" style="17" customWidth="1"/>
    <col min="2811" max="2811" width="7.26953125" style="17" customWidth="1"/>
    <col min="2812" max="2812" width="5.54296875" style="17" customWidth="1"/>
    <col min="2813" max="2813" width="9" style="17" customWidth="1"/>
    <col min="2814" max="2815" width="9.81640625" style="17" customWidth="1"/>
    <col min="2816" max="2816" width="11.1796875" style="17" customWidth="1"/>
    <col min="2817" max="2817" width="2.81640625" style="17" customWidth="1"/>
    <col min="2818" max="2818" width="3.54296875" style="17" customWidth="1"/>
    <col min="2819" max="3063" width="9.1796875" style="17"/>
    <col min="3064" max="3064" width="8.7265625" style="17" customWidth="1"/>
    <col min="3065" max="3065" width="9.81640625" style="17" customWidth="1"/>
    <col min="3066" max="3066" width="14.453125" style="17" customWidth="1"/>
    <col min="3067" max="3067" width="7.26953125" style="17" customWidth="1"/>
    <col min="3068" max="3068" width="5.54296875" style="17" customWidth="1"/>
    <col min="3069" max="3069" width="9" style="17" customWidth="1"/>
    <col min="3070" max="3071" width="9.81640625" style="17" customWidth="1"/>
    <col min="3072" max="3072" width="11.1796875" style="17" customWidth="1"/>
    <col min="3073" max="3073" width="2.81640625" style="17" customWidth="1"/>
    <col min="3074" max="3074" width="3.54296875" style="17" customWidth="1"/>
    <col min="3075" max="3319" width="9.1796875" style="17"/>
    <col min="3320" max="3320" width="8.7265625" style="17" customWidth="1"/>
    <col min="3321" max="3321" width="9.81640625" style="17" customWidth="1"/>
    <col min="3322" max="3322" width="14.453125" style="17" customWidth="1"/>
    <col min="3323" max="3323" width="7.26953125" style="17" customWidth="1"/>
    <col min="3324" max="3324" width="5.54296875" style="17" customWidth="1"/>
    <col min="3325" max="3325" width="9" style="17" customWidth="1"/>
    <col min="3326" max="3327" width="9.81640625" style="17" customWidth="1"/>
    <col min="3328" max="3328" width="11.1796875" style="17" customWidth="1"/>
    <col min="3329" max="3329" width="2.81640625" style="17" customWidth="1"/>
    <col min="3330" max="3330" width="3.54296875" style="17" customWidth="1"/>
    <col min="3331" max="3575" width="9.1796875" style="17"/>
    <col min="3576" max="3576" width="8.7265625" style="17" customWidth="1"/>
    <col min="3577" max="3577" width="9.81640625" style="17" customWidth="1"/>
    <col min="3578" max="3578" width="14.453125" style="17" customWidth="1"/>
    <col min="3579" max="3579" width="7.26953125" style="17" customWidth="1"/>
    <col min="3580" max="3580" width="5.54296875" style="17" customWidth="1"/>
    <col min="3581" max="3581" width="9" style="17" customWidth="1"/>
    <col min="3582" max="3583" width="9.81640625" style="17" customWidth="1"/>
    <col min="3584" max="3584" width="11.1796875" style="17" customWidth="1"/>
    <col min="3585" max="3585" width="2.81640625" style="17" customWidth="1"/>
    <col min="3586" max="3586" width="3.54296875" style="17" customWidth="1"/>
    <col min="3587" max="3831" width="9.1796875" style="17"/>
    <col min="3832" max="3832" width="8.7265625" style="17" customWidth="1"/>
    <col min="3833" max="3833" width="9.81640625" style="17" customWidth="1"/>
    <col min="3834" max="3834" width="14.453125" style="17" customWidth="1"/>
    <col min="3835" max="3835" width="7.26953125" style="17" customWidth="1"/>
    <col min="3836" max="3836" width="5.54296875" style="17" customWidth="1"/>
    <col min="3837" max="3837" width="9" style="17" customWidth="1"/>
    <col min="3838" max="3839" width="9.81640625" style="17" customWidth="1"/>
    <col min="3840" max="3840" width="11.1796875" style="17" customWidth="1"/>
    <col min="3841" max="3841" width="2.81640625" style="17" customWidth="1"/>
    <col min="3842" max="3842" width="3.54296875" style="17" customWidth="1"/>
    <col min="3843" max="4087" width="9.1796875" style="17"/>
    <col min="4088" max="4088" width="8.7265625" style="17" customWidth="1"/>
    <col min="4089" max="4089" width="9.81640625" style="17" customWidth="1"/>
    <col min="4090" max="4090" width="14.453125" style="17" customWidth="1"/>
    <col min="4091" max="4091" width="7.26953125" style="17" customWidth="1"/>
    <col min="4092" max="4092" width="5.54296875" style="17" customWidth="1"/>
    <col min="4093" max="4093" width="9" style="17" customWidth="1"/>
    <col min="4094" max="4095" width="9.81640625" style="17" customWidth="1"/>
    <col min="4096" max="4096" width="11.1796875" style="17" customWidth="1"/>
    <col min="4097" max="4097" width="2.81640625" style="17" customWidth="1"/>
    <col min="4098" max="4098" width="3.54296875" style="17" customWidth="1"/>
    <col min="4099" max="4343" width="9.1796875" style="17"/>
    <col min="4344" max="4344" width="8.7265625" style="17" customWidth="1"/>
    <col min="4345" max="4345" width="9.81640625" style="17" customWidth="1"/>
    <col min="4346" max="4346" width="14.453125" style="17" customWidth="1"/>
    <col min="4347" max="4347" width="7.26953125" style="17" customWidth="1"/>
    <col min="4348" max="4348" width="5.54296875" style="17" customWidth="1"/>
    <col min="4349" max="4349" width="9" style="17" customWidth="1"/>
    <col min="4350" max="4351" width="9.81640625" style="17" customWidth="1"/>
    <col min="4352" max="4352" width="11.1796875" style="17" customWidth="1"/>
    <col min="4353" max="4353" width="2.81640625" style="17" customWidth="1"/>
    <col min="4354" max="4354" width="3.54296875" style="17" customWidth="1"/>
    <col min="4355" max="4599" width="9.1796875" style="17"/>
    <col min="4600" max="4600" width="8.7265625" style="17" customWidth="1"/>
    <col min="4601" max="4601" width="9.81640625" style="17" customWidth="1"/>
    <col min="4602" max="4602" width="14.453125" style="17" customWidth="1"/>
    <col min="4603" max="4603" width="7.26953125" style="17" customWidth="1"/>
    <col min="4604" max="4604" width="5.54296875" style="17" customWidth="1"/>
    <col min="4605" max="4605" width="9" style="17" customWidth="1"/>
    <col min="4606" max="4607" width="9.81640625" style="17" customWidth="1"/>
    <col min="4608" max="4608" width="11.1796875" style="17" customWidth="1"/>
    <col min="4609" max="4609" width="2.81640625" style="17" customWidth="1"/>
    <col min="4610" max="4610" width="3.54296875" style="17" customWidth="1"/>
    <col min="4611" max="4855" width="9.1796875" style="17"/>
    <col min="4856" max="4856" width="8.7265625" style="17" customWidth="1"/>
    <col min="4857" max="4857" width="9.81640625" style="17" customWidth="1"/>
    <col min="4858" max="4858" width="14.453125" style="17" customWidth="1"/>
    <col min="4859" max="4859" width="7.26953125" style="17" customWidth="1"/>
    <col min="4860" max="4860" width="5.54296875" style="17" customWidth="1"/>
    <col min="4861" max="4861" width="9" style="17" customWidth="1"/>
    <col min="4862" max="4863" width="9.81640625" style="17" customWidth="1"/>
    <col min="4864" max="4864" width="11.1796875" style="17" customWidth="1"/>
    <col min="4865" max="4865" width="2.81640625" style="17" customWidth="1"/>
    <col min="4866" max="4866" width="3.54296875" style="17" customWidth="1"/>
    <col min="4867" max="5111" width="9.1796875" style="17"/>
    <col min="5112" max="5112" width="8.7265625" style="17" customWidth="1"/>
    <col min="5113" max="5113" width="9.81640625" style="17" customWidth="1"/>
    <col min="5114" max="5114" width="14.453125" style="17" customWidth="1"/>
    <col min="5115" max="5115" width="7.26953125" style="17" customWidth="1"/>
    <col min="5116" max="5116" width="5.54296875" style="17" customWidth="1"/>
    <col min="5117" max="5117" width="9" style="17" customWidth="1"/>
    <col min="5118" max="5119" width="9.81640625" style="17" customWidth="1"/>
    <col min="5120" max="5120" width="11.1796875" style="17" customWidth="1"/>
    <col min="5121" max="5121" width="2.81640625" style="17" customWidth="1"/>
    <col min="5122" max="5122" width="3.54296875" style="17" customWidth="1"/>
    <col min="5123" max="5367" width="9.1796875" style="17"/>
    <col min="5368" max="5368" width="8.7265625" style="17" customWidth="1"/>
    <col min="5369" max="5369" width="9.81640625" style="17" customWidth="1"/>
    <col min="5370" max="5370" width="14.453125" style="17" customWidth="1"/>
    <col min="5371" max="5371" width="7.26953125" style="17" customWidth="1"/>
    <col min="5372" max="5372" width="5.54296875" style="17" customWidth="1"/>
    <col min="5373" max="5373" width="9" style="17" customWidth="1"/>
    <col min="5374" max="5375" width="9.81640625" style="17" customWidth="1"/>
    <col min="5376" max="5376" width="11.1796875" style="17" customWidth="1"/>
    <col min="5377" max="5377" width="2.81640625" style="17" customWidth="1"/>
    <col min="5378" max="5378" width="3.54296875" style="17" customWidth="1"/>
    <col min="5379" max="5623" width="9.1796875" style="17"/>
    <col min="5624" max="5624" width="8.7265625" style="17" customWidth="1"/>
    <col min="5625" max="5625" width="9.81640625" style="17" customWidth="1"/>
    <col min="5626" max="5626" width="14.453125" style="17" customWidth="1"/>
    <col min="5627" max="5627" width="7.26953125" style="17" customWidth="1"/>
    <col min="5628" max="5628" width="5.54296875" style="17" customWidth="1"/>
    <col min="5629" max="5629" width="9" style="17" customWidth="1"/>
    <col min="5630" max="5631" width="9.81640625" style="17" customWidth="1"/>
    <col min="5632" max="5632" width="11.1796875" style="17" customWidth="1"/>
    <col min="5633" max="5633" width="2.81640625" style="17" customWidth="1"/>
    <col min="5634" max="5634" width="3.54296875" style="17" customWidth="1"/>
    <col min="5635" max="5879" width="9.1796875" style="17"/>
    <col min="5880" max="5880" width="8.7265625" style="17" customWidth="1"/>
    <col min="5881" max="5881" width="9.81640625" style="17" customWidth="1"/>
    <col min="5882" max="5882" width="14.453125" style="17" customWidth="1"/>
    <col min="5883" max="5883" width="7.26953125" style="17" customWidth="1"/>
    <col min="5884" max="5884" width="5.54296875" style="17" customWidth="1"/>
    <col min="5885" max="5885" width="9" style="17" customWidth="1"/>
    <col min="5886" max="5887" width="9.81640625" style="17" customWidth="1"/>
    <col min="5888" max="5888" width="11.1796875" style="17" customWidth="1"/>
    <col min="5889" max="5889" width="2.81640625" style="17" customWidth="1"/>
    <col min="5890" max="5890" width="3.54296875" style="17" customWidth="1"/>
    <col min="5891" max="6135" width="9.1796875" style="17"/>
    <col min="6136" max="6136" width="8.7265625" style="17" customWidth="1"/>
    <col min="6137" max="6137" width="9.81640625" style="17" customWidth="1"/>
    <col min="6138" max="6138" width="14.453125" style="17" customWidth="1"/>
    <col min="6139" max="6139" width="7.26953125" style="17" customWidth="1"/>
    <col min="6140" max="6140" width="5.54296875" style="17" customWidth="1"/>
    <col min="6141" max="6141" width="9" style="17" customWidth="1"/>
    <col min="6142" max="6143" width="9.81640625" style="17" customWidth="1"/>
    <col min="6144" max="6144" width="11.1796875" style="17" customWidth="1"/>
    <col min="6145" max="6145" width="2.81640625" style="17" customWidth="1"/>
    <col min="6146" max="6146" width="3.54296875" style="17" customWidth="1"/>
    <col min="6147" max="6391" width="9.1796875" style="17"/>
    <col min="6392" max="6392" width="8.7265625" style="17" customWidth="1"/>
    <col min="6393" max="6393" width="9.81640625" style="17" customWidth="1"/>
    <col min="6394" max="6394" width="14.453125" style="17" customWidth="1"/>
    <col min="6395" max="6395" width="7.26953125" style="17" customWidth="1"/>
    <col min="6396" max="6396" width="5.54296875" style="17" customWidth="1"/>
    <col min="6397" max="6397" width="9" style="17" customWidth="1"/>
    <col min="6398" max="6399" width="9.81640625" style="17" customWidth="1"/>
    <col min="6400" max="6400" width="11.1796875" style="17" customWidth="1"/>
    <col min="6401" max="6401" width="2.81640625" style="17" customWidth="1"/>
    <col min="6402" max="6402" width="3.54296875" style="17" customWidth="1"/>
    <col min="6403" max="6647" width="9.1796875" style="17"/>
    <col min="6648" max="6648" width="8.7265625" style="17" customWidth="1"/>
    <col min="6649" max="6649" width="9.81640625" style="17" customWidth="1"/>
    <col min="6650" max="6650" width="14.453125" style="17" customWidth="1"/>
    <col min="6651" max="6651" width="7.26953125" style="17" customWidth="1"/>
    <col min="6652" max="6652" width="5.54296875" style="17" customWidth="1"/>
    <col min="6653" max="6653" width="9" style="17" customWidth="1"/>
    <col min="6654" max="6655" width="9.81640625" style="17" customWidth="1"/>
    <col min="6656" max="6656" width="11.1796875" style="17" customWidth="1"/>
    <col min="6657" max="6657" width="2.81640625" style="17" customWidth="1"/>
    <col min="6658" max="6658" width="3.54296875" style="17" customWidth="1"/>
    <col min="6659" max="6903" width="9.1796875" style="17"/>
    <col min="6904" max="6904" width="8.7265625" style="17" customWidth="1"/>
    <col min="6905" max="6905" width="9.81640625" style="17" customWidth="1"/>
    <col min="6906" max="6906" width="14.453125" style="17" customWidth="1"/>
    <col min="6907" max="6907" width="7.26953125" style="17" customWidth="1"/>
    <col min="6908" max="6908" width="5.54296875" style="17" customWidth="1"/>
    <col min="6909" max="6909" width="9" style="17" customWidth="1"/>
    <col min="6910" max="6911" width="9.81640625" style="17" customWidth="1"/>
    <col min="6912" max="6912" width="11.1796875" style="17" customWidth="1"/>
    <col min="6913" max="6913" width="2.81640625" style="17" customWidth="1"/>
    <col min="6914" max="6914" width="3.54296875" style="17" customWidth="1"/>
    <col min="6915" max="7159" width="9.1796875" style="17"/>
    <col min="7160" max="7160" width="8.7265625" style="17" customWidth="1"/>
    <col min="7161" max="7161" width="9.81640625" style="17" customWidth="1"/>
    <col min="7162" max="7162" width="14.453125" style="17" customWidth="1"/>
    <col min="7163" max="7163" width="7.26953125" style="17" customWidth="1"/>
    <col min="7164" max="7164" width="5.54296875" style="17" customWidth="1"/>
    <col min="7165" max="7165" width="9" style="17" customWidth="1"/>
    <col min="7166" max="7167" width="9.81640625" style="17" customWidth="1"/>
    <col min="7168" max="7168" width="11.1796875" style="17" customWidth="1"/>
    <col min="7169" max="7169" width="2.81640625" style="17" customWidth="1"/>
    <col min="7170" max="7170" width="3.54296875" style="17" customWidth="1"/>
    <col min="7171" max="7415" width="9.1796875" style="17"/>
    <col min="7416" max="7416" width="8.7265625" style="17" customWidth="1"/>
    <col min="7417" max="7417" width="9.81640625" style="17" customWidth="1"/>
    <col min="7418" max="7418" width="14.453125" style="17" customWidth="1"/>
    <col min="7419" max="7419" width="7.26953125" style="17" customWidth="1"/>
    <col min="7420" max="7420" width="5.54296875" style="17" customWidth="1"/>
    <col min="7421" max="7421" width="9" style="17" customWidth="1"/>
    <col min="7422" max="7423" width="9.81640625" style="17" customWidth="1"/>
    <col min="7424" max="7424" width="11.1796875" style="17" customWidth="1"/>
    <col min="7425" max="7425" width="2.81640625" style="17" customWidth="1"/>
    <col min="7426" max="7426" width="3.54296875" style="17" customWidth="1"/>
    <col min="7427" max="7671" width="9.1796875" style="17"/>
    <col min="7672" max="7672" width="8.7265625" style="17" customWidth="1"/>
    <col min="7673" max="7673" width="9.81640625" style="17" customWidth="1"/>
    <col min="7674" max="7674" width="14.453125" style="17" customWidth="1"/>
    <col min="7675" max="7675" width="7.26953125" style="17" customWidth="1"/>
    <col min="7676" max="7676" width="5.54296875" style="17" customWidth="1"/>
    <col min="7677" max="7677" width="9" style="17" customWidth="1"/>
    <col min="7678" max="7679" width="9.81640625" style="17" customWidth="1"/>
    <col min="7680" max="7680" width="11.1796875" style="17" customWidth="1"/>
    <col min="7681" max="7681" width="2.81640625" style="17" customWidth="1"/>
    <col min="7682" max="7682" width="3.54296875" style="17" customWidth="1"/>
    <col min="7683" max="7927" width="9.1796875" style="17"/>
    <col min="7928" max="7928" width="8.7265625" style="17" customWidth="1"/>
    <col min="7929" max="7929" width="9.81640625" style="17" customWidth="1"/>
    <col min="7930" max="7930" width="14.453125" style="17" customWidth="1"/>
    <col min="7931" max="7931" width="7.26953125" style="17" customWidth="1"/>
    <col min="7932" max="7932" width="5.54296875" style="17" customWidth="1"/>
    <col min="7933" max="7933" width="9" style="17" customWidth="1"/>
    <col min="7934" max="7935" width="9.81640625" style="17" customWidth="1"/>
    <col min="7936" max="7936" width="11.1796875" style="17" customWidth="1"/>
    <col min="7937" max="7937" width="2.81640625" style="17" customWidth="1"/>
    <col min="7938" max="7938" width="3.54296875" style="17" customWidth="1"/>
    <col min="7939" max="8183" width="9.1796875" style="17"/>
    <col min="8184" max="8184" width="8.7265625" style="17" customWidth="1"/>
    <col min="8185" max="8185" width="9.81640625" style="17" customWidth="1"/>
    <col min="8186" max="8186" width="14.453125" style="17" customWidth="1"/>
    <col min="8187" max="8187" width="7.26953125" style="17" customWidth="1"/>
    <col min="8188" max="8188" width="5.54296875" style="17" customWidth="1"/>
    <col min="8189" max="8189" width="9" style="17" customWidth="1"/>
    <col min="8190" max="8191" width="9.81640625" style="17" customWidth="1"/>
    <col min="8192" max="8192" width="11.1796875" style="17" customWidth="1"/>
    <col min="8193" max="8193" width="2.81640625" style="17" customWidth="1"/>
    <col min="8194" max="8194" width="3.54296875" style="17" customWidth="1"/>
    <col min="8195" max="8439" width="9.1796875" style="17"/>
    <col min="8440" max="8440" width="8.7265625" style="17" customWidth="1"/>
    <col min="8441" max="8441" width="9.81640625" style="17" customWidth="1"/>
    <col min="8442" max="8442" width="14.453125" style="17" customWidth="1"/>
    <col min="8443" max="8443" width="7.26953125" style="17" customWidth="1"/>
    <col min="8444" max="8444" width="5.54296875" style="17" customWidth="1"/>
    <col min="8445" max="8445" width="9" style="17" customWidth="1"/>
    <col min="8446" max="8447" width="9.81640625" style="17" customWidth="1"/>
    <col min="8448" max="8448" width="11.1796875" style="17" customWidth="1"/>
    <col min="8449" max="8449" width="2.81640625" style="17" customWidth="1"/>
    <col min="8450" max="8450" width="3.54296875" style="17" customWidth="1"/>
    <col min="8451" max="8695" width="9.1796875" style="17"/>
    <col min="8696" max="8696" width="8.7265625" style="17" customWidth="1"/>
    <col min="8697" max="8697" width="9.81640625" style="17" customWidth="1"/>
    <col min="8698" max="8698" width="14.453125" style="17" customWidth="1"/>
    <col min="8699" max="8699" width="7.26953125" style="17" customWidth="1"/>
    <col min="8700" max="8700" width="5.54296875" style="17" customWidth="1"/>
    <col min="8701" max="8701" width="9" style="17" customWidth="1"/>
    <col min="8702" max="8703" width="9.81640625" style="17" customWidth="1"/>
    <col min="8704" max="8704" width="11.1796875" style="17" customWidth="1"/>
    <col min="8705" max="8705" width="2.81640625" style="17" customWidth="1"/>
    <col min="8706" max="8706" width="3.54296875" style="17" customWidth="1"/>
    <col min="8707" max="8951" width="9.1796875" style="17"/>
    <col min="8952" max="8952" width="8.7265625" style="17" customWidth="1"/>
    <col min="8953" max="8953" width="9.81640625" style="17" customWidth="1"/>
    <col min="8954" max="8954" width="14.453125" style="17" customWidth="1"/>
    <col min="8955" max="8955" width="7.26953125" style="17" customWidth="1"/>
    <col min="8956" max="8956" width="5.54296875" style="17" customWidth="1"/>
    <col min="8957" max="8957" width="9" style="17" customWidth="1"/>
    <col min="8958" max="8959" width="9.81640625" style="17" customWidth="1"/>
    <col min="8960" max="8960" width="11.1796875" style="17" customWidth="1"/>
    <col min="8961" max="8961" width="2.81640625" style="17" customWidth="1"/>
    <col min="8962" max="8962" width="3.54296875" style="17" customWidth="1"/>
    <col min="8963" max="9207" width="9.1796875" style="17"/>
    <col min="9208" max="9208" width="8.7265625" style="17" customWidth="1"/>
    <col min="9209" max="9209" width="9.81640625" style="17" customWidth="1"/>
    <col min="9210" max="9210" width="14.453125" style="17" customWidth="1"/>
    <col min="9211" max="9211" width="7.26953125" style="17" customWidth="1"/>
    <col min="9212" max="9212" width="5.54296875" style="17" customWidth="1"/>
    <col min="9213" max="9213" width="9" style="17" customWidth="1"/>
    <col min="9214" max="9215" width="9.81640625" style="17" customWidth="1"/>
    <col min="9216" max="9216" width="11.1796875" style="17" customWidth="1"/>
    <col min="9217" max="9217" width="2.81640625" style="17" customWidth="1"/>
    <col min="9218" max="9218" width="3.54296875" style="17" customWidth="1"/>
    <col min="9219" max="9463" width="9.1796875" style="17"/>
    <col min="9464" max="9464" width="8.7265625" style="17" customWidth="1"/>
    <col min="9465" max="9465" width="9.81640625" style="17" customWidth="1"/>
    <col min="9466" max="9466" width="14.453125" style="17" customWidth="1"/>
    <col min="9467" max="9467" width="7.26953125" style="17" customWidth="1"/>
    <col min="9468" max="9468" width="5.54296875" style="17" customWidth="1"/>
    <col min="9469" max="9469" width="9" style="17" customWidth="1"/>
    <col min="9470" max="9471" width="9.81640625" style="17" customWidth="1"/>
    <col min="9472" max="9472" width="11.1796875" style="17" customWidth="1"/>
    <col min="9473" max="9473" width="2.81640625" style="17" customWidth="1"/>
    <col min="9474" max="9474" width="3.54296875" style="17" customWidth="1"/>
    <col min="9475" max="9719" width="9.1796875" style="17"/>
    <col min="9720" max="9720" width="8.7265625" style="17" customWidth="1"/>
    <col min="9721" max="9721" width="9.81640625" style="17" customWidth="1"/>
    <col min="9722" max="9722" width="14.453125" style="17" customWidth="1"/>
    <col min="9723" max="9723" width="7.26953125" style="17" customWidth="1"/>
    <col min="9724" max="9724" width="5.54296875" style="17" customWidth="1"/>
    <col min="9725" max="9725" width="9" style="17" customWidth="1"/>
    <col min="9726" max="9727" width="9.81640625" style="17" customWidth="1"/>
    <col min="9728" max="9728" width="11.1796875" style="17" customWidth="1"/>
    <col min="9729" max="9729" width="2.81640625" style="17" customWidth="1"/>
    <col min="9730" max="9730" width="3.54296875" style="17" customWidth="1"/>
    <col min="9731" max="9975" width="9.1796875" style="17"/>
    <col min="9976" max="9976" width="8.7265625" style="17" customWidth="1"/>
    <col min="9977" max="9977" width="9.81640625" style="17" customWidth="1"/>
    <col min="9978" max="9978" width="14.453125" style="17" customWidth="1"/>
    <col min="9979" max="9979" width="7.26953125" style="17" customWidth="1"/>
    <col min="9980" max="9980" width="5.54296875" style="17" customWidth="1"/>
    <col min="9981" max="9981" width="9" style="17" customWidth="1"/>
    <col min="9982" max="9983" width="9.81640625" style="17" customWidth="1"/>
    <col min="9984" max="9984" width="11.1796875" style="17" customWidth="1"/>
    <col min="9985" max="9985" width="2.81640625" style="17" customWidth="1"/>
    <col min="9986" max="9986" width="3.54296875" style="17" customWidth="1"/>
    <col min="9987" max="10231" width="9.1796875" style="17"/>
    <col min="10232" max="10232" width="8.7265625" style="17" customWidth="1"/>
    <col min="10233" max="10233" width="9.81640625" style="17" customWidth="1"/>
    <col min="10234" max="10234" width="14.453125" style="17" customWidth="1"/>
    <col min="10235" max="10235" width="7.26953125" style="17" customWidth="1"/>
    <col min="10236" max="10236" width="5.54296875" style="17" customWidth="1"/>
    <col min="10237" max="10237" width="9" style="17" customWidth="1"/>
    <col min="10238" max="10239" width="9.81640625" style="17" customWidth="1"/>
    <col min="10240" max="10240" width="11.1796875" style="17" customWidth="1"/>
    <col min="10241" max="10241" width="2.81640625" style="17" customWidth="1"/>
    <col min="10242" max="10242" width="3.54296875" style="17" customWidth="1"/>
    <col min="10243" max="10487" width="9.1796875" style="17"/>
    <col min="10488" max="10488" width="8.7265625" style="17" customWidth="1"/>
    <col min="10489" max="10489" width="9.81640625" style="17" customWidth="1"/>
    <col min="10490" max="10490" width="14.453125" style="17" customWidth="1"/>
    <col min="10491" max="10491" width="7.26953125" style="17" customWidth="1"/>
    <col min="10492" max="10492" width="5.54296875" style="17" customWidth="1"/>
    <col min="10493" max="10493" width="9" style="17" customWidth="1"/>
    <col min="10494" max="10495" width="9.81640625" style="17" customWidth="1"/>
    <col min="10496" max="10496" width="11.1796875" style="17" customWidth="1"/>
    <col min="10497" max="10497" width="2.81640625" style="17" customWidth="1"/>
    <col min="10498" max="10498" width="3.54296875" style="17" customWidth="1"/>
    <col min="10499" max="10743" width="9.1796875" style="17"/>
    <col min="10744" max="10744" width="8.7265625" style="17" customWidth="1"/>
    <col min="10745" max="10745" width="9.81640625" style="17" customWidth="1"/>
    <col min="10746" max="10746" width="14.453125" style="17" customWidth="1"/>
    <col min="10747" max="10747" width="7.26953125" style="17" customWidth="1"/>
    <col min="10748" max="10748" width="5.54296875" style="17" customWidth="1"/>
    <col min="10749" max="10749" width="9" style="17" customWidth="1"/>
    <col min="10750" max="10751" width="9.81640625" style="17" customWidth="1"/>
    <col min="10752" max="10752" width="11.1796875" style="17" customWidth="1"/>
    <col min="10753" max="10753" width="2.81640625" style="17" customWidth="1"/>
    <col min="10754" max="10754" width="3.54296875" style="17" customWidth="1"/>
    <col min="10755" max="10999" width="9.1796875" style="17"/>
    <col min="11000" max="11000" width="8.7265625" style="17" customWidth="1"/>
    <col min="11001" max="11001" width="9.81640625" style="17" customWidth="1"/>
    <col min="11002" max="11002" width="14.453125" style="17" customWidth="1"/>
    <col min="11003" max="11003" width="7.26953125" style="17" customWidth="1"/>
    <col min="11004" max="11004" width="5.54296875" style="17" customWidth="1"/>
    <col min="11005" max="11005" width="9" style="17" customWidth="1"/>
    <col min="11006" max="11007" width="9.81640625" style="17" customWidth="1"/>
    <col min="11008" max="11008" width="11.1796875" style="17" customWidth="1"/>
    <col min="11009" max="11009" width="2.81640625" style="17" customWidth="1"/>
    <col min="11010" max="11010" width="3.54296875" style="17" customWidth="1"/>
    <col min="11011" max="11255" width="9.1796875" style="17"/>
    <col min="11256" max="11256" width="8.7265625" style="17" customWidth="1"/>
    <col min="11257" max="11257" width="9.81640625" style="17" customWidth="1"/>
    <col min="11258" max="11258" width="14.453125" style="17" customWidth="1"/>
    <col min="11259" max="11259" width="7.26953125" style="17" customWidth="1"/>
    <col min="11260" max="11260" width="5.54296875" style="17" customWidth="1"/>
    <col min="11261" max="11261" width="9" style="17" customWidth="1"/>
    <col min="11262" max="11263" width="9.81640625" style="17" customWidth="1"/>
    <col min="11264" max="11264" width="11.1796875" style="17" customWidth="1"/>
    <col min="11265" max="11265" width="2.81640625" style="17" customWidth="1"/>
    <col min="11266" max="11266" width="3.54296875" style="17" customWidth="1"/>
    <col min="11267" max="11511" width="9.1796875" style="17"/>
    <col min="11512" max="11512" width="8.7265625" style="17" customWidth="1"/>
    <col min="11513" max="11513" width="9.81640625" style="17" customWidth="1"/>
    <col min="11514" max="11514" width="14.453125" style="17" customWidth="1"/>
    <col min="11515" max="11515" width="7.26953125" style="17" customWidth="1"/>
    <col min="11516" max="11516" width="5.54296875" style="17" customWidth="1"/>
    <col min="11517" max="11517" width="9" style="17" customWidth="1"/>
    <col min="11518" max="11519" width="9.81640625" style="17" customWidth="1"/>
    <col min="11520" max="11520" width="11.1796875" style="17" customWidth="1"/>
    <col min="11521" max="11521" width="2.81640625" style="17" customWidth="1"/>
    <col min="11522" max="11522" width="3.54296875" style="17" customWidth="1"/>
    <col min="11523" max="11767" width="9.1796875" style="17"/>
    <col min="11768" max="11768" width="8.7265625" style="17" customWidth="1"/>
    <col min="11769" max="11769" width="9.81640625" style="17" customWidth="1"/>
    <col min="11770" max="11770" width="14.453125" style="17" customWidth="1"/>
    <col min="11771" max="11771" width="7.26953125" style="17" customWidth="1"/>
    <col min="11772" max="11772" width="5.54296875" style="17" customWidth="1"/>
    <col min="11773" max="11773" width="9" style="17" customWidth="1"/>
    <col min="11774" max="11775" width="9.81640625" style="17" customWidth="1"/>
    <col min="11776" max="11776" width="11.1796875" style="17" customWidth="1"/>
    <col min="11777" max="11777" width="2.81640625" style="17" customWidth="1"/>
    <col min="11778" max="11778" width="3.54296875" style="17" customWidth="1"/>
    <col min="11779" max="12023" width="9.1796875" style="17"/>
    <col min="12024" max="12024" width="8.7265625" style="17" customWidth="1"/>
    <col min="12025" max="12025" width="9.81640625" style="17" customWidth="1"/>
    <col min="12026" max="12026" width="14.453125" style="17" customWidth="1"/>
    <col min="12027" max="12027" width="7.26953125" style="17" customWidth="1"/>
    <col min="12028" max="12028" width="5.54296875" style="17" customWidth="1"/>
    <col min="12029" max="12029" width="9" style="17" customWidth="1"/>
    <col min="12030" max="12031" width="9.81640625" style="17" customWidth="1"/>
    <col min="12032" max="12032" width="11.1796875" style="17" customWidth="1"/>
    <col min="12033" max="12033" width="2.81640625" style="17" customWidth="1"/>
    <col min="12034" max="12034" width="3.54296875" style="17" customWidth="1"/>
    <col min="12035" max="12279" width="9.1796875" style="17"/>
    <col min="12280" max="12280" width="8.7265625" style="17" customWidth="1"/>
    <col min="12281" max="12281" width="9.81640625" style="17" customWidth="1"/>
    <col min="12282" max="12282" width="14.453125" style="17" customWidth="1"/>
    <col min="12283" max="12283" width="7.26953125" style="17" customWidth="1"/>
    <col min="12284" max="12284" width="5.54296875" style="17" customWidth="1"/>
    <col min="12285" max="12285" width="9" style="17" customWidth="1"/>
    <col min="12286" max="12287" width="9.81640625" style="17" customWidth="1"/>
    <col min="12288" max="12288" width="11.1796875" style="17" customWidth="1"/>
    <col min="12289" max="12289" width="2.81640625" style="17" customWidth="1"/>
    <col min="12290" max="12290" width="3.54296875" style="17" customWidth="1"/>
    <col min="12291" max="12535" width="9.1796875" style="17"/>
    <col min="12536" max="12536" width="8.7265625" style="17" customWidth="1"/>
    <col min="12537" max="12537" width="9.81640625" style="17" customWidth="1"/>
    <col min="12538" max="12538" width="14.453125" style="17" customWidth="1"/>
    <col min="12539" max="12539" width="7.26953125" style="17" customWidth="1"/>
    <col min="12540" max="12540" width="5.54296875" style="17" customWidth="1"/>
    <col min="12541" max="12541" width="9" style="17" customWidth="1"/>
    <col min="12542" max="12543" width="9.81640625" style="17" customWidth="1"/>
    <col min="12544" max="12544" width="11.1796875" style="17" customWidth="1"/>
    <col min="12545" max="12545" width="2.81640625" style="17" customWidth="1"/>
    <col min="12546" max="12546" width="3.54296875" style="17" customWidth="1"/>
    <col min="12547" max="12791" width="9.1796875" style="17"/>
    <col min="12792" max="12792" width="8.7265625" style="17" customWidth="1"/>
    <col min="12793" max="12793" width="9.81640625" style="17" customWidth="1"/>
    <col min="12794" max="12794" width="14.453125" style="17" customWidth="1"/>
    <col min="12795" max="12795" width="7.26953125" style="17" customWidth="1"/>
    <col min="12796" max="12796" width="5.54296875" style="17" customWidth="1"/>
    <col min="12797" max="12797" width="9" style="17" customWidth="1"/>
    <col min="12798" max="12799" width="9.81640625" style="17" customWidth="1"/>
    <col min="12800" max="12800" width="11.1796875" style="17" customWidth="1"/>
    <col min="12801" max="12801" width="2.81640625" style="17" customWidth="1"/>
    <col min="12802" max="12802" width="3.54296875" style="17" customWidth="1"/>
    <col min="12803" max="13047" width="9.1796875" style="17"/>
    <col min="13048" max="13048" width="8.7265625" style="17" customWidth="1"/>
    <col min="13049" max="13049" width="9.81640625" style="17" customWidth="1"/>
    <col min="13050" max="13050" width="14.453125" style="17" customWidth="1"/>
    <col min="13051" max="13051" width="7.26953125" style="17" customWidth="1"/>
    <col min="13052" max="13052" width="5.54296875" style="17" customWidth="1"/>
    <col min="13053" max="13053" width="9" style="17" customWidth="1"/>
    <col min="13054" max="13055" width="9.81640625" style="17" customWidth="1"/>
    <col min="13056" max="13056" width="11.1796875" style="17" customWidth="1"/>
    <col min="13057" max="13057" width="2.81640625" style="17" customWidth="1"/>
    <col min="13058" max="13058" width="3.54296875" style="17" customWidth="1"/>
    <col min="13059" max="13303" width="9.1796875" style="17"/>
    <col min="13304" max="13304" width="8.7265625" style="17" customWidth="1"/>
    <col min="13305" max="13305" width="9.81640625" style="17" customWidth="1"/>
    <col min="13306" max="13306" width="14.453125" style="17" customWidth="1"/>
    <col min="13307" max="13307" width="7.26953125" style="17" customWidth="1"/>
    <col min="13308" max="13308" width="5.54296875" style="17" customWidth="1"/>
    <col min="13309" max="13309" width="9" style="17" customWidth="1"/>
    <col min="13310" max="13311" width="9.81640625" style="17" customWidth="1"/>
    <col min="13312" max="13312" width="11.1796875" style="17" customWidth="1"/>
    <col min="13313" max="13313" width="2.81640625" style="17" customWidth="1"/>
    <col min="13314" max="13314" width="3.54296875" style="17" customWidth="1"/>
    <col min="13315" max="13559" width="9.1796875" style="17"/>
    <col min="13560" max="13560" width="8.7265625" style="17" customWidth="1"/>
    <col min="13561" max="13561" width="9.81640625" style="17" customWidth="1"/>
    <col min="13562" max="13562" width="14.453125" style="17" customWidth="1"/>
    <col min="13563" max="13563" width="7.26953125" style="17" customWidth="1"/>
    <col min="13564" max="13564" width="5.54296875" style="17" customWidth="1"/>
    <col min="13565" max="13565" width="9" style="17" customWidth="1"/>
    <col min="13566" max="13567" width="9.81640625" style="17" customWidth="1"/>
    <col min="13568" max="13568" width="11.1796875" style="17" customWidth="1"/>
    <col min="13569" max="13569" width="2.81640625" style="17" customWidth="1"/>
    <col min="13570" max="13570" width="3.54296875" style="17" customWidth="1"/>
    <col min="13571" max="13815" width="9.1796875" style="17"/>
    <col min="13816" max="13816" width="8.7265625" style="17" customWidth="1"/>
    <col min="13817" max="13817" width="9.81640625" style="17" customWidth="1"/>
    <col min="13818" max="13818" width="14.453125" style="17" customWidth="1"/>
    <col min="13819" max="13819" width="7.26953125" style="17" customWidth="1"/>
    <col min="13820" max="13820" width="5.54296875" style="17" customWidth="1"/>
    <col min="13821" max="13821" width="9" style="17" customWidth="1"/>
    <col min="13822" max="13823" width="9.81640625" style="17" customWidth="1"/>
    <col min="13824" max="13824" width="11.1796875" style="17" customWidth="1"/>
    <col min="13825" max="13825" width="2.81640625" style="17" customWidth="1"/>
    <col min="13826" max="13826" width="3.54296875" style="17" customWidth="1"/>
    <col min="13827" max="14071" width="9.1796875" style="17"/>
    <col min="14072" max="14072" width="8.7265625" style="17" customWidth="1"/>
    <col min="14073" max="14073" width="9.81640625" style="17" customWidth="1"/>
    <col min="14074" max="14074" width="14.453125" style="17" customWidth="1"/>
    <col min="14075" max="14075" width="7.26953125" style="17" customWidth="1"/>
    <col min="14076" max="14076" width="5.54296875" style="17" customWidth="1"/>
    <col min="14077" max="14077" width="9" style="17" customWidth="1"/>
    <col min="14078" max="14079" width="9.81640625" style="17" customWidth="1"/>
    <col min="14080" max="14080" width="11.1796875" style="17" customWidth="1"/>
    <col min="14081" max="14081" width="2.81640625" style="17" customWidth="1"/>
    <col min="14082" max="14082" width="3.54296875" style="17" customWidth="1"/>
    <col min="14083" max="14327" width="9.1796875" style="17"/>
    <col min="14328" max="14328" width="8.7265625" style="17" customWidth="1"/>
    <col min="14329" max="14329" width="9.81640625" style="17" customWidth="1"/>
    <col min="14330" max="14330" width="14.453125" style="17" customWidth="1"/>
    <col min="14331" max="14331" width="7.26953125" style="17" customWidth="1"/>
    <col min="14332" max="14332" width="5.54296875" style="17" customWidth="1"/>
    <col min="14333" max="14333" width="9" style="17" customWidth="1"/>
    <col min="14334" max="14335" width="9.81640625" style="17" customWidth="1"/>
    <col min="14336" max="14336" width="11.1796875" style="17" customWidth="1"/>
    <col min="14337" max="14337" width="2.81640625" style="17" customWidth="1"/>
    <col min="14338" max="14338" width="3.54296875" style="17" customWidth="1"/>
    <col min="14339" max="14583" width="9.1796875" style="17"/>
    <col min="14584" max="14584" width="8.7265625" style="17" customWidth="1"/>
    <col min="14585" max="14585" width="9.81640625" style="17" customWidth="1"/>
    <col min="14586" max="14586" width="14.453125" style="17" customWidth="1"/>
    <col min="14587" max="14587" width="7.26953125" style="17" customWidth="1"/>
    <col min="14588" max="14588" width="5.54296875" style="17" customWidth="1"/>
    <col min="14589" max="14589" width="9" style="17" customWidth="1"/>
    <col min="14590" max="14591" width="9.81640625" style="17" customWidth="1"/>
    <col min="14592" max="14592" width="11.1796875" style="17" customWidth="1"/>
    <col min="14593" max="14593" width="2.81640625" style="17" customWidth="1"/>
    <col min="14594" max="14594" width="3.54296875" style="17" customWidth="1"/>
    <col min="14595" max="14839" width="9.1796875" style="17"/>
    <col min="14840" max="14840" width="8.7265625" style="17" customWidth="1"/>
    <col min="14841" max="14841" width="9.81640625" style="17" customWidth="1"/>
    <col min="14842" max="14842" width="14.453125" style="17" customWidth="1"/>
    <col min="14843" max="14843" width="7.26953125" style="17" customWidth="1"/>
    <col min="14844" max="14844" width="5.54296875" style="17" customWidth="1"/>
    <col min="14845" max="14845" width="9" style="17" customWidth="1"/>
    <col min="14846" max="14847" width="9.81640625" style="17" customWidth="1"/>
    <col min="14848" max="14848" width="11.1796875" style="17" customWidth="1"/>
    <col min="14849" max="14849" width="2.81640625" style="17" customWidth="1"/>
    <col min="14850" max="14850" width="3.54296875" style="17" customWidth="1"/>
    <col min="14851" max="15095" width="9.1796875" style="17"/>
    <col min="15096" max="15096" width="8.7265625" style="17" customWidth="1"/>
    <col min="15097" max="15097" width="9.81640625" style="17" customWidth="1"/>
    <col min="15098" max="15098" width="14.453125" style="17" customWidth="1"/>
    <col min="15099" max="15099" width="7.26953125" style="17" customWidth="1"/>
    <col min="15100" max="15100" width="5.54296875" style="17" customWidth="1"/>
    <col min="15101" max="15101" width="9" style="17" customWidth="1"/>
    <col min="15102" max="15103" width="9.81640625" style="17" customWidth="1"/>
    <col min="15104" max="15104" width="11.1796875" style="17" customWidth="1"/>
    <col min="15105" max="15105" width="2.81640625" style="17" customWidth="1"/>
    <col min="15106" max="15106" width="3.54296875" style="17" customWidth="1"/>
    <col min="15107" max="15351" width="9.1796875" style="17"/>
    <col min="15352" max="15352" width="8.7265625" style="17" customWidth="1"/>
    <col min="15353" max="15353" width="9.81640625" style="17" customWidth="1"/>
    <col min="15354" max="15354" width="14.453125" style="17" customWidth="1"/>
    <col min="15355" max="15355" width="7.26953125" style="17" customWidth="1"/>
    <col min="15356" max="15356" width="5.54296875" style="17" customWidth="1"/>
    <col min="15357" max="15357" width="9" style="17" customWidth="1"/>
    <col min="15358" max="15359" width="9.81640625" style="17" customWidth="1"/>
    <col min="15360" max="15360" width="11.1796875" style="17" customWidth="1"/>
    <col min="15361" max="15361" width="2.81640625" style="17" customWidth="1"/>
    <col min="15362" max="15362" width="3.54296875" style="17" customWidth="1"/>
    <col min="15363" max="15607" width="9.1796875" style="17"/>
    <col min="15608" max="15608" width="8.7265625" style="17" customWidth="1"/>
    <col min="15609" max="15609" width="9.81640625" style="17" customWidth="1"/>
    <col min="15610" max="15610" width="14.453125" style="17" customWidth="1"/>
    <col min="15611" max="15611" width="7.26953125" style="17" customWidth="1"/>
    <col min="15612" max="15612" width="5.54296875" style="17" customWidth="1"/>
    <col min="15613" max="15613" width="9" style="17" customWidth="1"/>
    <col min="15614" max="15615" width="9.81640625" style="17" customWidth="1"/>
    <col min="15616" max="15616" width="11.1796875" style="17" customWidth="1"/>
    <col min="15617" max="15617" width="2.81640625" style="17" customWidth="1"/>
    <col min="15618" max="15618" width="3.54296875" style="17" customWidth="1"/>
    <col min="15619" max="15863" width="9.1796875" style="17"/>
    <col min="15864" max="15864" width="8.7265625" style="17" customWidth="1"/>
    <col min="15865" max="15865" width="9.81640625" style="17" customWidth="1"/>
    <col min="15866" max="15866" width="14.453125" style="17" customWidth="1"/>
    <col min="15867" max="15867" width="7.26953125" style="17" customWidth="1"/>
    <col min="15868" max="15868" width="5.54296875" style="17" customWidth="1"/>
    <col min="15869" max="15869" width="9" style="17" customWidth="1"/>
    <col min="15870" max="15871" width="9.81640625" style="17" customWidth="1"/>
    <col min="15872" max="15872" width="11.1796875" style="17" customWidth="1"/>
    <col min="15873" max="15873" width="2.81640625" style="17" customWidth="1"/>
    <col min="15874" max="15874" width="3.54296875" style="17" customWidth="1"/>
    <col min="15875" max="16119" width="9.1796875" style="17"/>
    <col min="16120" max="16120" width="8.7265625" style="17" customWidth="1"/>
    <col min="16121" max="16121" width="9.81640625" style="17" customWidth="1"/>
    <col min="16122" max="16122" width="14.453125" style="17" customWidth="1"/>
    <col min="16123" max="16123" width="7.26953125" style="17" customWidth="1"/>
    <col min="16124" max="16124" width="5.54296875" style="17" customWidth="1"/>
    <col min="16125" max="16125" width="9" style="17" customWidth="1"/>
    <col min="16126" max="16127" width="9.81640625" style="17" customWidth="1"/>
    <col min="16128" max="16128" width="11.1796875" style="17" customWidth="1"/>
    <col min="16129" max="16129" width="2.81640625" style="17" customWidth="1"/>
    <col min="16130" max="16130" width="3.54296875" style="17" customWidth="1"/>
    <col min="16131" max="16384" width="9.1796875" style="17"/>
  </cols>
  <sheetData>
    <row r="1" spans="1:8" ht="46.5" customHeight="1" x14ac:dyDescent="0.35">
      <c r="A1" s="182" t="s">
        <v>163</v>
      </c>
      <c r="B1" s="182"/>
      <c r="C1" s="182"/>
      <c r="D1" s="182"/>
      <c r="E1" s="182"/>
      <c r="F1" s="182"/>
      <c r="G1" s="182"/>
      <c r="H1" s="182"/>
    </row>
    <row r="2" spans="1:8" ht="16.5" customHeight="1" x14ac:dyDescent="0.35">
      <c r="A2" s="135" t="s">
        <v>0</v>
      </c>
      <c r="B2" s="135"/>
      <c r="C2" s="135"/>
      <c r="D2" s="135"/>
      <c r="E2" s="135"/>
      <c r="F2" s="135"/>
      <c r="G2" s="135"/>
      <c r="H2" s="135"/>
    </row>
    <row r="3" spans="1:8" x14ac:dyDescent="0.35">
      <c r="A3" s="128" t="s">
        <v>1</v>
      </c>
      <c r="B3" s="128"/>
      <c r="C3" s="128"/>
      <c r="D3" s="128"/>
      <c r="E3" s="128" t="str">
        <f ca="1">TEXT(TODAY(),"DD/MM/YYYY")</f>
        <v>18/08/2025</v>
      </c>
      <c r="F3" s="128"/>
      <c r="G3" s="128"/>
      <c r="H3" s="128"/>
    </row>
    <row r="4" spans="1:8" ht="15" customHeight="1" x14ac:dyDescent="0.35">
      <c r="A4" s="128" t="s">
        <v>2</v>
      </c>
      <c r="B4" s="128"/>
      <c r="C4" s="128"/>
      <c r="D4" s="128"/>
      <c r="E4" s="183" t="s">
        <v>164</v>
      </c>
      <c r="F4" s="183"/>
      <c r="G4" s="183"/>
      <c r="H4" s="183"/>
    </row>
    <row r="5" spans="1:8" x14ac:dyDescent="0.35">
      <c r="A5" s="128" t="s">
        <v>3</v>
      </c>
      <c r="B5" s="128"/>
      <c r="C5" s="128"/>
      <c r="D5" s="128"/>
      <c r="E5" s="181">
        <v>45881</v>
      </c>
      <c r="F5" s="128"/>
      <c r="G5" s="128"/>
      <c r="H5" s="128"/>
    </row>
    <row r="6" spans="1:8" ht="16.5" customHeight="1" x14ac:dyDescent="0.35">
      <c r="A6" s="128" t="s">
        <v>4</v>
      </c>
      <c r="B6" s="128"/>
      <c r="C6" s="128"/>
      <c r="D6" s="128"/>
      <c r="E6" s="128" t="s">
        <v>165</v>
      </c>
      <c r="F6" s="128"/>
      <c r="G6" s="128"/>
      <c r="H6" s="128"/>
    </row>
    <row r="7" spans="1:8" ht="15" customHeight="1" x14ac:dyDescent="0.35">
      <c r="A7" s="128" t="s">
        <v>5</v>
      </c>
      <c r="B7" s="128"/>
      <c r="C7" s="128"/>
      <c r="D7" s="128"/>
      <c r="E7" s="128" t="str">
        <f>E6</f>
        <v>Laxmi Associates</v>
      </c>
      <c r="F7" s="128"/>
      <c r="G7" s="128"/>
      <c r="H7" s="128"/>
    </row>
    <row r="8" spans="1:8" x14ac:dyDescent="0.35">
      <c r="A8" s="128" t="s">
        <v>6</v>
      </c>
      <c r="B8" s="128"/>
      <c r="C8" s="128"/>
      <c r="D8" s="128"/>
      <c r="E8" s="85" t="s">
        <v>232</v>
      </c>
      <c r="F8" s="85"/>
      <c r="G8" s="85"/>
      <c r="H8" s="85"/>
    </row>
    <row r="9" spans="1:8" x14ac:dyDescent="0.35">
      <c r="A9" s="128" t="s">
        <v>161</v>
      </c>
      <c r="B9" s="128"/>
      <c r="C9" s="128"/>
      <c r="D9" s="128"/>
      <c r="E9" s="128">
        <v>9004745554</v>
      </c>
      <c r="F9" s="128"/>
      <c r="G9" s="128"/>
      <c r="H9" s="128"/>
    </row>
    <row r="10" spans="1:8" x14ac:dyDescent="0.35">
      <c r="A10" s="128" t="s">
        <v>162</v>
      </c>
      <c r="B10" s="128"/>
      <c r="C10" s="128"/>
      <c r="D10" s="128"/>
      <c r="E10" s="128">
        <v>9004745554</v>
      </c>
      <c r="F10" s="128"/>
      <c r="G10" s="128"/>
      <c r="H10" s="128"/>
    </row>
    <row r="11" spans="1:8" ht="31.5" customHeight="1" x14ac:dyDescent="0.35">
      <c r="A11" s="128" t="s">
        <v>7</v>
      </c>
      <c r="B11" s="128"/>
      <c r="C11" s="128"/>
      <c r="D11" s="128"/>
      <c r="E11" s="137" t="s">
        <v>192</v>
      </c>
      <c r="F11" s="128"/>
      <c r="G11" s="128"/>
      <c r="H11" s="128"/>
    </row>
    <row r="12" spans="1:8" x14ac:dyDescent="0.35">
      <c r="A12" s="160" t="s">
        <v>8</v>
      </c>
      <c r="B12" s="160"/>
      <c r="C12" s="160"/>
      <c r="D12" s="160"/>
      <c r="E12" s="137" t="s">
        <v>186</v>
      </c>
      <c r="F12" s="137"/>
      <c r="G12" s="137"/>
      <c r="H12" s="137"/>
    </row>
    <row r="13" spans="1:8" x14ac:dyDescent="0.35">
      <c r="A13" s="160" t="s">
        <v>9</v>
      </c>
      <c r="B13" s="160"/>
      <c r="C13" s="160"/>
      <c r="D13" s="160"/>
      <c r="E13" s="137" t="s">
        <v>166</v>
      </c>
      <c r="F13" s="128"/>
      <c r="G13" s="128"/>
      <c r="H13" s="128"/>
    </row>
    <row r="14" spans="1:8" ht="49.5" customHeight="1" x14ac:dyDescent="0.35">
      <c r="A14" s="179" t="s">
        <v>10</v>
      </c>
      <c r="B14" s="179"/>
      <c r="C14" s="179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Shree Sai Residential Park, Survey No.443 H.No.1 (Old S.No.32/1/1 Pt.32/4Pt..49A/3, 49A/4A, 49A/5B) S.No.32 H.No.2 &amp; 3, S.No.35 H.No.1/2 &amp; 14, near Virar Motors, Veer Savarkar Marg, Indian Airlines Colony, Virar, Virar East, Vasai, Palghar - 401303.</v>
      </c>
      <c r="D14" s="179"/>
      <c r="E14" s="179"/>
      <c r="F14" s="179"/>
      <c r="G14" s="179"/>
      <c r="H14" s="179"/>
    </row>
    <row r="15" spans="1:8" s="19" customFormat="1" ht="32.25" customHeight="1" x14ac:dyDescent="0.35">
      <c r="A15" s="137" t="s">
        <v>168</v>
      </c>
      <c r="B15" s="137"/>
      <c r="C15" s="137" t="s">
        <v>167</v>
      </c>
      <c r="D15" s="137"/>
      <c r="E15" s="137"/>
      <c r="F15" s="137"/>
      <c r="G15" s="137"/>
      <c r="H15" s="137"/>
    </row>
    <row r="16" spans="1:8" ht="15.75" customHeight="1" x14ac:dyDescent="0.35">
      <c r="A16" s="137" t="s">
        <v>160</v>
      </c>
      <c r="B16" s="137"/>
      <c r="C16" s="137" t="s">
        <v>177</v>
      </c>
      <c r="D16" s="137"/>
      <c r="E16" s="137"/>
      <c r="F16" s="137"/>
      <c r="G16" s="137"/>
      <c r="H16" s="137"/>
    </row>
    <row r="17" spans="1:8" ht="15.75" customHeight="1" x14ac:dyDescent="0.35">
      <c r="A17" s="179" t="s">
        <v>11</v>
      </c>
      <c r="B17" s="179"/>
      <c r="C17" s="128" t="s">
        <v>174</v>
      </c>
      <c r="D17" s="128"/>
      <c r="E17" s="179" t="s">
        <v>73</v>
      </c>
      <c r="F17" s="179"/>
      <c r="G17" s="137" t="s">
        <v>169</v>
      </c>
      <c r="H17" s="137"/>
    </row>
    <row r="18" spans="1:8" x14ac:dyDescent="0.35">
      <c r="A18" s="160" t="s">
        <v>13</v>
      </c>
      <c r="B18" s="160"/>
      <c r="C18" s="137" t="s">
        <v>176</v>
      </c>
      <c r="D18" s="137"/>
      <c r="E18" s="179" t="s">
        <v>12</v>
      </c>
      <c r="F18" s="179"/>
      <c r="G18" s="180" t="s">
        <v>171</v>
      </c>
      <c r="H18" s="180"/>
    </row>
    <row r="19" spans="1:8" x14ac:dyDescent="0.35">
      <c r="A19" s="160" t="s">
        <v>74</v>
      </c>
      <c r="B19" s="160"/>
      <c r="C19" s="137" t="s">
        <v>170</v>
      </c>
      <c r="D19" s="137"/>
      <c r="E19" s="179" t="s">
        <v>14</v>
      </c>
      <c r="F19" s="179"/>
      <c r="G19" s="137">
        <v>401303</v>
      </c>
      <c r="H19" s="137"/>
    </row>
    <row r="20" spans="1:8" ht="32.25" customHeight="1" x14ac:dyDescent="0.35">
      <c r="A20" s="160" t="s">
        <v>119</v>
      </c>
      <c r="B20" s="160"/>
      <c r="C20" s="137" t="s">
        <v>175</v>
      </c>
      <c r="D20" s="137"/>
      <c r="E20" s="179" t="s">
        <v>15</v>
      </c>
      <c r="F20" s="179"/>
      <c r="G20" s="137" t="s">
        <v>178</v>
      </c>
      <c r="H20" s="137"/>
    </row>
    <row r="21" spans="1:8" ht="15" customHeight="1" x14ac:dyDescent="0.35">
      <c r="A21" s="179" t="s">
        <v>76</v>
      </c>
      <c r="B21" s="179"/>
      <c r="C21" s="179"/>
      <c r="D21" s="179"/>
      <c r="E21" s="128" t="s">
        <v>16</v>
      </c>
      <c r="F21" s="128"/>
      <c r="G21" s="128"/>
      <c r="H21" s="128"/>
    </row>
    <row r="22" spans="1:8" ht="18.75" customHeight="1" x14ac:dyDescent="0.35">
      <c r="A22" s="179"/>
      <c r="B22" s="179"/>
      <c r="C22" s="179"/>
      <c r="D22" s="179"/>
      <c r="E22" s="128"/>
      <c r="F22" s="128"/>
      <c r="G22" s="128"/>
      <c r="H22" s="128"/>
    </row>
    <row r="23" spans="1:8" ht="15" customHeight="1" x14ac:dyDescent="0.35">
      <c r="A23" s="179" t="s">
        <v>17</v>
      </c>
      <c r="B23" s="179"/>
      <c r="C23" s="179"/>
      <c r="D23" s="179"/>
      <c r="E23" s="137" t="s">
        <v>18</v>
      </c>
      <c r="F23" s="137"/>
      <c r="G23" s="137"/>
      <c r="H23" s="137"/>
    </row>
    <row r="24" spans="1:8" ht="15" customHeight="1" x14ac:dyDescent="0.35">
      <c r="A24" s="160" t="s">
        <v>19</v>
      </c>
      <c r="B24" s="160"/>
      <c r="C24" s="160"/>
      <c r="D24" s="160"/>
      <c r="E24" s="137" t="str">
        <f>IF(AND(G18="Mumbai"),"Upper Class","Middle Class")</f>
        <v>Middle Class</v>
      </c>
      <c r="F24" s="137"/>
      <c r="G24" s="137"/>
      <c r="H24" s="137"/>
    </row>
    <row r="25" spans="1:8" x14ac:dyDescent="0.35">
      <c r="A25" s="160" t="s">
        <v>20</v>
      </c>
      <c r="B25" s="160"/>
      <c r="C25" s="160"/>
      <c r="D25" s="160"/>
      <c r="E25" s="137" t="s">
        <v>21</v>
      </c>
      <c r="F25" s="137"/>
      <c r="G25" s="137"/>
      <c r="H25" s="137"/>
    </row>
    <row r="26" spans="1:8" ht="15.75" customHeight="1" x14ac:dyDescent="0.35">
      <c r="A26" s="160" t="s">
        <v>22</v>
      </c>
      <c r="B26" s="160"/>
      <c r="C26" s="160"/>
      <c r="D26" s="160"/>
      <c r="E26" s="137" t="str">
        <f>IF(AND(G18="Mumbai"),"Developed","Developing")</f>
        <v>Developing</v>
      </c>
      <c r="F26" s="137"/>
      <c r="G26" s="137"/>
      <c r="H26" s="137"/>
    </row>
    <row r="27" spans="1:8" x14ac:dyDescent="0.35">
      <c r="A27" s="160" t="s">
        <v>23</v>
      </c>
      <c r="B27" s="160"/>
      <c r="C27" s="160"/>
      <c r="D27" s="160"/>
      <c r="E27" s="137" t="s">
        <v>24</v>
      </c>
      <c r="F27" s="137"/>
      <c r="G27" s="137"/>
      <c r="H27" s="137"/>
    </row>
    <row r="28" spans="1:8" ht="15.75" customHeight="1" x14ac:dyDescent="0.35">
      <c r="A28" s="160" t="s">
        <v>81</v>
      </c>
      <c r="B28" s="160"/>
      <c r="C28" s="160"/>
      <c r="D28" s="160"/>
      <c r="E28" s="137" t="s">
        <v>82</v>
      </c>
      <c r="F28" s="137"/>
      <c r="G28" s="137"/>
      <c r="H28" s="137"/>
    </row>
    <row r="29" spans="1:8" ht="15" customHeight="1" x14ac:dyDescent="0.35">
      <c r="A29" s="160" t="s">
        <v>33</v>
      </c>
      <c r="B29" s="160"/>
      <c r="C29" s="160"/>
      <c r="D29" s="160"/>
      <c r="E29" s="137" t="s">
        <v>191</v>
      </c>
      <c r="F29" s="137"/>
      <c r="G29" s="137"/>
      <c r="H29" s="137"/>
    </row>
    <row r="30" spans="1:8" ht="15.75" customHeight="1" x14ac:dyDescent="0.35">
      <c r="A30" s="160" t="s">
        <v>93</v>
      </c>
      <c r="B30" s="160"/>
      <c r="C30" s="160"/>
      <c r="D30" s="160"/>
      <c r="E30" s="137" t="s">
        <v>34</v>
      </c>
      <c r="F30" s="137"/>
      <c r="G30" s="137"/>
      <c r="H30" s="137"/>
    </row>
    <row r="31" spans="1:8" s="18" customFormat="1" x14ac:dyDescent="0.35">
      <c r="A31" s="178" t="s">
        <v>94</v>
      </c>
      <c r="B31" s="178"/>
      <c r="C31" s="155" t="s">
        <v>29</v>
      </c>
      <c r="D31" s="155"/>
      <c r="E31" s="155"/>
      <c r="F31" s="155" t="s">
        <v>31</v>
      </c>
      <c r="G31" s="155"/>
      <c r="H31" s="155"/>
    </row>
    <row r="32" spans="1:8" s="18" customFormat="1" x14ac:dyDescent="0.35">
      <c r="A32" s="161" t="s">
        <v>25</v>
      </c>
      <c r="B32" s="161" t="s">
        <v>30</v>
      </c>
      <c r="C32" s="158" t="s">
        <v>30</v>
      </c>
      <c r="D32" s="158"/>
      <c r="E32" s="158"/>
      <c r="F32" s="158" t="s">
        <v>179</v>
      </c>
      <c r="G32" s="158"/>
      <c r="H32" s="158"/>
    </row>
    <row r="33" spans="1:8" x14ac:dyDescent="0.35">
      <c r="A33" s="161" t="s">
        <v>26</v>
      </c>
      <c r="B33" s="161" t="s">
        <v>30</v>
      </c>
      <c r="C33" s="158" t="s">
        <v>30</v>
      </c>
      <c r="D33" s="158"/>
      <c r="E33" s="158"/>
      <c r="F33" s="158" t="s">
        <v>180</v>
      </c>
      <c r="G33" s="158"/>
      <c r="H33" s="158"/>
    </row>
    <row r="34" spans="1:8" s="18" customFormat="1" x14ac:dyDescent="0.35">
      <c r="A34" s="161" t="s">
        <v>28</v>
      </c>
      <c r="B34" s="161" t="s">
        <v>30</v>
      </c>
      <c r="C34" s="158" t="s">
        <v>30</v>
      </c>
      <c r="D34" s="158"/>
      <c r="E34" s="158"/>
      <c r="F34" s="158" t="s">
        <v>181</v>
      </c>
      <c r="G34" s="158"/>
      <c r="H34" s="158"/>
    </row>
    <row r="35" spans="1:8" x14ac:dyDescent="0.35">
      <c r="A35" s="161" t="s">
        <v>27</v>
      </c>
      <c r="B35" s="161" t="s">
        <v>30</v>
      </c>
      <c r="C35" s="158" t="s">
        <v>30</v>
      </c>
      <c r="D35" s="158"/>
      <c r="E35" s="158"/>
      <c r="F35" s="158" t="s">
        <v>182</v>
      </c>
      <c r="G35" s="158"/>
      <c r="H35" s="158"/>
    </row>
    <row r="36" spans="1:8" x14ac:dyDescent="0.35">
      <c r="A36" s="160" t="s">
        <v>32</v>
      </c>
      <c r="B36" s="160"/>
      <c r="C36" s="160"/>
      <c r="D36" s="160"/>
      <c r="E36" s="160"/>
      <c r="F36" s="160"/>
      <c r="G36" s="160"/>
      <c r="H36" s="160"/>
    </row>
    <row r="37" spans="1:8" ht="15.75" customHeight="1" x14ac:dyDescent="0.35">
      <c r="A37" s="135" t="s">
        <v>187</v>
      </c>
      <c r="B37" s="135"/>
      <c r="C37" s="162" t="s">
        <v>188</v>
      </c>
      <c r="D37" s="162"/>
      <c r="E37" s="162"/>
      <c r="F37" s="162"/>
      <c r="G37" s="162"/>
      <c r="H37" s="162"/>
    </row>
    <row r="38" spans="1:8" x14ac:dyDescent="0.35">
      <c r="A38" s="135" t="s">
        <v>159</v>
      </c>
      <c r="B38" s="135"/>
      <c r="C38" s="136" t="s">
        <v>183</v>
      </c>
      <c r="D38" s="137"/>
      <c r="E38" s="137"/>
      <c r="F38" s="137"/>
      <c r="G38" s="137"/>
      <c r="H38" s="137"/>
    </row>
    <row r="39" spans="1:8" x14ac:dyDescent="0.35">
      <c r="A39" s="164" t="s">
        <v>35</v>
      </c>
      <c r="B39" s="164"/>
      <c r="C39" s="164"/>
      <c r="D39" s="164"/>
      <c r="E39" s="164"/>
      <c r="F39" s="164"/>
      <c r="G39" s="164"/>
      <c r="H39" s="164"/>
    </row>
    <row r="40" spans="1:8" x14ac:dyDescent="0.35">
      <c r="A40" s="160" t="s">
        <v>36</v>
      </c>
      <c r="B40" s="160"/>
      <c r="C40" s="160"/>
      <c r="D40" s="160"/>
      <c r="E40" s="163">
        <v>10601.73</v>
      </c>
      <c r="F40" s="163"/>
      <c r="G40" s="163"/>
      <c r="H40" s="163"/>
    </row>
    <row r="41" spans="1:8" x14ac:dyDescent="0.35">
      <c r="A41" s="160" t="s">
        <v>37</v>
      </c>
      <c r="B41" s="160"/>
      <c r="C41" s="160"/>
      <c r="D41" s="160"/>
      <c r="E41" s="163">
        <v>1.1000000000000001</v>
      </c>
      <c r="F41" s="163"/>
      <c r="G41" s="163"/>
      <c r="H41" s="163"/>
    </row>
    <row r="42" spans="1:8" x14ac:dyDescent="0.35">
      <c r="A42" s="160" t="s">
        <v>38</v>
      </c>
      <c r="B42" s="160"/>
      <c r="C42" s="160"/>
      <c r="D42" s="160"/>
      <c r="E42" s="163">
        <f>E44/E40-E41</f>
        <v>0.70150220765856153</v>
      </c>
      <c r="F42" s="163"/>
      <c r="G42" s="163"/>
      <c r="H42" s="163"/>
    </row>
    <row r="43" spans="1:8" x14ac:dyDescent="0.35">
      <c r="A43" s="160" t="s">
        <v>39</v>
      </c>
      <c r="B43" s="160"/>
      <c r="C43" s="160"/>
      <c r="D43" s="160"/>
      <c r="E43" s="163">
        <f>E41+E42</f>
        <v>1.8015022076585616</v>
      </c>
      <c r="F43" s="163"/>
      <c r="G43" s="163"/>
      <c r="H43" s="163"/>
    </row>
    <row r="44" spans="1:8" x14ac:dyDescent="0.35">
      <c r="A44" s="160" t="s">
        <v>92</v>
      </c>
      <c r="B44" s="160"/>
      <c r="C44" s="160"/>
      <c r="D44" s="160"/>
      <c r="E44" s="163">
        <v>19099.04</v>
      </c>
      <c r="F44" s="163"/>
      <c r="G44" s="163"/>
      <c r="H44" s="163"/>
    </row>
    <row r="45" spans="1:8" x14ac:dyDescent="0.35">
      <c r="A45" s="128" t="s">
        <v>40</v>
      </c>
      <c r="B45" s="128"/>
      <c r="C45" s="128"/>
      <c r="D45" s="128"/>
      <c r="E45" s="128" t="s">
        <v>233</v>
      </c>
      <c r="F45" s="128"/>
      <c r="G45" s="128"/>
      <c r="H45" s="128"/>
    </row>
    <row r="46" spans="1:8" x14ac:dyDescent="0.35">
      <c r="A46" s="164" t="s">
        <v>41</v>
      </c>
      <c r="B46" s="164"/>
      <c r="C46" s="164"/>
      <c r="D46" s="164"/>
      <c r="E46" s="164"/>
      <c r="F46" s="164"/>
      <c r="G46" s="164"/>
      <c r="H46" s="164"/>
    </row>
    <row r="47" spans="1:8" ht="30.75" customHeight="1" x14ac:dyDescent="0.35">
      <c r="A47" s="138" t="s">
        <v>148</v>
      </c>
      <c r="B47" s="139"/>
      <c r="C47" s="140" t="s">
        <v>184</v>
      </c>
      <c r="D47" s="141"/>
      <c r="E47" s="141"/>
      <c r="F47" s="141"/>
      <c r="G47" s="141"/>
      <c r="H47" s="142"/>
    </row>
    <row r="48" spans="1:8" ht="15.75" customHeight="1" x14ac:dyDescent="0.35">
      <c r="A48" s="138" t="s">
        <v>42</v>
      </c>
      <c r="B48" s="139"/>
      <c r="C48" s="138" t="s">
        <v>197</v>
      </c>
      <c r="D48" s="190"/>
      <c r="E48" s="139"/>
      <c r="F48" s="47" t="s">
        <v>43</v>
      </c>
      <c r="G48" s="172">
        <v>44557</v>
      </c>
      <c r="H48" s="139"/>
    </row>
    <row r="49" spans="1:14" x14ac:dyDescent="0.35">
      <c r="A49" s="138" t="s">
        <v>44</v>
      </c>
      <c r="B49" s="139"/>
      <c r="C49" s="138" t="str">
        <f>C48</f>
        <v>VVCMC/TP/CC/VP/6273/420/2021-22</v>
      </c>
      <c r="D49" s="190"/>
      <c r="E49" s="139"/>
      <c r="F49" s="47" t="s">
        <v>43</v>
      </c>
      <c r="G49" s="172">
        <f>G48</f>
        <v>44557</v>
      </c>
      <c r="H49" s="173"/>
    </row>
    <row r="50" spans="1:14" s="19" customFormat="1" ht="15.75" customHeight="1" x14ac:dyDescent="0.35">
      <c r="A50" s="174" t="s">
        <v>152</v>
      </c>
      <c r="B50" s="175"/>
      <c r="C50" s="138" t="s">
        <v>172</v>
      </c>
      <c r="D50" s="190"/>
      <c r="E50" s="139"/>
      <c r="F50" s="47" t="s">
        <v>43</v>
      </c>
      <c r="G50" s="172">
        <v>44557</v>
      </c>
      <c r="H50" s="173"/>
    </row>
    <row r="51" spans="1:14" s="19" customFormat="1" ht="96" customHeight="1" x14ac:dyDescent="0.35">
      <c r="A51" s="176"/>
      <c r="B51" s="177"/>
      <c r="C51" s="138" t="s">
        <v>193</v>
      </c>
      <c r="D51" s="190"/>
      <c r="E51" s="190"/>
      <c r="F51" s="190"/>
      <c r="G51" s="190"/>
      <c r="H51" s="139"/>
    </row>
    <row r="52" spans="1:14" x14ac:dyDescent="0.35">
      <c r="A52" s="196" t="s">
        <v>45</v>
      </c>
      <c r="B52" s="197"/>
      <c r="C52" s="196" t="s">
        <v>104</v>
      </c>
      <c r="D52" s="198"/>
      <c r="E52" s="197"/>
      <c r="F52" s="48" t="s">
        <v>43</v>
      </c>
      <c r="G52" s="199" t="s">
        <v>30</v>
      </c>
      <c r="H52" s="200"/>
    </row>
    <row r="53" spans="1:14" x14ac:dyDescent="0.35">
      <c r="A53" s="186" t="s">
        <v>47</v>
      </c>
      <c r="B53" s="186"/>
      <c r="C53" s="186"/>
      <c r="D53" s="186"/>
      <c r="E53" s="186"/>
      <c r="F53" s="186"/>
      <c r="G53" s="186"/>
      <c r="H53" s="186"/>
    </row>
    <row r="54" spans="1:14" x14ac:dyDescent="0.35">
      <c r="A54" s="179" t="s">
        <v>91</v>
      </c>
      <c r="B54" s="179"/>
      <c r="C54" s="179"/>
      <c r="D54" s="160">
        <f>E44</f>
        <v>19099.04</v>
      </c>
      <c r="E54" s="160"/>
      <c r="F54" s="160"/>
      <c r="G54" s="160"/>
      <c r="H54" s="160"/>
    </row>
    <row r="55" spans="1:14" x14ac:dyDescent="0.35">
      <c r="A55" s="137" t="s">
        <v>48</v>
      </c>
      <c r="B55" s="128"/>
      <c r="C55" s="128"/>
      <c r="D55" s="128" t="s">
        <v>231</v>
      </c>
      <c r="E55" s="128"/>
      <c r="F55" s="128"/>
      <c r="G55" s="128"/>
      <c r="H55" s="128"/>
      <c r="I55" s="20"/>
    </row>
    <row r="56" spans="1:14" ht="97.5" customHeight="1" x14ac:dyDescent="0.35">
      <c r="A56" s="169" t="s">
        <v>189</v>
      </c>
      <c r="B56" s="170"/>
      <c r="C56" s="171"/>
      <c r="D56" s="167" t="s">
        <v>193</v>
      </c>
      <c r="E56" s="168"/>
      <c r="F56" s="168"/>
      <c r="G56" s="168"/>
      <c r="H56" s="168"/>
    </row>
    <row r="57" spans="1:14" ht="15.75" customHeight="1" x14ac:dyDescent="0.35">
      <c r="A57" s="169" t="s">
        <v>89</v>
      </c>
      <c r="B57" s="170"/>
      <c r="C57" s="171"/>
      <c r="D57" s="169" t="s">
        <v>230</v>
      </c>
      <c r="E57" s="191"/>
      <c r="F57" s="191"/>
      <c r="G57" s="191"/>
      <c r="H57" s="192"/>
    </row>
    <row r="58" spans="1:14" x14ac:dyDescent="0.35">
      <c r="A58" s="193"/>
      <c r="B58" s="209"/>
      <c r="C58" s="210"/>
      <c r="D58" s="193" t="s">
        <v>246</v>
      </c>
      <c r="E58" s="194"/>
      <c r="F58" s="194"/>
      <c r="G58" s="194"/>
      <c r="H58" s="195"/>
    </row>
    <row r="59" spans="1:14" x14ac:dyDescent="0.35">
      <c r="A59" s="193"/>
      <c r="B59" s="209"/>
      <c r="C59" s="209"/>
      <c r="D59" s="213" t="s">
        <v>194</v>
      </c>
      <c r="E59" s="214"/>
      <c r="F59" s="214"/>
      <c r="G59" s="214"/>
      <c r="H59" s="195"/>
    </row>
    <row r="60" spans="1:14" x14ac:dyDescent="0.35">
      <c r="A60" s="211"/>
      <c r="B60" s="212"/>
      <c r="C60" s="212"/>
      <c r="D60" s="206" t="s">
        <v>195</v>
      </c>
      <c r="E60" s="207"/>
      <c r="F60" s="207"/>
      <c r="G60" s="207"/>
      <c r="H60" s="208"/>
    </row>
    <row r="61" spans="1:14" ht="15.75" customHeight="1" x14ac:dyDescent="0.35">
      <c r="A61" s="160" t="s">
        <v>46</v>
      </c>
      <c r="B61" s="160"/>
      <c r="C61" s="160"/>
      <c r="D61" s="165" t="s">
        <v>173</v>
      </c>
      <c r="E61" s="165"/>
      <c r="F61" s="165"/>
      <c r="G61" s="165"/>
      <c r="H61" s="165"/>
      <c r="J61" s="21"/>
      <c r="K61" s="20"/>
      <c r="N61" s="20"/>
    </row>
    <row r="62" spans="1:14" ht="15.75" customHeight="1" x14ac:dyDescent="0.35">
      <c r="A62" s="160" t="s">
        <v>87</v>
      </c>
      <c r="B62" s="160"/>
      <c r="C62" s="160"/>
      <c r="D62" s="166" t="str">
        <f>(IF(G52="NA","60 Years After Completion",IF(G52&lt;&gt;"NA",""&amp;60-ROUNDDOWN((E3-G52)/360,0)&amp;" Years"," ")))</f>
        <v>60 Years After Completion</v>
      </c>
      <c r="E62" s="166"/>
      <c r="F62" s="166"/>
      <c r="G62" s="166"/>
      <c r="H62" s="166"/>
      <c r="N62" s="20"/>
    </row>
    <row r="63" spans="1:14" ht="15.75" customHeight="1" x14ac:dyDescent="0.35">
      <c r="A63" s="160" t="s">
        <v>88</v>
      </c>
      <c r="B63" s="160"/>
      <c r="C63" s="160"/>
      <c r="D63" s="179" t="s">
        <v>24</v>
      </c>
      <c r="E63" s="179"/>
      <c r="F63" s="179"/>
      <c r="G63" s="179"/>
      <c r="H63" s="179"/>
      <c r="J63" s="22"/>
      <c r="K63" s="22"/>
    </row>
    <row r="64" spans="1:14" ht="30" customHeight="1" x14ac:dyDescent="0.35">
      <c r="A64" s="160" t="s">
        <v>75</v>
      </c>
      <c r="B64" s="160"/>
      <c r="C64" s="160"/>
      <c r="D64" s="137" t="s">
        <v>190</v>
      </c>
      <c r="E64" s="179"/>
      <c r="F64" s="179"/>
      <c r="G64" s="179"/>
      <c r="H64" s="179"/>
    </row>
    <row r="65" spans="1:14" x14ac:dyDescent="0.35">
      <c r="A65" s="179" t="s">
        <v>145</v>
      </c>
      <c r="B65" s="179"/>
      <c r="C65" s="179"/>
      <c r="D65" s="179" t="s">
        <v>30</v>
      </c>
      <c r="E65" s="179"/>
      <c r="F65" s="179"/>
      <c r="G65" s="179"/>
      <c r="H65" s="179"/>
      <c r="I65" s="23"/>
      <c r="J65" s="23"/>
      <c r="K65" s="23"/>
      <c r="L65" s="23"/>
      <c r="M65" s="23"/>
      <c r="N65" s="23"/>
    </row>
    <row r="66" spans="1:14" ht="15.75" customHeight="1" x14ac:dyDescent="0.35">
      <c r="A66" s="160" t="s">
        <v>86</v>
      </c>
      <c r="B66" s="160"/>
      <c r="C66" s="160"/>
      <c r="D66" s="137" t="str">
        <f ca="1">(IF(G128&gt;95%,"Nothing",IF(G128&gt;0%,"Cement, Aggregate, Steel, etc",IF(G128=0%,"Work not yet Started"))))</f>
        <v>Cement, Aggregate, Steel, etc</v>
      </c>
      <c r="E66" s="137"/>
      <c r="F66" s="137"/>
      <c r="G66" s="137"/>
      <c r="H66" s="137"/>
      <c r="J66" s="22"/>
    </row>
    <row r="67" spans="1:14" ht="33.75" customHeight="1" thickBot="1" x14ac:dyDescent="0.4">
      <c r="A67" s="179" t="s">
        <v>117</v>
      </c>
      <c r="B67" s="179"/>
      <c r="C67" s="179"/>
      <c r="D67" s="137" t="str">
        <f ca="1">(IF(D66="Nothing","Yes",IF(D66="Cement, Aggregate, Steel, etc","Under Construction",IF(D66="Work not yet Started","Work not yet Started"))))</f>
        <v>Under Construction</v>
      </c>
      <c r="E67" s="137"/>
      <c r="F67" s="137" t="str">
        <f ca="1">(IF(D66="Nothing","Yes",IF(D66="Cement, Aggregate, Steel, etc","Under Construction",IF(D66="Work not yet Started","Work not yet Started"))))</f>
        <v>Under Construction</v>
      </c>
      <c r="G67" s="137"/>
      <c r="H67" s="137"/>
    </row>
    <row r="68" spans="1:14" x14ac:dyDescent="0.35">
      <c r="A68" s="86" t="s">
        <v>137</v>
      </c>
      <c r="B68" s="86"/>
      <c r="C68" s="86" t="s">
        <v>247</v>
      </c>
      <c r="D68" s="86"/>
      <c r="E68" s="86"/>
      <c r="F68" s="86"/>
      <c r="G68" s="86"/>
      <c r="H68" s="86"/>
      <c r="I68" s="70" t="str">
        <f ca="1">IF(D81=100%,"All work Completed. Possession granted to the Building.",IF(D80=100%,"All work Completed, Waiting for OC",I69&amp;""&amp;I70&amp;""&amp;J69&amp;""&amp;J68&amp;" "&amp;J70))</f>
        <v xml:space="preserve">Excavation, Plinth, RCC Slab, Brickwork Completed </v>
      </c>
      <c r="J68" s="36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/>
      </c>
    </row>
    <row r="69" spans="1:14" x14ac:dyDescent="0.35">
      <c r="A69" s="69" t="s">
        <v>139</v>
      </c>
      <c r="B69" s="69">
        <v>0</v>
      </c>
      <c r="C69" s="69" t="s">
        <v>72</v>
      </c>
      <c r="D69" s="69">
        <v>1</v>
      </c>
      <c r="E69" s="69" t="s">
        <v>71</v>
      </c>
      <c r="F69" s="69">
        <v>0</v>
      </c>
      <c r="G69" s="69" t="s">
        <v>80</v>
      </c>
      <c r="H69" s="69">
        <f ca="1">--TRIM(RIGHT(SUBSTITUTE(LEFT(C68,_xlfn.AGGREGATE(16,6,FIND({0,1,2,3,4,5,6,7,8,9},C68,ROW(INDIRECT("1:"&amp;LEN(C68)))),1))," ",REPT(" ",LEN(C68))),LEN(C68)))</f>
        <v>7</v>
      </c>
      <c r="I69" s="71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</v>
      </c>
      <c r="J69" s="38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x14ac:dyDescent="0.35">
      <c r="A70" s="85" t="s">
        <v>90</v>
      </c>
      <c r="B70" s="85"/>
      <c r="C70" s="86" t="str">
        <f ca="1">I68</f>
        <v xml:space="preserve">Excavation, Plinth, RCC Slab, Brickwork Completed </v>
      </c>
      <c r="D70" s="86"/>
      <c r="E70" s="86"/>
      <c r="F70" s="86"/>
      <c r="G70" s="86"/>
      <c r="H70" s="86"/>
      <c r="I70" s="71" t="str">
        <f ca="1">IF(I69&lt;&gt;""," Completed","")</f>
        <v xml:space="preserve"> Completed</v>
      </c>
      <c r="J70" s="38" t="str">
        <f ca="1">IF(J68&lt;&gt;"","Completed","")</f>
        <v/>
      </c>
    </row>
    <row r="71" spans="1:14" ht="15.75" customHeight="1" x14ac:dyDescent="0.35">
      <c r="A71" s="89" t="s">
        <v>49</v>
      </c>
      <c r="B71" s="89"/>
      <c r="C71" s="67" t="s">
        <v>136</v>
      </c>
      <c r="D71" s="67" t="s">
        <v>83</v>
      </c>
      <c r="E71" s="89" t="s">
        <v>85</v>
      </c>
      <c r="F71" s="89"/>
      <c r="G71" s="89" t="s">
        <v>84</v>
      </c>
      <c r="H71" s="89"/>
      <c r="I71" s="13" t="s">
        <v>138</v>
      </c>
      <c r="J71" s="24">
        <f ca="1">H69*25%</f>
        <v>1.75</v>
      </c>
    </row>
    <row r="72" spans="1:14" x14ac:dyDescent="0.35">
      <c r="A72" s="89" t="s">
        <v>125</v>
      </c>
      <c r="B72" s="89"/>
      <c r="C72" s="67">
        <f ca="1">J73</f>
        <v>7</v>
      </c>
      <c r="D72" s="15">
        <f ca="1">((100/H69)*C72)/100</f>
        <v>1</v>
      </c>
      <c r="E72" s="91">
        <f ca="1">(((C73/H69*10)+(40/(D69+F69+H69)*C74)+(7.5/(H69)*C75)+(7.5/(H69)*C76)+(10/H69*C77)+(10/H69*C78)+(5/H69*C79)+(5/H69*C80)+(5/H69*C81))/100)</f>
        <v>0.57499999999999996</v>
      </c>
      <c r="F72" s="91"/>
      <c r="G72" s="91">
        <f ca="1">((((C72/H69)*20)+((C73/H69)*25)+(30/(H69+F69+D69)*C74)+(5/H69*C75)+(5/H69*C76)+(5/H69*C77)+(5/H69*C78)+(0/H69*C79)+(0/H69*C80)+(5/H69*C81))/100)</f>
        <v>0.8</v>
      </c>
      <c r="H72" s="91"/>
      <c r="I72" s="13" t="s">
        <v>99</v>
      </c>
      <c r="J72" s="25">
        <f ca="1">H69*50%</f>
        <v>3.5</v>
      </c>
    </row>
    <row r="73" spans="1:14" x14ac:dyDescent="0.35">
      <c r="A73" s="89" t="s">
        <v>50</v>
      </c>
      <c r="B73" s="89"/>
      <c r="C73" s="51">
        <f ca="1">J81</f>
        <v>7</v>
      </c>
      <c r="D73" s="15">
        <f ca="1">((100/H69)*C73)/100</f>
        <v>1</v>
      </c>
      <c r="E73" s="91"/>
      <c r="F73" s="91"/>
      <c r="G73" s="91"/>
      <c r="H73" s="91"/>
      <c r="I73" s="13" t="s">
        <v>100</v>
      </c>
      <c r="J73" s="25">
        <f ca="1">H69</f>
        <v>7</v>
      </c>
    </row>
    <row r="74" spans="1:14" ht="15.75" customHeight="1" x14ac:dyDescent="0.35">
      <c r="A74" s="89" t="s">
        <v>126</v>
      </c>
      <c r="B74" s="89"/>
      <c r="C74" s="67">
        <v>8</v>
      </c>
      <c r="D74" s="15">
        <f ca="1">((100/(D69+F69+H69))*C74)/100</f>
        <v>1</v>
      </c>
      <c r="E74" s="91"/>
      <c r="F74" s="91"/>
      <c r="G74" s="91"/>
      <c r="H74" s="91"/>
      <c r="I74" s="13" t="s">
        <v>101</v>
      </c>
      <c r="J74" s="26">
        <f ca="1">(IF(B69&gt;1,(H69/(B69+2)),H69/4))</f>
        <v>1.75</v>
      </c>
    </row>
    <row r="75" spans="1:14" ht="15.75" customHeight="1" x14ac:dyDescent="0.35">
      <c r="A75" s="89" t="s">
        <v>133</v>
      </c>
      <c r="B75" s="89" t="s">
        <v>127</v>
      </c>
      <c r="C75" s="67">
        <v>7</v>
      </c>
      <c r="D75" s="15">
        <f ca="1">((100/H69)*C75)/100</f>
        <v>1</v>
      </c>
      <c r="E75" s="91"/>
      <c r="F75" s="91"/>
      <c r="G75" s="91"/>
      <c r="H75" s="91"/>
      <c r="I75" s="13" t="s">
        <v>102</v>
      </c>
      <c r="J75" s="26">
        <f ca="1">(IF(B69&gt;1,(H69/(B69+2)+J74),H69/4+J74))</f>
        <v>3.5</v>
      </c>
    </row>
    <row r="76" spans="1:14" ht="15.75" customHeight="1" x14ac:dyDescent="0.35">
      <c r="A76" s="89" t="s">
        <v>134</v>
      </c>
      <c r="B76" s="89" t="s">
        <v>127</v>
      </c>
      <c r="C76" s="67">
        <v>0</v>
      </c>
      <c r="D76" s="15">
        <f ca="1">((100/H69)*C76)/100</f>
        <v>0</v>
      </c>
      <c r="E76" s="91"/>
      <c r="F76" s="91"/>
      <c r="G76" s="91"/>
      <c r="H76" s="91"/>
      <c r="I76" s="13" t="s">
        <v>143</v>
      </c>
      <c r="J76" s="26">
        <f>(IF(B69&gt;1,(H69/(B69+2)+J75),0))</f>
        <v>0</v>
      </c>
    </row>
    <row r="77" spans="1:14" ht="15" customHeight="1" x14ac:dyDescent="0.35">
      <c r="A77" s="89" t="s">
        <v>132</v>
      </c>
      <c r="B77" s="89" t="s">
        <v>129</v>
      </c>
      <c r="C77" s="67">
        <v>0</v>
      </c>
      <c r="D77" s="15">
        <f ca="1">((100/(H69))*C77)/100</f>
        <v>0</v>
      </c>
      <c r="E77" s="91"/>
      <c r="F77" s="91"/>
      <c r="G77" s="91"/>
      <c r="H77" s="91"/>
      <c r="I77" s="13" t="s">
        <v>140</v>
      </c>
      <c r="J77" s="26">
        <f>(IF(B69&gt;2,(H69/(B69+2)+J76),0))</f>
        <v>0</v>
      </c>
    </row>
    <row r="78" spans="1:14" ht="15.75" customHeight="1" x14ac:dyDescent="0.35">
      <c r="A78" s="89" t="s">
        <v>128</v>
      </c>
      <c r="B78" s="89" t="s">
        <v>128</v>
      </c>
      <c r="C78" s="67">
        <v>0</v>
      </c>
      <c r="D78" s="15">
        <f ca="1">((100/H69)*C78)/100</f>
        <v>0</v>
      </c>
      <c r="E78" s="91"/>
      <c r="F78" s="91"/>
      <c r="G78" s="91"/>
      <c r="H78" s="91"/>
      <c r="I78" s="13" t="s">
        <v>141</v>
      </c>
      <c r="J78" s="27">
        <f>(IF(B69&gt;3,(H69/(B69+2)+J77),0))</f>
        <v>0</v>
      </c>
    </row>
    <row r="79" spans="1:14" ht="15.75" customHeight="1" x14ac:dyDescent="0.35">
      <c r="A79" s="89" t="s">
        <v>135</v>
      </c>
      <c r="B79" s="89"/>
      <c r="C79" s="67">
        <v>0</v>
      </c>
      <c r="D79" s="15">
        <f ca="1">((100/H69)*C79)/100</f>
        <v>0</v>
      </c>
      <c r="E79" s="91"/>
      <c r="F79" s="91"/>
      <c r="G79" s="91"/>
      <c r="H79" s="91"/>
      <c r="I79" s="13" t="s">
        <v>142</v>
      </c>
      <c r="J79" s="26">
        <f>(IF(B69&gt;4,(H69/(B69+2)+J78),0))</f>
        <v>0</v>
      </c>
    </row>
    <row r="80" spans="1:14" ht="15.75" customHeight="1" x14ac:dyDescent="0.35">
      <c r="A80" s="89" t="s">
        <v>130</v>
      </c>
      <c r="B80" s="89" t="s">
        <v>130</v>
      </c>
      <c r="C80" s="67">
        <v>0</v>
      </c>
      <c r="D80" s="15">
        <f ca="1">((100/(H69))*C80)/100</f>
        <v>0</v>
      </c>
      <c r="E80" s="91"/>
      <c r="F80" s="91"/>
      <c r="G80" s="91"/>
      <c r="H80" s="91"/>
      <c r="I80" s="13" t="s">
        <v>144</v>
      </c>
      <c r="J80" s="26">
        <f ca="1">(IF(B69=1,(H69/(B69+3)+J75),IF(B69=0,(H69/4+J75),IF(B69&gt;1,0))))</f>
        <v>5.25</v>
      </c>
    </row>
    <row r="81" spans="1:10" ht="16" thickBot="1" x14ac:dyDescent="0.4">
      <c r="A81" s="89" t="s">
        <v>131</v>
      </c>
      <c r="B81" s="89"/>
      <c r="C81" s="67">
        <v>0</v>
      </c>
      <c r="D81" s="15">
        <f ca="1">((100/(H69))*C81)/100</f>
        <v>0</v>
      </c>
      <c r="E81" s="91"/>
      <c r="F81" s="91"/>
      <c r="G81" s="91"/>
      <c r="H81" s="91"/>
      <c r="I81" s="14" t="s">
        <v>103</v>
      </c>
      <c r="J81" s="28">
        <f ca="1">(IF(B69&gt;1.5,(H69/(B69+2)+J75+MAX(0,J76-J75)+MAX(0,J77-J76)+MAX(0,J78-J77)+MAX(0,J79-J78)+MAX(0,J80-J79)),IF(B69=1,(H69/(B69+3)+J80),IF(B69=0,H69/4+J80))))</f>
        <v>7</v>
      </c>
    </row>
    <row r="82" spans="1:10" hidden="1" x14ac:dyDescent="0.35">
      <c r="A82" s="92" t="s">
        <v>137</v>
      </c>
      <c r="B82" s="93"/>
      <c r="C82" s="94" t="s">
        <v>239</v>
      </c>
      <c r="D82" s="95"/>
      <c r="E82" s="95"/>
      <c r="F82" s="95"/>
      <c r="G82" s="95"/>
      <c r="H82" s="96"/>
      <c r="I82" s="35" t="str">
        <f ca="1">IF(D95=100%,"All work Completed. Possession granted to the Building.",IF(D94=100%,"All work Completed, Waiting for OC",I83&amp;""&amp;I84&amp;""&amp;J83&amp;""&amp;J82&amp;" "&amp;J84))</f>
        <v>Excavation, Plinth, RCC Slab Completed, Brickwork upto 1 Floor Completed</v>
      </c>
      <c r="J82" s="36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Brickwork upto 1 Floor</v>
      </c>
    </row>
    <row r="83" spans="1:10" hidden="1" x14ac:dyDescent="0.35">
      <c r="A83" s="49" t="s">
        <v>139</v>
      </c>
      <c r="B83" s="63">
        <v>0</v>
      </c>
      <c r="C83" s="63" t="s">
        <v>72</v>
      </c>
      <c r="D83" s="63">
        <v>1</v>
      </c>
      <c r="E83" s="63" t="s">
        <v>71</v>
      </c>
      <c r="F83" s="63">
        <v>0</v>
      </c>
      <c r="G83" s="63" t="s">
        <v>80</v>
      </c>
      <c r="H83" s="50">
        <f ca="1">--TRIM(RIGHT(SUBSTITUTE(LEFT(C82,_xlfn.AGGREGATE(16,6,FIND({0,1,2,3,4,5,6,7,8,9},C82,ROW(INDIRECT("1:"&amp;LEN(C82)))),1))," ",REPT(" ",LEN(C82))),LEN(C82)))</f>
        <v>7</v>
      </c>
      <c r="I83" s="37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</v>
      </c>
      <c r="J83" s="38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idden="1" x14ac:dyDescent="0.35">
      <c r="A84" s="84" t="s">
        <v>90</v>
      </c>
      <c r="B84" s="85"/>
      <c r="C84" s="86" t="str">
        <f ca="1">I82</f>
        <v>Excavation, Plinth, RCC Slab Completed, Brickwork upto 1 Floor Completed</v>
      </c>
      <c r="D84" s="86"/>
      <c r="E84" s="86"/>
      <c r="F84" s="86"/>
      <c r="G84" s="86"/>
      <c r="H84" s="87"/>
      <c r="I84" s="37" t="str">
        <f ca="1">IF(I83&lt;&gt;""," Completed","")</f>
        <v xml:space="preserve"> Completed</v>
      </c>
      <c r="J84" s="38" t="str">
        <f ca="1">IF(J82&lt;&gt;"","Completed","")</f>
        <v>Completed</v>
      </c>
    </row>
    <row r="85" spans="1:10" ht="15.75" hidden="1" customHeight="1" x14ac:dyDescent="0.35">
      <c r="A85" s="88" t="s">
        <v>49</v>
      </c>
      <c r="B85" s="89"/>
      <c r="C85" s="61" t="s">
        <v>136</v>
      </c>
      <c r="D85" s="61" t="s">
        <v>83</v>
      </c>
      <c r="E85" s="89" t="s">
        <v>85</v>
      </c>
      <c r="F85" s="89"/>
      <c r="G85" s="89" t="s">
        <v>84</v>
      </c>
      <c r="H85" s="90"/>
      <c r="I85" s="13" t="s">
        <v>138</v>
      </c>
      <c r="J85" s="24">
        <f ca="1">H83*25%</f>
        <v>1.75</v>
      </c>
    </row>
    <row r="86" spans="1:10" hidden="1" x14ac:dyDescent="0.35">
      <c r="A86" s="88" t="s">
        <v>125</v>
      </c>
      <c r="B86" s="89"/>
      <c r="C86" s="61">
        <f ca="1">J87</f>
        <v>7</v>
      </c>
      <c r="D86" s="15">
        <f ca="1">((100/H83)*C86)/100</f>
        <v>1</v>
      </c>
      <c r="E86" s="97">
        <f ca="1">(((C87/H83*10)+(40/(D83+F83+H83)*C88)+(7.5/(H83)*C89)+(7.5/(H83)*C90)+(10/H83*C91)+(10/H83*C92)+(5/H83*C93)+(5/H83*C94)+(5/H83*C95))/100)</f>
        <v>0.51071428571428568</v>
      </c>
      <c r="F86" s="98"/>
      <c r="G86" s="97">
        <f ca="1">((((C86/H83)*20)+((C87/H83)*25)+(30/(H83+F83+D83)*C88)+(5/H83*C89)+(5/H83*C90)+(5/H83*C91)+(5/H83*C92)+(0/H83*C93)+(0/H83*C94)+(5/H83*C95))/100)</f>
        <v>0.75714285714285712</v>
      </c>
      <c r="H86" s="103"/>
      <c r="I86" s="13" t="s">
        <v>99</v>
      </c>
      <c r="J86" s="25">
        <f ca="1">H83*50%</f>
        <v>3.5</v>
      </c>
    </row>
    <row r="87" spans="1:10" hidden="1" x14ac:dyDescent="0.35">
      <c r="A87" s="88" t="s">
        <v>50</v>
      </c>
      <c r="B87" s="89"/>
      <c r="C87" s="51">
        <f ca="1">J95</f>
        <v>7</v>
      </c>
      <c r="D87" s="15">
        <f ca="1">((100/H83)*C87)/100</f>
        <v>1</v>
      </c>
      <c r="E87" s="99"/>
      <c r="F87" s="100"/>
      <c r="G87" s="99"/>
      <c r="H87" s="104"/>
      <c r="I87" s="13" t="s">
        <v>100</v>
      </c>
      <c r="J87" s="25">
        <f ca="1">H83</f>
        <v>7</v>
      </c>
    </row>
    <row r="88" spans="1:10" ht="15.75" hidden="1" customHeight="1" x14ac:dyDescent="0.35">
      <c r="A88" s="88" t="s">
        <v>126</v>
      </c>
      <c r="B88" s="89"/>
      <c r="C88" s="61">
        <v>8</v>
      </c>
      <c r="D88" s="15">
        <f ca="1">((100/(D83+F83+H83))*C88)/100</f>
        <v>1</v>
      </c>
      <c r="E88" s="99"/>
      <c r="F88" s="100"/>
      <c r="G88" s="99"/>
      <c r="H88" s="104"/>
      <c r="I88" s="13" t="s">
        <v>101</v>
      </c>
      <c r="J88" s="26">
        <f ca="1">(IF(B83&gt;1,(H83/(B83+2)),H83/4))</f>
        <v>1.75</v>
      </c>
    </row>
    <row r="89" spans="1:10" ht="15.75" hidden="1" customHeight="1" x14ac:dyDescent="0.35">
      <c r="A89" s="88" t="s">
        <v>133</v>
      </c>
      <c r="B89" s="89" t="s">
        <v>127</v>
      </c>
      <c r="C89" s="61">
        <v>1</v>
      </c>
      <c r="D89" s="15">
        <f ca="1">((100/H83)*C89)/100</f>
        <v>0.14285714285714288</v>
      </c>
      <c r="E89" s="99"/>
      <c r="F89" s="100"/>
      <c r="G89" s="99"/>
      <c r="H89" s="104"/>
      <c r="I89" s="13" t="s">
        <v>102</v>
      </c>
      <c r="J89" s="26">
        <f ca="1">(IF(B83&gt;1,(H83/(B83+2)+J88),H83/4+J88))</f>
        <v>3.5</v>
      </c>
    </row>
    <row r="90" spans="1:10" ht="15.75" hidden="1" customHeight="1" x14ac:dyDescent="0.35">
      <c r="A90" s="88" t="s">
        <v>134</v>
      </c>
      <c r="B90" s="89" t="s">
        <v>127</v>
      </c>
      <c r="C90" s="61">
        <v>0</v>
      </c>
      <c r="D90" s="15">
        <f ca="1">((100/H83)*C90)/100</f>
        <v>0</v>
      </c>
      <c r="E90" s="99"/>
      <c r="F90" s="100"/>
      <c r="G90" s="99"/>
      <c r="H90" s="104"/>
      <c r="I90" s="13" t="s">
        <v>143</v>
      </c>
      <c r="J90" s="26">
        <f>(IF(B83&gt;1,(H83/(B83+2)+J89),0))</f>
        <v>0</v>
      </c>
    </row>
    <row r="91" spans="1:10" ht="15" hidden="1" customHeight="1" x14ac:dyDescent="0.35">
      <c r="A91" s="88" t="s">
        <v>132</v>
      </c>
      <c r="B91" s="89" t="s">
        <v>129</v>
      </c>
      <c r="C91" s="61">
        <v>0</v>
      </c>
      <c r="D91" s="15">
        <f ca="1">((100/(H83))*C91)/100</f>
        <v>0</v>
      </c>
      <c r="E91" s="99"/>
      <c r="F91" s="100"/>
      <c r="G91" s="99"/>
      <c r="H91" s="104"/>
      <c r="I91" s="13" t="s">
        <v>140</v>
      </c>
      <c r="J91" s="26">
        <f>(IF(B83&gt;2,(H83/(B83+2)+J90),0))</f>
        <v>0</v>
      </c>
    </row>
    <row r="92" spans="1:10" ht="15.75" hidden="1" customHeight="1" x14ac:dyDescent="0.35">
      <c r="A92" s="88" t="s">
        <v>128</v>
      </c>
      <c r="B92" s="89" t="s">
        <v>128</v>
      </c>
      <c r="C92" s="61">
        <v>0</v>
      </c>
      <c r="D92" s="15">
        <f ca="1">((100/H83)*C92)/100</f>
        <v>0</v>
      </c>
      <c r="E92" s="99"/>
      <c r="F92" s="100"/>
      <c r="G92" s="99"/>
      <c r="H92" s="104"/>
      <c r="I92" s="13" t="s">
        <v>141</v>
      </c>
      <c r="J92" s="27">
        <f>(IF(B83&gt;3,(H83/(B83+2)+J91),0))</f>
        <v>0</v>
      </c>
    </row>
    <row r="93" spans="1:10" ht="15.75" hidden="1" customHeight="1" x14ac:dyDescent="0.35">
      <c r="A93" s="88" t="s">
        <v>135</v>
      </c>
      <c r="B93" s="89"/>
      <c r="C93" s="61">
        <v>0</v>
      </c>
      <c r="D93" s="15">
        <f ca="1">((100/H83)*C93)/100</f>
        <v>0</v>
      </c>
      <c r="E93" s="99"/>
      <c r="F93" s="100"/>
      <c r="G93" s="99"/>
      <c r="H93" s="104"/>
      <c r="I93" s="13" t="s">
        <v>142</v>
      </c>
      <c r="J93" s="26">
        <f>(IF(B83&gt;4,(H83/(B83+2)+J92),0))</f>
        <v>0</v>
      </c>
    </row>
    <row r="94" spans="1:10" ht="15.75" hidden="1" customHeight="1" x14ac:dyDescent="0.35">
      <c r="A94" s="88" t="s">
        <v>130</v>
      </c>
      <c r="B94" s="89" t="s">
        <v>130</v>
      </c>
      <c r="C94" s="61">
        <v>0</v>
      </c>
      <c r="D94" s="15">
        <f ca="1">((100/(H83))*C94)/100</f>
        <v>0</v>
      </c>
      <c r="E94" s="99"/>
      <c r="F94" s="100"/>
      <c r="G94" s="99"/>
      <c r="H94" s="104"/>
      <c r="I94" s="13" t="s">
        <v>144</v>
      </c>
      <c r="J94" s="26">
        <f ca="1">(IF(B83=1,(H83/(B83+3)+J89),IF(B83=0,(H83/4+J89),IF(B83&gt;1,0))))</f>
        <v>5.25</v>
      </c>
    </row>
    <row r="95" spans="1:10" ht="16" hidden="1" thickBot="1" x14ac:dyDescent="0.4">
      <c r="A95" s="106" t="s">
        <v>131</v>
      </c>
      <c r="B95" s="107"/>
      <c r="C95" s="62">
        <v>0</v>
      </c>
      <c r="D95" s="16">
        <f ca="1">((100/(H83))*C95)/100</f>
        <v>0</v>
      </c>
      <c r="E95" s="101"/>
      <c r="F95" s="102"/>
      <c r="G95" s="101"/>
      <c r="H95" s="105"/>
      <c r="I95" s="14" t="s">
        <v>103</v>
      </c>
      <c r="J95" s="28">
        <f ca="1">(IF(B83&gt;1.5,(H83/(B83+2)+J89+MAX(0,J90-J89)+MAX(0,J91-J90)+MAX(0,J92-J91)+MAX(0,J93-J92)+MAX(0,J94-J93)),IF(B83=1,(H83/(B83+3)+J94),IF(B83=0,H83/4+J94))))</f>
        <v>7</v>
      </c>
    </row>
    <row r="96" spans="1:10" x14ac:dyDescent="0.35">
      <c r="A96" s="79" t="s">
        <v>137</v>
      </c>
      <c r="B96" s="80"/>
      <c r="C96" s="81" t="s">
        <v>241</v>
      </c>
      <c r="D96" s="82"/>
      <c r="E96" s="82"/>
      <c r="F96" s="82"/>
      <c r="G96" s="82"/>
      <c r="H96" s="83"/>
      <c r="I96" s="35" t="str">
        <f ca="1">IF(D109=100%,"All work Completed. Possession granted to the Building.",IF(D108=100%,"All work Completed, Waiting for OC",I97&amp;""&amp;I98&amp;""&amp;J97&amp;""&amp;J96&amp;" "&amp;J98))</f>
        <v>Excavation, Plinth, RCC Slab Completed, Brickwork upto 1 Floor Completed</v>
      </c>
      <c r="J96" s="36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Brickwork upto 1 Floor</v>
      </c>
    </row>
    <row r="97" spans="1:10" x14ac:dyDescent="0.35">
      <c r="A97" s="49" t="s">
        <v>139</v>
      </c>
      <c r="B97" s="63">
        <v>0</v>
      </c>
      <c r="C97" s="63" t="s">
        <v>72</v>
      </c>
      <c r="D97" s="63">
        <v>1</v>
      </c>
      <c r="E97" s="63" t="s">
        <v>71</v>
      </c>
      <c r="F97" s="63">
        <v>0</v>
      </c>
      <c r="G97" s="63" t="s">
        <v>80</v>
      </c>
      <c r="H97" s="50">
        <f ca="1">--TRIM(RIGHT(SUBSTITUTE(LEFT(C96,_xlfn.AGGREGATE(16,6,FIND({0,1,2,3,4,5,6,7,8,9},C96,ROW(INDIRECT("1:"&amp;LEN(C96)))),1))," ",REPT(" ",LEN(C96))),LEN(C96)))</f>
        <v>7</v>
      </c>
      <c r="I97" s="37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</v>
      </c>
      <c r="J97" s="38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x14ac:dyDescent="0.35">
      <c r="A98" s="84" t="s">
        <v>90</v>
      </c>
      <c r="B98" s="85"/>
      <c r="C98" s="86" t="str">
        <f ca="1">I96</f>
        <v>Excavation, Plinth, RCC Slab Completed, Brickwork upto 1 Floor Completed</v>
      </c>
      <c r="D98" s="86"/>
      <c r="E98" s="86"/>
      <c r="F98" s="86"/>
      <c r="G98" s="86"/>
      <c r="H98" s="87"/>
      <c r="I98" s="37" t="str">
        <f ca="1">IF(I97&lt;&gt;""," Completed","")</f>
        <v xml:space="preserve"> Completed</v>
      </c>
      <c r="J98" s="38" t="str">
        <f ca="1">IF(J96&lt;&gt;"","Completed","")</f>
        <v>Completed</v>
      </c>
    </row>
    <row r="99" spans="1:10" ht="15.75" customHeight="1" x14ac:dyDescent="0.35">
      <c r="A99" s="88" t="s">
        <v>49</v>
      </c>
      <c r="B99" s="89"/>
      <c r="C99" s="61" t="s">
        <v>136</v>
      </c>
      <c r="D99" s="61" t="s">
        <v>83</v>
      </c>
      <c r="E99" s="89" t="s">
        <v>85</v>
      </c>
      <c r="F99" s="89"/>
      <c r="G99" s="89" t="s">
        <v>84</v>
      </c>
      <c r="H99" s="90"/>
      <c r="I99" s="13" t="s">
        <v>138</v>
      </c>
      <c r="J99" s="24">
        <f ca="1">H97*25%</f>
        <v>1.75</v>
      </c>
    </row>
    <row r="100" spans="1:10" x14ac:dyDescent="0.35">
      <c r="A100" s="88" t="s">
        <v>125</v>
      </c>
      <c r="B100" s="89"/>
      <c r="C100" s="61">
        <f ca="1">J101</f>
        <v>7</v>
      </c>
      <c r="D100" s="15">
        <f ca="1">((100/H97)*C100)/100</f>
        <v>1</v>
      </c>
      <c r="E100" s="97">
        <f ca="1">(((C101/H97*10)+(40/(D97+F97+H97)*C102)+(7.5/(H97)*C103)+(7.5/(H97)*C104)+(10/H97*C105)+(10/H97*C106)+(5/H97*C107)+(5/H97*C108)+(5/H97*C109))/100)</f>
        <v>0.51071428571428568</v>
      </c>
      <c r="F100" s="98"/>
      <c r="G100" s="97">
        <f ca="1">((((C100/H97)*20)+((C101/H97)*25)+(30/(H97+F97+D97)*C102)+(5/H97*C103)+(5/H97*C104)+(5/H97*C105)+(5/H97*C106)+(0/H97*C107)+(0/H97*C108)+(5/H97*C109))/100)</f>
        <v>0.75714285714285712</v>
      </c>
      <c r="H100" s="103"/>
      <c r="I100" s="13" t="s">
        <v>99</v>
      </c>
      <c r="J100" s="25">
        <f ca="1">H97*50%</f>
        <v>3.5</v>
      </c>
    </row>
    <row r="101" spans="1:10" x14ac:dyDescent="0.35">
      <c r="A101" s="88" t="s">
        <v>50</v>
      </c>
      <c r="B101" s="89"/>
      <c r="C101" s="51">
        <f ca="1">J109</f>
        <v>7</v>
      </c>
      <c r="D101" s="15">
        <f ca="1">((100/H97)*C101)/100</f>
        <v>1</v>
      </c>
      <c r="E101" s="99"/>
      <c r="F101" s="100"/>
      <c r="G101" s="99"/>
      <c r="H101" s="104"/>
      <c r="I101" s="13" t="s">
        <v>100</v>
      </c>
      <c r="J101" s="25">
        <f ca="1">H97</f>
        <v>7</v>
      </c>
    </row>
    <row r="102" spans="1:10" ht="15.75" customHeight="1" x14ac:dyDescent="0.35">
      <c r="A102" s="88" t="s">
        <v>126</v>
      </c>
      <c r="B102" s="89"/>
      <c r="C102" s="61">
        <v>8</v>
      </c>
      <c r="D102" s="15">
        <f ca="1">((100/(D97+F97+H97))*C102)/100</f>
        <v>1</v>
      </c>
      <c r="E102" s="99"/>
      <c r="F102" s="100"/>
      <c r="G102" s="99"/>
      <c r="H102" s="104"/>
      <c r="I102" s="13" t="s">
        <v>101</v>
      </c>
      <c r="J102" s="26">
        <f ca="1">(IF(B97&gt;1,(H97/(B97+2)),H97/4))</f>
        <v>1.75</v>
      </c>
    </row>
    <row r="103" spans="1:10" ht="15.75" customHeight="1" x14ac:dyDescent="0.35">
      <c r="A103" s="88" t="s">
        <v>133</v>
      </c>
      <c r="B103" s="89" t="s">
        <v>127</v>
      </c>
      <c r="C103" s="61">
        <v>1</v>
      </c>
      <c r="D103" s="15">
        <f ca="1">((100/H97)*C103)/100</f>
        <v>0.14285714285714288</v>
      </c>
      <c r="E103" s="99"/>
      <c r="F103" s="100"/>
      <c r="G103" s="99"/>
      <c r="H103" s="104"/>
      <c r="I103" s="13" t="s">
        <v>102</v>
      </c>
      <c r="J103" s="26">
        <f ca="1">(IF(B97&gt;1,(H97/(B97+2)+J102),H97/4+J102))</f>
        <v>3.5</v>
      </c>
    </row>
    <row r="104" spans="1:10" ht="15.75" customHeight="1" x14ac:dyDescent="0.35">
      <c r="A104" s="88" t="s">
        <v>134</v>
      </c>
      <c r="B104" s="89" t="s">
        <v>127</v>
      </c>
      <c r="C104" s="61">
        <v>0</v>
      </c>
      <c r="D104" s="15">
        <f ca="1">((100/H97)*C104)/100</f>
        <v>0</v>
      </c>
      <c r="E104" s="99"/>
      <c r="F104" s="100"/>
      <c r="G104" s="99"/>
      <c r="H104" s="104"/>
      <c r="I104" s="13" t="s">
        <v>143</v>
      </c>
      <c r="J104" s="26">
        <f>(IF(B97&gt;1,(H97/(B97+2)+J103),0))</f>
        <v>0</v>
      </c>
    </row>
    <row r="105" spans="1:10" ht="15" customHeight="1" x14ac:dyDescent="0.35">
      <c r="A105" s="88" t="s">
        <v>132</v>
      </c>
      <c r="B105" s="89" t="s">
        <v>129</v>
      </c>
      <c r="C105" s="61">
        <v>0</v>
      </c>
      <c r="D105" s="15">
        <f ca="1">((100/(H97))*C105)/100</f>
        <v>0</v>
      </c>
      <c r="E105" s="99"/>
      <c r="F105" s="100"/>
      <c r="G105" s="99"/>
      <c r="H105" s="104"/>
      <c r="I105" s="13" t="s">
        <v>140</v>
      </c>
      <c r="J105" s="26">
        <f>(IF(B97&gt;2,(H97/(B97+2)+J104),0))</f>
        <v>0</v>
      </c>
    </row>
    <row r="106" spans="1:10" ht="15.75" customHeight="1" x14ac:dyDescent="0.35">
      <c r="A106" s="88" t="s">
        <v>128</v>
      </c>
      <c r="B106" s="89" t="s">
        <v>128</v>
      </c>
      <c r="C106" s="61">
        <v>0</v>
      </c>
      <c r="D106" s="15">
        <f ca="1">((100/H97)*C106)/100</f>
        <v>0</v>
      </c>
      <c r="E106" s="99"/>
      <c r="F106" s="100"/>
      <c r="G106" s="99"/>
      <c r="H106" s="104"/>
      <c r="I106" s="13" t="s">
        <v>141</v>
      </c>
      <c r="J106" s="27">
        <f>(IF(B97&gt;3,(H97/(B97+2)+J105),0))</f>
        <v>0</v>
      </c>
    </row>
    <row r="107" spans="1:10" ht="15.75" customHeight="1" x14ac:dyDescent="0.35">
      <c r="A107" s="88" t="s">
        <v>135</v>
      </c>
      <c r="B107" s="89"/>
      <c r="C107" s="61">
        <v>0</v>
      </c>
      <c r="D107" s="15">
        <f ca="1">((100/H97)*C107)/100</f>
        <v>0</v>
      </c>
      <c r="E107" s="99"/>
      <c r="F107" s="100"/>
      <c r="G107" s="99"/>
      <c r="H107" s="104"/>
      <c r="I107" s="13" t="s">
        <v>142</v>
      </c>
      <c r="J107" s="26">
        <f>(IF(B97&gt;4,(H97/(B97+2)+J106),0))</f>
        <v>0</v>
      </c>
    </row>
    <row r="108" spans="1:10" ht="15.75" customHeight="1" x14ac:dyDescent="0.35">
      <c r="A108" s="88" t="s">
        <v>130</v>
      </c>
      <c r="B108" s="89" t="s">
        <v>130</v>
      </c>
      <c r="C108" s="61">
        <v>0</v>
      </c>
      <c r="D108" s="15">
        <f ca="1">((100/(H97))*C108)/100</f>
        <v>0</v>
      </c>
      <c r="E108" s="99"/>
      <c r="F108" s="100"/>
      <c r="G108" s="99"/>
      <c r="H108" s="104"/>
      <c r="I108" s="13" t="s">
        <v>144</v>
      </c>
      <c r="J108" s="26">
        <f ca="1">(IF(B97=1,(H97/(B97+3)+J103),IF(B97=0,(H97/4+J103),IF(B97&gt;1,0))))</f>
        <v>5.25</v>
      </c>
    </row>
    <row r="109" spans="1:10" ht="16" thickBot="1" x14ac:dyDescent="0.4">
      <c r="A109" s="106" t="s">
        <v>131</v>
      </c>
      <c r="B109" s="107"/>
      <c r="C109" s="62">
        <v>0</v>
      </c>
      <c r="D109" s="16">
        <f ca="1">((100/(H97))*C109)/100</f>
        <v>0</v>
      </c>
      <c r="E109" s="101"/>
      <c r="F109" s="102"/>
      <c r="G109" s="101"/>
      <c r="H109" s="105"/>
      <c r="I109" s="14" t="s">
        <v>103</v>
      </c>
      <c r="J109" s="28">
        <f ca="1">(IF(B97&gt;1.5,(H97/(B97+2)+J103+MAX(0,J104-J103)+MAX(0,J105-J104)+MAX(0,J106-J105)+MAX(0,J107-J106)+MAX(0,J108-J107)),IF(B97=1,(H97/(B97+3)+J108),IF(B97=0,H97/4+J108))))</f>
        <v>7</v>
      </c>
    </row>
    <row r="110" spans="1:10" x14ac:dyDescent="0.35">
      <c r="A110" s="79" t="s">
        <v>137</v>
      </c>
      <c r="B110" s="80"/>
      <c r="C110" s="81" t="s">
        <v>245</v>
      </c>
      <c r="D110" s="82"/>
      <c r="E110" s="82"/>
      <c r="F110" s="82"/>
      <c r="G110" s="82"/>
      <c r="H110" s="83"/>
      <c r="I110" s="35" t="str">
        <f ca="1">IF(D123=100%,"All work Completed. Possession granted to the Building.",IF(D122=100%,"All work Completed, Waiting for OC",I111&amp;""&amp;I112&amp;""&amp;J111&amp;""&amp;J110&amp;" "&amp;J112))</f>
        <v>Excavation, Plinth Completed, RCC upto 4 Slab Completed</v>
      </c>
      <c r="J110" s="36" t="str">
        <f ca="1">(IF(C116=(D111+F111+H111),"",IF(C116&gt;0,", RCC upto "&amp;C116&amp;" Slab","")))&amp;(IF(C117=H111,"",IF(C117&gt;0,", Brickwork upto "&amp;C117&amp;" Floor","")))&amp;(IF(C118=H111,"",IF(C118&gt;0,", Internal Plaster upto "&amp;C118&amp;" Floor","")))&amp;(IF(C119=H111,"",IF(C119&gt;0,", External Plaster upto "&amp;C119&amp;" Floor","")))&amp;(IF(C120=H111,"",IF(C120&gt;0,", Flooring upto "&amp;C120&amp;" Floor","")))&amp;(IF(C121=H111,"",IF(C121&gt;0,", Painting upto "&amp;C121&amp;" Floor","")))&amp;(IF(C122=H111,"",IF(C122&gt;0,", Finishing upto "&amp;C122&amp;" Floor","")))&amp;(IF(C123=H111,"",IF(C123&gt;0,", Possession upto "&amp;C123&amp;" Floor","")))</f>
        <v>, RCC upto 4 Slab</v>
      </c>
    </row>
    <row r="111" spans="1:10" x14ac:dyDescent="0.35">
      <c r="A111" s="49" t="s">
        <v>139</v>
      </c>
      <c r="B111" s="63">
        <v>0</v>
      </c>
      <c r="C111" s="63" t="s">
        <v>72</v>
      </c>
      <c r="D111" s="63">
        <v>1</v>
      </c>
      <c r="E111" s="63" t="s">
        <v>71</v>
      </c>
      <c r="F111" s="63">
        <v>0</v>
      </c>
      <c r="G111" s="63" t="s">
        <v>80</v>
      </c>
      <c r="H111" s="50">
        <f ca="1">--TRIM(RIGHT(SUBSTITUTE(LEFT(C110,_xlfn.AGGREGATE(16,6,FIND({0,1,2,3,4,5,6,7,8,9},C110,ROW(INDIRECT("1:"&amp;LEN(C110)))),1))," ",REPT(" ",LEN(C110))),LEN(C110)))</f>
        <v>7</v>
      </c>
      <c r="I111" s="37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>Excavation, Plinth</v>
      </c>
      <c r="J111" s="38" t="str">
        <f ca="1"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/>
      </c>
    </row>
    <row r="112" spans="1:10" x14ac:dyDescent="0.35">
      <c r="A112" s="84" t="s">
        <v>90</v>
      </c>
      <c r="B112" s="85"/>
      <c r="C112" s="86" t="str">
        <f ca="1">I110</f>
        <v>Excavation, Plinth Completed, RCC upto 4 Slab Completed</v>
      </c>
      <c r="D112" s="86"/>
      <c r="E112" s="86"/>
      <c r="F112" s="86"/>
      <c r="G112" s="86"/>
      <c r="H112" s="87"/>
      <c r="I112" s="37" t="str">
        <f ca="1">IF(I111&lt;&gt;""," Completed","")</f>
        <v xml:space="preserve"> Completed</v>
      </c>
      <c r="J112" s="38" t="str">
        <f ca="1">IF(J110&lt;&gt;"","Completed","")</f>
        <v>Completed</v>
      </c>
    </row>
    <row r="113" spans="1:10" ht="15.75" customHeight="1" x14ac:dyDescent="0.35">
      <c r="A113" s="88" t="s">
        <v>49</v>
      </c>
      <c r="B113" s="89"/>
      <c r="C113" s="61" t="s">
        <v>136</v>
      </c>
      <c r="D113" s="61" t="s">
        <v>83</v>
      </c>
      <c r="E113" s="89" t="s">
        <v>85</v>
      </c>
      <c r="F113" s="89"/>
      <c r="G113" s="89" t="s">
        <v>84</v>
      </c>
      <c r="H113" s="90"/>
      <c r="I113" s="13" t="s">
        <v>138</v>
      </c>
      <c r="J113" s="24">
        <f ca="1">H111*25%</f>
        <v>1.75</v>
      </c>
    </row>
    <row r="114" spans="1:10" x14ac:dyDescent="0.35">
      <c r="A114" s="89" t="s">
        <v>125</v>
      </c>
      <c r="B114" s="89"/>
      <c r="C114" s="73">
        <f ca="1">J115</f>
        <v>7</v>
      </c>
      <c r="D114" s="15">
        <f ca="1">((100/H111)*C114)/100</f>
        <v>1</v>
      </c>
      <c r="E114" s="91">
        <f ca="1">(((C115/H111*10)+(40/(D111+F111+H111)*C116)+(7.5/(H111)*C117)+(7.5/(H111)*C118)+(10/H111*C119)+(10/H111*C120)+(5/H111*C121)+(5/H111*C122)+(5/H111*C123))/100)</f>
        <v>0.3</v>
      </c>
      <c r="F114" s="91"/>
      <c r="G114" s="91">
        <f ca="1">((((C114/H111)*20)+((C115/H111)*25)+(30/(H111+F111+D111)*C116)+(5/H111*C117)+(5/H111*C118)+(5/H111*C119)+(5/H111*C120)+(0/H111*C121)+(0/H111*C122)+(5/H111*C123))/100)</f>
        <v>0.6</v>
      </c>
      <c r="H114" s="91"/>
      <c r="I114" s="13" t="s">
        <v>99</v>
      </c>
      <c r="J114" s="25">
        <f ca="1">H111*50%</f>
        <v>3.5</v>
      </c>
    </row>
    <row r="115" spans="1:10" x14ac:dyDescent="0.35">
      <c r="A115" s="89" t="s">
        <v>50</v>
      </c>
      <c r="B115" s="89"/>
      <c r="C115" s="51">
        <f ca="1">J123</f>
        <v>7</v>
      </c>
      <c r="D115" s="15">
        <f ca="1">((100/H111)*C115)/100</f>
        <v>1</v>
      </c>
      <c r="E115" s="91"/>
      <c r="F115" s="91"/>
      <c r="G115" s="91"/>
      <c r="H115" s="91"/>
      <c r="I115" s="13" t="s">
        <v>100</v>
      </c>
      <c r="J115" s="25">
        <f ca="1">H111</f>
        <v>7</v>
      </c>
    </row>
    <row r="116" spans="1:10" ht="15.75" customHeight="1" x14ac:dyDescent="0.35">
      <c r="A116" s="89" t="s">
        <v>126</v>
      </c>
      <c r="B116" s="89"/>
      <c r="C116" s="73">
        <v>4</v>
      </c>
      <c r="D116" s="15">
        <f ca="1">((100/(D111+F111+H111))*C116)/100</f>
        <v>0.5</v>
      </c>
      <c r="E116" s="91"/>
      <c r="F116" s="91"/>
      <c r="G116" s="91"/>
      <c r="H116" s="91"/>
      <c r="I116" s="13" t="s">
        <v>101</v>
      </c>
      <c r="J116" s="26">
        <f ca="1">(IF(B111&gt;1,(H111/(B111+2)),H111/4))</f>
        <v>1.75</v>
      </c>
    </row>
    <row r="117" spans="1:10" ht="15.75" customHeight="1" x14ac:dyDescent="0.35">
      <c r="A117" s="89" t="s">
        <v>133</v>
      </c>
      <c r="B117" s="89" t="s">
        <v>127</v>
      </c>
      <c r="C117" s="73">
        <v>0</v>
      </c>
      <c r="D117" s="15">
        <f ca="1">((100/H111)*C117)/100</f>
        <v>0</v>
      </c>
      <c r="E117" s="91"/>
      <c r="F117" s="91"/>
      <c r="G117" s="91"/>
      <c r="H117" s="91"/>
      <c r="I117" s="13" t="s">
        <v>102</v>
      </c>
      <c r="J117" s="26">
        <f ca="1">(IF(B111&gt;1,(H111/(B111+2)+J116),H111/4+J116))</f>
        <v>3.5</v>
      </c>
    </row>
    <row r="118" spans="1:10" ht="15.75" customHeight="1" x14ac:dyDescent="0.35">
      <c r="A118" s="89" t="s">
        <v>134</v>
      </c>
      <c r="B118" s="89" t="s">
        <v>127</v>
      </c>
      <c r="C118" s="73">
        <v>0</v>
      </c>
      <c r="D118" s="15">
        <f ca="1">((100/H111)*C118)/100</f>
        <v>0</v>
      </c>
      <c r="E118" s="91"/>
      <c r="F118" s="91"/>
      <c r="G118" s="91"/>
      <c r="H118" s="91"/>
      <c r="I118" s="13" t="s">
        <v>143</v>
      </c>
      <c r="J118" s="26">
        <f>(IF(B111&gt;1,(H111/(B111+2)+J117),0))</f>
        <v>0</v>
      </c>
    </row>
    <row r="119" spans="1:10" ht="15" customHeight="1" x14ac:dyDescent="0.35">
      <c r="A119" s="89" t="s">
        <v>132</v>
      </c>
      <c r="B119" s="89" t="s">
        <v>129</v>
      </c>
      <c r="C119" s="73">
        <v>0</v>
      </c>
      <c r="D119" s="15">
        <f ca="1">((100/(H111))*C119)/100</f>
        <v>0</v>
      </c>
      <c r="E119" s="91"/>
      <c r="F119" s="91"/>
      <c r="G119" s="91"/>
      <c r="H119" s="91"/>
      <c r="I119" s="13" t="s">
        <v>140</v>
      </c>
      <c r="J119" s="26">
        <f>(IF(B111&gt;2,(H111/(B111+2)+J118),0))</f>
        <v>0</v>
      </c>
    </row>
    <row r="120" spans="1:10" ht="15.75" customHeight="1" x14ac:dyDescent="0.35">
      <c r="A120" s="89" t="s">
        <v>128</v>
      </c>
      <c r="B120" s="89" t="s">
        <v>128</v>
      </c>
      <c r="C120" s="73">
        <v>0</v>
      </c>
      <c r="D120" s="15">
        <f ca="1">((100/H111)*C120)/100</f>
        <v>0</v>
      </c>
      <c r="E120" s="91"/>
      <c r="F120" s="91"/>
      <c r="G120" s="91"/>
      <c r="H120" s="91"/>
      <c r="I120" s="13" t="s">
        <v>141</v>
      </c>
      <c r="J120" s="27">
        <f>(IF(B111&gt;3,(H111/(B111+2)+J119),0))</f>
        <v>0</v>
      </c>
    </row>
    <row r="121" spans="1:10" ht="15.75" customHeight="1" x14ac:dyDescent="0.35">
      <c r="A121" s="89" t="s">
        <v>135</v>
      </c>
      <c r="B121" s="89"/>
      <c r="C121" s="73">
        <v>0</v>
      </c>
      <c r="D121" s="15">
        <f ca="1">((100/H111)*C121)/100</f>
        <v>0</v>
      </c>
      <c r="E121" s="91"/>
      <c r="F121" s="91"/>
      <c r="G121" s="91"/>
      <c r="H121" s="91"/>
      <c r="I121" s="13" t="s">
        <v>142</v>
      </c>
      <c r="J121" s="26">
        <f>(IF(B111&gt;4,(H111/(B111+2)+J120),0))</f>
        <v>0</v>
      </c>
    </row>
    <row r="122" spans="1:10" ht="15.75" customHeight="1" x14ac:dyDescent="0.35">
      <c r="A122" s="89" t="s">
        <v>130</v>
      </c>
      <c r="B122" s="89" t="s">
        <v>130</v>
      </c>
      <c r="C122" s="73">
        <v>0</v>
      </c>
      <c r="D122" s="15">
        <f ca="1">((100/(H111))*C122)/100</f>
        <v>0</v>
      </c>
      <c r="E122" s="91"/>
      <c r="F122" s="91"/>
      <c r="G122" s="91"/>
      <c r="H122" s="91"/>
      <c r="I122" s="13" t="s">
        <v>144</v>
      </c>
      <c r="J122" s="26">
        <f ca="1">(IF(B111=1,(H111/(B111+3)+J117),IF(B111=0,(H111/4+J117),IF(B111&gt;1,0))))</f>
        <v>5.25</v>
      </c>
    </row>
    <row r="123" spans="1:10" ht="16" thickBot="1" x14ac:dyDescent="0.4">
      <c r="A123" s="89" t="s">
        <v>131</v>
      </c>
      <c r="B123" s="89"/>
      <c r="C123" s="73">
        <v>0</v>
      </c>
      <c r="D123" s="15">
        <f ca="1">((100/(H111))*C123)/100</f>
        <v>0</v>
      </c>
      <c r="E123" s="91"/>
      <c r="F123" s="91"/>
      <c r="G123" s="91"/>
      <c r="H123" s="91"/>
      <c r="I123" s="14" t="s">
        <v>103</v>
      </c>
      <c r="J123" s="28">
        <f ca="1">(IF(B111&gt;1.5,(H111/(B111+2)+J117+MAX(0,J118-J117)+MAX(0,J119-J118)+MAX(0,J120-J119)+MAX(0,J121-J120)+MAX(0,J122-J121)),IF(B111=1,(H111/(B111+3)+J122),IF(B111=0,H111/4+J122))))</f>
        <v>7</v>
      </c>
    </row>
    <row r="124" spans="1:10" ht="16" hidden="1" thickBot="1" x14ac:dyDescent="0.4">
      <c r="A124" s="86" t="s">
        <v>137</v>
      </c>
      <c r="B124" s="86"/>
      <c r="C124" s="86" t="s">
        <v>238</v>
      </c>
      <c r="D124" s="86"/>
      <c r="E124" s="86"/>
      <c r="F124" s="86"/>
      <c r="G124" s="86"/>
      <c r="H124" s="86"/>
      <c r="I124" s="70" t="str">
        <f ca="1">IF(D137=100%,"All work Completed. Possession granted to the Building.",IF(D136=100%,"All work Completed, Waiting for OC",I125&amp;""&amp;I126&amp;""&amp;J125&amp;""&amp;J124&amp;" "&amp;J126))</f>
        <v>Excavation, Plinth Completed, RCC upto 4 Slab Completed</v>
      </c>
      <c r="J124" s="36" t="str">
        <f ca="1">(IF(C130=(D125+F125+H125),"",IF(C130&gt;0,", RCC upto "&amp;C130&amp;" Slab","")))&amp;(IF(C131=H125,"",IF(C131&gt;0,", Brickwork upto "&amp;C131&amp;" Floor","")))&amp;(IF(C132=H125,"",IF(C132&gt;0,", Internal Plaster upto "&amp;C132&amp;" Floor","")))&amp;(IF(C133=H125,"",IF(C133&gt;0,", External Plaster upto "&amp;C133&amp;" Floor","")))&amp;(IF(C134=H125,"",IF(C134&gt;0,", Flooring upto "&amp;C134&amp;" Floor","")))&amp;(IF(C135=H125,"",IF(C135&gt;0,", Painting upto "&amp;C135&amp;" Floor","")))&amp;(IF(C136=H125,"",IF(C136&gt;0,", Finishing upto "&amp;C136&amp;" Floor","")))&amp;(IF(C137=H125,"",IF(C137&gt;0,", Possession upto "&amp;C137&amp;" Floor","")))</f>
        <v>, RCC upto 4 Slab</v>
      </c>
    </row>
    <row r="125" spans="1:10" ht="16" hidden="1" thickBot="1" x14ac:dyDescent="0.4">
      <c r="A125" s="75" t="s">
        <v>139</v>
      </c>
      <c r="B125" s="75">
        <v>0</v>
      </c>
      <c r="C125" s="75" t="s">
        <v>72</v>
      </c>
      <c r="D125" s="75">
        <v>1</v>
      </c>
      <c r="E125" s="75" t="s">
        <v>71</v>
      </c>
      <c r="F125" s="75">
        <v>0</v>
      </c>
      <c r="G125" s="75" t="s">
        <v>80</v>
      </c>
      <c r="H125" s="75">
        <f ca="1">--TRIM(RIGHT(SUBSTITUTE(LEFT(C124,_xlfn.AGGREGATE(16,6,FIND({0,1,2,3,4,5,6,7,8,9},C124,ROW(INDIRECT("1:"&amp;LEN(C124)))),1))," ",REPT(" ",LEN(C124))),LEN(C124)))</f>
        <v>7</v>
      </c>
      <c r="I125" s="71" t="str">
        <f ca="1">IF(D128=100%,"Excavation","")&amp;IF(D129=100%,", Plinth","")&amp;IF(D130=100%,", RCC Slab","")&amp;IF(D131=100%,", Brickwork","")&amp;IF(D132=100%,", Internal Plaster","")&amp;IF(D133=100%,", External Plaster","")&amp;IF(D134=100%,", Flooring","")&amp;IF(D135=100%,", Painting","")&amp;IF(D136=100%,", Building common Amenities","")</f>
        <v>Excavation, Plinth</v>
      </c>
      <c r="J125" s="38" t="str">
        <f ca="1">(IF(C128=0,"Work not yet Started.",IF(D128=25%,"Piling work in process",IF(D128=50%,"Excavation work in process",IF(D128=100%,"","0")))))&amp;(IF(C129=0%,"",IF(C129=J130,", Footing work is process",IF(C129=J131,", Footing work Completed",IF(C129=J132,", 1st Basement Completed",IF(C129=J133,", 1st &amp; 2nd Basement Completed",IF(C129=J134,", 1st to 3rd Basement Completed",IF(C129=J135,", 1st to 4th Basement Completed",IF(C129=J136,", Plinth work is process",IF(C129=J137,"","0"))))))))))</f>
        <v/>
      </c>
    </row>
    <row r="126" spans="1:10" ht="16" hidden="1" thickBot="1" x14ac:dyDescent="0.4">
      <c r="A126" s="85" t="s">
        <v>90</v>
      </c>
      <c r="B126" s="85"/>
      <c r="C126" s="86" t="str">
        <f ca="1">I124</f>
        <v>Excavation, Plinth Completed, RCC upto 4 Slab Completed</v>
      </c>
      <c r="D126" s="86"/>
      <c r="E126" s="86"/>
      <c r="F126" s="86"/>
      <c r="G126" s="86"/>
      <c r="H126" s="86"/>
      <c r="I126" s="71" t="str">
        <f ca="1">IF(I125&lt;&gt;""," Completed","")</f>
        <v xml:space="preserve"> Completed</v>
      </c>
      <c r="J126" s="38" t="str">
        <f ca="1">IF(J124&lt;&gt;"","Completed","")</f>
        <v>Completed</v>
      </c>
    </row>
    <row r="127" spans="1:10" ht="15.75" hidden="1" customHeight="1" x14ac:dyDescent="0.35">
      <c r="A127" s="89" t="s">
        <v>49</v>
      </c>
      <c r="B127" s="89"/>
      <c r="C127" s="73" t="s">
        <v>136</v>
      </c>
      <c r="D127" s="73" t="s">
        <v>83</v>
      </c>
      <c r="E127" s="89" t="s">
        <v>85</v>
      </c>
      <c r="F127" s="89"/>
      <c r="G127" s="89" t="s">
        <v>84</v>
      </c>
      <c r="H127" s="89"/>
      <c r="I127" s="13" t="s">
        <v>138</v>
      </c>
      <c r="J127" s="24">
        <f ca="1">H125*25%</f>
        <v>1.75</v>
      </c>
    </row>
    <row r="128" spans="1:10" ht="16" hidden="1" thickBot="1" x14ac:dyDescent="0.4">
      <c r="A128" s="89" t="s">
        <v>125</v>
      </c>
      <c r="B128" s="89"/>
      <c r="C128" s="73">
        <f ca="1">J129</f>
        <v>7</v>
      </c>
      <c r="D128" s="15">
        <f ca="1">((100/H125)*C128)/100</f>
        <v>1</v>
      </c>
      <c r="E128" s="91">
        <f ca="1">(((C129/H125*10)+(40/(D125+F125+H125)*C130)+(7.5/(H125)*C131)+(7.5/(H125)*C132)+(10/H125*C133)+(10/H125*C134)+(5/H125*C135)+(5/H125*C136)+(5/H125*C137))/100)</f>
        <v>0.3</v>
      </c>
      <c r="F128" s="91"/>
      <c r="G128" s="91">
        <f ca="1">((((C128/H125)*20)+((C129/H125)*25)+(30/(H125+F125+D125)*C130)+(5/H125*C131)+(5/H125*C132)+(5/H125*C133)+(5/H125*C134)+(0/H125*C135)+(0/H125*C136)+(5/H125*C137))/100)</f>
        <v>0.6</v>
      </c>
      <c r="H128" s="91"/>
      <c r="I128" s="13" t="s">
        <v>99</v>
      </c>
      <c r="J128" s="25">
        <f ca="1">H125*50%</f>
        <v>3.5</v>
      </c>
    </row>
    <row r="129" spans="1:10" ht="16" hidden="1" thickBot="1" x14ac:dyDescent="0.4">
      <c r="A129" s="89" t="s">
        <v>50</v>
      </c>
      <c r="B129" s="89"/>
      <c r="C129" s="51">
        <f ca="1">J137</f>
        <v>7</v>
      </c>
      <c r="D129" s="15">
        <f ca="1">((100/H125)*C129)/100</f>
        <v>1</v>
      </c>
      <c r="E129" s="91"/>
      <c r="F129" s="91"/>
      <c r="G129" s="91"/>
      <c r="H129" s="91"/>
      <c r="I129" s="13" t="s">
        <v>100</v>
      </c>
      <c r="J129" s="25">
        <f ca="1">H125</f>
        <v>7</v>
      </c>
    </row>
    <row r="130" spans="1:10" ht="15.75" hidden="1" customHeight="1" x14ac:dyDescent="0.35">
      <c r="A130" s="89" t="s">
        <v>126</v>
      </c>
      <c r="B130" s="89"/>
      <c r="C130" s="73">
        <v>4</v>
      </c>
      <c r="D130" s="15">
        <f ca="1">((100/(D125+F125+H125))*C130)/100</f>
        <v>0.5</v>
      </c>
      <c r="E130" s="91"/>
      <c r="F130" s="91"/>
      <c r="G130" s="91"/>
      <c r="H130" s="91"/>
      <c r="I130" s="13" t="s">
        <v>101</v>
      </c>
      <c r="J130" s="26">
        <f ca="1">(IF(B125&gt;1,(H125/(B125+2)),H125/4))</f>
        <v>1.75</v>
      </c>
    </row>
    <row r="131" spans="1:10" ht="15.75" hidden="1" customHeight="1" x14ac:dyDescent="0.35">
      <c r="A131" s="89" t="s">
        <v>133</v>
      </c>
      <c r="B131" s="89" t="s">
        <v>127</v>
      </c>
      <c r="C131" s="73">
        <v>0</v>
      </c>
      <c r="D131" s="15">
        <f ca="1">((100/H125)*C131)/100</f>
        <v>0</v>
      </c>
      <c r="E131" s="91"/>
      <c r="F131" s="91"/>
      <c r="G131" s="91"/>
      <c r="H131" s="91"/>
      <c r="I131" s="13" t="s">
        <v>102</v>
      </c>
      <c r="J131" s="26">
        <f ca="1">(IF(B125&gt;1,(H125/(B125+2)+J130),H125/4+J130))</f>
        <v>3.5</v>
      </c>
    </row>
    <row r="132" spans="1:10" ht="15.75" hidden="1" customHeight="1" x14ac:dyDescent="0.35">
      <c r="A132" s="89" t="s">
        <v>134</v>
      </c>
      <c r="B132" s="89" t="s">
        <v>127</v>
      </c>
      <c r="C132" s="73">
        <v>0</v>
      </c>
      <c r="D132" s="15">
        <f ca="1">((100/H125)*C132)/100</f>
        <v>0</v>
      </c>
      <c r="E132" s="91"/>
      <c r="F132" s="91"/>
      <c r="G132" s="91"/>
      <c r="H132" s="91"/>
      <c r="I132" s="13" t="s">
        <v>143</v>
      </c>
      <c r="J132" s="26">
        <f>(IF(B125&gt;1,(H125/(B125+2)+J131),0))</f>
        <v>0</v>
      </c>
    </row>
    <row r="133" spans="1:10" ht="15" hidden="1" customHeight="1" x14ac:dyDescent="0.35">
      <c r="A133" s="89" t="s">
        <v>132</v>
      </c>
      <c r="B133" s="89" t="s">
        <v>129</v>
      </c>
      <c r="C133" s="73">
        <v>0</v>
      </c>
      <c r="D133" s="15">
        <f ca="1">((100/(H125))*C133)/100</f>
        <v>0</v>
      </c>
      <c r="E133" s="91"/>
      <c r="F133" s="91"/>
      <c r="G133" s="91"/>
      <c r="H133" s="91"/>
      <c r="I133" s="13" t="s">
        <v>140</v>
      </c>
      <c r="J133" s="26">
        <f>(IF(B125&gt;2,(H125/(B125+2)+J132),0))</f>
        <v>0</v>
      </c>
    </row>
    <row r="134" spans="1:10" ht="15.75" hidden="1" customHeight="1" x14ac:dyDescent="0.35">
      <c r="A134" s="89" t="s">
        <v>128</v>
      </c>
      <c r="B134" s="89" t="s">
        <v>128</v>
      </c>
      <c r="C134" s="73">
        <v>0</v>
      </c>
      <c r="D134" s="15">
        <f ca="1">((100/H125)*C134)/100</f>
        <v>0</v>
      </c>
      <c r="E134" s="91"/>
      <c r="F134" s="91"/>
      <c r="G134" s="91"/>
      <c r="H134" s="91"/>
      <c r="I134" s="13" t="s">
        <v>141</v>
      </c>
      <c r="J134" s="27">
        <f>(IF(B125&gt;3,(H125/(B125+2)+J133),0))</f>
        <v>0</v>
      </c>
    </row>
    <row r="135" spans="1:10" ht="15.75" hidden="1" customHeight="1" x14ac:dyDescent="0.35">
      <c r="A135" s="89" t="s">
        <v>135</v>
      </c>
      <c r="B135" s="89"/>
      <c r="C135" s="73">
        <v>0</v>
      </c>
      <c r="D135" s="15">
        <f ca="1">((100/H125)*C135)/100</f>
        <v>0</v>
      </c>
      <c r="E135" s="91"/>
      <c r="F135" s="91"/>
      <c r="G135" s="91"/>
      <c r="H135" s="91"/>
      <c r="I135" s="13" t="s">
        <v>142</v>
      </c>
      <c r="J135" s="26">
        <f>(IF(B125&gt;4,(H125/(B125+2)+J134),0))</f>
        <v>0</v>
      </c>
    </row>
    <row r="136" spans="1:10" ht="15.75" hidden="1" customHeight="1" x14ac:dyDescent="0.35">
      <c r="A136" s="89" t="s">
        <v>130</v>
      </c>
      <c r="B136" s="89" t="s">
        <v>130</v>
      </c>
      <c r="C136" s="73">
        <v>0</v>
      </c>
      <c r="D136" s="15">
        <f ca="1">((100/(H125))*C136)/100</f>
        <v>0</v>
      </c>
      <c r="E136" s="91"/>
      <c r="F136" s="91"/>
      <c r="G136" s="91"/>
      <c r="H136" s="91"/>
      <c r="I136" s="13" t="s">
        <v>144</v>
      </c>
      <c r="J136" s="26">
        <f ca="1">(IF(B125=1,(H125/(B125+3)+J131),IF(B125=0,(H125/4+J131),IF(B125&gt;1,0))))</f>
        <v>5.25</v>
      </c>
    </row>
    <row r="137" spans="1:10" ht="16" hidden="1" thickBot="1" x14ac:dyDescent="0.4">
      <c r="A137" s="89" t="s">
        <v>131</v>
      </c>
      <c r="B137" s="89"/>
      <c r="C137" s="73">
        <v>0</v>
      </c>
      <c r="D137" s="15">
        <f ca="1">((100/(H125))*C137)/100</f>
        <v>0</v>
      </c>
      <c r="E137" s="91"/>
      <c r="F137" s="91"/>
      <c r="G137" s="91"/>
      <c r="H137" s="91"/>
      <c r="I137" s="14" t="s">
        <v>103</v>
      </c>
      <c r="J137" s="28">
        <f ca="1">(IF(B125&gt;1.5,(H125/(B125+2)+J131+MAX(0,J132-J131)+MAX(0,J133-J132)+MAX(0,J134-J133)+MAX(0,J135-J134)+MAX(0,J136-J135)),IF(B125=1,(H125/(B125+3)+J136),IF(B125=0,H125/4+J136))))</f>
        <v>7</v>
      </c>
    </row>
    <row r="138" spans="1:10" ht="15.75" customHeight="1" x14ac:dyDescent="0.35">
      <c r="A138" s="86" t="s">
        <v>137</v>
      </c>
      <c r="B138" s="86"/>
      <c r="C138" s="86" t="str">
        <f>D58</f>
        <v>Building No.1 Wing F = Gr/St + 1st to 7th Floor</v>
      </c>
      <c r="D138" s="86"/>
      <c r="E138" s="86"/>
      <c r="F138" s="86"/>
      <c r="G138" s="86"/>
      <c r="H138" s="86"/>
      <c r="I138" s="70" t="str">
        <f ca="1">IF(D151=100%,"All work Completed. Possession granted to the Building.",IF(D150=100%,"All work Completed, Waiting for OC",I139&amp;""&amp;I140&amp;""&amp;J139&amp;""&amp;J138&amp;" "&amp;J140))</f>
        <v>Excavation, Plinth Completed, RCC upto 5 Slab Completed</v>
      </c>
      <c r="J138" s="36" t="str">
        <f ca="1">(IF(C144=(D139+F139+H139),"",IF(C144&gt;0,", RCC upto "&amp;C144&amp;" Slab","")))&amp;(IF(C145=H139,"",IF(C145&gt;0,", Brickwork upto "&amp;C145&amp;" Floor","")))&amp;(IF(C146=H139,"",IF(C146&gt;0,", Internal Plaster upto "&amp;C146&amp;" Floor","")))&amp;(IF(C147=H139,"",IF(C147&gt;0,", External Plaster upto "&amp;C147&amp;" Floor","")))&amp;(IF(C148=H139,"",IF(C148&gt;0,", Flooring upto "&amp;C148&amp;" Floor","")))&amp;(IF(C149=H139,"",IF(C149&gt;0,", Painting upto "&amp;C149&amp;" Floor","")))&amp;(IF(C150=H139,"",IF(C150&gt;0,", Finishing upto "&amp;C150&amp;" Floor","")))&amp;(IF(C151=H139,"",IF(C151&gt;0,", Possession upto "&amp;C151&amp;" Floor","")))</f>
        <v>, RCC upto 5 Slab</v>
      </c>
    </row>
    <row r="139" spans="1:10" x14ac:dyDescent="0.35">
      <c r="A139" s="75" t="s">
        <v>139</v>
      </c>
      <c r="B139" s="75">
        <v>0</v>
      </c>
      <c r="C139" s="75" t="s">
        <v>72</v>
      </c>
      <c r="D139" s="75">
        <v>1</v>
      </c>
      <c r="E139" s="75" t="s">
        <v>71</v>
      </c>
      <c r="F139" s="75">
        <v>0</v>
      </c>
      <c r="G139" s="75" t="s">
        <v>80</v>
      </c>
      <c r="H139" s="75">
        <f ca="1">--TRIM(RIGHT(SUBSTITUTE(LEFT(C138,_xlfn.AGGREGATE(16,6,FIND({0,1,2,3,4,5,6,7,8,9},C138,ROW(INDIRECT("1:"&amp;LEN(C138)))),1))," ",REPT(" ",LEN(C138))),LEN(C138)))</f>
        <v>7</v>
      </c>
      <c r="I139" s="71" t="str">
        <f ca="1">IF(D142=100%,"Excavation","")&amp;IF(D143=100%,", Plinth","")&amp;IF(D144=100%,", RCC Slab","")&amp;IF(D145=100%,", Brickwork","")&amp;IF(D146=100%,", Internal Plaster","")&amp;IF(D147=100%,", External Plaster","")&amp;IF(D148=100%,", Flooring","")&amp;IF(D149=100%,", Painting","")&amp;IF(D150=100%,", Building common Amenities","")</f>
        <v>Excavation, Plinth</v>
      </c>
      <c r="J139" s="38" t="str">
        <f ca="1">(IF(C142=0,"Work not yet Started.",IF(D142=25%,"Piling work in process",IF(D142=50%,"Excavation work in process",IF(D142=100%,"","0")))))&amp;(IF(C143=0%,"",IF(C143=J144,", Footing work is process",IF(C143=J145,", Footing work Completed",IF(C143=J146,", 1st Basement Completed",IF(C143=J147,", 1st &amp; 2nd Basement Completed",IF(C143=J148,", 1st to 3rd Basement Completed",IF(C143=J149,", 1st to 4th Basement Completed",IF(C143=J150,", Plinth work is process",IF(C143=J151,"","0"))))))))))</f>
        <v/>
      </c>
    </row>
    <row r="140" spans="1:10" x14ac:dyDescent="0.35">
      <c r="A140" s="85" t="s">
        <v>90</v>
      </c>
      <c r="B140" s="85"/>
      <c r="C140" s="86" t="str">
        <f ca="1">(IF($G$52="NA",I138,"All work Completed. OC Received."))</f>
        <v>Excavation, Plinth Completed, RCC upto 5 Slab Completed</v>
      </c>
      <c r="D140" s="86"/>
      <c r="E140" s="86"/>
      <c r="F140" s="86"/>
      <c r="G140" s="86"/>
      <c r="H140" s="86"/>
      <c r="I140" s="71" t="str">
        <f ca="1">IF(I139&lt;&gt;""," Completed","")</f>
        <v xml:space="preserve"> Completed</v>
      </c>
      <c r="J140" s="38" t="str">
        <f ca="1">IF(J138&lt;&gt;"","Completed","")</f>
        <v>Completed</v>
      </c>
    </row>
    <row r="141" spans="1:10" ht="15.75" customHeight="1" x14ac:dyDescent="0.35">
      <c r="A141" s="143" t="s">
        <v>49</v>
      </c>
      <c r="B141" s="143"/>
      <c r="C141" s="74" t="s">
        <v>136</v>
      </c>
      <c r="D141" s="74" t="s">
        <v>83</v>
      </c>
      <c r="E141" s="143" t="s">
        <v>85</v>
      </c>
      <c r="F141" s="143"/>
      <c r="G141" s="143" t="s">
        <v>84</v>
      </c>
      <c r="H141" s="143"/>
      <c r="I141" s="13" t="s">
        <v>138</v>
      </c>
      <c r="J141" s="24">
        <f ca="1">H139*25%</f>
        <v>1.75</v>
      </c>
    </row>
    <row r="142" spans="1:10" x14ac:dyDescent="0.35">
      <c r="A142" s="89" t="s">
        <v>125</v>
      </c>
      <c r="B142" s="89"/>
      <c r="C142" s="73">
        <f ca="1">J143</f>
        <v>7</v>
      </c>
      <c r="D142" s="15">
        <f ca="1">((100/H139)*C142)/100</f>
        <v>1</v>
      </c>
      <c r="E142" s="91">
        <f ca="1">(((C143/H139*10)+(40/(D139+F139+H139)*C144)+(7.5/(H139)*C145)+(7.5/(H139)*C146)+(10/H139*C147)+(10/H139*C148)+(5/H139*C149)+(5/H139*C150)+(5/H139*C151))/100)</f>
        <v>0.35</v>
      </c>
      <c r="F142" s="91"/>
      <c r="G142" s="91">
        <f ca="1">((((C142/H139)*20)+((C143/H139)*25)+(30/(H139+F139+D139)*C144)+(5/H139*C145)+(5/H139*C146)+(5/H139*C147)+(5/H139*C148)+(0/H139*C149)+(0/H139*C150)+(5/H139*C151))/100)</f>
        <v>0.63749999999999996</v>
      </c>
      <c r="H142" s="91"/>
      <c r="I142" s="13" t="s">
        <v>99</v>
      </c>
      <c r="J142" s="25">
        <f ca="1">H139*50%</f>
        <v>3.5</v>
      </c>
    </row>
    <row r="143" spans="1:10" x14ac:dyDescent="0.35">
      <c r="A143" s="89" t="s">
        <v>50</v>
      </c>
      <c r="B143" s="89"/>
      <c r="C143" s="51">
        <f ca="1">J151</f>
        <v>7</v>
      </c>
      <c r="D143" s="15">
        <f ca="1">((100/H139)*C143)/100</f>
        <v>1</v>
      </c>
      <c r="E143" s="91"/>
      <c r="F143" s="91"/>
      <c r="G143" s="91"/>
      <c r="H143" s="91"/>
      <c r="I143" s="13" t="s">
        <v>100</v>
      </c>
      <c r="J143" s="25">
        <f ca="1">H139</f>
        <v>7</v>
      </c>
    </row>
    <row r="144" spans="1:10" ht="15.75" customHeight="1" x14ac:dyDescent="0.35">
      <c r="A144" s="89" t="s">
        <v>126</v>
      </c>
      <c r="B144" s="89"/>
      <c r="C144" s="73">
        <v>5</v>
      </c>
      <c r="D144" s="15">
        <f ca="1">((100/(D139+F139+H139))*C144)/100</f>
        <v>0.625</v>
      </c>
      <c r="E144" s="91"/>
      <c r="F144" s="91"/>
      <c r="G144" s="91"/>
      <c r="H144" s="91"/>
      <c r="I144" s="13" t="s">
        <v>101</v>
      </c>
      <c r="J144" s="26">
        <f ca="1">(IF(B139&gt;1,(H139/(B139+2)),H139/4))</f>
        <v>1.75</v>
      </c>
    </row>
    <row r="145" spans="1:10" ht="15.75" customHeight="1" x14ac:dyDescent="0.35">
      <c r="A145" s="89" t="s">
        <v>133</v>
      </c>
      <c r="B145" s="89" t="s">
        <v>127</v>
      </c>
      <c r="C145" s="73">
        <v>0</v>
      </c>
      <c r="D145" s="15">
        <f ca="1">((100/H139)*C145)/100</f>
        <v>0</v>
      </c>
      <c r="E145" s="91"/>
      <c r="F145" s="91"/>
      <c r="G145" s="91"/>
      <c r="H145" s="91"/>
      <c r="I145" s="13" t="s">
        <v>102</v>
      </c>
      <c r="J145" s="26">
        <f ca="1">(IF(B139&gt;1,(H139/(B139+2)+J144),H139/4+J144))</f>
        <v>3.5</v>
      </c>
    </row>
    <row r="146" spans="1:10" ht="15.75" customHeight="1" x14ac:dyDescent="0.35">
      <c r="A146" s="89" t="s">
        <v>134</v>
      </c>
      <c r="B146" s="89" t="s">
        <v>127</v>
      </c>
      <c r="C146" s="73">
        <v>0</v>
      </c>
      <c r="D146" s="15">
        <f ca="1">((100/H139)*C146)/100</f>
        <v>0</v>
      </c>
      <c r="E146" s="91"/>
      <c r="F146" s="91"/>
      <c r="G146" s="91"/>
      <c r="H146" s="91"/>
      <c r="I146" s="13" t="s">
        <v>143</v>
      </c>
      <c r="J146" s="26">
        <f>(IF(B139&gt;1,(H139/(B139+2)+J145),0))</f>
        <v>0</v>
      </c>
    </row>
    <row r="147" spans="1:10" ht="15" customHeight="1" x14ac:dyDescent="0.35">
      <c r="A147" s="89" t="s">
        <v>132</v>
      </c>
      <c r="B147" s="89" t="s">
        <v>129</v>
      </c>
      <c r="C147" s="73">
        <v>0</v>
      </c>
      <c r="D147" s="15">
        <f ca="1">((100/(H139))*C147)/100</f>
        <v>0</v>
      </c>
      <c r="E147" s="91"/>
      <c r="F147" s="91"/>
      <c r="G147" s="91"/>
      <c r="H147" s="91"/>
      <c r="I147" s="13" t="s">
        <v>140</v>
      </c>
      <c r="J147" s="26">
        <f>(IF(B139&gt;2,(H139/(B139+2)+J146),0))</f>
        <v>0</v>
      </c>
    </row>
    <row r="148" spans="1:10" ht="15.75" customHeight="1" x14ac:dyDescent="0.35">
      <c r="A148" s="89" t="s">
        <v>128</v>
      </c>
      <c r="B148" s="89" t="s">
        <v>128</v>
      </c>
      <c r="C148" s="73">
        <v>0</v>
      </c>
      <c r="D148" s="15">
        <f ca="1">((100/H139)*C148)/100</f>
        <v>0</v>
      </c>
      <c r="E148" s="91"/>
      <c r="F148" s="91"/>
      <c r="G148" s="91"/>
      <c r="H148" s="91"/>
      <c r="I148" s="13" t="s">
        <v>141</v>
      </c>
      <c r="J148" s="27">
        <f>(IF(B139&gt;3,(H139/(B139+2)+J147),0))</f>
        <v>0</v>
      </c>
    </row>
    <row r="149" spans="1:10" ht="15.75" customHeight="1" x14ac:dyDescent="0.35">
      <c r="A149" s="89" t="s">
        <v>135</v>
      </c>
      <c r="B149" s="89"/>
      <c r="C149" s="73">
        <v>0</v>
      </c>
      <c r="D149" s="15">
        <f ca="1">((100/H139)*C149)/100</f>
        <v>0</v>
      </c>
      <c r="E149" s="91"/>
      <c r="F149" s="91"/>
      <c r="G149" s="91"/>
      <c r="H149" s="91"/>
      <c r="I149" s="13" t="s">
        <v>142</v>
      </c>
      <c r="J149" s="26">
        <f>(IF(B139&gt;4,(H139/(B139+2)+J148),0))</f>
        <v>0</v>
      </c>
    </row>
    <row r="150" spans="1:10" ht="15.75" customHeight="1" x14ac:dyDescent="0.35">
      <c r="A150" s="89" t="s">
        <v>130</v>
      </c>
      <c r="B150" s="89" t="s">
        <v>130</v>
      </c>
      <c r="C150" s="73">
        <v>0</v>
      </c>
      <c r="D150" s="15">
        <f ca="1">((100/(H139))*C150)/100</f>
        <v>0</v>
      </c>
      <c r="E150" s="91"/>
      <c r="F150" s="91"/>
      <c r="G150" s="91"/>
      <c r="H150" s="91"/>
      <c r="I150" s="13" t="s">
        <v>144</v>
      </c>
      <c r="J150" s="26">
        <f ca="1">(IF(B139=1,(H139/(B139+3)+J145),IF(B139=0,(H139/4+J145),IF(B139&gt;1,0))))</f>
        <v>5.25</v>
      </c>
    </row>
    <row r="151" spans="1:10" ht="16" thickBot="1" x14ac:dyDescent="0.4">
      <c r="A151" s="89" t="s">
        <v>131</v>
      </c>
      <c r="B151" s="89"/>
      <c r="C151" s="73">
        <v>0</v>
      </c>
      <c r="D151" s="15">
        <f ca="1">((100/(H139))*C151)/100</f>
        <v>0</v>
      </c>
      <c r="E151" s="91"/>
      <c r="F151" s="91"/>
      <c r="G151" s="91"/>
      <c r="H151" s="91"/>
      <c r="I151" s="14" t="s">
        <v>103</v>
      </c>
      <c r="J151" s="28">
        <f ca="1">(IF(B139&gt;1.5,(H139/(B139+2)+J145+MAX(0,J146-J145)+MAX(0,J147-J146)+MAX(0,J148-J147)+MAX(0,J149-J148)+MAX(0,J150-J149)),IF(B139=1,(H139/(B139+3)+J150),IF(B139=0,H139/4+J150))))</f>
        <v>7</v>
      </c>
    </row>
    <row r="152" spans="1:10" x14ac:dyDescent="0.35">
      <c r="A152" s="86" t="s">
        <v>137</v>
      </c>
      <c r="B152" s="86"/>
      <c r="C152" s="86" t="s">
        <v>242</v>
      </c>
      <c r="D152" s="86"/>
      <c r="E152" s="86"/>
      <c r="F152" s="86"/>
      <c r="G152" s="86"/>
      <c r="H152" s="86"/>
      <c r="I152" s="70" t="str">
        <f ca="1">IF(D165=100%,"All work Completed. Possession granted to the Building.",IF(D164=100%,"All work Completed, Waiting for OC",I153&amp;""&amp;I154&amp;""&amp;J153&amp;""&amp;J152&amp;" "&amp;J154))</f>
        <v>Excavation, Plinth Completed, RCC upto 7 Slab, Brickwork upto 5 Floor Completed</v>
      </c>
      <c r="J152" s="36" t="str">
        <f ca="1">(IF(C158=(D153+F153+H153),"",IF(C158&gt;0,", RCC upto "&amp;C158&amp;" Slab","")))&amp;(IF(C159=H153,"",IF(C159&gt;0,", Brickwork upto "&amp;C159&amp;" Floor","")))&amp;(IF(C160=H153,"",IF(C160&gt;0,", Internal Plaster upto "&amp;C160&amp;" Floor","")))&amp;(IF(C161=H153,"",IF(C161&gt;0,", External Plaster upto "&amp;C161&amp;" Floor","")))&amp;(IF(C162=H153,"",IF(C162&gt;0,", Flooring upto "&amp;C162&amp;" Floor","")))&amp;(IF(C163=H153,"",IF(C163&gt;0,", Painting upto "&amp;C163&amp;" Floor","")))&amp;(IF(C164=H153,"",IF(C164&gt;0,", Finishing upto "&amp;C164&amp;" Floor","")))&amp;(IF(C165=H153,"",IF(C165&gt;0,", Possession upto "&amp;C165&amp;" Floor","")))</f>
        <v>, RCC upto 7 Slab, Brickwork upto 5 Floor</v>
      </c>
    </row>
    <row r="153" spans="1:10" x14ac:dyDescent="0.35">
      <c r="A153" s="69" t="s">
        <v>139</v>
      </c>
      <c r="B153" s="69">
        <v>0</v>
      </c>
      <c r="C153" s="69" t="s">
        <v>72</v>
      </c>
      <c r="D153" s="69">
        <v>1</v>
      </c>
      <c r="E153" s="69" t="s">
        <v>71</v>
      </c>
      <c r="F153" s="69">
        <v>0</v>
      </c>
      <c r="G153" s="69" t="s">
        <v>80</v>
      </c>
      <c r="H153" s="69">
        <f ca="1">--TRIM(RIGHT(SUBSTITUTE(LEFT(C152,_xlfn.AGGREGATE(16,6,FIND({0,1,2,3,4,5,6,7,8,9},C152,ROW(INDIRECT("1:"&amp;LEN(C152)))),1))," ",REPT(" ",LEN(C152))),LEN(C152)))</f>
        <v>7</v>
      </c>
      <c r="I153" s="71" t="str">
        <f ca="1">IF(D156=100%,"Excavation","")&amp;IF(D157=100%,", Plinth","")&amp;IF(D158=100%,", RCC Slab","")&amp;IF(D159=100%,", Brickwork","")&amp;IF(D160=100%,", Internal Plaster","")&amp;IF(D161=100%,", External Plaster","")&amp;IF(D162=100%,", Flooring","")&amp;IF(D163=100%,", Painting","")&amp;IF(D164=100%,", Building common Amenities","")</f>
        <v>Excavation, Plinth</v>
      </c>
      <c r="J153" s="38" t="str">
        <f ca="1">(IF(C156=0,"Work not yet Started.",IF(D156=25%,"Piling work in process",IF(D156=50%,"Excavation work in process",IF(D156=100%,"","0")))))&amp;(IF(C157=0%,"",IF(C157=J158,", Footing work is process",IF(C157=J159,", Footing work Completed",IF(C157=J160,", 1st Basement Completed",IF(C157=J161,", 1st &amp; 2nd Basement Completed",IF(C157=J162,", 1st to 3rd Basement Completed",IF(C157=J163,", 1st to 4th Basement Completed",IF(C157=J164,", Plinth work is process",IF(C157=J165,"","0"))))))))))</f>
        <v/>
      </c>
    </row>
    <row r="154" spans="1:10" x14ac:dyDescent="0.35">
      <c r="A154" s="85" t="s">
        <v>90</v>
      </c>
      <c r="B154" s="85"/>
      <c r="C154" s="86" t="str">
        <f ca="1">I152</f>
        <v>Excavation, Plinth Completed, RCC upto 7 Slab, Brickwork upto 5 Floor Completed</v>
      </c>
      <c r="D154" s="86"/>
      <c r="E154" s="86"/>
      <c r="F154" s="86"/>
      <c r="G154" s="86"/>
      <c r="H154" s="86"/>
      <c r="I154" s="71" t="str">
        <f ca="1">IF(I153&lt;&gt;""," Completed","")</f>
        <v xml:space="preserve"> Completed</v>
      </c>
      <c r="J154" s="38" t="str">
        <f ca="1">IF(J152&lt;&gt;"","Completed","")</f>
        <v>Completed</v>
      </c>
    </row>
    <row r="155" spans="1:10" ht="15.75" customHeight="1" x14ac:dyDescent="0.35">
      <c r="A155" s="89" t="s">
        <v>49</v>
      </c>
      <c r="B155" s="89"/>
      <c r="C155" s="67" t="s">
        <v>136</v>
      </c>
      <c r="D155" s="67" t="s">
        <v>83</v>
      </c>
      <c r="E155" s="89" t="s">
        <v>85</v>
      </c>
      <c r="F155" s="89"/>
      <c r="G155" s="89" t="s">
        <v>84</v>
      </c>
      <c r="H155" s="89"/>
      <c r="I155" s="13" t="s">
        <v>138</v>
      </c>
      <c r="J155" s="24">
        <f ca="1">H153*25%</f>
        <v>1.75</v>
      </c>
    </row>
    <row r="156" spans="1:10" x14ac:dyDescent="0.35">
      <c r="A156" s="89" t="s">
        <v>125</v>
      </c>
      <c r="B156" s="89"/>
      <c r="C156" s="67">
        <f ca="1">J157</f>
        <v>7</v>
      </c>
      <c r="D156" s="15">
        <f ca="1">((100/H153)*C156)/100</f>
        <v>1</v>
      </c>
      <c r="E156" s="91">
        <f ca="1">(((C157/H153*10)+(40/(D153+F153+H153)*C158)+(7.5/(H153)*C159)+(7.5/(H153)*C160)+(10/H153*C161)+(10/H153*C162)+(5/H153*C163)+(5/H153*C164)+(5/H153*C165))/100)</f>
        <v>0.50357142857142856</v>
      </c>
      <c r="F156" s="91"/>
      <c r="G156" s="91">
        <f ca="1">((((C156/H153)*20)+((C157/H153)*25)+(30/(H153+F153+D153)*C158)+(5/H153*C159)+(5/H153*C160)+(5/H153*C161)+(5/H153*C162)+(0/H153*C163)+(0/H153*C164)+(5/H153*C165))/100)</f>
        <v>0.74821428571428572</v>
      </c>
      <c r="H156" s="91"/>
      <c r="I156" s="13" t="s">
        <v>99</v>
      </c>
      <c r="J156" s="25">
        <f ca="1">H153*50%</f>
        <v>3.5</v>
      </c>
    </row>
    <row r="157" spans="1:10" x14ac:dyDescent="0.35">
      <c r="A157" s="89" t="s">
        <v>50</v>
      </c>
      <c r="B157" s="89"/>
      <c r="C157" s="51">
        <f ca="1">J165</f>
        <v>7</v>
      </c>
      <c r="D157" s="15">
        <f ca="1">((100/H153)*C157)/100</f>
        <v>1</v>
      </c>
      <c r="E157" s="91"/>
      <c r="F157" s="91"/>
      <c r="G157" s="91"/>
      <c r="H157" s="91"/>
      <c r="I157" s="13" t="s">
        <v>100</v>
      </c>
      <c r="J157" s="25">
        <f ca="1">H153</f>
        <v>7</v>
      </c>
    </row>
    <row r="158" spans="1:10" ht="15.75" customHeight="1" x14ac:dyDescent="0.35">
      <c r="A158" s="89" t="s">
        <v>126</v>
      </c>
      <c r="B158" s="89"/>
      <c r="C158" s="67">
        <v>7</v>
      </c>
      <c r="D158" s="15">
        <f ca="1">((100/(D153+F153+H153))*C158)/100</f>
        <v>0.875</v>
      </c>
      <c r="E158" s="91"/>
      <c r="F158" s="91"/>
      <c r="G158" s="91"/>
      <c r="H158" s="91"/>
      <c r="I158" s="13" t="s">
        <v>101</v>
      </c>
      <c r="J158" s="26">
        <f ca="1">(IF(B153&gt;1,(H153/(B153+2)),H153/4))</f>
        <v>1.75</v>
      </c>
    </row>
    <row r="159" spans="1:10" ht="15.75" customHeight="1" x14ac:dyDescent="0.35">
      <c r="A159" s="89" t="s">
        <v>133</v>
      </c>
      <c r="B159" s="89" t="s">
        <v>127</v>
      </c>
      <c r="C159" s="67">
        <v>5</v>
      </c>
      <c r="D159" s="15">
        <f ca="1">((100/H153)*C159)/100</f>
        <v>0.7142857142857143</v>
      </c>
      <c r="E159" s="91"/>
      <c r="F159" s="91"/>
      <c r="G159" s="91"/>
      <c r="H159" s="91"/>
      <c r="I159" s="13" t="s">
        <v>102</v>
      </c>
      <c r="J159" s="26">
        <f ca="1">(IF(B153&gt;1,(H153/(B153+2)+J158),H153/4+J158))</f>
        <v>3.5</v>
      </c>
    </row>
    <row r="160" spans="1:10" ht="15.75" customHeight="1" x14ac:dyDescent="0.35">
      <c r="A160" s="89" t="s">
        <v>134</v>
      </c>
      <c r="B160" s="89" t="s">
        <v>127</v>
      </c>
      <c r="C160" s="67">
        <v>0</v>
      </c>
      <c r="D160" s="15">
        <f ca="1">((100/H153)*C160)/100</f>
        <v>0</v>
      </c>
      <c r="E160" s="91"/>
      <c r="F160" s="91"/>
      <c r="G160" s="91"/>
      <c r="H160" s="91"/>
      <c r="I160" s="13" t="s">
        <v>143</v>
      </c>
      <c r="J160" s="26">
        <f>(IF(B153&gt;1,(H153/(B153+2)+J159),0))</f>
        <v>0</v>
      </c>
    </row>
    <row r="161" spans="1:10" ht="15" customHeight="1" x14ac:dyDescent="0.35">
      <c r="A161" s="89" t="s">
        <v>132</v>
      </c>
      <c r="B161" s="89" t="s">
        <v>129</v>
      </c>
      <c r="C161" s="67">
        <v>0</v>
      </c>
      <c r="D161" s="15">
        <f ca="1">((100/(H153))*C161)/100</f>
        <v>0</v>
      </c>
      <c r="E161" s="91"/>
      <c r="F161" s="91"/>
      <c r="G161" s="91"/>
      <c r="H161" s="91"/>
      <c r="I161" s="13" t="s">
        <v>140</v>
      </c>
      <c r="J161" s="26">
        <f>(IF(B153&gt;2,(H153/(B153+2)+J160),0))</f>
        <v>0</v>
      </c>
    </row>
    <row r="162" spans="1:10" ht="15.75" customHeight="1" x14ac:dyDescent="0.35">
      <c r="A162" s="89" t="s">
        <v>128</v>
      </c>
      <c r="B162" s="89" t="s">
        <v>128</v>
      </c>
      <c r="C162" s="67">
        <v>0</v>
      </c>
      <c r="D162" s="15">
        <f ca="1">((100/H153)*C162)/100</f>
        <v>0</v>
      </c>
      <c r="E162" s="91"/>
      <c r="F162" s="91"/>
      <c r="G162" s="91"/>
      <c r="H162" s="91"/>
      <c r="I162" s="13" t="s">
        <v>141</v>
      </c>
      <c r="J162" s="27">
        <f>(IF(B153&gt;3,(H153/(B153+2)+J161),0))</f>
        <v>0</v>
      </c>
    </row>
    <row r="163" spans="1:10" ht="15.75" customHeight="1" x14ac:dyDescent="0.35">
      <c r="A163" s="89" t="s">
        <v>135</v>
      </c>
      <c r="B163" s="89"/>
      <c r="C163" s="67">
        <v>0</v>
      </c>
      <c r="D163" s="15">
        <f ca="1">((100/H153)*C163)/100</f>
        <v>0</v>
      </c>
      <c r="E163" s="91"/>
      <c r="F163" s="91"/>
      <c r="G163" s="91"/>
      <c r="H163" s="91"/>
      <c r="I163" s="13" t="s">
        <v>142</v>
      </c>
      <c r="J163" s="26">
        <f>(IF(B153&gt;4,(H153/(B153+2)+J162),0))</f>
        <v>0</v>
      </c>
    </row>
    <row r="164" spans="1:10" ht="15.75" customHeight="1" x14ac:dyDescent="0.35">
      <c r="A164" s="89" t="s">
        <v>130</v>
      </c>
      <c r="B164" s="89" t="s">
        <v>130</v>
      </c>
      <c r="C164" s="67">
        <v>0</v>
      </c>
      <c r="D164" s="15">
        <f ca="1">((100/(H153))*C164)/100</f>
        <v>0</v>
      </c>
      <c r="E164" s="91"/>
      <c r="F164" s="91"/>
      <c r="G164" s="91"/>
      <c r="H164" s="91"/>
      <c r="I164" s="13" t="s">
        <v>144</v>
      </c>
      <c r="J164" s="26">
        <f ca="1">(IF(B153=1,(H153/(B153+3)+J159),IF(B153=0,(H153/4+J159),IF(B153&gt;1,0))))</f>
        <v>5.25</v>
      </c>
    </row>
    <row r="165" spans="1:10" ht="16" thickBot="1" x14ac:dyDescent="0.4">
      <c r="A165" s="89" t="s">
        <v>131</v>
      </c>
      <c r="B165" s="89"/>
      <c r="C165" s="67">
        <v>0</v>
      </c>
      <c r="D165" s="15">
        <f ca="1">((100/(H153))*C165)/100</f>
        <v>0</v>
      </c>
      <c r="E165" s="91"/>
      <c r="F165" s="91"/>
      <c r="G165" s="91"/>
      <c r="H165" s="91"/>
      <c r="I165" s="14" t="s">
        <v>103</v>
      </c>
      <c r="J165" s="28">
        <f ca="1">(IF(B153&gt;1.5,(H153/(B153+2)+J159+MAX(0,J160-J159)+MAX(0,J161-J160)+MAX(0,J162-J161)+MAX(0,J163-J162)+MAX(0,J164-J163)),IF(B153=1,(H153/(B153+3)+J164),IF(B153=0,H153/4+J164))))</f>
        <v>7</v>
      </c>
    </row>
    <row r="166" spans="1:10" x14ac:dyDescent="0.35">
      <c r="A166" s="92" t="s">
        <v>137</v>
      </c>
      <c r="B166" s="93"/>
      <c r="C166" s="94" t="s">
        <v>243</v>
      </c>
      <c r="D166" s="95"/>
      <c r="E166" s="95"/>
      <c r="F166" s="95"/>
      <c r="G166" s="95"/>
      <c r="H166" s="96"/>
      <c r="I166" s="35" t="str">
        <f ca="1">IF(D179=100%,"All work Completed. Possession granted to the Building.",IF(D178=100%,"All work Completed, Waiting for OC",I167&amp;""&amp;I168&amp;""&amp;J167&amp;""&amp;J166&amp;" "&amp;J168))</f>
        <v>Excavation, Plinth Completed, RCC upto 7 Slab, Brickwork upto 4 Floor Completed</v>
      </c>
      <c r="J166" s="36" t="str">
        <f ca="1">(IF(C172=(D167+F167+H167),"",IF(C172&gt;0,", RCC upto "&amp;C172&amp;" Slab","")))&amp;(IF(C173=H167,"",IF(C173&gt;0,", Brickwork upto "&amp;C173&amp;" Floor","")))&amp;(IF(C174=H167,"",IF(C174&gt;0,", Internal Plaster upto "&amp;C174&amp;" Floor","")))&amp;(IF(C175=H167,"",IF(C175&gt;0,", External Plaster upto "&amp;C175&amp;" Floor","")))&amp;(IF(C176=H167,"",IF(C176&gt;0,", Flooring upto "&amp;C176&amp;" Floor","")))&amp;(IF(C177=H167,"",IF(C177&gt;0,", Painting upto "&amp;C177&amp;" Floor","")))&amp;(IF(C178=H167,"",IF(C178&gt;0,", Finishing upto "&amp;C178&amp;" Floor","")))&amp;(IF(C179=H167,"",IF(C179&gt;0,", Possession upto "&amp;C179&amp;" Floor","")))</f>
        <v>, RCC upto 7 Slab, Brickwork upto 4 Floor</v>
      </c>
    </row>
    <row r="167" spans="1:10" x14ac:dyDescent="0.35">
      <c r="A167" s="49" t="s">
        <v>139</v>
      </c>
      <c r="B167" s="66">
        <v>0</v>
      </c>
      <c r="C167" s="66" t="s">
        <v>72</v>
      </c>
      <c r="D167" s="66">
        <v>1</v>
      </c>
      <c r="E167" s="66" t="s">
        <v>71</v>
      </c>
      <c r="F167" s="66">
        <v>0</v>
      </c>
      <c r="G167" s="66" t="s">
        <v>80</v>
      </c>
      <c r="H167" s="50">
        <f ca="1">--TRIM(RIGHT(SUBSTITUTE(LEFT(C166,_xlfn.AGGREGATE(16,6,FIND({0,1,2,3,4,5,6,7,8,9},C166,ROW(INDIRECT("1:"&amp;LEN(C166)))),1))," ",REPT(" ",LEN(C166))),LEN(C166)))</f>
        <v>7</v>
      </c>
      <c r="I167" s="37" t="str">
        <f ca="1">IF(D170=100%,"Excavation","")&amp;IF(D171=100%,", Plinth","")&amp;IF(D172=100%,", RCC Slab","")&amp;IF(D173=100%,", Brickwork","")&amp;IF(D174=100%,", Internal Plaster","")&amp;IF(D175=100%,", External Plaster","")&amp;IF(D176=100%,", Flooring","")&amp;IF(D177=100%,", Painting","")&amp;IF(D178=100%,", Building common Amenities","")</f>
        <v>Excavation, Plinth</v>
      </c>
      <c r="J167" s="38" t="str">
        <f ca="1">(IF(C170=0,"Work not yet Started.",IF(D170=25%,"Piling work in process",IF(D170=50%,"Excavation work in process",IF(D170=100%,"","0")))))&amp;(IF(C171=0%,"",IF(C171=J172,", Footing work is process",IF(C171=J173,", Footing work Completed",IF(C171=J174,", 1st Basement Completed",IF(C171=J175,", 1st &amp; 2nd Basement Completed",IF(C171=J176,", 1st to 3rd Basement Completed",IF(C171=J177,", 1st to 4th Basement Completed",IF(C171=J178,", Plinth work is process",IF(C171=J179,"","0"))))))))))</f>
        <v/>
      </c>
    </row>
    <row r="168" spans="1:10" x14ac:dyDescent="0.35">
      <c r="A168" s="84" t="s">
        <v>90</v>
      </c>
      <c r="B168" s="85"/>
      <c r="C168" s="86" t="str">
        <f ca="1">I166</f>
        <v>Excavation, Plinth Completed, RCC upto 7 Slab, Brickwork upto 4 Floor Completed</v>
      </c>
      <c r="D168" s="86"/>
      <c r="E168" s="86"/>
      <c r="F168" s="86"/>
      <c r="G168" s="86"/>
      <c r="H168" s="87"/>
      <c r="I168" s="37" t="str">
        <f ca="1">IF(I167&lt;&gt;""," Completed","")</f>
        <v xml:space="preserve"> Completed</v>
      </c>
      <c r="J168" s="38" t="str">
        <f ca="1">IF(J166&lt;&gt;"","Completed","")</f>
        <v>Completed</v>
      </c>
    </row>
    <row r="169" spans="1:10" ht="15.75" customHeight="1" x14ac:dyDescent="0.35">
      <c r="A169" s="88" t="s">
        <v>49</v>
      </c>
      <c r="B169" s="89"/>
      <c r="C169" s="64" t="s">
        <v>136</v>
      </c>
      <c r="D169" s="64" t="s">
        <v>83</v>
      </c>
      <c r="E169" s="89" t="s">
        <v>85</v>
      </c>
      <c r="F169" s="89"/>
      <c r="G169" s="89" t="s">
        <v>84</v>
      </c>
      <c r="H169" s="90"/>
      <c r="I169" s="13" t="s">
        <v>138</v>
      </c>
      <c r="J169" s="24">
        <f ca="1">H167*25%</f>
        <v>1.75</v>
      </c>
    </row>
    <row r="170" spans="1:10" x14ac:dyDescent="0.35">
      <c r="A170" s="88" t="s">
        <v>125</v>
      </c>
      <c r="B170" s="89"/>
      <c r="C170" s="64">
        <f ca="1">J171</f>
        <v>7</v>
      </c>
      <c r="D170" s="15">
        <f ca="1">((100/H167)*C170)/100</f>
        <v>1</v>
      </c>
      <c r="E170" s="97">
        <f ca="1">(((C171/H167*10)+(40/(D167+F167+H167)*C172)+(7.5/(H167)*C173)+(7.5/(H167)*C174)+(10/H167*C175)+(10/H167*C176)+(5/H167*C177)+(5/H167*C178)+(5/H167*C179))/100)</f>
        <v>0.49285714285714283</v>
      </c>
      <c r="F170" s="98"/>
      <c r="G170" s="97">
        <f ca="1">((((C170/H167)*20)+((C171/H167)*25)+(30/(H167+F167+D167)*C172)+(5/H167*C173)+(5/H167*C174)+(5/H167*C175)+(5/H167*C176)+(0/H167*C177)+(0/H167*C178)+(5/H167*C179))/100)</f>
        <v>0.7410714285714286</v>
      </c>
      <c r="H170" s="103"/>
      <c r="I170" s="13" t="s">
        <v>99</v>
      </c>
      <c r="J170" s="25">
        <f ca="1">H167*50%</f>
        <v>3.5</v>
      </c>
    </row>
    <row r="171" spans="1:10" x14ac:dyDescent="0.35">
      <c r="A171" s="88" t="s">
        <v>50</v>
      </c>
      <c r="B171" s="89"/>
      <c r="C171" s="51">
        <f ca="1">J179</f>
        <v>7</v>
      </c>
      <c r="D171" s="15">
        <f ca="1">((100/H167)*C171)/100</f>
        <v>1</v>
      </c>
      <c r="E171" s="99"/>
      <c r="F171" s="100"/>
      <c r="G171" s="99"/>
      <c r="H171" s="104"/>
      <c r="I171" s="13" t="s">
        <v>100</v>
      </c>
      <c r="J171" s="25">
        <f ca="1">H167</f>
        <v>7</v>
      </c>
    </row>
    <row r="172" spans="1:10" ht="15.75" customHeight="1" x14ac:dyDescent="0.35">
      <c r="A172" s="88" t="s">
        <v>126</v>
      </c>
      <c r="B172" s="89"/>
      <c r="C172" s="64">
        <v>7</v>
      </c>
      <c r="D172" s="15">
        <f ca="1">((100/(D167+F167+H167))*C172)/100</f>
        <v>0.875</v>
      </c>
      <c r="E172" s="99"/>
      <c r="F172" s="100"/>
      <c r="G172" s="99"/>
      <c r="H172" s="104"/>
      <c r="I172" s="13" t="s">
        <v>101</v>
      </c>
      <c r="J172" s="26">
        <f ca="1">(IF(B167&gt;1,(H167/(B167+2)),H167/4))</f>
        <v>1.75</v>
      </c>
    </row>
    <row r="173" spans="1:10" ht="15.75" customHeight="1" x14ac:dyDescent="0.35">
      <c r="A173" s="88" t="s">
        <v>133</v>
      </c>
      <c r="B173" s="89" t="s">
        <v>127</v>
      </c>
      <c r="C173" s="64">
        <v>4</v>
      </c>
      <c r="D173" s="15">
        <f ca="1">((100/H167)*C173)/100</f>
        <v>0.57142857142857151</v>
      </c>
      <c r="E173" s="99"/>
      <c r="F173" s="100"/>
      <c r="G173" s="99"/>
      <c r="H173" s="104"/>
      <c r="I173" s="13" t="s">
        <v>102</v>
      </c>
      <c r="J173" s="26">
        <f ca="1">(IF(B167&gt;1,(H167/(B167+2)+J172),H167/4+J172))</f>
        <v>3.5</v>
      </c>
    </row>
    <row r="174" spans="1:10" ht="15.75" customHeight="1" x14ac:dyDescent="0.35">
      <c r="A174" s="88" t="s">
        <v>134</v>
      </c>
      <c r="B174" s="89" t="s">
        <v>127</v>
      </c>
      <c r="C174" s="64">
        <v>0</v>
      </c>
      <c r="D174" s="15">
        <f ca="1">((100/H167)*C174)/100</f>
        <v>0</v>
      </c>
      <c r="E174" s="99"/>
      <c r="F174" s="100"/>
      <c r="G174" s="99"/>
      <c r="H174" s="104"/>
      <c r="I174" s="13" t="s">
        <v>143</v>
      </c>
      <c r="J174" s="26">
        <f>(IF(B167&gt;1,(H167/(B167+2)+J173),0))</f>
        <v>0</v>
      </c>
    </row>
    <row r="175" spans="1:10" ht="15" customHeight="1" x14ac:dyDescent="0.35">
      <c r="A175" s="88" t="s">
        <v>132</v>
      </c>
      <c r="B175" s="89" t="s">
        <v>129</v>
      </c>
      <c r="C175" s="64">
        <v>0</v>
      </c>
      <c r="D175" s="15">
        <f ca="1">((100/(H167))*C175)/100</f>
        <v>0</v>
      </c>
      <c r="E175" s="99"/>
      <c r="F175" s="100"/>
      <c r="G175" s="99"/>
      <c r="H175" s="104"/>
      <c r="I175" s="13" t="s">
        <v>140</v>
      </c>
      <c r="J175" s="26">
        <f>(IF(B167&gt;2,(H167/(B167+2)+J174),0))</f>
        <v>0</v>
      </c>
    </row>
    <row r="176" spans="1:10" ht="15.75" customHeight="1" x14ac:dyDescent="0.35">
      <c r="A176" s="88" t="s">
        <v>128</v>
      </c>
      <c r="B176" s="89" t="s">
        <v>128</v>
      </c>
      <c r="C176" s="64">
        <v>0</v>
      </c>
      <c r="D176" s="15">
        <f ca="1">((100/H167)*C176)/100</f>
        <v>0</v>
      </c>
      <c r="E176" s="99"/>
      <c r="F176" s="100"/>
      <c r="G176" s="99"/>
      <c r="H176" s="104"/>
      <c r="I176" s="13" t="s">
        <v>141</v>
      </c>
      <c r="J176" s="27">
        <f>(IF(B167&gt;3,(H167/(B167+2)+J175),0))</f>
        <v>0</v>
      </c>
    </row>
    <row r="177" spans="1:10" ht="15.75" customHeight="1" x14ac:dyDescent="0.35">
      <c r="A177" s="88" t="s">
        <v>135</v>
      </c>
      <c r="B177" s="89"/>
      <c r="C177" s="64">
        <v>0</v>
      </c>
      <c r="D177" s="15">
        <f ca="1">((100/H167)*C177)/100</f>
        <v>0</v>
      </c>
      <c r="E177" s="99"/>
      <c r="F177" s="100"/>
      <c r="G177" s="99"/>
      <c r="H177" s="104"/>
      <c r="I177" s="13" t="s">
        <v>142</v>
      </c>
      <c r="J177" s="26">
        <f>(IF(B167&gt;4,(H167/(B167+2)+J176),0))</f>
        <v>0</v>
      </c>
    </row>
    <row r="178" spans="1:10" ht="15.75" customHeight="1" x14ac:dyDescent="0.35">
      <c r="A178" s="88" t="s">
        <v>130</v>
      </c>
      <c r="B178" s="89" t="s">
        <v>130</v>
      </c>
      <c r="C178" s="64">
        <v>0</v>
      </c>
      <c r="D178" s="15">
        <f ca="1">((100/(H167))*C178)/100</f>
        <v>0</v>
      </c>
      <c r="E178" s="99"/>
      <c r="F178" s="100"/>
      <c r="G178" s="99"/>
      <c r="H178" s="104"/>
      <c r="I178" s="13" t="s">
        <v>144</v>
      </c>
      <c r="J178" s="26">
        <f ca="1">(IF(B167=1,(H167/(B167+3)+J173),IF(B167=0,(H167/4+J173),IF(B167&gt;1,0))))</f>
        <v>5.25</v>
      </c>
    </row>
    <row r="179" spans="1:10" ht="16" thickBot="1" x14ac:dyDescent="0.4">
      <c r="A179" s="106" t="s">
        <v>131</v>
      </c>
      <c r="B179" s="107"/>
      <c r="C179" s="65">
        <v>0</v>
      </c>
      <c r="D179" s="16">
        <f ca="1">((100/(H167))*C179)/100</f>
        <v>0</v>
      </c>
      <c r="E179" s="101"/>
      <c r="F179" s="102"/>
      <c r="G179" s="101"/>
      <c r="H179" s="105"/>
      <c r="I179" s="14" t="s">
        <v>103</v>
      </c>
      <c r="J179" s="28">
        <f ca="1">(IF(B167&gt;1.5,(H167/(B167+2)+J173+MAX(0,J174-J173)+MAX(0,J175-J174)+MAX(0,J176-J175)+MAX(0,J177-J176)+MAX(0,J178-J177)),IF(B167=1,(H167/(B167+3)+J178),IF(B167=0,H167/4+J178))))</f>
        <v>7</v>
      </c>
    </row>
    <row r="180" spans="1:10" x14ac:dyDescent="0.35">
      <c r="A180" s="79" t="s">
        <v>137</v>
      </c>
      <c r="B180" s="80"/>
      <c r="C180" s="81" t="s">
        <v>244</v>
      </c>
      <c r="D180" s="82"/>
      <c r="E180" s="82"/>
      <c r="F180" s="82"/>
      <c r="G180" s="82"/>
      <c r="H180" s="83"/>
      <c r="I180" s="35" t="str">
        <f ca="1">IF(D193=100%,"All work Completed. Possession granted to the Building.",IF(D192=100%,"All work Completed, Waiting for OC",I181&amp;""&amp;I182&amp;""&amp;J181&amp;""&amp;J180&amp;" "&amp;J182))</f>
        <v>Excavation, Plinth Completed, RCC upto 5 Slab, Brickwork upto 3 Floor Completed</v>
      </c>
      <c r="J180" s="36" t="str">
        <f ca="1">(IF(C186=(D181+F181+H181),"",IF(C186&gt;0,", RCC upto "&amp;C186&amp;" Slab","")))&amp;(IF(C187=H181,"",IF(C187&gt;0,", Brickwork upto "&amp;C187&amp;" Floor","")))&amp;(IF(C188=H181,"",IF(C188&gt;0,", Internal Plaster upto "&amp;C188&amp;" Floor","")))&amp;(IF(C189=H181,"",IF(C189&gt;0,", External Plaster upto "&amp;C189&amp;" Floor","")))&amp;(IF(C190=H181,"",IF(C190&gt;0,", Flooring upto "&amp;C190&amp;" Floor","")))&amp;(IF(C191=H181,"",IF(C191&gt;0,", Painting upto "&amp;C191&amp;" Floor","")))&amp;(IF(C192=H181,"",IF(C192&gt;0,", Finishing upto "&amp;C192&amp;" Floor","")))&amp;(IF(C193=H181,"",IF(C193&gt;0,", Possession upto "&amp;C193&amp;" Floor","")))</f>
        <v>, RCC upto 5 Slab, Brickwork upto 3 Floor</v>
      </c>
    </row>
    <row r="181" spans="1:10" x14ac:dyDescent="0.35">
      <c r="A181" s="49" t="s">
        <v>139</v>
      </c>
      <c r="B181" s="66">
        <v>0</v>
      </c>
      <c r="C181" s="66" t="s">
        <v>72</v>
      </c>
      <c r="D181" s="66">
        <v>1</v>
      </c>
      <c r="E181" s="66" t="s">
        <v>71</v>
      </c>
      <c r="F181" s="66">
        <v>0</v>
      </c>
      <c r="G181" s="66" t="s">
        <v>80</v>
      </c>
      <c r="H181" s="50">
        <f ca="1">--TRIM(RIGHT(SUBSTITUTE(LEFT(C180,_xlfn.AGGREGATE(16,6,FIND({0,1,2,3,4,5,6,7,8,9},C180,ROW(INDIRECT("1:"&amp;LEN(C180)))),1))," ",REPT(" ",LEN(C180))),LEN(C180)))</f>
        <v>7</v>
      </c>
      <c r="I181" s="37" t="str">
        <f ca="1">IF(D184=100%,"Excavation","")&amp;IF(D185=100%,", Plinth","")&amp;IF(D186=100%,", RCC Slab","")&amp;IF(D187=100%,", Brickwork","")&amp;IF(D188=100%,", Internal Plaster","")&amp;IF(D189=100%,", External Plaster","")&amp;IF(D190=100%,", Flooring","")&amp;IF(D191=100%,", Painting","")&amp;IF(D192=100%,", Building common Amenities","")</f>
        <v>Excavation, Plinth</v>
      </c>
      <c r="J181" s="38" t="str">
        <f ca="1">(IF(C184=0,"Work not yet Started.",IF(D184=25%,"Piling work in process",IF(D184=50%,"Excavation work in process",IF(D184=100%,"","0")))))&amp;(IF(C185=0%,"",IF(C185=J186,", Footing work is process",IF(C185=J187,", Footing work Completed",IF(C185=J188,", 1st Basement Completed",IF(C185=J189,", 1st &amp; 2nd Basement Completed",IF(C185=J190,", 1st to 3rd Basement Completed",IF(C185=J191,", 1st to 4th Basement Completed",IF(C185=J192,", Plinth work is process",IF(C185=J193,"","0"))))))))))</f>
        <v/>
      </c>
    </row>
    <row r="182" spans="1:10" x14ac:dyDescent="0.35">
      <c r="A182" s="84" t="s">
        <v>90</v>
      </c>
      <c r="B182" s="85"/>
      <c r="C182" s="86" t="str">
        <f ca="1">I180</f>
        <v>Excavation, Plinth Completed, RCC upto 5 Slab, Brickwork upto 3 Floor Completed</v>
      </c>
      <c r="D182" s="86"/>
      <c r="E182" s="86"/>
      <c r="F182" s="86"/>
      <c r="G182" s="86"/>
      <c r="H182" s="87"/>
      <c r="I182" s="37" t="str">
        <f ca="1">IF(I181&lt;&gt;""," Completed","")</f>
        <v xml:space="preserve"> Completed</v>
      </c>
      <c r="J182" s="38" t="str">
        <f ca="1">IF(J180&lt;&gt;"","Completed","")</f>
        <v>Completed</v>
      </c>
    </row>
    <row r="183" spans="1:10" ht="15.75" customHeight="1" x14ac:dyDescent="0.35">
      <c r="A183" s="88" t="s">
        <v>49</v>
      </c>
      <c r="B183" s="89"/>
      <c r="C183" s="64" t="s">
        <v>136</v>
      </c>
      <c r="D183" s="64" t="s">
        <v>83</v>
      </c>
      <c r="E183" s="89" t="s">
        <v>85</v>
      </c>
      <c r="F183" s="89"/>
      <c r="G183" s="89" t="s">
        <v>84</v>
      </c>
      <c r="H183" s="90"/>
      <c r="I183" s="13" t="s">
        <v>138</v>
      </c>
      <c r="J183" s="24">
        <f ca="1">H181*25%</f>
        <v>1.75</v>
      </c>
    </row>
    <row r="184" spans="1:10" x14ac:dyDescent="0.35">
      <c r="A184" s="89" t="s">
        <v>125</v>
      </c>
      <c r="B184" s="89"/>
      <c r="C184" s="67">
        <f ca="1">J185</f>
        <v>7</v>
      </c>
      <c r="D184" s="15">
        <f ca="1">((100/H181)*C184)/100</f>
        <v>1</v>
      </c>
      <c r="E184" s="91">
        <f ca="1">(((C185/H181*10)+(40/(D181+F181+H181)*C186)+(7.5/(H181)*C187)+(7.5/(H181)*C188)+(10/H181*C189)+(10/H181*C190)+(5/H181*C191)+(5/H181*C192)+(5/H181*C193))/100)</f>
        <v>0.38214285714285717</v>
      </c>
      <c r="F184" s="91"/>
      <c r="G184" s="91">
        <f ca="1">((((C184/H181)*20)+((C185/H181)*25)+(30/(H181+F181+D181)*C186)+(5/H181*C187)+(5/H181*C188)+(5/H181*C189)+(5/H181*C190)+(0/H181*C191)+(0/H181*C192)+(5/H181*C193))/100)</f>
        <v>0.65892857142857142</v>
      </c>
      <c r="H184" s="91"/>
      <c r="I184" s="13" t="s">
        <v>99</v>
      </c>
      <c r="J184" s="25">
        <f ca="1">H181*50%</f>
        <v>3.5</v>
      </c>
    </row>
    <row r="185" spans="1:10" x14ac:dyDescent="0.35">
      <c r="A185" s="89" t="s">
        <v>50</v>
      </c>
      <c r="B185" s="89"/>
      <c r="C185" s="51">
        <f ca="1">J193</f>
        <v>7</v>
      </c>
      <c r="D185" s="15">
        <f ca="1">((100/H181)*C185)/100</f>
        <v>1</v>
      </c>
      <c r="E185" s="91"/>
      <c r="F185" s="91"/>
      <c r="G185" s="91"/>
      <c r="H185" s="91"/>
      <c r="I185" s="13" t="s">
        <v>100</v>
      </c>
      <c r="J185" s="25">
        <f ca="1">H181</f>
        <v>7</v>
      </c>
    </row>
    <row r="186" spans="1:10" ht="15.75" customHeight="1" x14ac:dyDescent="0.35">
      <c r="A186" s="89" t="s">
        <v>126</v>
      </c>
      <c r="B186" s="89"/>
      <c r="C186" s="67">
        <v>5</v>
      </c>
      <c r="D186" s="15">
        <f ca="1">((100/(D181+F181+H181))*C186)/100</f>
        <v>0.625</v>
      </c>
      <c r="E186" s="91"/>
      <c r="F186" s="91"/>
      <c r="G186" s="91"/>
      <c r="H186" s="91"/>
      <c r="I186" s="13" t="s">
        <v>101</v>
      </c>
      <c r="J186" s="26">
        <f ca="1">(IF(B181&gt;1,(H181/(B181+2)),H181/4))</f>
        <v>1.75</v>
      </c>
    </row>
    <row r="187" spans="1:10" ht="15.75" customHeight="1" x14ac:dyDescent="0.35">
      <c r="A187" s="89" t="s">
        <v>133</v>
      </c>
      <c r="B187" s="89" t="s">
        <v>127</v>
      </c>
      <c r="C187" s="67">
        <v>3</v>
      </c>
      <c r="D187" s="15">
        <f ca="1">((100/H181)*C187)/100</f>
        <v>0.4285714285714286</v>
      </c>
      <c r="E187" s="91"/>
      <c r="F187" s="91"/>
      <c r="G187" s="91"/>
      <c r="H187" s="91"/>
      <c r="I187" s="13" t="s">
        <v>102</v>
      </c>
      <c r="J187" s="26">
        <f ca="1">(IF(B181&gt;1,(H181/(B181+2)+J186),H181/4+J186))</f>
        <v>3.5</v>
      </c>
    </row>
    <row r="188" spans="1:10" ht="15.75" customHeight="1" x14ac:dyDescent="0.35">
      <c r="A188" s="89" t="s">
        <v>134</v>
      </c>
      <c r="B188" s="89" t="s">
        <v>127</v>
      </c>
      <c r="C188" s="67">
        <v>0</v>
      </c>
      <c r="D188" s="15">
        <f ca="1">((100/H181)*C188)/100</f>
        <v>0</v>
      </c>
      <c r="E188" s="91"/>
      <c r="F188" s="91"/>
      <c r="G188" s="91"/>
      <c r="H188" s="91"/>
      <c r="I188" s="13" t="s">
        <v>143</v>
      </c>
      <c r="J188" s="26">
        <f>(IF(B181&gt;1,(H181/(B181+2)+J187),0))</f>
        <v>0</v>
      </c>
    </row>
    <row r="189" spans="1:10" ht="15" customHeight="1" x14ac:dyDescent="0.35">
      <c r="A189" s="89" t="s">
        <v>132</v>
      </c>
      <c r="B189" s="89" t="s">
        <v>129</v>
      </c>
      <c r="C189" s="67">
        <v>0</v>
      </c>
      <c r="D189" s="15">
        <f ca="1">((100/(H181))*C189)/100</f>
        <v>0</v>
      </c>
      <c r="E189" s="91"/>
      <c r="F189" s="91"/>
      <c r="G189" s="91"/>
      <c r="H189" s="91"/>
      <c r="I189" s="13" t="s">
        <v>140</v>
      </c>
      <c r="J189" s="26">
        <f>(IF(B181&gt;2,(H181/(B181+2)+J188),0))</f>
        <v>0</v>
      </c>
    </row>
    <row r="190" spans="1:10" ht="15.75" customHeight="1" x14ac:dyDescent="0.35">
      <c r="A190" s="89" t="s">
        <v>128</v>
      </c>
      <c r="B190" s="89" t="s">
        <v>128</v>
      </c>
      <c r="C190" s="67">
        <v>0</v>
      </c>
      <c r="D190" s="15">
        <f ca="1">((100/H181)*C190)/100</f>
        <v>0</v>
      </c>
      <c r="E190" s="91"/>
      <c r="F190" s="91"/>
      <c r="G190" s="91"/>
      <c r="H190" s="91"/>
      <c r="I190" s="13" t="s">
        <v>141</v>
      </c>
      <c r="J190" s="27">
        <f>(IF(B181&gt;3,(H181/(B181+2)+J189),0))</f>
        <v>0</v>
      </c>
    </row>
    <row r="191" spans="1:10" ht="15.75" customHeight="1" x14ac:dyDescent="0.35">
      <c r="A191" s="89" t="s">
        <v>135</v>
      </c>
      <c r="B191" s="89"/>
      <c r="C191" s="67">
        <v>0</v>
      </c>
      <c r="D191" s="15">
        <f ca="1">((100/H181)*C191)/100</f>
        <v>0</v>
      </c>
      <c r="E191" s="91"/>
      <c r="F191" s="91"/>
      <c r="G191" s="91"/>
      <c r="H191" s="91"/>
      <c r="I191" s="13" t="s">
        <v>142</v>
      </c>
      <c r="J191" s="26">
        <f>(IF(B181&gt;4,(H181/(B181+2)+J190),0))</f>
        <v>0</v>
      </c>
    </row>
    <row r="192" spans="1:10" ht="15.75" customHeight="1" x14ac:dyDescent="0.35">
      <c r="A192" s="89" t="s">
        <v>130</v>
      </c>
      <c r="B192" s="89" t="s">
        <v>130</v>
      </c>
      <c r="C192" s="67">
        <v>0</v>
      </c>
      <c r="D192" s="15">
        <f ca="1">((100/(H181))*C192)/100</f>
        <v>0</v>
      </c>
      <c r="E192" s="91"/>
      <c r="F192" s="91"/>
      <c r="G192" s="91"/>
      <c r="H192" s="91"/>
      <c r="I192" s="13" t="s">
        <v>144</v>
      </c>
      <c r="J192" s="26">
        <f ca="1">(IF(B181=1,(H181/(B181+3)+J187),IF(B181=0,(H181/4+J187),IF(B181&gt;1,0))))</f>
        <v>5.25</v>
      </c>
    </row>
    <row r="193" spans="1:10" ht="16" thickBot="1" x14ac:dyDescent="0.4">
      <c r="A193" s="89" t="s">
        <v>131</v>
      </c>
      <c r="B193" s="89"/>
      <c r="C193" s="67">
        <v>0</v>
      </c>
      <c r="D193" s="15">
        <f ca="1">((100/(H181))*C193)/100</f>
        <v>0</v>
      </c>
      <c r="E193" s="91"/>
      <c r="F193" s="91"/>
      <c r="G193" s="91"/>
      <c r="H193" s="91"/>
      <c r="I193" s="14" t="s">
        <v>103</v>
      </c>
      <c r="J193" s="28">
        <f ca="1">(IF(B181&gt;1.5,(H181/(B181+2)+J187+MAX(0,J188-J187)+MAX(0,J189-J188)+MAX(0,J190-J189)+MAX(0,J191-J190)+MAX(0,J192-J191)),IF(B181=1,(H181/(B181+3)+J192),IF(B181=0,H181/4+J192))))</f>
        <v>7</v>
      </c>
    </row>
    <row r="194" spans="1:10" ht="15.75" customHeight="1" x14ac:dyDescent="0.35">
      <c r="A194" s="86" t="s">
        <v>137</v>
      </c>
      <c r="B194" s="86"/>
      <c r="C194" s="86" t="s">
        <v>249</v>
      </c>
      <c r="D194" s="86"/>
      <c r="E194" s="86"/>
      <c r="F194" s="86"/>
      <c r="G194" s="86"/>
      <c r="H194" s="86"/>
      <c r="I194" s="70" t="str">
        <f ca="1">IF(D207=100%,"All work Completed. Possession granted to the Building.",IF(D206=100%,"All work Completed, Waiting for OC",I195&amp;""&amp;I196&amp;""&amp;J195&amp;""&amp;J194&amp;" "&amp;J196))</f>
        <v xml:space="preserve">Excavation Completed, Footing work Completed </v>
      </c>
      <c r="J194" s="36" t="str">
        <f ca="1">(IF(C200=(D195+F195+H195),"",IF(C200&gt;0,", RCC upto "&amp;C200&amp;" Slab","")))&amp;(IF(C201=H195,"",IF(C201&gt;0,", Brickwork upto "&amp;C201&amp;" Floor","")))&amp;(IF(C202=H195,"",IF(C202&gt;0,", Internal Plaster upto "&amp;C202&amp;" Floor","")))&amp;(IF(C203=H195,"",IF(C203&gt;0,", External Plaster upto "&amp;C203&amp;" Floor","")))&amp;(IF(C204=H195,"",IF(C204&gt;0,", Flooring upto "&amp;C204&amp;" Floor","")))&amp;(IF(C205=H195,"",IF(C205&gt;0,", Painting upto "&amp;C205&amp;" Floor","")))&amp;(IF(C206=H195,"",IF(C206&gt;0,", Finishing upto "&amp;C206&amp;" Floor","")))&amp;(IF(C207=H195,"",IF(C207&gt;0,", Possession upto "&amp;C207&amp;" Floor","")))</f>
        <v/>
      </c>
    </row>
    <row r="195" spans="1:10" x14ac:dyDescent="0.35">
      <c r="A195" s="69" t="s">
        <v>139</v>
      </c>
      <c r="B195" s="69">
        <v>0</v>
      </c>
      <c r="C195" s="69" t="s">
        <v>72</v>
      </c>
      <c r="D195" s="69">
        <v>1</v>
      </c>
      <c r="E195" s="69" t="s">
        <v>71</v>
      </c>
      <c r="F195" s="69">
        <v>0</v>
      </c>
      <c r="G195" s="69" t="s">
        <v>80</v>
      </c>
      <c r="H195" s="69">
        <f ca="1">--TRIM(RIGHT(SUBSTITUTE(LEFT(C194,_xlfn.AGGREGATE(16,6,FIND({0,1,2,3,4,5,6,7,8,9},C194,ROW(INDIRECT("1:"&amp;LEN(C194)))),1))," ",REPT(" ",LEN(C194))),LEN(C194)))</f>
        <v>7</v>
      </c>
      <c r="I195" s="71" t="str">
        <f ca="1">IF(D198=100%,"Excavation","")&amp;IF(D199=100%,", Plinth","")&amp;IF(D200=100%,", RCC Slab","")&amp;IF(D201=100%,", Brickwork","")&amp;IF(D202=100%,", Internal Plaster","")&amp;IF(D203=100%,", External Plaster","")&amp;IF(D204=100%,", Flooring","")&amp;IF(D205=100%,", Painting","")&amp;IF(D206=100%,", Building common Amenities","")</f>
        <v>Excavation</v>
      </c>
      <c r="J195" s="38" t="str">
        <f ca="1">(IF(C198=0,"Work not yet Started.",IF(D198=25%,"Piling work in process",IF(D198=50%,"Excavation work in process",IF(D198=100%,"","0")))))&amp;(IF(C199=0%,"",IF(C199=J200,", Footing work is process",IF(C199=J201,", Footing work Completed",IF(C199=J202,", 1st Basement Completed",IF(C199=J203,", 1st &amp; 2nd Basement Completed",IF(C199=J204,", 1st to 3rd Basement Completed",IF(C199=J205,", 1st to 4th Basement Completed",IF(C199=J206,", Plinth work is process",IF(C199=J207,"","0"))))))))))</f>
        <v>, Footing work Completed</v>
      </c>
    </row>
    <row r="196" spans="1:10" x14ac:dyDescent="0.35">
      <c r="A196" s="85" t="s">
        <v>90</v>
      </c>
      <c r="B196" s="85"/>
      <c r="C196" s="86" t="str">
        <f ca="1">(IF($G$52="NA",I194,"All work Completed. OC Received."))</f>
        <v xml:space="preserve">Excavation Completed, Footing work Completed </v>
      </c>
      <c r="D196" s="86"/>
      <c r="E196" s="86"/>
      <c r="F196" s="86"/>
      <c r="G196" s="86"/>
      <c r="H196" s="86"/>
      <c r="I196" s="71" t="str">
        <f ca="1">IF(I195&lt;&gt;""," Completed","")</f>
        <v xml:space="preserve"> Completed</v>
      </c>
      <c r="J196" s="38" t="str">
        <f ca="1">IF(J194&lt;&gt;"","Completed","")</f>
        <v/>
      </c>
    </row>
    <row r="197" spans="1:10" ht="15.75" customHeight="1" x14ac:dyDescent="0.35">
      <c r="A197" s="143" t="s">
        <v>49</v>
      </c>
      <c r="B197" s="143"/>
      <c r="C197" s="68" t="s">
        <v>136</v>
      </c>
      <c r="D197" s="68" t="s">
        <v>83</v>
      </c>
      <c r="E197" s="143" t="s">
        <v>85</v>
      </c>
      <c r="F197" s="143"/>
      <c r="G197" s="143" t="s">
        <v>84</v>
      </c>
      <c r="H197" s="143"/>
      <c r="I197" s="13" t="s">
        <v>138</v>
      </c>
      <c r="J197" s="24">
        <f ca="1">H195*25%</f>
        <v>1.75</v>
      </c>
    </row>
    <row r="198" spans="1:10" x14ac:dyDescent="0.35">
      <c r="A198" s="143" t="s">
        <v>125</v>
      </c>
      <c r="B198" s="143"/>
      <c r="C198" s="68">
        <f ca="1">J199</f>
        <v>7</v>
      </c>
      <c r="D198" s="40">
        <f ca="1">((100/H195)*C198)/100</f>
        <v>1</v>
      </c>
      <c r="E198" s="159">
        <f ca="1">(((C199/H195*10)+(40/(D195+F195+H195)*C200)+(7.5/(H195)*C201)+(7.5/(H195)*C202)+(10/H195*C203)+(10/H195*C204)+(5/H195*C205)+(5/H195*C206)+(5/H195*C207))/100)</f>
        <v>0.05</v>
      </c>
      <c r="F198" s="159"/>
      <c r="G198" s="159">
        <f ca="1">((((C198/H195)*20)+((C199/H195)*25)+(30/(H195+F195+D195)*C200)+(5/H195*C201)+(5/H195*C202)+(5/H195*C203)+(5/H195*C204)+(0/H195*C205)+(0/H195*C206)+(5/H195*C207))/100)</f>
        <v>0.32500000000000001</v>
      </c>
      <c r="H198" s="159"/>
      <c r="I198" s="13" t="s">
        <v>99</v>
      </c>
      <c r="J198" s="25">
        <f ca="1">H195*50%</f>
        <v>3.5</v>
      </c>
    </row>
    <row r="199" spans="1:10" x14ac:dyDescent="0.35">
      <c r="A199" s="143" t="s">
        <v>50</v>
      </c>
      <c r="B199" s="143"/>
      <c r="C199" s="72">
        <f ca="1">J201</f>
        <v>3.5</v>
      </c>
      <c r="D199" s="40">
        <f ca="1">((100/H195)*C199)/100</f>
        <v>0.5</v>
      </c>
      <c r="E199" s="159"/>
      <c r="F199" s="159"/>
      <c r="G199" s="159"/>
      <c r="H199" s="159"/>
      <c r="I199" s="13" t="s">
        <v>100</v>
      </c>
      <c r="J199" s="25">
        <f ca="1">H195</f>
        <v>7</v>
      </c>
    </row>
    <row r="200" spans="1:10" ht="15.75" customHeight="1" x14ac:dyDescent="0.35">
      <c r="A200" s="143" t="s">
        <v>126</v>
      </c>
      <c r="B200" s="143"/>
      <c r="C200" s="68">
        <v>0</v>
      </c>
      <c r="D200" s="40">
        <f ca="1">((100/(D195+F195+H195))*C200)/100</f>
        <v>0</v>
      </c>
      <c r="E200" s="159"/>
      <c r="F200" s="159"/>
      <c r="G200" s="159"/>
      <c r="H200" s="159"/>
      <c r="I200" s="13" t="s">
        <v>101</v>
      </c>
      <c r="J200" s="26">
        <f ca="1">(IF(B195&gt;1,(H195/(B195+2)),H195/4))</f>
        <v>1.75</v>
      </c>
    </row>
    <row r="201" spans="1:10" ht="15.75" customHeight="1" x14ac:dyDescent="0.35">
      <c r="A201" s="143" t="s">
        <v>133</v>
      </c>
      <c r="B201" s="143" t="s">
        <v>127</v>
      </c>
      <c r="C201" s="68">
        <v>0</v>
      </c>
      <c r="D201" s="40">
        <f ca="1">((100/H195)*C201)/100</f>
        <v>0</v>
      </c>
      <c r="E201" s="159"/>
      <c r="F201" s="159"/>
      <c r="G201" s="159"/>
      <c r="H201" s="159"/>
      <c r="I201" s="13" t="s">
        <v>102</v>
      </c>
      <c r="J201" s="26">
        <f ca="1">(IF(B195&gt;1,(H195/(B195+2)+J200),H195/4+J200))</f>
        <v>3.5</v>
      </c>
    </row>
    <row r="202" spans="1:10" ht="15.75" customHeight="1" x14ac:dyDescent="0.35">
      <c r="A202" s="143" t="s">
        <v>134</v>
      </c>
      <c r="B202" s="143" t="s">
        <v>127</v>
      </c>
      <c r="C202" s="68">
        <v>0</v>
      </c>
      <c r="D202" s="40">
        <f ca="1">((100/H195)*C202)/100</f>
        <v>0</v>
      </c>
      <c r="E202" s="159"/>
      <c r="F202" s="159"/>
      <c r="G202" s="159"/>
      <c r="H202" s="159"/>
      <c r="I202" s="13" t="s">
        <v>143</v>
      </c>
      <c r="J202" s="26">
        <f>(IF(B195&gt;1,(H195/(B195+2)+J201),0))</f>
        <v>0</v>
      </c>
    </row>
    <row r="203" spans="1:10" ht="15" customHeight="1" x14ac:dyDescent="0.35">
      <c r="A203" s="143" t="s">
        <v>132</v>
      </c>
      <c r="B203" s="143" t="s">
        <v>129</v>
      </c>
      <c r="C203" s="68">
        <v>0</v>
      </c>
      <c r="D203" s="40">
        <f ca="1">((100/(H195))*C203)/100</f>
        <v>0</v>
      </c>
      <c r="E203" s="159"/>
      <c r="F203" s="159"/>
      <c r="G203" s="159"/>
      <c r="H203" s="159"/>
      <c r="I203" s="13" t="s">
        <v>140</v>
      </c>
      <c r="J203" s="26">
        <f>(IF(B195&gt;2,(H195/(B195+2)+J202),0))</f>
        <v>0</v>
      </c>
    </row>
    <row r="204" spans="1:10" ht="15.75" customHeight="1" x14ac:dyDescent="0.35">
      <c r="A204" s="143" t="s">
        <v>128</v>
      </c>
      <c r="B204" s="143" t="s">
        <v>128</v>
      </c>
      <c r="C204" s="68">
        <v>0</v>
      </c>
      <c r="D204" s="40">
        <f ca="1">((100/H195)*C204)/100</f>
        <v>0</v>
      </c>
      <c r="E204" s="159"/>
      <c r="F204" s="159"/>
      <c r="G204" s="159"/>
      <c r="H204" s="159"/>
      <c r="I204" s="13" t="s">
        <v>141</v>
      </c>
      <c r="J204" s="27">
        <f>(IF(B195&gt;3,(H195/(B195+2)+J203),0))</f>
        <v>0</v>
      </c>
    </row>
    <row r="205" spans="1:10" ht="15.75" customHeight="1" x14ac:dyDescent="0.35">
      <c r="A205" s="143" t="s">
        <v>135</v>
      </c>
      <c r="B205" s="143"/>
      <c r="C205" s="68">
        <v>0</v>
      </c>
      <c r="D205" s="40">
        <f ca="1">((100/H195)*C205)/100</f>
        <v>0</v>
      </c>
      <c r="E205" s="159"/>
      <c r="F205" s="159"/>
      <c r="G205" s="159"/>
      <c r="H205" s="159"/>
      <c r="I205" s="13" t="s">
        <v>142</v>
      </c>
      <c r="J205" s="26">
        <f>(IF(B195&gt;4,(H195/(B195+2)+J204),0))</f>
        <v>0</v>
      </c>
    </row>
    <row r="206" spans="1:10" ht="15.75" customHeight="1" x14ac:dyDescent="0.35">
      <c r="A206" s="143" t="s">
        <v>130</v>
      </c>
      <c r="B206" s="143" t="s">
        <v>130</v>
      </c>
      <c r="C206" s="68">
        <v>0</v>
      </c>
      <c r="D206" s="40">
        <f ca="1">((100/(H195))*C206)/100</f>
        <v>0</v>
      </c>
      <c r="E206" s="159"/>
      <c r="F206" s="159"/>
      <c r="G206" s="159"/>
      <c r="H206" s="159"/>
      <c r="I206" s="13" t="s">
        <v>144</v>
      </c>
      <c r="J206" s="26">
        <f ca="1">(IF(B195=1,(H195/(B195+3)+J201),IF(B195=0,(H195/4+J201),IF(B195&gt;1,0))))</f>
        <v>5.25</v>
      </c>
    </row>
    <row r="207" spans="1:10" ht="16" thickBot="1" x14ac:dyDescent="0.4">
      <c r="A207" s="143" t="s">
        <v>131</v>
      </c>
      <c r="B207" s="143"/>
      <c r="C207" s="68">
        <v>0</v>
      </c>
      <c r="D207" s="40">
        <f ca="1">((100/(H195))*C207)/100</f>
        <v>0</v>
      </c>
      <c r="E207" s="159"/>
      <c r="F207" s="159"/>
      <c r="G207" s="159"/>
      <c r="H207" s="159"/>
      <c r="I207" s="14" t="s">
        <v>103</v>
      </c>
      <c r="J207" s="28">
        <f ca="1">(IF(B195&gt;1.5,(H195/(B195+2)+J201+MAX(0,J202-J201)+MAX(0,J203-J202)+MAX(0,J204-J203)+MAX(0,J205-J204)+MAX(0,J206-J205)),IF(B195=1,(H195/(B195+3)+J206),IF(B195=0,H195/4+J206))))</f>
        <v>7</v>
      </c>
    </row>
    <row r="208" spans="1:10" ht="15.75" customHeight="1" x14ac:dyDescent="0.35">
      <c r="A208" s="86" t="s">
        <v>137</v>
      </c>
      <c r="B208" s="86"/>
      <c r="C208" s="86" t="s">
        <v>250</v>
      </c>
      <c r="D208" s="86"/>
      <c r="E208" s="86"/>
      <c r="F208" s="86"/>
      <c r="G208" s="86"/>
      <c r="H208" s="86"/>
      <c r="I208" s="70" t="str">
        <f ca="1">IF(D221=100%,"All work Completed. Possession granted to the Building.",IF(D220=100%,"All work Completed, Waiting for OC",I209&amp;""&amp;I210&amp;""&amp;J209&amp;""&amp;J208&amp;" "&amp;J210))</f>
        <v xml:space="preserve">Excavation Completed, Plinth work is process </v>
      </c>
      <c r="J208" s="36" t="str">
        <f ca="1">(IF(C214=(D209+F209+H209),"",IF(C214&gt;0,", RCC upto "&amp;C214&amp;" Slab","")))&amp;(IF(C215=H209,"",IF(C215&gt;0,", Brickwork upto "&amp;C215&amp;" Floor","")))&amp;(IF(C216=H209,"",IF(C216&gt;0,", Internal Plaster upto "&amp;C216&amp;" Floor","")))&amp;(IF(C217=H209,"",IF(C217&gt;0,", External Plaster upto "&amp;C217&amp;" Floor","")))&amp;(IF(C218=H209,"",IF(C218&gt;0,", Flooring upto "&amp;C218&amp;" Floor","")))&amp;(IF(C219=H209,"",IF(C219&gt;0,", Painting upto "&amp;C219&amp;" Floor","")))&amp;(IF(C220=H209,"",IF(C220&gt;0,", Finishing upto "&amp;C220&amp;" Floor","")))&amp;(IF(C221=H209,"",IF(C221&gt;0,", Possession upto "&amp;C221&amp;" Floor","")))</f>
        <v/>
      </c>
    </row>
    <row r="209" spans="1:10" x14ac:dyDescent="0.35">
      <c r="A209" s="78" t="s">
        <v>139</v>
      </c>
      <c r="B209" s="78">
        <v>0</v>
      </c>
      <c r="C209" s="78" t="s">
        <v>72</v>
      </c>
      <c r="D209" s="78">
        <v>1</v>
      </c>
      <c r="E209" s="78" t="s">
        <v>71</v>
      </c>
      <c r="F209" s="78">
        <v>0</v>
      </c>
      <c r="G209" s="78" t="s">
        <v>80</v>
      </c>
      <c r="H209" s="78">
        <f ca="1">--TRIM(RIGHT(SUBSTITUTE(LEFT(C208,_xlfn.AGGREGATE(16,6,FIND({0,1,2,3,4,5,6,7,8,9},C208,ROW(INDIRECT("1:"&amp;LEN(C208)))),1))," ",REPT(" ",LEN(C208))),LEN(C208)))</f>
        <v>7</v>
      </c>
      <c r="I209" s="71" t="str">
        <f ca="1">IF(D212=100%,"Excavation","")&amp;IF(D213=100%,", Plinth","")&amp;IF(D214=100%,", RCC Slab","")&amp;IF(D215=100%,", Brickwork","")&amp;IF(D216=100%,", Internal Plaster","")&amp;IF(D217=100%,", External Plaster","")&amp;IF(D218=100%,", Flooring","")&amp;IF(D219=100%,", Painting","")&amp;IF(D220=100%,", Building common Amenities","")</f>
        <v>Excavation</v>
      </c>
      <c r="J209" s="38" t="str">
        <f ca="1">(IF(C212=0,"Work not yet Started.",IF(D212=25%,"Piling work in process",IF(D212=50%,"Excavation work in process",IF(D212=100%,"","0")))))&amp;(IF(C213=0%,"",IF(C213=J214,", Footing work is process",IF(C213=J215,", Footing work Completed",IF(C213=J216,", 1st Basement Completed",IF(C213=J217,", 1st &amp; 2nd Basement Completed",IF(C213=J218,", 1st to 3rd Basement Completed",IF(C213=J219,", 1st to 4th Basement Completed",IF(C213=J220,", Plinth work is process",IF(C213=J221,"","0"))))))))))</f>
        <v>, Plinth work is process</v>
      </c>
    </row>
    <row r="210" spans="1:10" x14ac:dyDescent="0.35">
      <c r="A210" s="85" t="s">
        <v>90</v>
      </c>
      <c r="B210" s="85"/>
      <c r="C210" s="86" t="str">
        <f ca="1">(IF($G$52="NA",I208,"All work Completed. OC Received."))</f>
        <v xml:space="preserve">Excavation Completed, Plinth work is process </v>
      </c>
      <c r="D210" s="86"/>
      <c r="E210" s="86"/>
      <c r="F210" s="86"/>
      <c r="G210" s="86"/>
      <c r="H210" s="86"/>
      <c r="I210" s="71" t="str">
        <f ca="1">IF(I209&lt;&gt;""," Completed","")</f>
        <v xml:space="preserve"> Completed</v>
      </c>
      <c r="J210" s="38" t="str">
        <f ca="1">IF(J208&lt;&gt;"","Completed","")</f>
        <v/>
      </c>
    </row>
    <row r="211" spans="1:10" ht="15.75" customHeight="1" x14ac:dyDescent="0.35">
      <c r="A211" s="143" t="s">
        <v>49</v>
      </c>
      <c r="B211" s="143"/>
      <c r="C211" s="77" t="s">
        <v>136</v>
      </c>
      <c r="D211" s="77" t="s">
        <v>83</v>
      </c>
      <c r="E211" s="143" t="s">
        <v>85</v>
      </c>
      <c r="F211" s="143"/>
      <c r="G211" s="143" t="s">
        <v>84</v>
      </c>
      <c r="H211" s="143"/>
      <c r="I211" s="13" t="s">
        <v>138</v>
      </c>
      <c r="J211" s="24">
        <f ca="1">H209*25%</f>
        <v>1.75</v>
      </c>
    </row>
    <row r="212" spans="1:10" x14ac:dyDescent="0.35">
      <c r="A212" s="143" t="s">
        <v>125</v>
      </c>
      <c r="B212" s="143"/>
      <c r="C212" s="77">
        <f ca="1">J213</f>
        <v>7</v>
      </c>
      <c r="D212" s="40">
        <f ca="1">((100/H209)*C212)/100</f>
        <v>1</v>
      </c>
      <c r="E212" s="159">
        <f ca="1">(((C213/H209*10)+(40/(D209+F209+H209)*C214)+(7.5/(H209)*C215)+(7.5/(H209)*C216)+(10/H209*C217)+(10/H209*C218)+(5/H209*C219)+(5/H209*C220)+(5/H209*C221))/100)</f>
        <v>7.4999999999999997E-2</v>
      </c>
      <c r="F212" s="159"/>
      <c r="G212" s="159">
        <f ca="1">((((C212/H209)*20)+((C213/H209)*25)+(30/(H209+F209+D209)*C214)+(5/H209*C215)+(5/H209*C216)+(5/H209*C217)+(5/H209*C218)+(0/H209*C219)+(0/H209*C220)+(5/H209*C221))/100)</f>
        <v>0.38750000000000001</v>
      </c>
      <c r="H212" s="159"/>
      <c r="I212" s="13" t="s">
        <v>99</v>
      </c>
      <c r="J212" s="25">
        <f ca="1">H209*50%</f>
        <v>3.5</v>
      </c>
    </row>
    <row r="213" spans="1:10" x14ac:dyDescent="0.35">
      <c r="A213" s="143" t="s">
        <v>50</v>
      </c>
      <c r="B213" s="143"/>
      <c r="C213" s="72">
        <f ca="1">J220</f>
        <v>5.25</v>
      </c>
      <c r="D213" s="40">
        <f ca="1">((100/H209)*C213)/100</f>
        <v>0.75</v>
      </c>
      <c r="E213" s="159"/>
      <c r="F213" s="159"/>
      <c r="G213" s="159"/>
      <c r="H213" s="159"/>
      <c r="I213" s="13" t="s">
        <v>100</v>
      </c>
      <c r="J213" s="25">
        <f ca="1">H209</f>
        <v>7</v>
      </c>
    </row>
    <row r="214" spans="1:10" ht="15.75" customHeight="1" x14ac:dyDescent="0.35">
      <c r="A214" s="143" t="s">
        <v>126</v>
      </c>
      <c r="B214" s="143"/>
      <c r="C214" s="77">
        <v>0</v>
      </c>
      <c r="D214" s="40">
        <f ca="1">((100/(D209+F209+H209))*C214)/100</f>
        <v>0</v>
      </c>
      <c r="E214" s="159"/>
      <c r="F214" s="159"/>
      <c r="G214" s="159"/>
      <c r="H214" s="159"/>
      <c r="I214" s="13" t="s">
        <v>101</v>
      </c>
      <c r="J214" s="26">
        <f ca="1">(IF(B209&gt;1,(H209/(B209+2)),H209/4))</f>
        <v>1.75</v>
      </c>
    </row>
    <row r="215" spans="1:10" ht="15.75" customHeight="1" x14ac:dyDescent="0.35">
      <c r="A215" s="143" t="s">
        <v>133</v>
      </c>
      <c r="B215" s="143" t="s">
        <v>127</v>
      </c>
      <c r="C215" s="77">
        <v>0</v>
      </c>
      <c r="D215" s="40">
        <f ca="1">((100/H209)*C215)/100</f>
        <v>0</v>
      </c>
      <c r="E215" s="159"/>
      <c r="F215" s="159"/>
      <c r="G215" s="159"/>
      <c r="H215" s="159"/>
      <c r="I215" s="13" t="s">
        <v>102</v>
      </c>
      <c r="J215" s="26">
        <f ca="1">(IF(B209&gt;1,(H209/(B209+2)+J214),H209/4+J214))</f>
        <v>3.5</v>
      </c>
    </row>
    <row r="216" spans="1:10" ht="15.75" customHeight="1" x14ac:dyDescent="0.35">
      <c r="A216" s="143" t="s">
        <v>134</v>
      </c>
      <c r="B216" s="143" t="s">
        <v>127</v>
      </c>
      <c r="C216" s="77">
        <v>0</v>
      </c>
      <c r="D216" s="40">
        <f ca="1">((100/H209)*C216)/100</f>
        <v>0</v>
      </c>
      <c r="E216" s="159"/>
      <c r="F216" s="159"/>
      <c r="G216" s="159"/>
      <c r="H216" s="159"/>
      <c r="I216" s="13" t="s">
        <v>143</v>
      </c>
      <c r="J216" s="26">
        <f>(IF(B209&gt;1,(H209/(B209+2)+J215),0))</f>
        <v>0</v>
      </c>
    </row>
    <row r="217" spans="1:10" ht="15" customHeight="1" x14ac:dyDescent="0.35">
      <c r="A217" s="143" t="s">
        <v>132</v>
      </c>
      <c r="B217" s="143" t="s">
        <v>129</v>
      </c>
      <c r="C217" s="77">
        <v>0</v>
      </c>
      <c r="D217" s="40">
        <f ca="1">((100/(H209))*C217)/100</f>
        <v>0</v>
      </c>
      <c r="E217" s="159"/>
      <c r="F217" s="159"/>
      <c r="G217" s="159"/>
      <c r="H217" s="159"/>
      <c r="I217" s="13" t="s">
        <v>140</v>
      </c>
      <c r="J217" s="26">
        <f>(IF(B209&gt;2,(H209/(B209+2)+J216),0))</f>
        <v>0</v>
      </c>
    </row>
    <row r="218" spans="1:10" ht="15.75" customHeight="1" x14ac:dyDescent="0.35">
      <c r="A218" s="143" t="s">
        <v>128</v>
      </c>
      <c r="B218" s="143" t="s">
        <v>128</v>
      </c>
      <c r="C218" s="77">
        <v>0</v>
      </c>
      <c r="D218" s="40">
        <f ca="1">((100/H209)*C218)/100</f>
        <v>0</v>
      </c>
      <c r="E218" s="159"/>
      <c r="F218" s="159"/>
      <c r="G218" s="159"/>
      <c r="H218" s="159"/>
      <c r="I218" s="13" t="s">
        <v>141</v>
      </c>
      <c r="J218" s="27">
        <f>(IF(B209&gt;3,(H209/(B209+2)+J217),0))</f>
        <v>0</v>
      </c>
    </row>
    <row r="219" spans="1:10" ht="15.75" customHeight="1" x14ac:dyDescent="0.35">
      <c r="A219" s="143" t="s">
        <v>135</v>
      </c>
      <c r="B219" s="143"/>
      <c r="C219" s="77">
        <v>0</v>
      </c>
      <c r="D219" s="40">
        <f ca="1">((100/H209)*C219)/100</f>
        <v>0</v>
      </c>
      <c r="E219" s="159"/>
      <c r="F219" s="159"/>
      <c r="G219" s="159"/>
      <c r="H219" s="159"/>
      <c r="I219" s="13" t="s">
        <v>142</v>
      </c>
      <c r="J219" s="26">
        <f>(IF(B209&gt;4,(H209/(B209+2)+J218),0))</f>
        <v>0</v>
      </c>
    </row>
    <row r="220" spans="1:10" ht="15.75" customHeight="1" x14ac:dyDescent="0.35">
      <c r="A220" s="143" t="s">
        <v>130</v>
      </c>
      <c r="B220" s="143" t="s">
        <v>130</v>
      </c>
      <c r="C220" s="77">
        <v>0</v>
      </c>
      <c r="D220" s="40">
        <f ca="1">((100/(H209))*C220)/100</f>
        <v>0</v>
      </c>
      <c r="E220" s="159"/>
      <c r="F220" s="159"/>
      <c r="G220" s="159"/>
      <c r="H220" s="159"/>
      <c r="I220" s="13" t="s">
        <v>144</v>
      </c>
      <c r="J220" s="26">
        <f ca="1">(IF(B209=1,(H209/(B209+3)+J215),IF(B209=0,(H209/4+J215),IF(B209&gt;1,0))))</f>
        <v>5.25</v>
      </c>
    </row>
    <row r="221" spans="1:10" ht="16" thickBot="1" x14ac:dyDescent="0.4">
      <c r="A221" s="143" t="s">
        <v>131</v>
      </c>
      <c r="B221" s="143"/>
      <c r="C221" s="77">
        <v>0</v>
      </c>
      <c r="D221" s="40">
        <f ca="1">((100/(H209))*C221)/100</f>
        <v>0</v>
      </c>
      <c r="E221" s="159"/>
      <c r="F221" s="159"/>
      <c r="G221" s="159"/>
      <c r="H221" s="159"/>
      <c r="I221" s="14" t="s">
        <v>103</v>
      </c>
      <c r="J221" s="28">
        <f ca="1">(IF(B209&gt;1.5,(H209/(B209+2)+J215+MAX(0,J216-J215)+MAX(0,J217-J216)+MAX(0,J218-J217)+MAX(0,J219-J218)+MAX(0,J220-J219)),IF(B209=1,(H209/(B209+3)+J220),IF(B209=0,H209/4+J220))))</f>
        <v>7</v>
      </c>
    </row>
    <row r="222" spans="1:10" ht="15.75" customHeight="1" x14ac:dyDescent="0.35">
      <c r="A222" s="86" t="s">
        <v>137</v>
      </c>
      <c r="B222" s="86"/>
      <c r="C222" s="86" t="str">
        <f>D60</f>
        <v>Building No.2 Wing C to F = Gr/St + 1st to 5th Floor</v>
      </c>
      <c r="D222" s="86"/>
      <c r="E222" s="86"/>
      <c r="F222" s="86"/>
      <c r="G222" s="86"/>
      <c r="H222" s="86"/>
      <c r="I222" s="70" t="str">
        <f ca="1">IF(D235=100%,"All work Completed. Possession granted to the Building.",IF(D234=100%,"All work Completed, Waiting for OC",I223&amp;""&amp;I224&amp;""&amp;J223&amp;""&amp;J222&amp;" "&amp;J224))</f>
        <v xml:space="preserve">Excavation Completed, Plinth work is process </v>
      </c>
      <c r="J222" s="36" t="str">
        <f ca="1">(IF(C228=(D223+F223+H223),"",IF(C228&gt;0,", RCC upto "&amp;C228&amp;" Slab","")))&amp;(IF(C229=H223,"",IF(C229&gt;0,", Brickwork upto "&amp;C229&amp;" Floor","")))&amp;(IF(C230=H223,"",IF(C230&gt;0,", Internal Plaster upto "&amp;C230&amp;" Floor","")))&amp;(IF(C231=H223,"",IF(C231&gt;0,", External Plaster upto "&amp;C231&amp;" Floor","")))&amp;(IF(C232=H223,"",IF(C232&gt;0,", Flooring upto "&amp;C232&amp;" Floor","")))&amp;(IF(C233=H223,"",IF(C233&gt;0,", Painting upto "&amp;C233&amp;" Floor","")))&amp;(IF(C234=H223,"",IF(C234&gt;0,", Finishing upto "&amp;C234&amp;" Floor","")))&amp;(IF(C235=H223,"",IF(C235&gt;0,", Possession upto "&amp;C235&amp;" Floor","")))</f>
        <v/>
      </c>
    </row>
    <row r="223" spans="1:10" x14ac:dyDescent="0.35">
      <c r="A223" s="78" t="s">
        <v>139</v>
      </c>
      <c r="B223" s="78">
        <v>0</v>
      </c>
      <c r="C223" s="78" t="s">
        <v>72</v>
      </c>
      <c r="D223" s="78">
        <v>1</v>
      </c>
      <c r="E223" s="78" t="s">
        <v>71</v>
      </c>
      <c r="F223" s="78">
        <v>0</v>
      </c>
      <c r="G223" s="78" t="s">
        <v>80</v>
      </c>
      <c r="H223" s="78">
        <f ca="1">--TRIM(RIGHT(SUBSTITUTE(LEFT(C222,_xlfn.AGGREGATE(16,6,FIND({0,1,2,3,4,5,6,7,8,9},C222,ROW(INDIRECT("1:"&amp;LEN(C222)))),1))," ",REPT(" ",LEN(C222))),LEN(C222)))</f>
        <v>5</v>
      </c>
      <c r="I223" s="71" t="str">
        <f ca="1">IF(D226=100%,"Excavation","")&amp;IF(D227=100%,", Plinth","")&amp;IF(D228=100%,", RCC Slab","")&amp;IF(D229=100%,", Brickwork","")&amp;IF(D230=100%,", Internal Plaster","")&amp;IF(D231=100%,", External Plaster","")&amp;IF(D232=100%,", Flooring","")&amp;IF(D233=100%,", Painting","")&amp;IF(D234=100%,", Building common Amenities","")</f>
        <v>Excavation</v>
      </c>
      <c r="J223" s="38" t="str">
        <f ca="1">(IF(C226=0,"Work not yet Started.",IF(D226=25%,"Piling work in process",IF(D226=50%,"Excavation work in process",IF(D226=100%,"","0")))))&amp;(IF(C227=0%,"",IF(C227=J228,", Footing work is process",IF(C227=J229,", Footing work Completed",IF(C227=J230,", 1st Basement Completed",IF(C227=J231,", 1st &amp; 2nd Basement Completed",IF(C227=J232,", 1st to 3rd Basement Completed",IF(C227=J233,", 1st to 4th Basement Completed",IF(C227=J234,", Plinth work is process",IF(C227=J235,"","0"))))))))))</f>
        <v>, Plinth work is process</v>
      </c>
    </row>
    <row r="224" spans="1:10" x14ac:dyDescent="0.35">
      <c r="A224" s="85" t="s">
        <v>90</v>
      </c>
      <c r="B224" s="85"/>
      <c r="C224" s="86" t="str">
        <f ca="1">(IF($G$52="NA",I222,"All work Completed. OC Received."))</f>
        <v xml:space="preserve">Excavation Completed, Plinth work is process </v>
      </c>
      <c r="D224" s="86"/>
      <c r="E224" s="86"/>
      <c r="F224" s="86"/>
      <c r="G224" s="86"/>
      <c r="H224" s="86"/>
      <c r="I224" s="71" t="str">
        <f ca="1">IF(I223&lt;&gt;""," Completed","")</f>
        <v xml:space="preserve"> Completed</v>
      </c>
      <c r="J224" s="38" t="str">
        <f ca="1">IF(J222&lt;&gt;"","Completed","")</f>
        <v/>
      </c>
    </row>
    <row r="225" spans="1:10" ht="15.75" customHeight="1" x14ac:dyDescent="0.35">
      <c r="A225" s="89" t="s">
        <v>49</v>
      </c>
      <c r="B225" s="89"/>
      <c r="C225" s="76" t="s">
        <v>136</v>
      </c>
      <c r="D225" s="76" t="s">
        <v>83</v>
      </c>
      <c r="E225" s="89" t="s">
        <v>85</v>
      </c>
      <c r="F225" s="89"/>
      <c r="G225" s="89" t="s">
        <v>84</v>
      </c>
      <c r="H225" s="89"/>
      <c r="I225" s="13" t="s">
        <v>138</v>
      </c>
      <c r="J225" s="24">
        <f ca="1">H223*25%</f>
        <v>1.25</v>
      </c>
    </row>
    <row r="226" spans="1:10" x14ac:dyDescent="0.35">
      <c r="A226" s="89" t="s">
        <v>125</v>
      </c>
      <c r="B226" s="89"/>
      <c r="C226" s="76">
        <f ca="1">J227</f>
        <v>5</v>
      </c>
      <c r="D226" s="15">
        <f ca="1">((100/H223)*C226)/100</f>
        <v>1</v>
      </c>
      <c r="E226" s="91">
        <f ca="1">(((C227/H223*10)+(40/(D223+F223+H223)*C228)+(7.5/(H223)*C229)+(7.5/(H223)*C230)+(10/H223*C231)+(10/H223*C232)+(5/H223*C233)+(5/H223*C234)+(5/H223*C235))/100)</f>
        <v>7.4999999999999997E-2</v>
      </c>
      <c r="F226" s="91"/>
      <c r="G226" s="91">
        <f ca="1">((((C226/H223)*20)+((C227/H223)*25)+(30/(H223+F223+D223)*C228)+(5/H223*C229)+(5/H223*C230)+(5/H223*C231)+(5/H223*C232)+(0/H223*C233)+(0/H223*C234)+(5/H223*C235))/100)</f>
        <v>0.38750000000000001</v>
      </c>
      <c r="H226" s="91"/>
      <c r="I226" s="13" t="s">
        <v>99</v>
      </c>
      <c r="J226" s="25">
        <f ca="1">H223*50%</f>
        <v>2.5</v>
      </c>
    </row>
    <row r="227" spans="1:10" x14ac:dyDescent="0.35">
      <c r="A227" s="89" t="s">
        <v>50</v>
      </c>
      <c r="B227" s="89"/>
      <c r="C227" s="51">
        <f ca="1">J234</f>
        <v>3.75</v>
      </c>
      <c r="D227" s="15">
        <f ca="1">((100/H223)*C227)/100</f>
        <v>0.75</v>
      </c>
      <c r="E227" s="91"/>
      <c r="F227" s="91"/>
      <c r="G227" s="91"/>
      <c r="H227" s="91"/>
      <c r="I227" s="13" t="s">
        <v>100</v>
      </c>
      <c r="J227" s="25">
        <f ca="1">H223</f>
        <v>5</v>
      </c>
    </row>
    <row r="228" spans="1:10" ht="15.75" customHeight="1" x14ac:dyDescent="0.35">
      <c r="A228" s="89" t="s">
        <v>126</v>
      </c>
      <c r="B228" s="89"/>
      <c r="C228" s="76">
        <v>0</v>
      </c>
      <c r="D228" s="15">
        <f ca="1">((100/(D223+F223+H223))*C228)/100</f>
        <v>0</v>
      </c>
      <c r="E228" s="91"/>
      <c r="F228" s="91"/>
      <c r="G228" s="91"/>
      <c r="H228" s="91"/>
      <c r="I228" s="13" t="s">
        <v>101</v>
      </c>
      <c r="J228" s="26">
        <f ca="1">(IF(B223&gt;1,(H223/(B223+2)),H223/4))</f>
        <v>1.25</v>
      </c>
    </row>
    <row r="229" spans="1:10" ht="15.75" customHeight="1" x14ac:dyDescent="0.35">
      <c r="A229" s="89" t="s">
        <v>133</v>
      </c>
      <c r="B229" s="89" t="s">
        <v>127</v>
      </c>
      <c r="C229" s="76">
        <v>0</v>
      </c>
      <c r="D229" s="15">
        <f ca="1">((100/H223)*C229)/100</f>
        <v>0</v>
      </c>
      <c r="E229" s="91"/>
      <c r="F229" s="91"/>
      <c r="G229" s="91"/>
      <c r="H229" s="91"/>
      <c r="I229" s="13" t="s">
        <v>102</v>
      </c>
      <c r="J229" s="26">
        <f ca="1">(IF(B223&gt;1,(H223/(B223+2)+J228),H223/4+J228))</f>
        <v>2.5</v>
      </c>
    </row>
    <row r="230" spans="1:10" ht="15.75" customHeight="1" x14ac:dyDescent="0.35">
      <c r="A230" s="89" t="s">
        <v>134</v>
      </c>
      <c r="B230" s="89" t="s">
        <v>127</v>
      </c>
      <c r="C230" s="76">
        <v>0</v>
      </c>
      <c r="D230" s="15">
        <f ca="1">((100/H223)*C230)/100</f>
        <v>0</v>
      </c>
      <c r="E230" s="91"/>
      <c r="F230" s="91"/>
      <c r="G230" s="91"/>
      <c r="H230" s="91"/>
      <c r="I230" s="13" t="s">
        <v>143</v>
      </c>
      <c r="J230" s="26">
        <f>(IF(B223&gt;1,(H223/(B223+2)+J229),0))</f>
        <v>0</v>
      </c>
    </row>
    <row r="231" spans="1:10" ht="15" customHeight="1" x14ac:dyDescent="0.35">
      <c r="A231" s="89" t="s">
        <v>132</v>
      </c>
      <c r="B231" s="89" t="s">
        <v>129</v>
      </c>
      <c r="C231" s="76">
        <v>0</v>
      </c>
      <c r="D231" s="15">
        <f ca="1">((100/(H223))*C231)/100</f>
        <v>0</v>
      </c>
      <c r="E231" s="91"/>
      <c r="F231" s="91"/>
      <c r="G231" s="91"/>
      <c r="H231" s="91"/>
      <c r="I231" s="13" t="s">
        <v>140</v>
      </c>
      <c r="J231" s="26">
        <f>(IF(B223&gt;2,(H223/(B223+2)+J230),0))</f>
        <v>0</v>
      </c>
    </row>
    <row r="232" spans="1:10" ht="15.75" customHeight="1" x14ac:dyDescent="0.35">
      <c r="A232" s="89" t="s">
        <v>128</v>
      </c>
      <c r="B232" s="89" t="s">
        <v>128</v>
      </c>
      <c r="C232" s="76">
        <v>0</v>
      </c>
      <c r="D232" s="15">
        <f ca="1">((100/H223)*C232)/100</f>
        <v>0</v>
      </c>
      <c r="E232" s="91"/>
      <c r="F232" s="91"/>
      <c r="G232" s="91"/>
      <c r="H232" s="91"/>
      <c r="I232" s="13" t="s">
        <v>141</v>
      </c>
      <c r="J232" s="27">
        <f>(IF(B223&gt;3,(H223/(B223+2)+J231),0))</f>
        <v>0</v>
      </c>
    </row>
    <row r="233" spans="1:10" ht="15.75" customHeight="1" x14ac:dyDescent="0.35">
      <c r="A233" s="89" t="s">
        <v>135</v>
      </c>
      <c r="B233" s="89"/>
      <c r="C233" s="76">
        <v>0</v>
      </c>
      <c r="D233" s="15">
        <f ca="1">((100/H223)*C233)/100</f>
        <v>0</v>
      </c>
      <c r="E233" s="91"/>
      <c r="F233" s="91"/>
      <c r="G233" s="91"/>
      <c r="H233" s="91"/>
      <c r="I233" s="13" t="s">
        <v>142</v>
      </c>
      <c r="J233" s="26">
        <f>(IF(B223&gt;4,(H223/(B223+2)+J232),0))</f>
        <v>0</v>
      </c>
    </row>
    <row r="234" spans="1:10" ht="15.75" customHeight="1" x14ac:dyDescent="0.35">
      <c r="A234" s="89" t="s">
        <v>130</v>
      </c>
      <c r="B234" s="89" t="s">
        <v>130</v>
      </c>
      <c r="C234" s="76">
        <v>0</v>
      </c>
      <c r="D234" s="15">
        <f ca="1">((100/(H223))*C234)/100</f>
        <v>0</v>
      </c>
      <c r="E234" s="91"/>
      <c r="F234" s="91"/>
      <c r="G234" s="91"/>
      <c r="H234" s="91"/>
      <c r="I234" s="13" t="s">
        <v>144</v>
      </c>
      <c r="J234" s="26">
        <f ca="1">(IF(B223=1,(H223/(B223+3)+J229),IF(B223=0,(H223/4+J229),IF(B223&gt;1,0))))</f>
        <v>3.75</v>
      </c>
    </row>
    <row r="235" spans="1:10" ht="16" thickBot="1" x14ac:dyDescent="0.4">
      <c r="A235" s="89" t="s">
        <v>131</v>
      </c>
      <c r="B235" s="89"/>
      <c r="C235" s="76">
        <v>0</v>
      </c>
      <c r="D235" s="15">
        <f ca="1">((100/(H223))*C235)/100</f>
        <v>0</v>
      </c>
      <c r="E235" s="91"/>
      <c r="F235" s="91"/>
      <c r="G235" s="91"/>
      <c r="H235" s="91"/>
      <c r="I235" s="14" t="s">
        <v>103</v>
      </c>
      <c r="J235" s="28">
        <f ca="1">(IF(B223&gt;1.5,(H223/(B223+2)+J229+MAX(0,J230-J229)+MAX(0,J231-J230)+MAX(0,J232-J231)+MAX(0,J233-J232)+MAX(0,J234-J233)),IF(B223=1,(H223/(B223+3)+J234),IF(B223=0,H223/4+J234))))</f>
        <v>5</v>
      </c>
    </row>
    <row r="236" spans="1:10" x14ac:dyDescent="0.35">
      <c r="A236" s="144" t="s">
        <v>153</v>
      </c>
      <c r="B236" s="144"/>
      <c r="C236" s="144"/>
      <c r="D236" s="144"/>
      <c r="E236" s="144"/>
      <c r="F236" s="154" t="s">
        <v>158</v>
      </c>
      <c r="G236" s="154"/>
      <c r="H236" s="154"/>
    </row>
    <row r="237" spans="1:10" x14ac:dyDescent="0.35">
      <c r="A237" s="128" t="s">
        <v>156</v>
      </c>
      <c r="B237" s="128"/>
      <c r="C237" s="128"/>
      <c r="D237" s="128"/>
      <c r="E237" s="128"/>
      <c r="F237" s="134">
        <v>5500</v>
      </c>
      <c r="G237" s="134"/>
      <c r="H237" s="134"/>
    </row>
    <row r="238" spans="1:10" hidden="1" x14ac:dyDescent="0.35">
      <c r="A238" s="128" t="s">
        <v>155</v>
      </c>
      <c r="B238" s="128"/>
      <c r="C238" s="128"/>
      <c r="D238" s="128"/>
      <c r="E238" s="128"/>
      <c r="F238" s="134"/>
      <c r="G238" s="134"/>
      <c r="H238" s="134"/>
    </row>
    <row r="239" spans="1:10" hidden="1" x14ac:dyDescent="0.35">
      <c r="A239" s="128" t="s">
        <v>157</v>
      </c>
      <c r="B239" s="128"/>
      <c r="C239" s="128"/>
      <c r="D239" s="128"/>
      <c r="E239" s="128"/>
      <c r="F239" s="134"/>
      <c r="G239" s="134"/>
      <c r="H239" s="134"/>
    </row>
    <row r="240" spans="1:10" s="29" customFormat="1" hidden="1" x14ac:dyDescent="0.3">
      <c r="A240" s="128" t="s">
        <v>154</v>
      </c>
      <c r="B240" s="128"/>
      <c r="C240" s="128"/>
      <c r="D240" s="128"/>
      <c r="E240" s="128"/>
      <c r="F240" s="134"/>
      <c r="G240" s="134"/>
      <c r="H240" s="134"/>
    </row>
    <row r="241" spans="1:10" s="29" customFormat="1" x14ac:dyDescent="0.3">
      <c r="A241" s="128" t="s">
        <v>95</v>
      </c>
      <c r="B241" s="128"/>
      <c r="C241" s="128"/>
      <c r="D241" s="128"/>
      <c r="E241" s="128"/>
      <c r="F241" s="134">
        <v>130000</v>
      </c>
      <c r="G241" s="134"/>
      <c r="H241" s="134"/>
    </row>
    <row r="242" spans="1:10" s="29" customFormat="1" hidden="1" x14ac:dyDescent="0.3">
      <c r="A242" s="128" t="s">
        <v>185</v>
      </c>
      <c r="B242" s="128"/>
      <c r="C242" s="128"/>
      <c r="D242" s="128"/>
      <c r="E242" s="128"/>
      <c r="F242" s="134">
        <v>50000</v>
      </c>
      <c r="G242" s="134"/>
      <c r="H242" s="134"/>
    </row>
    <row r="243" spans="1:10" s="29" customFormat="1" hidden="1" x14ac:dyDescent="0.3">
      <c r="A243" s="128" t="s">
        <v>96</v>
      </c>
      <c r="B243" s="128"/>
      <c r="C243" s="128"/>
      <c r="D243" s="128"/>
      <c r="E243" s="128"/>
      <c r="F243" s="134"/>
      <c r="G243" s="134"/>
      <c r="H243" s="134"/>
    </row>
    <row r="244" spans="1:10" s="29" customFormat="1" x14ac:dyDescent="0.3">
      <c r="A244" s="128" t="s">
        <v>235</v>
      </c>
      <c r="B244" s="128"/>
      <c r="C244" s="128"/>
      <c r="D244" s="128"/>
      <c r="E244" s="128"/>
      <c r="F244" s="134">
        <v>70000</v>
      </c>
      <c r="G244" s="134"/>
      <c r="H244" s="134"/>
    </row>
    <row r="245" spans="1:10" s="29" customFormat="1" x14ac:dyDescent="0.3">
      <c r="A245" s="128" t="s">
        <v>97</v>
      </c>
      <c r="B245" s="128"/>
      <c r="C245" s="128"/>
      <c r="D245" s="128"/>
      <c r="E245" s="128"/>
      <c r="F245" s="134">
        <v>50000</v>
      </c>
      <c r="G245" s="134"/>
      <c r="H245" s="134"/>
    </row>
    <row r="246" spans="1:10" s="29" customFormat="1" x14ac:dyDescent="0.3">
      <c r="A246" s="128" t="s">
        <v>98</v>
      </c>
      <c r="B246" s="128"/>
      <c r="C246" s="128"/>
      <c r="D246" s="128"/>
      <c r="E246" s="128"/>
      <c r="F246" s="134">
        <v>40000</v>
      </c>
      <c r="G246" s="134"/>
      <c r="H246" s="134"/>
    </row>
    <row r="247" spans="1:10" x14ac:dyDescent="0.35">
      <c r="A247" s="128" t="s">
        <v>51</v>
      </c>
      <c r="B247" s="128"/>
      <c r="C247" s="128"/>
      <c r="D247" s="128"/>
      <c r="E247" s="128"/>
      <c r="F247" s="134">
        <v>200000</v>
      </c>
      <c r="G247" s="134"/>
      <c r="H247" s="134"/>
    </row>
    <row r="248" spans="1:10" s="30" customFormat="1" x14ac:dyDescent="0.35">
      <c r="A248" s="85" t="s">
        <v>52</v>
      </c>
      <c r="B248" s="85"/>
      <c r="C248" s="85"/>
      <c r="D248" s="85"/>
      <c r="E248" s="85"/>
      <c r="F248" s="134">
        <f>F237*0.8</f>
        <v>4400</v>
      </c>
      <c r="G248" s="134"/>
      <c r="H248" s="134"/>
    </row>
    <row r="249" spans="1:10" s="31" customFormat="1" x14ac:dyDescent="0.35">
      <c r="A249" s="133" t="s">
        <v>225</v>
      </c>
      <c r="B249" s="133"/>
      <c r="C249" s="133"/>
      <c r="D249" s="133"/>
      <c r="E249" s="133"/>
      <c r="F249" s="133"/>
      <c r="G249" s="133"/>
      <c r="H249" s="133"/>
    </row>
    <row r="250" spans="1:10" s="31" customFormat="1" ht="15.75" customHeight="1" x14ac:dyDescent="0.35">
      <c r="A250" s="148" t="s">
        <v>53</v>
      </c>
      <c r="B250" s="148"/>
      <c r="C250" s="132" t="s">
        <v>78</v>
      </c>
      <c r="D250" s="132"/>
      <c r="E250" s="113" t="s">
        <v>54</v>
      </c>
      <c r="F250" s="113"/>
      <c r="G250" s="148" t="s">
        <v>55</v>
      </c>
      <c r="H250" s="148"/>
    </row>
    <row r="251" spans="1:10" s="31" customFormat="1" ht="15.75" customHeight="1" x14ac:dyDescent="0.35">
      <c r="A251" s="215" t="s">
        <v>200</v>
      </c>
      <c r="B251" s="216"/>
      <c r="C251" s="111">
        <f>COUNT(D280:D283)*7</f>
        <v>28</v>
      </c>
      <c r="D251" s="111"/>
      <c r="E251" s="112">
        <f t="shared" ref="E251" si="0">SUM(D280:D283)*7</f>
        <v>11216.68002</v>
      </c>
      <c r="F251" s="112"/>
      <c r="G251" s="112">
        <f>SUM(F280:F283)*7</f>
        <v>16825.020029999996</v>
      </c>
      <c r="H251" s="112"/>
      <c r="J251" s="41" t="s">
        <v>209</v>
      </c>
    </row>
    <row r="252" spans="1:10" s="31" customFormat="1" x14ac:dyDescent="0.35">
      <c r="A252" s="215" t="s">
        <v>204</v>
      </c>
      <c r="B252" s="216"/>
      <c r="C252" s="111">
        <f>COUNT(D286:D288)+COUNT(D290:D292)*7</f>
        <v>24</v>
      </c>
      <c r="D252" s="111"/>
      <c r="E252" s="112">
        <f t="shared" ref="E252" si="1">SUM(D286:D288)+SUM(D290:D292)*7</f>
        <v>9973.2496499999997</v>
      </c>
      <c r="F252" s="112"/>
      <c r="G252" s="112">
        <f>SUM(F286:F288)+SUM(F290:F292)*7</f>
        <v>14959.874474999999</v>
      </c>
      <c r="H252" s="112"/>
      <c r="J252" s="41" t="s">
        <v>209</v>
      </c>
    </row>
    <row r="253" spans="1:10" s="31" customFormat="1" x14ac:dyDescent="0.35">
      <c r="A253" s="215" t="s">
        <v>215</v>
      </c>
      <c r="B253" s="216"/>
      <c r="C253" s="111">
        <f>COUNT(D295:D296)+COUNT(D298:D301)*7</f>
        <v>30</v>
      </c>
      <c r="D253" s="111"/>
      <c r="E253" s="112">
        <f>SUM(D295:D296)+SUM(D298:D301)*7</f>
        <v>15146.024399999998</v>
      </c>
      <c r="F253" s="112"/>
      <c r="G253" s="112">
        <f>SUM(F295:F296)+SUM(F298:F301)*7</f>
        <v>22719.036599999996</v>
      </c>
      <c r="H253" s="112"/>
      <c r="J253" s="41" t="s">
        <v>210</v>
      </c>
    </row>
    <row r="254" spans="1:10" s="31" customFormat="1" x14ac:dyDescent="0.35">
      <c r="A254" s="215" t="s">
        <v>212</v>
      </c>
      <c r="B254" s="216"/>
      <c r="C254" s="111">
        <f>COUNT(D304:D305)+COUNT(D307:D310)*7</f>
        <v>30</v>
      </c>
      <c r="D254" s="111"/>
      <c r="E254" s="112">
        <f t="shared" ref="E254" si="2">SUM(D304:D305)+SUM(D307:D310)*7</f>
        <v>15146.024399999998</v>
      </c>
      <c r="F254" s="112"/>
      <c r="G254" s="112">
        <f>SUM(F304:F305)+SUM(F307:F310)*7</f>
        <v>22719.036599999996</v>
      </c>
      <c r="H254" s="112"/>
      <c r="J254" s="41" t="s">
        <v>210</v>
      </c>
    </row>
    <row r="255" spans="1:10" s="31" customFormat="1" x14ac:dyDescent="0.35">
      <c r="A255" s="215" t="s">
        <v>213</v>
      </c>
      <c r="B255" s="216"/>
      <c r="C255" s="111">
        <f>COUNT(D313:D314)+COUNT(D316:D319)*7</f>
        <v>30</v>
      </c>
      <c r="D255" s="111"/>
      <c r="E255" s="112">
        <f>SUM(D313:D314)+SUM(D316:D319)*7</f>
        <v>15146.024399999998</v>
      </c>
      <c r="F255" s="112"/>
      <c r="G255" s="112">
        <f>SUM(F313:F314)+SUM(F316:F319)*7</f>
        <v>22719.036599999996</v>
      </c>
      <c r="H255" s="112"/>
      <c r="J255" s="41" t="s">
        <v>210</v>
      </c>
    </row>
    <row r="256" spans="1:10" s="31" customFormat="1" x14ac:dyDescent="0.35">
      <c r="A256" s="215" t="s">
        <v>214</v>
      </c>
      <c r="B256" s="216"/>
      <c r="C256" s="111">
        <f>COUNT(D322:D323)+COUNT(D325:D328)*7</f>
        <v>30</v>
      </c>
      <c r="D256" s="111"/>
      <c r="E256" s="112">
        <f>SUM(D322:D323)+SUM(D325:D328)*7</f>
        <v>15146.024399999998</v>
      </c>
      <c r="F256" s="112"/>
      <c r="G256" s="112">
        <f>SUM(F322:F323)+SUM(F325:F328)*7</f>
        <v>22719.036599999996</v>
      </c>
      <c r="H256" s="112"/>
      <c r="J256" s="41" t="s">
        <v>210</v>
      </c>
    </row>
    <row r="257" spans="1:10" s="31" customFormat="1" x14ac:dyDescent="0.35">
      <c r="A257" s="217" t="s">
        <v>207</v>
      </c>
      <c r="B257" s="217"/>
      <c r="C257" s="111">
        <f>COUNT(D331:D333)+COUNT(D335:D338)*7</f>
        <v>31</v>
      </c>
      <c r="D257" s="111"/>
      <c r="E257" s="112">
        <f>SUM(D331:D333)+SUM(D335:D338)*7</f>
        <v>13726.791000000001</v>
      </c>
      <c r="F257" s="112"/>
      <c r="G257" s="112">
        <f>SUM(F331:F333)+SUM(F335:F338)*7</f>
        <v>20590.1865</v>
      </c>
      <c r="H257" s="112"/>
      <c r="J257" s="41" t="s">
        <v>209</v>
      </c>
    </row>
    <row r="258" spans="1:10" s="31" customFormat="1" x14ac:dyDescent="0.35">
      <c r="A258" s="217" t="s">
        <v>216</v>
      </c>
      <c r="B258" s="217"/>
      <c r="C258" s="111">
        <f>COUNT(D341:D342)+COUNT(D344:D345)*6</f>
        <v>14</v>
      </c>
      <c r="D258" s="111"/>
      <c r="E258" s="112">
        <f>SUM(D341:D342)+SUM(D344:D345)*6</f>
        <v>7151.3324999999986</v>
      </c>
      <c r="F258" s="112"/>
      <c r="G258" s="112">
        <f>SUM(F341:F342)+SUM(F344:F345)*6</f>
        <v>10726.998749999999</v>
      </c>
      <c r="H258" s="112"/>
      <c r="J258" s="41" t="s">
        <v>209</v>
      </c>
    </row>
    <row r="259" spans="1:10" s="31" customFormat="1" x14ac:dyDescent="0.35">
      <c r="A259" s="217" t="s">
        <v>218</v>
      </c>
      <c r="B259" s="217"/>
      <c r="C259" s="111">
        <f>COUNT(D348:D349)+COUNT(D351:D354)*6</f>
        <v>26</v>
      </c>
      <c r="D259" s="111"/>
      <c r="E259" s="112">
        <f>SUM(D348:D349)+SUM(D351:D354)*6</f>
        <v>13105.169999999998</v>
      </c>
      <c r="F259" s="112"/>
      <c r="G259" s="112">
        <f>SUM(F348:F349)+SUM(F351:F354)*6</f>
        <v>19657.754999999997</v>
      </c>
      <c r="H259" s="112"/>
      <c r="J259" s="41" t="s">
        <v>210</v>
      </c>
    </row>
    <row r="260" spans="1:10" s="31" customFormat="1" x14ac:dyDescent="0.35">
      <c r="A260" s="217" t="s">
        <v>224</v>
      </c>
      <c r="B260" s="217"/>
      <c r="C260" s="111">
        <f>COUNT(D357:D358)+COUNT(D360:D363)*6</f>
        <v>26</v>
      </c>
      <c r="D260" s="111"/>
      <c r="E260" s="112">
        <f t="shared" ref="E260" si="3">SUM(D357:D358)+SUM(D360:D363)*6</f>
        <v>13105.169999999998</v>
      </c>
      <c r="F260" s="112"/>
      <c r="G260" s="112">
        <f>SUM(F357:F358)+SUM(F360:F363)*6</f>
        <v>19657.754999999997</v>
      </c>
      <c r="H260" s="112"/>
      <c r="J260" s="41" t="s">
        <v>210</v>
      </c>
    </row>
    <row r="261" spans="1:10" s="31" customFormat="1" x14ac:dyDescent="0.35">
      <c r="A261" s="133" t="s">
        <v>147</v>
      </c>
      <c r="B261" s="133"/>
      <c r="C261" s="131">
        <f>SUM(C251:C260)</f>
        <v>269</v>
      </c>
      <c r="D261" s="132"/>
      <c r="E261" s="131">
        <f t="shared" ref="E261" si="4">SUM(E251:E260)</f>
        <v>128862.49076999997</v>
      </c>
      <c r="F261" s="132"/>
      <c r="G261" s="131">
        <f t="shared" ref="G261" si="5">SUM(G251:G260)</f>
        <v>193293.73615499999</v>
      </c>
      <c r="H261" s="132"/>
    </row>
    <row r="262" spans="1:10" s="31" customFormat="1" x14ac:dyDescent="0.35">
      <c r="A262" s="133" t="s">
        <v>226</v>
      </c>
      <c r="B262" s="133"/>
      <c r="C262" s="133"/>
      <c r="D262" s="133"/>
      <c r="E262" s="133"/>
      <c r="F262" s="133"/>
      <c r="G262" s="133"/>
      <c r="H262" s="133"/>
    </row>
    <row r="263" spans="1:10" s="31" customFormat="1" ht="15.75" customHeight="1" x14ac:dyDescent="0.35">
      <c r="A263" s="148" t="s">
        <v>53</v>
      </c>
      <c r="B263" s="148"/>
      <c r="C263" s="132" t="s">
        <v>78</v>
      </c>
      <c r="D263" s="132"/>
      <c r="E263" s="113" t="s">
        <v>54</v>
      </c>
      <c r="F263" s="113"/>
      <c r="G263" s="148" t="s">
        <v>55</v>
      </c>
      <c r="H263" s="148"/>
    </row>
    <row r="264" spans="1:10" s="31" customFormat="1" ht="15.75" customHeight="1" x14ac:dyDescent="0.35">
      <c r="A264" s="215" t="s">
        <v>200</v>
      </c>
      <c r="B264" s="216"/>
      <c r="C264" s="111">
        <f>COUNT(D367:D368)+COUNT(D370:D373)*7</f>
        <v>30</v>
      </c>
      <c r="D264" s="111"/>
      <c r="E264" s="112">
        <f>SUM(D367:D368)+SUM(D370:D373)*7</f>
        <v>9797.3927999999996</v>
      </c>
      <c r="F264" s="112"/>
      <c r="G264" s="112">
        <f>SUM(F367:F368)+SUM(F370:F373)*7</f>
        <v>14696.0892</v>
      </c>
      <c r="H264" s="112"/>
    </row>
    <row r="265" spans="1:10" s="31" customFormat="1" x14ac:dyDescent="0.35">
      <c r="A265" s="215" t="s">
        <v>204</v>
      </c>
      <c r="B265" s="216"/>
      <c r="C265" s="111">
        <f>COUNT(D376)+COUNT(D378:D381)*7</f>
        <v>29</v>
      </c>
      <c r="D265" s="111"/>
      <c r="E265" s="112">
        <f>SUM(D376)+SUM(D378:D381)*7</f>
        <v>9589.4861400000027</v>
      </c>
      <c r="F265" s="112"/>
      <c r="G265" s="112">
        <f>SUM(F376)+SUM(F378:F381)*7</f>
        <v>14384.229209999998</v>
      </c>
      <c r="H265" s="112"/>
    </row>
    <row r="266" spans="1:10" s="31" customFormat="1" x14ac:dyDescent="0.35">
      <c r="A266" s="215" t="s">
        <v>215</v>
      </c>
      <c r="B266" s="216"/>
      <c r="C266" s="111">
        <f>COUNT(D386:D387)+COUNT(D389:D392)*5</f>
        <v>22</v>
      </c>
      <c r="D266" s="111"/>
      <c r="E266" s="112">
        <f>SUM(D386:D387)+SUM(D389:D392)*5</f>
        <v>7162.3656000000001</v>
      </c>
      <c r="F266" s="112"/>
      <c r="G266" s="112">
        <f>SUM(F386:F387)+SUM(F389:F392)*5</f>
        <v>10743.5484</v>
      </c>
      <c r="H266" s="112"/>
    </row>
    <row r="267" spans="1:10" s="31" customFormat="1" x14ac:dyDescent="0.35">
      <c r="A267" s="215" t="s">
        <v>212</v>
      </c>
      <c r="B267" s="216"/>
      <c r="C267" s="111">
        <f>COUNT(D395:D396)+COUNT(D398:D401)*5</f>
        <v>22</v>
      </c>
      <c r="D267" s="111"/>
      <c r="E267" s="112">
        <f>SUM(D395:D396)+SUM(D398:D401)*5</f>
        <v>7162.3656000000001</v>
      </c>
      <c r="F267" s="112"/>
      <c r="G267" s="112">
        <f>SUM(F395:F396)+SUM(F398:F401)*5</f>
        <v>10743.5484</v>
      </c>
      <c r="H267" s="112"/>
    </row>
    <row r="268" spans="1:10" s="31" customFormat="1" x14ac:dyDescent="0.35">
      <c r="A268" s="215" t="s">
        <v>213</v>
      </c>
      <c r="B268" s="216"/>
      <c r="C268" s="111">
        <f>COUNT(D404:D405)+COUNT(D407:D410)*5</f>
        <v>22</v>
      </c>
      <c r="D268" s="111"/>
      <c r="E268" s="112">
        <f>SUM(D404:D405)+SUM(D407:D410)*5</f>
        <v>7162.3656000000001</v>
      </c>
      <c r="F268" s="112"/>
      <c r="G268" s="112">
        <f>SUM(F404:F405)+SUM(F407:F410)*5</f>
        <v>10743.5484</v>
      </c>
      <c r="H268" s="112"/>
    </row>
    <row r="269" spans="1:10" s="31" customFormat="1" x14ac:dyDescent="0.35">
      <c r="A269" s="215" t="s">
        <v>214</v>
      </c>
      <c r="B269" s="216"/>
      <c r="C269" s="111">
        <f>COUNT(D413:D414)+COUNT(D416:D419)*5</f>
        <v>22</v>
      </c>
      <c r="D269" s="111"/>
      <c r="E269" s="112">
        <f>SUM(D413:D414)+SUM(D416:D419)*5</f>
        <v>7162.3656000000001</v>
      </c>
      <c r="F269" s="112"/>
      <c r="G269" s="112">
        <f>SUM(F413:F414)+SUM(F416:F419)*5</f>
        <v>10743.5484</v>
      </c>
      <c r="H269" s="112"/>
    </row>
    <row r="270" spans="1:10" s="31" customFormat="1" ht="16" thickBot="1" x14ac:dyDescent="0.4">
      <c r="A270" s="149" t="s">
        <v>147</v>
      </c>
      <c r="B270" s="149"/>
      <c r="C270" s="150">
        <f>SUM(C264:C269)</f>
        <v>147</v>
      </c>
      <c r="D270" s="151"/>
      <c r="E270" s="150">
        <f t="shared" ref="E270" si="6">SUM(E264:E269)</f>
        <v>48036.341339999999</v>
      </c>
      <c r="F270" s="151"/>
      <c r="G270" s="150">
        <f t="shared" ref="G270" si="7">SUM(G264:G269)</f>
        <v>72054.512010000006</v>
      </c>
      <c r="H270" s="151"/>
    </row>
    <row r="271" spans="1:10" s="31" customFormat="1" ht="16" thickBot="1" x14ac:dyDescent="0.4">
      <c r="A271" s="129" t="s">
        <v>227</v>
      </c>
      <c r="B271" s="130"/>
      <c r="C271" s="152">
        <f>C261+C270</f>
        <v>416</v>
      </c>
      <c r="D271" s="153"/>
      <c r="E271" s="152">
        <f t="shared" ref="E271" si="8">E261+E270</f>
        <v>176898.83210999996</v>
      </c>
      <c r="F271" s="153"/>
      <c r="G271" s="152">
        <f t="shared" ref="G271" si="9">G261+G270</f>
        <v>265348.248165</v>
      </c>
      <c r="H271" s="153"/>
    </row>
    <row r="272" spans="1:10" s="30" customFormat="1" x14ac:dyDescent="0.35">
      <c r="A272" s="154" t="s">
        <v>56</v>
      </c>
      <c r="B272" s="154"/>
      <c r="C272" s="154"/>
      <c r="D272" s="154"/>
      <c r="E272" s="154"/>
      <c r="F272" s="154"/>
      <c r="G272" s="154"/>
      <c r="H272" s="154"/>
    </row>
    <row r="273" spans="1:14" x14ac:dyDescent="0.35">
      <c r="A273" s="155" t="s">
        <v>57</v>
      </c>
      <c r="B273" s="155"/>
      <c r="C273" s="155"/>
      <c r="D273" s="155"/>
      <c r="E273" s="155"/>
      <c r="F273" s="155"/>
      <c r="G273" s="155"/>
      <c r="H273" s="155"/>
    </row>
    <row r="274" spans="1:14" ht="47.25" customHeight="1" x14ac:dyDescent="0.35">
      <c r="A274" s="146" t="s">
        <v>196</v>
      </c>
      <c r="B274" s="146" t="s">
        <v>118</v>
      </c>
      <c r="C274" s="156" t="s">
        <v>58</v>
      </c>
      <c r="D274" s="156" t="s">
        <v>59</v>
      </c>
      <c r="E274" s="202" t="s">
        <v>60</v>
      </c>
      <c r="F274" s="52" t="s">
        <v>146</v>
      </c>
      <c r="G274" s="146" t="s">
        <v>61</v>
      </c>
      <c r="H274" s="204"/>
      <c r="I274" s="32"/>
    </row>
    <row r="275" spans="1:14" s="33" customFormat="1" x14ac:dyDescent="0.35">
      <c r="A275" s="147"/>
      <c r="B275" s="147"/>
      <c r="C275" s="157"/>
      <c r="D275" s="157"/>
      <c r="E275" s="203"/>
      <c r="F275" s="42">
        <v>0.5</v>
      </c>
      <c r="G275" s="147"/>
      <c r="H275" s="205"/>
      <c r="I275" s="32"/>
    </row>
    <row r="276" spans="1:14" s="39" customFormat="1" x14ac:dyDescent="0.35">
      <c r="A276" s="119" t="s">
        <v>199</v>
      </c>
      <c r="B276" s="120"/>
      <c r="C276" s="120"/>
      <c r="D276" s="120"/>
      <c r="E276" s="120"/>
      <c r="F276" s="120"/>
      <c r="G276" s="120"/>
      <c r="H276" s="121"/>
      <c r="J276" s="32"/>
    </row>
    <row r="277" spans="1:14" s="39" customFormat="1" x14ac:dyDescent="0.35">
      <c r="A277" s="119" t="s">
        <v>200</v>
      </c>
      <c r="B277" s="120"/>
      <c r="C277" s="120"/>
      <c r="D277" s="120"/>
      <c r="E277" s="120"/>
      <c r="F277" s="120"/>
      <c r="G277" s="120"/>
      <c r="H277" s="121"/>
      <c r="J277" s="32"/>
    </row>
    <row r="278" spans="1:14" s="39" customFormat="1" x14ac:dyDescent="0.35">
      <c r="A278" s="119" t="s">
        <v>198</v>
      </c>
      <c r="B278" s="120"/>
      <c r="C278" s="120"/>
      <c r="D278" s="120"/>
      <c r="E278" s="120"/>
      <c r="F278" s="120"/>
      <c r="G278" s="120"/>
      <c r="H278" s="121"/>
      <c r="J278" s="32"/>
    </row>
    <row r="279" spans="1:14" s="33" customFormat="1" x14ac:dyDescent="0.35">
      <c r="A279" s="119" t="s">
        <v>201</v>
      </c>
      <c r="B279" s="120"/>
      <c r="C279" s="120"/>
      <c r="D279" s="120"/>
      <c r="E279" s="120"/>
      <c r="F279" s="120"/>
      <c r="G279" s="120"/>
      <c r="H279" s="121"/>
      <c r="J279" s="32"/>
    </row>
    <row r="280" spans="1:14" s="33" customFormat="1" ht="15.75" customHeight="1" x14ac:dyDescent="0.35">
      <c r="A280" s="125">
        <v>1</v>
      </c>
      <c r="B280" s="126"/>
      <c r="C280" s="53" t="s">
        <v>202</v>
      </c>
      <c r="D280" s="54">
        <f>(29.8+0.75*(2.7+3.05))*(10.764)</f>
        <v>367.18694999999997</v>
      </c>
      <c r="E280" s="55">
        <v>0</v>
      </c>
      <c r="F280" s="55">
        <f>D280*(($F$275)+1)+(IF(E280&lt;101,E280,IF(E280&lt;201,E280/2,IF(E280&lt;=301,E280/3,E280/4))))</f>
        <v>550.78042499999992</v>
      </c>
      <c r="G280" s="114" t="str">
        <f>A279</f>
        <v>1st to 7th Floor For Residential</v>
      </c>
      <c r="H280" s="115"/>
      <c r="I280" s="32">
        <f>4.6*2.7+1.8*2.1+0.9*1.56+1*2+2.4*3.06+1*1.1</f>
        <v>28.048000000000002</v>
      </c>
      <c r="L280" s="124"/>
      <c r="M280" s="124"/>
      <c r="N280" s="32"/>
    </row>
    <row r="281" spans="1:14" s="33" customFormat="1" ht="15.75" customHeight="1" x14ac:dyDescent="0.35">
      <c r="A281" s="125">
        <v>2</v>
      </c>
      <c r="B281" s="126"/>
      <c r="C281" s="53" t="s">
        <v>202</v>
      </c>
      <c r="D281" s="54">
        <f>(29.8+0.75*(2.7+3.05))*(10.764)</f>
        <v>367.18694999999997</v>
      </c>
      <c r="E281" s="55">
        <v>0</v>
      </c>
      <c r="F281" s="55">
        <f>D281*(($F$275)+1)+(IF(E281&lt;101,E281,IF(E281&lt;201,E281/2,IF(E281&lt;=301,E281/3,E281/4))))</f>
        <v>550.78042499999992</v>
      </c>
      <c r="G281" s="116"/>
      <c r="H281" s="117"/>
      <c r="I281" s="32"/>
      <c r="L281" s="124"/>
      <c r="M281" s="124"/>
      <c r="N281" s="32"/>
    </row>
    <row r="282" spans="1:14" s="33" customFormat="1" ht="15.75" customHeight="1" x14ac:dyDescent="0.35">
      <c r="A282" s="125">
        <v>3</v>
      </c>
      <c r="B282" s="126"/>
      <c r="C282" s="53" t="s">
        <v>202</v>
      </c>
      <c r="D282" s="54">
        <f>(26.3+0.75*(2.7*2.1))*(10.764)</f>
        <v>328.86711000000003</v>
      </c>
      <c r="E282" s="55">
        <v>0</v>
      </c>
      <c r="F282" s="55">
        <f>D282*(($F$275)+1)+(IF(E282&lt;101,E282,IF(E282&lt;201,E282/2,IF(E282&lt;=301,E282/3,E282/4))))</f>
        <v>493.30066500000004</v>
      </c>
      <c r="G282" s="116"/>
      <c r="H282" s="117"/>
      <c r="I282" s="32"/>
      <c r="L282" s="124"/>
      <c r="M282" s="124"/>
      <c r="N282" s="32"/>
    </row>
    <row r="283" spans="1:14" s="33" customFormat="1" ht="15.75" customHeight="1" x14ac:dyDescent="0.35">
      <c r="A283" s="125">
        <v>4</v>
      </c>
      <c r="B283" s="126"/>
      <c r="C283" s="53" t="s">
        <v>203</v>
      </c>
      <c r="D283" s="54">
        <f>(39.55+0.75*(2.85+2.65+3.6+2.25+2.7))*(10.764)</f>
        <v>539.14184999999998</v>
      </c>
      <c r="E283" s="55">
        <v>0</v>
      </c>
      <c r="F283" s="55">
        <f>D283*(($F$275)+1)+(IF(E283&lt;101,E283,IF(E283&lt;201,E283/2,IF(E283&lt;=301,E283/3,E283/4))))</f>
        <v>808.71277499999997</v>
      </c>
      <c r="G283" s="122"/>
      <c r="H283" s="123"/>
      <c r="I283" s="32"/>
      <c r="L283" s="124"/>
      <c r="M283" s="124"/>
      <c r="N283" s="32"/>
    </row>
    <row r="284" spans="1:14" s="39" customFormat="1" x14ac:dyDescent="0.35">
      <c r="A284" s="119" t="s">
        <v>204</v>
      </c>
      <c r="B284" s="120"/>
      <c r="C284" s="120"/>
      <c r="D284" s="120"/>
      <c r="E284" s="120"/>
      <c r="F284" s="120"/>
      <c r="G284" s="120"/>
      <c r="H284" s="121"/>
      <c r="J284" s="32"/>
    </row>
    <row r="285" spans="1:14" s="39" customFormat="1" x14ac:dyDescent="0.35">
      <c r="A285" s="119" t="s">
        <v>205</v>
      </c>
      <c r="B285" s="120"/>
      <c r="C285" s="120"/>
      <c r="D285" s="120"/>
      <c r="E285" s="120"/>
      <c r="F285" s="120"/>
      <c r="G285" s="120"/>
      <c r="H285" s="121"/>
      <c r="J285" s="32"/>
    </row>
    <row r="286" spans="1:14" s="39" customFormat="1" ht="15.75" customHeight="1" x14ac:dyDescent="0.35">
      <c r="A286" s="125">
        <v>1</v>
      </c>
      <c r="B286" s="126"/>
      <c r="C286" s="53" t="s">
        <v>202</v>
      </c>
      <c r="D286" s="54">
        <f>(29.8)*(10.764)</f>
        <v>320.7672</v>
      </c>
      <c r="E286" s="55">
        <v>0</v>
      </c>
      <c r="F286" s="55">
        <f>D286*(($F$275)+1)+(IF(E286&lt;101,E286,IF(E286&lt;201,E286/2,IF(E286&lt;=301,E286/3,E286/4))))</f>
        <v>481.1508</v>
      </c>
      <c r="G286" s="114" t="str">
        <f>A285</f>
        <v>Ground Floor For Residential</v>
      </c>
      <c r="H286" s="115"/>
      <c r="I286" s="32"/>
      <c r="J286" s="46"/>
      <c r="K286" s="46"/>
      <c r="L286" s="124"/>
      <c r="M286" s="124"/>
      <c r="N286" s="32"/>
    </row>
    <row r="287" spans="1:14" s="39" customFormat="1" ht="15.75" customHeight="1" x14ac:dyDescent="0.35">
      <c r="A287" s="125">
        <v>2</v>
      </c>
      <c r="B287" s="126"/>
      <c r="C287" s="53" t="s">
        <v>202</v>
      </c>
      <c r="D287" s="54">
        <f>(29.8)*(10.764)</f>
        <v>320.7672</v>
      </c>
      <c r="E287" s="55">
        <v>0</v>
      </c>
      <c r="F287" s="55">
        <f>D287*(($F$275)+1)+(IF(E287&lt;101,E287,IF(E287&lt;201,E287/2,IF(E287&lt;=301,E287/3,E287/4))))</f>
        <v>481.1508</v>
      </c>
      <c r="G287" s="116"/>
      <c r="H287" s="117"/>
      <c r="I287" s="32"/>
      <c r="L287" s="124"/>
      <c r="M287" s="124"/>
      <c r="N287" s="32"/>
    </row>
    <row r="288" spans="1:14" s="39" customFormat="1" ht="15.75" customHeight="1" x14ac:dyDescent="0.35">
      <c r="A288" s="125">
        <v>3</v>
      </c>
      <c r="B288" s="126"/>
      <c r="C288" s="53" t="s">
        <v>203</v>
      </c>
      <c r="D288" s="54">
        <f>(39.45)*(10.764)</f>
        <v>424.63979999999998</v>
      </c>
      <c r="E288" s="55">
        <v>0</v>
      </c>
      <c r="F288" s="55">
        <f>D288*(($F$275)+1)+(IF(E288&lt;101,E288,IF(E288&lt;201,E288/2,IF(E288&lt;=301,E288/3,E288/4))))</f>
        <v>636.9597</v>
      </c>
      <c r="G288" s="116"/>
      <c r="H288" s="117"/>
      <c r="I288" s="32"/>
      <c r="L288" s="124"/>
      <c r="M288" s="124"/>
      <c r="N288" s="32"/>
    </row>
    <row r="289" spans="1:14" s="39" customFormat="1" x14ac:dyDescent="0.35">
      <c r="A289" s="119" t="s">
        <v>206</v>
      </c>
      <c r="B289" s="120"/>
      <c r="C289" s="120"/>
      <c r="D289" s="120"/>
      <c r="E289" s="120"/>
      <c r="F289" s="120"/>
      <c r="G289" s="120"/>
      <c r="H289" s="121"/>
      <c r="J289" s="32"/>
    </row>
    <row r="290" spans="1:14" s="39" customFormat="1" ht="15.75" customHeight="1" x14ac:dyDescent="0.35">
      <c r="A290" s="125">
        <v>1</v>
      </c>
      <c r="B290" s="126"/>
      <c r="C290" s="53" t="s">
        <v>202</v>
      </c>
      <c r="D290" s="54">
        <f>(29.8+0.75*(2.7+3.05))*(10.764)</f>
        <v>367.18694999999997</v>
      </c>
      <c r="E290" s="55">
        <v>0</v>
      </c>
      <c r="F290" s="55">
        <f>D290*(($F$275)+1)+(IF(E290&lt;101,E290,IF(E290&lt;201,E290/2,IF(E290&lt;=301,E290/3,E290/4))))</f>
        <v>550.78042499999992</v>
      </c>
      <c r="G290" s="114" t="str">
        <f>A289</f>
        <v>1st to 7th Floor</v>
      </c>
      <c r="H290" s="115"/>
      <c r="I290" s="32"/>
      <c r="L290" s="124"/>
      <c r="M290" s="124"/>
      <c r="N290" s="32"/>
    </row>
    <row r="291" spans="1:14" s="39" customFormat="1" ht="15.75" customHeight="1" x14ac:dyDescent="0.35">
      <c r="A291" s="125">
        <v>2</v>
      </c>
      <c r="B291" s="126"/>
      <c r="C291" s="53" t="s">
        <v>202</v>
      </c>
      <c r="D291" s="54">
        <f>(29.8+0.75*(2.7+3.05))*(10.764)</f>
        <v>367.18694999999997</v>
      </c>
      <c r="E291" s="55">
        <v>0</v>
      </c>
      <c r="F291" s="55">
        <f>D291*(($F$275)+1)+(IF(E291&lt;101,E291,IF(E291&lt;201,E291/2,IF(E291&lt;=301,E291/3,E291/4))))</f>
        <v>550.78042499999992</v>
      </c>
      <c r="G291" s="116"/>
      <c r="H291" s="117"/>
      <c r="I291" s="32"/>
      <c r="L291" s="124"/>
      <c r="M291" s="124"/>
      <c r="N291" s="32"/>
    </row>
    <row r="292" spans="1:14" s="39" customFormat="1" ht="15.75" customHeight="1" x14ac:dyDescent="0.35">
      <c r="A292" s="125">
        <v>3</v>
      </c>
      <c r="B292" s="126"/>
      <c r="C292" s="53" t="s">
        <v>203</v>
      </c>
      <c r="D292" s="54">
        <f>(39.45+0.75*(2.85+2.65+3.6+2.25+2.7))*(10.764)</f>
        <v>538.06545000000006</v>
      </c>
      <c r="E292" s="55">
        <v>0</v>
      </c>
      <c r="F292" s="55">
        <f>D292*(($F$275)+1)+(IF(E292&lt;101,E292,IF(E292&lt;201,E292/2,IF(E292&lt;=301,E292/3,E292/4))))</f>
        <v>807.09817500000008</v>
      </c>
      <c r="G292" s="116"/>
      <c r="H292" s="117"/>
      <c r="I292" s="32"/>
      <c r="L292" s="124"/>
      <c r="M292" s="124"/>
      <c r="N292" s="32"/>
    </row>
    <row r="293" spans="1:14" s="39" customFormat="1" x14ac:dyDescent="0.35">
      <c r="A293" s="118" t="s">
        <v>215</v>
      </c>
      <c r="B293" s="118"/>
      <c r="C293" s="118"/>
      <c r="D293" s="118"/>
      <c r="E293" s="118"/>
      <c r="F293" s="118"/>
      <c r="G293" s="118"/>
      <c r="H293" s="118"/>
      <c r="I293" s="32"/>
      <c r="L293" s="124"/>
      <c r="M293" s="124"/>
    </row>
    <row r="294" spans="1:14" s="39" customFormat="1" x14ac:dyDescent="0.35">
      <c r="A294" s="119" t="s">
        <v>211</v>
      </c>
      <c r="B294" s="120"/>
      <c r="C294" s="120"/>
      <c r="D294" s="120"/>
      <c r="E294" s="120"/>
      <c r="F294" s="120"/>
      <c r="G294" s="120"/>
      <c r="H294" s="121"/>
      <c r="J294" s="32"/>
    </row>
    <row r="295" spans="1:14" s="39" customFormat="1" ht="15.75" customHeight="1" x14ac:dyDescent="0.35">
      <c r="A295" s="125">
        <v>1</v>
      </c>
      <c r="B295" s="126"/>
      <c r="C295" s="53" t="s">
        <v>203</v>
      </c>
      <c r="D295" s="54">
        <f>(40)*(10.764)</f>
        <v>430.55999999999995</v>
      </c>
      <c r="E295" s="55">
        <v>0</v>
      </c>
      <c r="F295" s="55">
        <f>D295*(($F$275)+1)+(IF(E295&lt;101,E295,IF(E295&lt;201,E295/2,IF(E295&lt;=301,E295/3,E295/4))))</f>
        <v>645.83999999999992</v>
      </c>
      <c r="G295" s="114" t="str">
        <f>A294</f>
        <v>Ground Floor For Entrance Lobby, Meter Room, Residential &amp; Parking</v>
      </c>
      <c r="H295" s="115"/>
      <c r="I295" s="32">
        <f>4.6*2.7+1.8*2.1+0.9*1.56+1*2+2.4*3.06+1*1.1</f>
        <v>28.048000000000002</v>
      </c>
      <c r="L295" s="124"/>
      <c r="M295" s="124"/>
      <c r="N295" s="32"/>
    </row>
    <row r="296" spans="1:14" s="39" customFormat="1" ht="15.75" customHeight="1" x14ac:dyDescent="0.35">
      <c r="A296" s="125">
        <v>2</v>
      </c>
      <c r="B296" s="126"/>
      <c r="C296" s="53" t="s">
        <v>203</v>
      </c>
      <c r="D296" s="54">
        <f>(39.9)*(10.764)</f>
        <v>429.48359999999997</v>
      </c>
      <c r="E296" s="55">
        <v>0</v>
      </c>
      <c r="F296" s="55">
        <f>D296*(($F$275)+1)+(IF(E296&lt;101,E296,IF(E296&lt;201,E296/2,IF(E296&lt;=301,E296/3,E296/4))))</f>
        <v>644.22539999999992</v>
      </c>
      <c r="G296" s="116"/>
      <c r="H296" s="117"/>
      <c r="I296" s="32"/>
      <c r="L296" s="124"/>
      <c r="M296" s="124"/>
      <c r="N296" s="32"/>
    </row>
    <row r="297" spans="1:14" s="39" customFormat="1" x14ac:dyDescent="0.35">
      <c r="A297" s="119" t="s">
        <v>201</v>
      </c>
      <c r="B297" s="120"/>
      <c r="C297" s="120"/>
      <c r="D297" s="120"/>
      <c r="E297" s="120"/>
      <c r="F297" s="120"/>
      <c r="G297" s="120"/>
      <c r="H297" s="121"/>
      <c r="J297" s="32"/>
    </row>
    <row r="298" spans="1:14" s="39" customFormat="1" ht="15.75" customHeight="1" x14ac:dyDescent="0.35">
      <c r="A298" s="125">
        <v>1</v>
      </c>
      <c r="B298" s="126"/>
      <c r="C298" s="53" t="s">
        <v>203</v>
      </c>
      <c r="D298" s="54">
        <f>(40+1.9+0.75*(2.55+3.05+1.8))*(10.764)</f>
        <v>510.75179999999995</v>
      </c>
      <c r="E298" s="55">
        <v>0</v>
      </c>
      <c r="F298" s="55">
        <f>D298*(($F$275)+1)+(IF(E298&lt;101,E298,IF(E298&lt;201,E298/2,IF(E298&lt;=301,E298/3,E298/4))))</f>
        <v>766.12769999999989</v>
      </c>
      <c r="G298" s="114" t="str">
        <f>A297</f>
        <v>1st to 7th Floor For Residential</v>
      </c>
      <c r="H298" s="115"/>
      <c r="I298" s="32">
        <f>4.6*2.7+1.8*2.1+0.9*1.56+1*2+2.4*3.06+1*1.1</f>
        <v>28.048000000000002</v>
      </c>
      <c r="L298" s="124"/>
      <c r="M298" s="124"/>
      <c r="N298" s="32"/>
    </row>
    <row r="299" spans="1:14" s="39" customFormat="1" ht="15.75" customHeight="1" x14ac:dyDescent="0.35">
      <c r="A299" s="125">
        <v>2</v>
      </c>
      <c r="B299" s="126"/>
      <c r="C299" s="53" t="s">
        <v>203</v>
      </c>
      <c r="D299" s="54">
        <f>(39.9+1.9+0.75*(2.55+3.05+1.8))*(10.764)</f>
        <v>509.67539999999991</v>
      </c>
      <c r="E299" s="55">
        <v>0</v>
      </c>
      <c r="F299" s="55">
        <f>D299*(($F$275)+1)+(IF(E299&lt;101,E299,IF(E299&lt;201,E299/2,IF(E299&lt;=301,E299/3,E299/4))))</f>
        <v>764.51309999999989</v>
      </c>
      <c r="G299" s="116"/>
      <c r="H299" s="117"/>
      <c r="I299" s="32"/>
      <c r="L299" s="124"/>
      <c r="M299" s="124"/>
      <c r="N299" s="32"/>
    </row>
    <row r="300" spans="1:14" s="39" customFormat="1" ht="15.75" customHeight="1" x14ac:dyDescent="0.35">
      <c r="A300" s="125">
        <v>3</v>
      </c>
      <c r="B300" s="126"/>
      <c r="C300" s="53" t="s">
        <v>203</v>
      </c>
      <c r="D300" s="54">
        <f>(39.9+1.9+0.75*(2.55+3.05+1.8))*(10.764)</f>
        <v>509.67539999999991</v>
      </c>
      <c r="E300" s="55">
        <v>0</v>
      </c>
      <c r="F300" s="55">
        <f>D300*(($F$275)+1)+(IF(E300&lt;101,E300,IF(E300&lt;201,E300/2,IF(E300&lt;=301,E300/3,E300/4))))</f>
        <v>764.51309999999989</v>
      </c>
      <c r="G300" s="116"/>
      <c r="H300" s="117"/>
      <c r="I300" s="32"/>
      <c r="L300" s="124"/>
      <c r="M300" s="124"/>
      <c r="N300" s="32"/>
    </row>
    <row r="301" spans="1:14" s="39" customFormat="1" ht="15.75" customHeight="1" x14ac:dyDescent="0.35">
      <c r="A301" s="125">
        <v>4</v>
      </c>
      <c r="B301" s="126"/>
      <c r="C301" s="53" t="s">
        <v>203</v>
      </c>
      <c r="D301" s="54">
        <f>(40+1.9+0.75*(2.55+3.05+1.8))*(10.764)</f>
        <v>510.75179999999995</v>
      </c>
      <c r="E301" s="55">
        <v>0</v>
      </c>
      <c r="F301" s="55">
        <f>D301*(($F$275)+1)+(IF(E301&lt;101,E301,IF(E301&lt;201,E301/2,IF(E301&lt;=301,E301/3,E301/4))))</f>
        <v>766.12769999999989</v>
      </c>
      <c r="G301" s="122"/>
      <c r="H301" s="123"/>
      <c r="I301" s="32"/>
      <c r="L301" s="124"/>
      <c r="M301" s="124"/>
      <c r="N301" s="32"/>
    </row>
    <row r="302" spans="1:14" s="39" customFormat="1" x14ac:dyDescent="0.35">
      <c r="A302" s="118" t="s">
        <v>212</v>
      </c>
      <c r="B302" s="118"/>
      <c r="C302" s="118"/>
      <c r="D302" s="118"/>
      <c r="E302" s="118"/>
      <c r="F302" s="118"/>
      <c r="G302" s="118"/>
      <c r="H302" s="118"/>
      <c r="I302" s="32"/>
      <c r="L302" s="124"/>
      <c r="M302" s="124"/>
    </row>
    <row r="303" spans="1:14" s="39" customFormat="1" x14ac:dyDescent="0.35">
      <c r="A303" s="118" t="s">
        <v>211</v>
      </c>
      <c r="B303" s="118"/>
      <c r="C303" s="118"/>
      <c r="D303" s="118"/>
      <c r="E303" s="118"/>
      <c r="F303" s="118"/>
      <c r="G303" s="118"/>
      <c r="H303" s="118"/>
      <c r="J303" s="32"/>
    </row>
    <row r="304" spans="1:14" s="39" customFormat="1" ht="15.75" customHeight="1" x14ac:dyDescent="0.35">
      <c r="A304" s="127">
        <v>1</v>
      </c>
      <c r="B304" s="127"/>
      <c r="C304" s="53" t="s">
        <v>203</v>
      </c>
      <c r="D304" s="54">
        <f>(40)*(10.764)</f>
        <v>430.55999999999995</v>
      </c>
      <c r="E304" s="55">
        <v>0</v>
      </c>
      <c r="F304" s="55">
        <f>D304*(($F$275)+1)+(IF(E304&lt;101,E304,IF(E304&lt;201,E304/2,IF(E304&lt;=301,E304/3,E304/4))))</f>
        <v>645.83999999999992</v>
      </c>
      <c r="G304" s="127" t="str">
        <f>A303</f>
        <v>Ground Floor For Entrance Lobby, Meter Room, Residential &amp; Parking</v>
      </c>
      <c r="H304" s="127"/>
      <c r="I304" s="32">
        <f>4.6*2.7+1.8*2.1+0.9*1.56+1*2+2.4*3.06+1*1.1</f>
        <v>28.048000000000002</v>
      </c>
      <c r="L304" s="124"/>
      <c r="M304" s="124"/>
      <c r="N304" s="32"/>
    </row>
    <row r="305" spans="1:14" s="39" customFormat="1" ht="15.75" customHeight="1" x14ac:dyDescent="0.35">
      <c r="A305" s="127">
        <v>2</v>
      </c>
      <c r="B305" s="127"/>
      <c r="C305" s="53" t="s">
        <v>203</v>
      </c>
      <c r="D305" s="54">
        <f>(39.9)*(10.764)</f>
        <v>429.48359999999997</v>
      </c>
      <c r="E305" s="55">
        <v>0</v>
      </c>
      <c r="F305" s="55">
        <f>D305*(($F$275)+1)+(IF(E305&lt;101,E305,IF(E305&lt;201,E305/2,IF(E305&lt;=301,E305/3,E305/4))))</f>
        <v>644.22539999999992</v>
      </c>
      <c r="G305" s="127"/>
      <c r="H305" s="127"/>
      <c r="I305" s="32"/>
      <c r="L305" s="124"/>
      <c r="M305" s="124"/>
      <c r="N305" s="32"/>
    </row>
    <row r="306" spans="1:14" s="39" customFormat="1" x14ac:dyDescent="0.35">
      <c r="A306" s="119" t="s">
        <v>201</v>
      </c>
      <c r="B306" s="120"/>
      <c r="C306" s="120"/>
      <c r="D306" s="120"/>
      <c r="E306" s="120"/>
      <c r="F306" s="120"/>
      <c r="G306" s="120"/>
      <c r="H306" s="121"/>
      <c r="J306" s="32"/>
    </row>
    <row r="307" spans="1:14" s="39" customFormat="1" ht="15.75" customHeight="1" x14ac:dyDescent="0.35">
      <c r="A307" s="125">
        <v>1</v>
      </c>
      <c r="B307" s="126"/>
      <c r="C307" s="53" t="s">
        <v>203</v>
      </c>
      <c r="D307" s="54">
        <f>(40+1.9+0.75*(2.55+3.05+1.8))*(10.764)</f>
        <v>510.75179999999995</v>
      </c>
      <c r="E307" s="55">
        <v>0</v>
      </c>
      <c r="F307" s="55">
        <f>D307*(($F$275)+1)+(IF(E307&lt;101,E307,IF(E307&lt;201,E307/2,IF(E307&lt;=301,E307/3,E307/4))))</f>
        <v>766.12769999999989</v>
      </c>
      <c r="G307" s="114" t="str">
        <f>A306</f>
        <v>1st to 7th Floor For Residential</v>
      </c>
      <c r="H307" s="115"/>
      <c r="I307" s="32">
        <f>4.6*2.7+1.8*2.1+0.9*1.56+1*2+2.4*3.06+1*1.1</f>
        <v>28.048000000000002</v>
      </c>
      <c r="L307" s="124"/>
      <c r="M307" s="124"/>
      <c r="N307" s="32"/>
    </row>
    <row r="308" spans="1:14" s="39" customFormat="1" ht="15.75" customHeight="1" x14ac:dyDescent="0.35">
      <c r="A308" s="125">
        <v>2</v>
      </c>
      <c r="B308" s="126"/>
      <c r="C308" s="53" t="s">
        <v>203</v>
      </c>
      <c r="D308" s="54">
        <f>(39.9+1.9+0.75*(2.55+3.05+1.8))*(10.764)</f>
        <v>509.67539999999991</v>
      </c>
      <c r="E308" s="55">
        <v>0</v>
      </c>
      <c r="F308" s="55">
        <f>D308*(($F$275)+1)+(IF(E308&lt;101,E308,IF(E308&lt;201,E308/2,IF(E308&lt;=301,E308/3,E308/4))))</f>
        <v>764.51309999999989</v>
      </c>
      <c r="G308" s="116"/>
      <c r="H308" s="117"/>
      <c r="I308" s="32"/>
      <c r="L308" s="124"/>
      <c r="M308" s="124"/>
      <c r="N308" s="32"/>
    </row>
    <row r="309" spans="1:14" s="39" customFormat="1" ht="15.75" customHeight="1" x14ac:dyDescent="0.35">
      <c r="A309" s="125">
        <v>3</v>
      </c>
      <c r="B309" s="126"/>
      <c r="C309" s="53" t="s">
        <v>203</v>
      </c>
      <c r="D309" s="54">
        <f>(39.9+1.9+0.75*(2.55+3.05+1.8))*(10.764)</f>
        <v>509.67539999999991</v>
      </c>
      <c r="E309" s="55">
        <v>0</v>
      </c>
      <c r="F309" s="55">
        <f>D309*(($F$275)+1)+(IF(E309&lt;101,E309,IF(E309&lt;201,E309/2,IF(E309&lt;=301,E309/3,E309/4))))</f>
        <v>764.51309999999989</v>
      </c>
      <c r="G309" s="116"/>
      <c r="H309" s="117"/>
      <c r="I309" s="32"/>
      <c r="L309" s="124"/>
      <c r="M309" s="124"/>
      <c r="N309" s="32"/>
    </row>
    <row r="310" spans="1:14" s="39" customFormat="1" ht="15.75" customHeight="1" x14ac:dyDescent="0.35">
      <c r="A310" s="125">
        <v>4</v>
      </c>
      <c r="B310" s="126"/>
      <c r="C310" s="53" t="s">
        <v>203</v>
      </c>
      <c r="D310" s="54">
        <f>(40+1.9+0.75*(2.55+3.05+1.8))*(10.764)</f>
        <v>510.75179999999995</v>
      </c>
      <c r="E310" s="55">
        <v>0</v>
      </c>
      <c r="F310" s="55">
        <f>D310*(($F$275)+1)+(IF(E310&lt;101,E310,IF(E310&lt;201,E310/2,IF(E310&lt;=301,E310/3,E310/4))))</f>
        <v>766.12769999999989</v>
      </c>
      <c r="G310" s="122"/>
      <c r="H310" s="123"/>
      <c r="I310" s="32"/>
      <c r="L310" s="124"/>
      <c r="M310" s="124"/>
      <c r="N310" s="32"/>
    </row>
    <row r="311" spans="1:14" s="39" customFormat="1" x14ac:dyDescent="0.35">
      <c r="A311" s="118" t="s">
        <v>213</v>
      </c>
      <c r="B311" s="118"/>
      <c r="C311" s="118"/>
      <c r="D311" s="118"/>
      <c r="E311" s="118"/>
      <c r="F311" s="118"/>
      <c r="G311" s="118"/>
      <c r="H311" s="118"/>
      <c r="I311" s="32"/>
      <c r="L311" s="124"/>
      <c r="M311" s="124"/>
    </row>
    <row r="312" spans="1:14" s="39" customFormat="1" x14ac:dyDescent="0.35">
      <c r="A312" s="119" t="s">
        <v>211</v>
      </c>
      <c r="B312" s="120"/>
      <c r="C312" s="120"/>
      <c r="D312" s="120"/>
      <c r="E312" s="120"/>
      <c r="F312" s="120"/>
      <c r="G312" s="120"/>
      <c r="H312" s="121"/>
      <c r="J312" s="32"/>
    </row>
    <row r="313" spans="1:14" s="39" customFormat="1" ht="15.75" customHeight="1" x14ac:dyDescent="0.35">
      <c r="A313" s="125">
        <v>1</v>
      </c>
      <c r="B313" s="126"/>
      <c r="C313" s="53" t="s">
        <v>203</v>
      </c>
      <c r="D313" s="54">
        <f>(40)*(10.764)</f>
        <v>430.55999999999995</v>
      </c>
      <c r="E313" s="55">
        <v>0</v>
      </c>
      <c r="F313" s="55">
        <f>D313*(($F$275)+1)+(IF(E313&lt;101,E313,IF(E313&lt;201,E313/2,IF(E313&lt;=301,E313/3,E313/4))))</f>
        <v>645.83999999999992</v>
      </c>
      <c r="G313" s="114" t="str">
        <f>A312</f>
        <v>Ground Floor For Entrance Lobby, Meter Room, Residential &amp; Parking</v>
      </c>
      <c r="H313" s="115"/>
      <c r="I313" s="32">
        <f>4.6*2.7+1.8*2.1+0.9*1.56+1*2+2.4*3.06+1*1.1</f>
        <v>28.048000000000002</v>
      </c>
      <c r="L313" s="124"/>
      <c r="M313" s="124"/>
      <c r="N313" s="32"/>
    </row>
    <row r="314" spans="1:14" s="39" customFormat="1" ht="15.75" customHeight="1" x14ac:dyDescent="0.35">
      <c r="A314" s="125">
        <v>2</v>
      </c>
      <c r="B314" s="126"/>
      <c r="C314" s="53" t="s">
        <v>203</v>
      </c>
      <c r="D314" s="54">
        <f>(39.9)*(10.764)</f>
        <v>429.48359999999997</v>
      </c>
      <c r="E314" s="55">
        <v>0</v>
      </c>
      <c r="F314" s="55">
        <f>D314*(($F$275)+1)+(IF(E314&lt;101,E314,IF(E314&lt;201,E314/2,IF(E314&lt;=301,E314/3,E314/4))))</f>
        <v>644.22539999999992</v>
      </c>
      <c r="G314" s="116"/>
      <c r="H314" s="117"/>
      <c r="I314" s="32"/>
      <c r="L314" s="124"/>
      <c r="M314" s="124"/>
      <c r="N314" s="32"/>
    </row>
    <row r="315" spans="1:14" s="39" customFormat="1" x14ac:dyDescent="0.35">
      <c r="A315" s="119" t="s">
        <v>201</v>
      </c>
      <c r="B315" s="120"/>
      <c r="C315" s="120"/>
      <c r="D315" s="120"/>
      <c r="E315" s="120"/>
      <c r="F315" s="120"/>
      <c r="G315" s="120"/>
      <c r="H315" s="121"/>
      <c r="J315" s="32"/>
    </row>
    <row r="316" spans="1:14" s="39" customFormat="1" ht="15.75" customHeight="1" x14ac:dyDescent="0.35">
      <c r="A316" s="125">
        <v>1</v>
      </c>
      <c r="B316" s="126"/>
      <c r="C316" s="53" t="s">
        <v>203</v>
      </c>
      <c r="D316" s="54">
        <f>(40+1.9+0.75*(2.55+3.05+1.8))*(10.764)</f>
        <v>510.75179999999995</v>
      </c>
      <c r="E316" s="55">
        <v>0</v>
      </c>
      <c r="F316" s="55">
        <f>D316*(($F$275)+1)+(IF(E316&lt;101,E316,IF(E316&lt;201,E316/2,IF(E316&lt;=301,E316/3,E316/4))))</f>
        <v>766.12769999999989</v>
      </c>
      <c r="G316" s="114" t="str">
        <f>A315</f>
        <v>1st to 7th Floor For Residential</v>
      </c>
      <c r="H316" s="115"/>
      <c r="I316" s="32">
        <f>4.6*2.7+1.8*2.1+0.9*1.56+1*2+2.4*3.06+1*1.1</f>
        <v>28.048000000000002</v>
      </c>
      <c r="L316" s="124"/>
      <c r="M316" s="124"/>
      <c r="N316" s="32"/>
    </row>
    <row r="317" spans="1:14" s="39" customFormat="1" ht="15.75" customHeight="1" x14ac:dyDescent="0.35">
      <c r="A317" s="125">
        <v>2</v>
      </c>
      <c r="B317" s="126"/>
      <c r="C317" s="53" t="s">
        <v>203</v>
      </c>
      <c r="D317" s="54">
        <f>(39.9+1.9+0.75*(2.55+3.05+1.8))*(10.764)</f>
        <v>509.67539999999991</v>
      </c>
      <c r="E317" s="55">
        <v>0</v>
      </c>
      <c r="F317" s="55">
        <f>D317*(($F$275)+1)+(IF(E317&lt;101,E317,IF(E317&lt;201,E317/2,IF(E317&lt;=301,E317/3,E317/4))))</f>
        <v>764.51309999999989</v>
      </c>
      <c r="G317" s="116"/>
      <c r="H317" s="117"/>
      <c r="I317" s="32"/>
      <c r="L317" s="124"/>
      <c r="M317" s="124"/>
      <c r="N317" s="32"/>
    </row>
    <row r="318" spans="1:14" s="39" customFormat="1" ht="15.75" customHeight="1" x14ac:dyDescent="0.35">
      <c r="A318" s="125">
        <v>3</v>
      </c>
      <c r="B318" s="126"/>
      <c r="C318" s="53" t="s">
        <v>203</v>
      </c>
      <c r="D318" s="54">
        <f>(39.9+1.9+0.75*(2.55+3.05+1.8))*(10.764)</f>
        <v>509.67539999999991</v>
      </c>
      <c r="E318" s="55">
        <v>0</v>
      </c>
      <c r="F318" s="55">
        <f>D318*(($F$275)+1)+(IF(E318&lt;101,E318,IF(E318&lt;201,E318/2,IF(E318&lt;=301,E318/3,E318/4))))</f>
        <v>764.51309999999989</v>
      </c>
      <c r="G318" s="116"/>
      <c r="H318" s="117"/>
      <c r="I318" s="32"/>
      <c r="L318" s="124"/>
      <c r="M318" s="124"/>
      <c r="N318" s="32"/>
    </row>
    <row r="319" spans="1:14" s="39" customFormat="1" ht="15.75" customHeight="1" x14ac:dyDescent="0.35">
      <c r="A319" s="125">
        <v>4</v>
      </c>
      <c r="B319" s="126"/>
      <c r="C319" s="53" t="s">
        <v>203</v>
      </c>
      <c r="D319" s="54">
        <f>(40+1.9+0.75*(2.55+3.05+1.8))*(10.764)</f>
        <v>510.75179999999995</v>
      </c>
      <c r="E319" s="55">
        <v>0</v>
      </c>
      <c r="F319" s="55">
        <f>D319*(($F$275)+1)+(IF(E319&lt;101,E319,IF(E319&lt;201,E319/2,IF(E319&lt;=301,E319/3,E319/4))))</f>
        <v>766.12769999999989</v>
      </c>
      <c r="G319" s="122"/>
      <c r="H319" s="123"/>
      <c r="I319" s="32"/>
      <c r="L319" s="124"/>
      <c r="M319" s="124"/>
      <c r="N319" s="32"/>
    </row>
    <row r="320" spans="1:14" s="39" customFormat="1" x14ac:dyDescent="0.35">
      <c r="A320" s="118" t="s">
        <v>214</v>
      </c>
      <c r="B320" s="118"/>
      <c r="C320" s="118"/>
      <c r="D320" s="118"/>
      <c r="E320" s="118"/>
      <c r="F320" s="118"/>
      <c r="G320" s="118"/>
      <c r="H320" s="118"/>
      <c r="I320" s="32"/>
      <c r="L320" s="124"/>
      <c r="M320" s="124"/>
    </row>
    <row r="321" spans="1:14" s="39" customFormat="1" x14ac:dyDescent="0.35">
      <c r="A321" s="119" t="s">
        <v>211</v>
      </c>
      <c r="B321" s="120"/>
      <c r="C321" s="120"/>
      <c r="D321" s="120"/>
      <c r="E321" s="120"/>
      <c r="F321" s="120"/>
      <c r="G321" s="120"/>
      <c r="H321" s="121"/>
      <c r="J321" s="32"/>
    </row>
    <row r="322" spans="1:14" s="39" customFormat="1" ht="15.75" customHeight="1" x14ac:dyDescent="0.35">
      <c r="A322" s="125">
        <v>1</v>
      </c>
      <c r="B322" s="126"/>
      <c r="C322" s="53" t="s">
        <v>203</v>
      </c>
      <c r="D322" s="54">
        <f>(40)*(10.764)</f>
        <v>430.55999999999995</v>
      </c>
      <c r="E322" s="55">
        <v>0</v>
      </c>
      <c r="F322" s="55">
        <f>D322*(($F$275)+1)+(IF(E322&lt;101,E322,IF(E322&lt;201,E322/2,IF(E322&lt;=301,E322/3,E322/4))))</f>
        <v>645.83999999999992</v>
      </c>
      <c r="G322" s="114" t="str">
        <f>A321</f>
        <v>Ground Floor For Entrance Lobby, Meter Room, Residential &amp; Parking</v>
      </c>
      <c r="H322" s="115"/>
      <c r="I322" s="32">
        <f>4.6*2.7+1.8*2.1+0.9*1.56+1*2+2.4*3.06+1*1.1</f>
        <v>28.048000000000002</v>
      </c>
      <c r="L322" s="124"/>
      <c r="M322" s="124"/>
      <c r="N322" s="32"/>
    </row>
    <row r="323" spans="1:14" s="39" customFormat="1" ht="15.75" customHeight="1" x14ac:dyDescent="0.35">
      <c r="A323" s="125">
        <v>2</v>
      </c>
      <c r="B323" s="126"/>
      <c r="C323" s="53" t="s">
        <v>203</v>
      </c>
      <c r="D323" s="54">
        <f>(39.9)*(10.764)</f>
        <v>429.48359999999997</v>
      </c>
      <c r="E323" s="55">
        <v>0</v>
      </c>
      <c r="F323" s="55">
        <f>D323*(($F$275)+1)+(IF(E323&lt;101,E323,IF(E323&lt;201,E323/2,IF(E323&lt;=301,E323/3,E323/4))))</f>
        <v>644.22539999999992</v>
      </c>
      <c r="G323" s="116"/>
      <c r="H323" s="117"/>
      <c r="I323" s="32"/>
      <c r="L323" s="124"/>
      <c r="M323" s="124"/>
      <c r="N323" s="32"/>
    </row>
    <row r="324" spans="1:14" s="39" customFormat="1" x14ac:dyDescent="0.35">
      <c r="A324" s="119" t="s">
        <v>201</v>
      </c>
      <c r="B324" s="120"/>
      <c r="C324" s="120"/>
      <c r="D324" s="120"/>
      <c r="E324" s="120"/>
      <c r="F324" s="120"/>
      <c r="G324" s="120"/>
      <c r="H324" s="121"/>
      <c r="J324" s="32"/>
    </row>
    <row r="325" spans="1:14" s="39" customFormat="1" ht="15.75" customHeight="1" x14ac:dyDescent="0.35">
      <c r="A325" s="125">
        <v>1</v>
      </c>
      <c r="B325" s="126"/>
      <c r="C325" s="53" t="s">
        <v>203</v>
      </c>
      <c r="D325" s="54">
        <f>(40+1.9+0.75*(2.55+3.05+1.8))*(10.764)</f>
        <v>510.75179999999995</v>
      </c>
      <c r="E325" s="55">
        <v>0</v>
      </c>
      <c r="F325" s="55">
        <f>D325*(($F$275)+1)+(IF(E325&lt;101,E325,IF(E325&lt;201,E325/2,IF(E325&lt;=301,E325/3,E325/4))))</f>
        <v>766.12769999999989</v>
      </c>
      <c r="G325" s="114" t="str">
        <f>A324</f>
        <v>1st to 7th Floor For Residential</v>
      </c>
      <c r="H325" s="115"/>
      <c r="I325" s="32">
        <f>4.6*2.7+1.8*2.1+0.9*1.56+1*2+2.4*3.06+1*1.1</f>
        <v>28.048000000000002</v>
      </c>
      <c r="L325" s="124"/>
      <c r="M325" s="124"/>
      <c r="N325" s="32"/>
    </row>
    <row r="326" spans="1:14" s="39" customFormat="1" ht="15.75" customHeight="1" x14ac:dyDescent="0.35">
      <c r="A326" s="125">
        <v>2</v>
      </c>
      <c r="B326" s="126"/>
      <c r="C326" s="53" t="s">
        <v>203</v>
      </c>
      <c r="D326" s="54">
        <f>(39.9+1.9+0.75*(2.55+3.05+1.8))*(10.764)</f>
        <v>509.67539999999991</v>
      </c>
      <c r="E326" s="55">
        <v>0</v>
      </c>
      <c r="F326" s="55">
        <f>D326*(($F$275)+1)+(IF(E326&lt;101,E326,IF(E326&lt;201,E326/2,IF(E326&lt;=301,E326/3,E326/4))))</f>
        <v>764.51309999999989</v>
      </c>
      <c r="G326" s="116"/>
      <c r="H326" s="117"/>
      <c r="I326" s="32"/>
      <c r="L326" s="124"/>
      <c r="M326" s="124"/>
      <c r="N326" s="32"/>
    </row>
    <row r="327" spans="1:14" s="39" customFormat="1" ht="15.75" customHeight="1" x14ac:dyDescent="0.35">
      <c r="A327" s="125">
        <v>3</v>
      </c>
      <c r="B327" s="126"/>
      <c r="C327" s="53" t="s">
        <v>203</v>
      </c>
      <c r="D327" s="54">
        <f>(39.9+1.9+0.75*(2.55+3.05+1.8))*(10.764)</f>
        <v>509.67539999999991</v>
      </c>
      <c r="E327" s="55">
        <v>0</v>
      </c>
      <c r="F327" s="55">
        <f>D327*(($F$275)+1)+(IF(E327&lt;101,E327,IF(E327&lt;201,E327/2,IF(E327&lt;=301,E327/3,E327/4))))</f>
        <v>764.51309999999989</v>
      </c>
      <c r="G327" s="116"/>
      <c r="H327" s="117"/>
      <c r="I327" s="32"/>
      <c r="L327" s="124"/>
      <c r="M327" s="124"/>
      <c r="N327" s="32"/>
    </row>
    <row r="328" spans="1:14" s="39" customFormat="1" ht="15.75" customHeight="1" x14ac:dyDescent="0.35">
      <c r="A328" s="125">
        <v>4</v>
      </c>
      <c r="B328" s="126"/>
      <c r="C328" s="53" t="s">
        <v>203</v>
      </c>
      <c r="D328" s="54">
        <f>(40+1.9+0.75*(2.55+3.05+1.8))*(10.764)</f>
        <v>510.75179999999995</v>
      </c>
      <c r="E328" s="55">
        <v>0</v>
      </c>
      <c r="F328" s="55">
        <f>D328*(($F$275)+1)+(IF(E328&lt;101,E328,IF(E328&lt;201,E328/2,IF(E328&lt;=301,E328/3,E328/4))))</f>
        <v>766.12769999999989</v>
      </c>
      <c r="G328" s="122"/>
      <c r="H328" s="123"/>
      <c r="I328" s="32"/>
      <c r="L328" s="124"/>
      <c r="M328" s="124"/>
      <c r="N328" s="32"/>
    </row>
    <row r="329" spans="1:14" s="39" customFormat="1" x14ac:dyDescent="0.35">
      <c r="A329" s="119" t="s">
        <v>207</v>
      </c>
      <c r="B329" s="120"/>
      <c r="C329" s="120"/>
      <c r="D329" s="120"/>
      <c r="E329" s="120"/>
      <c r="F329" s="120"/>
      <c r="G329" s="120"/>
      <c r="H329" s="121"/>
      <c r="J329" s="32"/>
    </row>
    <row r="330" spans="1:14" s="39" customFormat="1" x14ac:dyDescent="0.35">
      <c r="A330" s="119" t="s">
        <v>208</v>
      </c>
      <c r="B330" s="120"/>
      <c r="C330" s="120"/>
      <c r="D330" s="120"/>
      <c r="E330" s="120"/>
      <c r="F330" s="120"/>
      <c r="G330" s="120"/>
      <c r="H330" s="121"/>
      <c r="J330" s="32"/>
    </row>
    <row r="331" spans="1:14" s="39" customFormat="1" ht="15.75" customHeight="1" x14ac:dyDescent="0.35">
      <c r="A331" s="125">
        <v>1</v>
      </c>
      <c r="B331" s="126"/>
      <c r="C331" s="53" t="s">
        <v>203</v>
      </c>
      <c r="D331" s="54">
        <f>(39.45)*(10.764)</f>
        <v>424.63979999999998</v>
      </c>
      <c r="E331" s="55">
        <v>0</v>
      </c>
      <c r="F331" s="55">
        <f>D331*(($F$275)+1)+(IF(E331&lt;101,E331,IF(E331&lt;201,E331/2,IF(E331&lt;=301,E331/3,E331/4))))</f>
        <v>636.9597</v>
      </c>
      <c r="G331" s="114" t="str">
        <f>A330</f>
        <v>Ground Floor For Entrance Lobby, Meter Room &amp; Residential</v>
      </c>
      <c r="H331" s="115"/>
      <c r="I331" s="32"/>
      <c r="L331" s="124"/>
      <c r="M331" s="124"/>
      <c r="N331" s="32"/>
    </row>
    <row r="332" spans="1:14" s="39" customFormat="1" ht="15.75" customHeight="1" x14ac:dyDescent="0.35">
      <c r="A332" s="125">
        <v>2</v>
      </c>
      <c r="B332" s="126"/>
      <c r="C332" s="53" t="s">
        <v>202</v>
      </c>
      <c r="D332" s="54">
        <f>(29.8)*(10.764)</f>
        <v>320.7672</v>
      </c>
      <c r="E332" s="55">
        <v>0</v>
      </c>
      <c r="F332" s="55">
        <f>D332*(($F$275)+1)+(IF(E332&lt;101,E332,IF(E332&lt;201,E332/2,IF(E332&lt;=301,E332/3,E332/4))))</f>
        <v>481.1508</v>
      </c>
      <c r="G332" s="116"/>
      <c r="H332" s="117"/>
      <c r="I332" s="32"/>
      <c r="L332" s="124"/>
      <c r="M332" s="124"/>
      <c r="N332" s="32"/>
    </row>
    <row r="333" spans="1:14" s="39" customFormat="1" ht="15.75" customHeight="1" x14ac:dyDescent="0.35">
      <c r="A333" s="125">
        <v>3</v>
      </c>
      <c r="B333" s="126"/>
      <c r="C333" s="53" t="s">
        <v>203</v>
      </c>
      <c r="D333" s="54">
        <f>(42.25)*(10.764)</f>
        <v>454.779</v>
      </c>
      <c r="E333" s="55">
        <v>0</v>
      </c>
      <c r="F333" s="55">
        <f>D333*(($F$275)+1)+(IF(E333&lt;101,E333,IF(E333&lt;201,E333/2,IF(E333&lt;=301,E333/3,E333/4))))</f>
        <v>682.16849999999999</v>
      </c>
      <c r="G333" s="116"/>
      <c r="H333" s="117"/>
      <c r="I333" s="44">
        <f>4.6*2.7+1.8*2.1+1.2*2.1+1.8*2.3+3*3.35+1*1.1+3.3*2.65</f>
        <v>42.754999999999995</v>
      </c>
      <c r="L333" s="124"/>
      <c r="M333" s="124"/>
      <c r="N333" s="32"/>
    </row>
    <row r="334" spans="1:14" s="39" customFormat="1" x14ac:dyDescent="0.35">
      <c r="A334" s="119" t="s">
        <v>206</v>
      </c>
      <c r="B334" s="120"/>
      <c r="C334" s="120"/>
      <c r="D334" s="120"/>
      <c r="E334" s="120"/>
      <c r="F334" s="120"/>
      <c r="G334" s="120"/>
      <c r="H334" s="121"/>
      <c r="J334" s="32"/>
    </row>
    <row r="335" spans="1:14" s="39" customFormat="1" ht="15.75" customHeight="1" x14ac:dyDescent="0.35">
      <c r="A335" s="125">
        <v>1</v>
      </c>
      <c r="B335" s="126"/>
      <c r="C335" s="53" t="s">
        <v>203</v>
      </c>
      <c r="D335" s="54">
        <f>(39.45+0.75*(2.85+2.65+3.6+2.25+2.7))*(10.764)</f>
        <v>538.06545000000006</v>
      </c>
      <c r="E335" s="55">
        <v>0</v>
      </c>
      <c r="F335" s="55">
        <f>D335*(($F$275)+1)+(IF(E335&lt;101,E335,IF(E335&lt;201,E335/2,IF(E335&lt;=301,E335/3,E335/4))))</f>
        <v>807.09817500000008</v>
      </c>
      <c r="G335" s="114" t="str">
        <f>A334</f>
        <v>1st to 7th Floor</v>
      </c>
      <c r="H335" s="115"/>
      <c r="I335" s="32"/>
      <c r="L335" s="124"/>
      <c r="M335" s="124"/>
      <c r="N335" s="32"/>
    </row>
    <row r="336" spans="1:14" s="39" customFormat="1" ht="15.75" customHeight="1" x14ac:dyDescent="0.35">
      <c r="A336" s="125">
        <v>2</v>
      </c>
      <c r="B336" s="126"/>
      <c r="C336" s="53" t="s">
        <v>202</v>
      </c>
      <c r="D336" s="54">
        <f>(29.8+0.75*(2.7+3.05))*(10.764)</f>
        <v>367.18694999999997</v>
      </c>
      <c r="E336" s="55">
        <v>0</v>
      </c>
      <c r="F336" s="55">
        <f>D336*(($F$275)+1)+(IF(E336&lt;101,E336,IF(E336&lt;201,E336/2,IF(E336&lt;=301,E336/3,E336/4))))</f>
        <v>550.78042499999992</v>
      </c>
      <c r="G336" s="116"/>
      <c r="H336" s="117"/>
      <c r="I336" s="32"/>
      <c r="L336" s="124"/>
      <c r="M336" s="124"/>
      <c r="N336" s="32"/>
    </row>
    <row r="337" spans="1:14" s="39" customFormat="1" ht="15.75" customHeight="1" x14ac:dyDescent="0.35">
      <c r="A337" s="125">
        <v>3</v>
      </c>
      <c r="B337" s="126"/>
      <c r="C337" s="53" t="s">
        <v>203</v>
      </c>
      <c r="D337" s="54">
        <f>(42.25+0.75*(2.7+2.65+3.35))*(10.764)</f>
        <v>525.01409999999998</v>
      </c>
      <c r="E337" s="55">
        <v>0</v>
      </c>
      <c r="F337" s="55">
        <f>D337*(($F$275)+1)+(IF(E337&lt;101,E337,IF(E337&lt;201,E337/2,IF(E337&lt;=301,E337/3,E337/4))))</f>
        <v>787.52115000000003</v>
      </c>
      <c r="G337" s="116"/>
      <c r="H337" s="117"/>
      <c r="I337" s="32"/>
      <c r="L337" s="124"/>
      <c r="M337" s="124"/>
      <c r="N337" s="32"/>
    </row>
    <row r="338" spans="1:14" s="39" customFormat="1" ht="15.75" customHeight="1" x14ac:dyDescent="0.35">
      <c r="A338" s="125">
        <v>4</v>
      </c>
      <c r="B338" s="126"/>
      <c r="C338" s="53" t="s">
        <v>202</v>
      </c>
      <c r="D338" s="54">
        <f>(28.65+0.75*(2.2+2.1+2))*(10.764)</f>
        <v>359.24849999999998</v>
      </c>
      <c r="E338" s="55">
        <v>0</v>
      </c>
      <c r="F338" s="55">
        <f>D338*(($F$275)+1)+(IF(E338&lt;101,E338,IF(E338&lt;201,E338/2,IF(E338&lt;=301,E338/3,E338/4))))</f>
        <v>538.87275</v>
      </c>
      <c r="G338" s="116"/>
      <c r="H338" s="117"/>
      <c r="I338" s="32"/>
      <c r="L338" s="124"/>
      <c r="M338" s="124"/>
      <c r="N338" s="32"/>
    </row>
    <row r="339" spans="1:14" s="39" customFormat="1" x14ac:dyDescent="0.35">
      <c r="A339" s="119" t="s">
        <v>216</v>
      </c>
      <c r="B339" s="120"/>
      <c r="C339" s="120"/>
      <c r="D339" s="120"/>
      <c r="E339" s="120"/>
      <c r="F339" s="120"/>
      <c r="G339" s="120"/>
      <c r="H339" s="121"/>
      <c r="J339" s="32"/>
    </row>
    <row r="340" spans="1:14" s="39" customFormat="1" x14ac:dyDescent="0.35">
      <c r="A340" s="119" t="s">
        <v>205</v>
      </c>
      <c r="B340" s="120"/>
      <c r="C340" s="120"/>
      <c r="D340" s="120"/>
      <c r="E340" s="120"/>
      <c r="F340" s="120"/>
      <c r="G340" s="120"/>
      <c r="H340" s="121"/>
      <c r="J340" s="32"/>
    </row>
    <row r="341" spans="1:14" s="39" customFormat="1" ht="15.75" customHeight="1" x14ac:dyDescent="0.35">
      <c r="A341" s="125">
        <v>1</v>
      </c>
      <c r="B341" s="126"/>
      <c r="C341" s="53" t="s">
        <v>203</v>
      </c>
      <c r="D341" s="54">
        <f>(40.8)*(10.764)</f>
        <v>439.17119999999994</v>
      </c>
      <c r="E341" s="55">
        <v>0</v>
      </c>
      <c r="F341" s="55">
        <f>D341*(($F$275)+1)+(IF(E341&lt;101,E341,IF(E341&lt;201,E341/2,IF(E341&lt;=301,E341/3,E341/4))))</f>
        <v>658.75679999999988</v>
      </c>
      <c r="G341" s="114" t="str">
        <f>A340</f>
        <v>Ground Floor For Residential</v>
      </c>
      <c r="H341" s="115"/>
      <c r="I341" s="32"/>
      <c r="L341" s="124"/>
      <c r="M341" s="124"/>
      <c r="N341" s="32"/>
    </row>
    <row r="342" spans="1:14" s="39" customFormat="1" ht="15.75" customHeight="1" x14ac:dyDescent="0.35">
      <c r="A342" s="125">
        <v>2</v>
      </c>
      <c r="B342" s="126"/>
      <c r="C342" s="53" t="s">
        <v>203</v>
      </c>
      <c r="D342" s="54">
        <f>(39.55)*(10.764)</f>
        <v>425.71619999999996</v>
      </c>
      <c r="E342" s="55">
        <v>0</v>
      </c>
      <c r="F342" s="55">
        <f>D342*(($F$275)+1)+(IF(E342&lt;101,E342,IF(E342&lt;201,E342/2,IF(E342&lt;=301,E342/3,E342/4))))</f>
        <v>638.57429999999999</v>
      </c>
      <c r="G342" s="116"/>
      <c r="H342" s="117"/>
      <c r="I342" s="32"/>
      <c r="L342" s="124"/>
      <c r="M342" s="124"/>
      <c r="N342" s="32"/>
    </row>
    <row r="343" spans="1:14" s="39" customFormat="1" x14ac:dyDescent="0.35">
      <c r="A343" s="119" t="s">
        <v>217</v>
      </c>
      <c r="B343" s="120"/>
      <c r="C343" s="120"/>
      <c r="D343" s="120"/>
      <c r="E343" s="120"/>
      <c r="F343" s="120"/>
      <c r="G343" s="120"/>
      <c r="H343" s="121"/>
      <c r="J343" s="32"/>
    </row>
    <row r="344" spans="1:14" s="39" customFormat="1" ht="15.75" customHeight="1" x14ac:dyDescent="0.35">
      <c r="A344" s="125">
        <v>1</v>
      </c>
      <c r="B344" s="126"/>
      <c r="C344" s="53" t="s">
        <v>203</v>
      </c>
      <c r="D344" s="54">
        <f>(40.8+0.75*(2.7+2.55+3.35))*(10.764)</f>
        <v>508.59899999999999</v>
      </c>
      <c r="E344" s="55">
        <v>0</v>
      </c>
      <c r="F344" s="55">
        <f>D344*(($F$275)+1)+(IF(E344&lt;101,E344,IF(E344&lt;201,E344/2,IF(E344&lt;=301,E344/3,E344/4))))</f>
        <v>762.89850000000001</v>
      </c>
      <c r="G344" s="114" t="str">
        <f>A343</f>
        <v>1st to 6th Floor</v>
      </c>
      <c r="H344" s="115"/>
      <c r="I344" s="32"/>
      <c r="L344" s="124"/>
      <c r="M344" s="124"/>
      <c r="N344" s="32"/>
    </row>
    <row r="345" spans="1:14" s="39" customFormat="1" ht="15.75" customHeight="1" x14ac:dyDescent="0.35">
      <c r="A345" s="125">
        <v>2</v>
      </c>
      <c r="B345" s="126"/>
      <c r="C345" s="53" t="s">
        <v>203</v>
      </c>
      <c r="D345" s="54">
        <f>(39.55+0.75*(2.85+2.65+3.6+2.25+2.7))*(10.764)</f>
        <v>539.14184999999998</v>
      </c>
      <c r="E345" s="55">
        <v>0</v>
      </c>
      <c r="F345" s="55">
        <f>D345*(($F$275)+1)+(IF(E345&lt;101,E345,IF(E345&lt;201,E345/2,IF(E345&lt;=301,E345/3,E345/4))))</f>
        <v>808.71277499999997</v>
      </c>
      <c r="G345" s="116"/>
      <c r="H345" s="117"/>
      <c r="I345" s="32"/>
      <c r="L345" s="124"/>
      <c r="M345" s="124"/>
      <c r="N345" s="32"/>
    </row>
    <row r="346" spans="1:14" s="39" customFormat="1" x14ac:dyDescent="0.35">
      <c r="A346" s="118" t="s">
        <v>218</v>
      </c>
      <c r="B346" s="118"/>
      <c r="C346" s="118"/>
      <c r="D346" s="118"/>
      <c r="E346" s="118"/>
      <c r="F346" s="118"/>
      <c r="G346" s="118"/>
      <c r="H346" s="118"/>
      <c r="I346" s="32"/>
      <c r="L346" s="124"/>
      <c r="M346" s="124"/>
    </row>
    <row r="347" spans="1:14" s="39" customFormat="1" x14ac:dyDescent="0.35">
      <c r="A347" s="118" t="s">
        <v>211</v>
      </c>
      <c r="B347" s="118"/>
      <c r="C347" s="118"/>
      <c r="D347" s="118"/>
      <c r="E347" s="118"/>
      <c r="F347" s="118"/>
      <c r="G347" s="118"/>
      <c r="H347" s="118"/>
      <c r="J347" s="32"/>
    </row>
    <row r="348" spans="1:14" s="39" customFormat="1" ht="15.75" customHeight="1" x14ac:dyDescent="0.35">
      <c r="A348" s="127">
        <v>1</v>
      </c>
      <c r="B348" s="127"/>
      <c r="C348" s="53" t="s">
        <v>203</v>
      </c>
      <c r="D348" s="54">
        <f>(40)*(10.764)</f>
        <v>430.55999999999995</v>
      </c>
      <c r="E348" s="55">
        <v>0</v>
      </c>
      <c r="F348" s="55">
        <f>D348*(($F$275)+1)+(IF(E348&lt;101,E348,IF(E348&lt;201,E348/2,IF(E348&lt;=301,E348/3,E348/4))))</f>
        <v>645.83999999999992</v>
      </c>
      <c r="G348" s="127" t="str">
        <f>A347</f>
        <v>Ground Floor For Entrance Lobby, Meter Room, Residential &amp; Parking</v>
      </c>
      <c r="H348" s="127"/>
      <c r="I348" s="32">
        <f>4.6*2.7+1.8*2.1+0.9*1.56+1*2+2.4*3.06+1*1.1</f>
        <v>28.048000000000002</v>
      </c>
      <c r="L348" s="124"/>
      <c r="M348" s="124"/>
      <c r="N348" s="32"/>
    </row>
    <row r="349" spans="1:14" s="39" customFormat="1" ht="15.75" customHeight="1" x14ac:dyDescent="0.35">
      <c r="A349" s="127">
        <v>2</v>
      </c>
      <c r="B349" s="127"/>
      <c r="C349" s="53" t="s">
        <v>203</v>
      </c>
      <c r="D349" s="54">
        <f>(39.9)*(10.764)</f>
        <v>429.48359999999997</v>
      </c>
      <c r="E349" s="55">
        <v>0</v>
      </c>
      <c r="F349" s="55">
        <f>D349*(($F$275)+1)+(IF(E349&lt;101,E349,IF(E349&lt;201,E349/2,IF(E349&lt;=301,E349/3,E349/4))))</f>
        <v>644.22539999999992</v>
      </c>
      <c r="G349" s="127"/>
      <c r="H349" s="127"/>
      <c r="I349" s="32"/>
      <c r="L349" s="124"/>
      <c r="M349" s="124"/>
      <c r="N349" s="32"/>
    </row>
    <row r="350" spans="1:14" s="39" customFormat="1" x14ac:dyDescent="0.35">
      <c r="A350" s="119" t="s">
        <v>219</v>
      </c>
      <c r="B350" s="120"/>
      <c r="C350" s="120"/>
      <c r="D350" s="120"/>
      <c r="E350" s="120"/>
      <c r="F350" s="120"/>
      <c r="G350" s="120"/>
      <c r="H350" s="121"/>
      <c r="J350" s="32"/>
    </row>
    <row r="351" spans="1:14" s="39" customFormat="1" ht="15.75" customHeight="1" x14ac:dyDescent="0.35">
      <c r="A351" s="125">
        <v>1</v>
      </c>
      <c r="B351" s="126"/>
      <c r="C351" s="53" t="s">
        <v>203</v>
      </c>
      <c r="D351" s="54">
        <f>(40+1.9+0.75*(2.55+3.05+1.8))*(10.764)</f>
        <v>510.75179999999995</v>
      </c>
      <c r="E351" s="55">
        <v>0</v>
      </c>
      <c r="F351" s="55">
        <f>D351*(($F$275)+1)+(IF(E351&lt;101,E351,IF(E351&lt;201,E351/2,IF(E351&lt;=301,E351/3,E351/4))))</f>
        <v>766.12769999999989</v>
      </c>
      <c r="G351" s="114" t="str">
        <f>A350</f>
        <v>1st to 6th Floor For Residential</v>
      </c>
      <c r="H351" s="115"/>
      <c r="I351" s="32">
        <f>4.6*2.7+1.8*2.1+0.9*1.56+1*2+2.4*3.06+1*1.1</f>
        <v>28.048000000000002</v>
      </c>
      <c r="L351" s="124"/>
      <c r="M351" s="124"/>
      <c r="N351" s="32"/>
    </row>
    <row r="352" spans="1:14" s="39" customFormat="1" ht="15.75" customHeight="1" x14ac:dyDescent="0.35">
      <c r="A352" s="125">
        <v>2</v>
      </c>
      <c r="B352" s="126"/>
      <c r="C352" s="53" t="s">
        <v>203</v>
      </c>
      <c r="D352" s="54">
        <f>(39.9+1.9+0.75*(2.55+3.05+1.8))*(10.764)</f>
        <v>509.67539999999991</v>
      </c>
      <c r="E352" s="55">
        <v>0</v>
      </c>
      <c r="F352" s="55">
        <f>D352*(($F$275)+1)+(IF(E352&lt;101,E352,IF(E352&lt;201,E352/2,IF(E352&lt;=301,E352/3,E352/4))))</f>
        <v>764.51309999999989</v>
      </c>
      <c r="G352" s="116"/>
      <c r="H352" s="117"/>
      <c r="I352" s="32"/>
      <c r="L352" s="124"/>
      <c r="M352" s="124"/>
      <c r="N352" s="32"/>
    </row>
    <row r="353" spans="1:14" s="39" customFormat="1" ht="15.75" customHeight="1" x14ac:dyDescent="0.35">
      <c r="A353" s="125">
        <v>3</v>
      </c>
      <c r="B353" s="126"/>
      <c r="C353" s="53" t="s">
        <v>203</v>
      </c>
      <c r="D353" s="54">
        <f>(39.9+1.9+0.75*(2.55+3.05+1.8))*(10.764)</f>
        <v>509.67539999999991</v>
      </c>
      <c r="E353" s="55">
        <v>0</v>
      </c>
      <c r="F353" s="55">
        <f>D353*(($F$275)+1)+(IF(E353&lt;101,E353,IF(E353&lt;201,E353/2,IF(E353&lt;=301,E353/3,E353/4))))</f>
        <v>764.51309999999989</v>
      </c>
      <c r="G353" s="116"/>
      <c r="H353" s="117"/>
      <c r="I353" s="32"/>
      <c r="L353" s="124"/>
      <c r="M353" s="124"/>
      <c r="N353" s="32"/>
    </row>
    <row r="354" spans="1:14" s="39" customFormat="1" ht="15.75" customHeight="1" x14ac:dyDescent="0.35">
      <c r="A354" s="125">
        <v>4</v>
      </c>
      <c r="B354" s="126"/>
      <c r="C354" s="53" t="s">
        <v>203</v>
      </c>
      <c r="D354" s="54">
        <f>(40+1.9+0.75*(2.55+3.05+1.8))*(10.764)</f>
        <v>510.75179999999995</v>
      </c>
      <c r="E354" s="55">
        <v>0</v>
      </c>
      <c r="F354" s="55">
        <f>D354*(($F$275)+1)+(IF(E354&lt;101,E354,IF(E354&lt;201,E354/2,IF(E354&lt;=301,E354/3,E354/4))))</f>
        <v>766.12769999999989</v>
      </c>
      <c r="G354" s="122"/>
      <c r="H354" s="123"/>
      <c r="I354" s="32"/>
      <c r="L354" s="124"/>
      <c r="M354" s="124"/>
      <c r="N354" s="32"/>
    </row>
    <row r="355" spans="1:14" s="39" customFormat="1" x14ac:dyDescent="0.35">
      <c r="A355" s="118" t="s">
        <v>224</v>
      </c>
      <c r="B355" s="118"/>
      <c r="C355" s="118"/>
      <c r="D355" s="118"/>
      <c r="E355" s="118"/>
      <c r="F355" s="118"/>
      <c r="G355" s="118"/>
      <c r="H355" s="118"/>
      <c r="I355" s="32"/>
      <c r="L355" s="124"/>
      <c r="M355" s="124"/>
    </row>
    <row r="356" spans="1:14" s="39" customFormat="1" x14ac:dyDescent="0.35">
      <c r="A356" s="119" t="s">
        <v>211</v>
      </c>
      <c r="B356" s="120"/>
      <c r="C356" s="120"/>
      <c r="D356" s="120"/>
      <c r="E356" s="120"/>
      <c r="F356" s="120"/>
      <c r="G356" s="120"/>
      <c r="H356" s="121"/>
      <c r="J356" s="32"/>
    </row>
    <row r="357" spans="1:14" s="39" customFormat="1" ht="15.75" customHeight="1" x14ac:dyDescent="0.35">
      <c r="A357" s="125">
        <v>1</v>
      </c>
      <c r="B357" s="126"/>
      <c r="C357" s="53" t="s">
        <v>203</v>
      </c>
      <c r="D357" s="54">
        <f>(40)*(10.764)</f>
        <v>430.55999999999995</v>
      </c>
      <c r="E357" s="55">
        <v>0</v>
      </c>
      <c r="F357" s="55">
        <f>D357*(($F$275)+1)+(IF(E357&lt;101,E357,IF(E357&lt;201,E357/2,IF(E357&lt;=301,E357/3,E357/4))))</f>
        <v>645.83999999999992</v>
      </c>
      <c r="G357" s="114" t="str">
        <f>A356</f>
        <v>Ground Floor For Entrance Lobby, Meter Room, Residential &amp; Parking</v>
      </c>
      <c r="H357" s="115"/>
      <c r="I357" s="32">
        <f>4.6*2.7+1.8*2.1+0.9*1.56+1*2+2.4*3.06+1*1.1</f>
        <v>28.048000000000002</v>
      </c>
      <c r="L357" s="124"/>
      <c r="M357" s="124"/>
      <c r="N357" s="32"/>
    </row>
    <row r="358" spans="1:14" s="39" customFormat="1" ht="15.75" customHeight="1" x14ac:dyDescent="0.35">
      <c r="A358" s="125">
        <v>2</v>
      </c>
      <c r="B358" s="126"/>
      <c r="C358" s="53" t="s">
        <v>203</v>
      </c>
      <c r="D358" s="54">
        <f>(39.9)*(10.764)</f>
        <v>429.48359999999997</v>
      </c>
      <c r="E358" s="55">
        <v>0</v>
      </c>
      <c r="F358" s="55">
        <f>D358*(($F$275)+1)+(IF(E358&lt;101,E358,IF(E358&lt;201,E358/2,IF(E358&lt;=301,E358/3,E358/4))))</f>
        <v>644.22539999999992</v>
      </c>
      <c r="G358" s="116"/>
      <c r="H358" s="117"/>
      <c r="I358" s="32"/>
      <c r="L358" s="124"/>
      <c r="M358" s="124"/>
      <c r="N358" s="32"/>
    </row>
    <row r="359" spans="1:14" s="39" customFormat="1" x14ac:dyDescent="0.35">
      <c r="A359" s="119" t="s">
        <v>219</v>
      </c>
      <c r="B359" s="120"/>
      <c r="C359" s="120"/>
      <c r="D359" s="120"/>
      <c r="E359" s="120"/>
      <c r="F359" s="120"/>
      <c r="G359" s="120"/>
      <c r="H359" s="121"/>
      <c r="J359" s="32"/>
    </row>
    <row r="360" spans="1:14" s="39" customFormat="1" ht="15.75" customHeight="1" x14ac:dyDescent="0.35">
      <c r="A360" s="125">
        <v>1</v>
      </c>
      <c r="B360" s="126"/>
      <c r="C360" s="53" t="s">
        <v>203</v>
      </c>
      <c r="D360" s="54">
        <f>(40+1.9+0.75*(2.55+3.05+1.8))*(10.764)</f>
        <v>510.75179999999995</v>
      </c>
      <c r="E360" s="55">
        <v>0</v>
      </c>
      <c r="F360" s="55">
        <f>D360*(($F$275)+1)+(IF(E360&lt;101,E360,IF(E360&lt;201,E360/2,IF(E360&lt;=301,E360/3,E360/4))))</f>
        <v>766.12769999999989</v>
      </c>
      <c r="G360" s="114" t="str">
        <f>A359</f>
        <v>1st to 6th Floor For Residential</v>
      </c>
      <c r="H360" s="115"/>
      <c r="I360" s="32">
        <f>4.6*2.7+1.8*2.1+0.9*1.56+1*2+2.4*3.06+1*1.1</f>
        <v>28.048000000000002</v>
      </c>
      <c r="L360" s="124"/>
      <c r="M360" s="124"/>
      <c r="N360" s="32"/>
    </row>
    <row r="361" spans="1:14" s="39" customFormat="1" ht="15.75" customHeight="1" x14ac:dyDescent="0.35">
      <c r="A361" s="125">
        <v>2</v>
      </c>
      <c r="B361" s="126"/>
      <c r="C361" s="53" t="s">
        <v>203</v>
      </c>
      <c r="D361" s="54">
        <f>(39.9+1.9+0.75*(2.55+3.05+1.8))*(10.764)</f>
        <v>509.67539999999991</v>
      </c>
      <c r="E361" s="55">
        <v>0</v>
      </c>
      <c r="F361" s="55">
        <f>D361*(($F$275)+1)+(IF(E361&lt;101,E361,IF(E361&lt;201,E361/2,IF(E361&lt;=301,E361/3,E361/4))))</f>
        <v>764.51309999999989</v>
      </c>
      <c r="G361" s="116"/>
      <c r="H361" s="117"/>
      <c r="I361" s="32"/>
      <c r="L361" s="124"/>
      <c r="M361" s="124"/>
      <c r="N361" s="32"/>
    </row>
    <row r="362" spans="1:14" s="39" customFormat="1" ht="15.75" customHeight="1" x14ac:dyDescent="0.35">
      <c r="A362" s="125">
        <v>3</v>
      </c>
      <c r="B362" s="126"/>
      <c r="C362" s="53" t="s">
        <v>203</v>
      </c>
      <c r="D362" s="54">
        <f>(39.9+1.9+0.75*(2.55+3.05+1.8))*(10.764)</f>
        <v>509.67539999999991</v>
      </c>
      <c r="E362" s="55">
        <v>0</v>
      </c>
      <c r="F362" s="55">
        <f>D362*(($F$275)+1)+(IF(E362&lt;101,E362,IF(E362&lt;201,E362/2,IF(E362&lt;=301,E362/3,E362/4))))</f>
        <v>764.51309999999989</v>
      </c>
      <c r="G362" s="116"/>
      <c r="H362" s="117"/>
      <c r="I362" s="32"/>
      <c r="L362" s="124"/>
      <c r="M362" s="124"/>
      <c r="N362" s="32"/>
    </row>
    <row r="363" spans="1:14" s="39" customFormat="1" ht="15.75" customHeight="1" x14ac:dyDescent="0.35">
      <c r="A363" s="125">
        <v>4</v>
      </c>
      <c r="B363" s="126"/>
      <c r="C363" s="53" t="s">
        <v>203</v>
      </c>
      <c r="D363" s="54">
        <f>(40+1.9+0.75*(2.55+3.05+1.8))*(10.764)</f>
        <v>510.75179999999995</v>
      </c>
      <c r="E363" s="55">
        <v>0</v>
      </c>
      <c r="F363" s="55">
        <f>D363*(($F$275)+1)+(IF(E363&lt;101,E363,IF(E363&lt;201,E363/2,IF(E363&lt;=301,E363/3,E363/4))))</f>
        <v>766.12769999999989</v>
      </c>
      <c r="G363" s="122"/>
      <c r="H363" s="123"/>
      <c r="I363" s="32"/>
      <c r="L363" s="124"/>
      <c r="M363" s="124"/>
      <c r="N363" s="32"/>
    </row>
    <row r="364" spans="1:14" s="39" customFormat="1" x14ac:dyDescent="0.35">
      <c r="A364" s="118" t="s">
        <v>220</v>
      </c>
      <c r="B364" s="118"/>
      <c r="C364" s="118"/>
      <c r="D364" s="118"/>
      <c r="E364" s="118"/>
      <c r="F364" s="118"/>
      <c r="G364" s="118"/>
      <c r="H364" s="118"/>
      <c r="I364" s="32"/>
      <c r="L364" s="124"/>
      <c r="M364" s="124"/>
    </row>
    <row r="365" spans="1:14" s="39" customFormat="1" x14ac:dyDescent="0.35">
      <c r="A365" s="118" t="s">
        <v>200</v>
      </c>
      <c r="B365" s="118"/>
      <c r="C365" s="118"/>
      <c r="D365" s="118"/>
      <c r="E365" s="118"/>
      <c r="F365" s="118"/>
      <c r="G365" s="118"/>
      <c r="H365" s="118"/>
      <c r="I365" s="32"/>
      <c r="L365" s="124"/>
      <c r="M365" s="124"/>
    </row>
    <row r="366" spans="1:14" s="33" customFormat="1" x14ac:dyDescent="0.35">
      <c r="A366" s="118" t="s">
        <v>221</v>
      </c>
      <c r="B366" s="118"/>
      <c r="C366" s="118"/>
      <c r="D366" s="118"/>
      <c r="E366" s="118"/>
      <c r="F366" s="118"/>
      <c r="G366" s="118"/>
      <c r="H366" s="118"/>
      <c r="I366" s="32"/>
      <c r="L366" s="124"/>
      <c r="M366" s="124"/>
    </row>
    <row r="367" spans="1:14" s="33" customFormat="1" ht="15.75" customHeight="1" x14ac:dyDescent="0.35">
      <c r="A367" s="125">
        <v>1</v>
      </c>
      <c r="B367" s="126"/>
      <c r="C367" s="53" t="s">
        <v>202</v>
      </c>
      <c r="D367" s="54">
        <f>(26.7)*(10.764)</f>
        <v>287.39879999999999</v>
      </c>
      <c r="E367" s="55">
        <v>0</v>
      </c>
      <c r="F367" s="55">
        <f t="shared" ref="F367:F368" si="10">D367*(($F$275)+1)+(IF(E367&lt;101,E367,IF(E367&lt;201,E367/2,IF(E367&lt;=301,E367/3,E367/4))))</f>
        <v>431.09820000000002</v>
      </c>
      <c r="G367" s="114" t="str">
        <f>A366</f>
        <v>Ground Floor For Meter Room, Residential &amp; Parking</v>
      </c>
      <c r="H367" s="115"/>
      <c r="I367" s="32"/>
      <c r="N367" s="32"/>
    </row>
    <row r="368" spans="1:14" s="33" customFormat="1" ht="15.75" customHeight="1" x14ac:dyDescent="0.35">
      <c r="A368" s="125">
        <v>2</v>
      </c>
      <c r="B368" s="126"/>
      <c r="C368" s="53" t="s">
        <v>202</v>
      </c>
      <c r="D368" s="54">
        <f>(26.7)*(10.764)</f>
        <v>287.39879999999999</v>
      </c>
      <c r="E368" s="55">
        <v>0</v>
      </c>
      <c r="F368" s="55">
        <f t="shared" si="10"/>
        <v>431.09820000000002</v>
      </c>
      <c r="G368" s="116"/>
      <c r="H368" s="117"/>
      <c r="I368" s="32"/>
      <c r="N368" s="32"/>
    </row>
    <row r="369" spans="1:14" s="39" customFormat="1" x14ac:dyDescent="0.35">
      <c r="A369" s="118" t="s">
        <v>201</v>
      </c>
      <c r="B369" s="118"/>
      <c r="C369" s="118"/>
      <c r="D369" s="118"/>
      <c r="E369" s="118"/>
      <c r="F369" s="118"/>
      <c r="G369" s="118"/>
      <c r="H369" s="118"/>
      <c r="I369" s="32"/>
      <c r="L369" s="124"/>
      <c r="M369" s="124"/>
    </row>
    <row r="370" spans="1:14" s="39" customFormat="1" ht="15.75" customHeight="1" x14ac:dyDescent="0.35">
      <c r="A370" s="125">
        <v>1</v>
      </c>
      <c r="B370" s="126"/>
      <c r="C370" s="53" t="s">
        <v>202</v>
      </c>
      <c r="D370" s="54">
        <f>(26.7+0.75*(2.7+2.5))*(10.764)</f>
        <v>329.3784</v>
      </c>
      <c r="E370" s="55">
        <v>0</v>
      </c>
      <c r="F370" s="55">
        <f t="shared" ref="F370:F371" si="11">D370*(($F$275)+1)+(IF(E370&lt;101,E370,IF(E370&lt;201,E370/2,IF(E370&lt;=301,E370/3,E370/4))))</f>
        <v>494.06759999999997</v>
      </c>
      <c r="G370" s="114" t="str">
        <f>A369</f>
        <v>1st to 7th Floor For Residential</v>
      </c>
      <c r="H370" s="115"/>
      <c r="I370" s="32"/>
      <c r="N370" s="32"/>
    </row>
    <row r="371" spans="1:14" s="39" customFormat="1" ht="15.75" customHeight="1" x14ac:dyDescent="0.35">
      <c r="A371" s="125">
        <v>2</v>
      </c>
      <c r="B371" s="126"/>
      <c r="C371" s="53" t="s">
        <v>202</v>
      </c>
      <c r="D371" s="54">
        <f>(26.7+0.75*(2.7+2.5))*(10.764)</f>
        <v>329.3784</v>
      </c>
      <c r="E371" s="55">
        <v>0</v>
      </c>
      <c r="F371" s="55">
        <f t="shared" si="11"/>
        <v>494.06759999999997</v>
      </c>
      <c r="G371" s="116"/>
      <c r="H371" s="117"/>
      <c r="I371" s="32"/>
      <c r="N371" s="32"/>
    </row>
    <row r="372" spans="1:14" s="39" customFormat="1" ht="15.75" customHeight="1" x14ac:dyDescent="0.35">
      <c r="A372" s="125">
        <v>3</v>
      </c>
      <c r="B372" s="126"/>
      <c r="C372" s="53" t="s">
        <v>202</v>
      </c>
      <c r="D372" s="54">
        <f>(26.7+0.75*(2.7+2.5))*(10.764)</f>
        <v>329.3784</v>
      </c>
      <c r="E372" s="55">
        <v>0</v>
      </c>
      <c r="F372" s="55">
        <f>D372*(($F$275)+1)+(IF(E372&lt;101,E372,IF(E372&lt;201,E372/2,IF(E372&lt;=301,E372/3,E372/4))))</f>
        <v>494.06759999999997</v>
      </c>
      <c r="G372" s="116"/>
      <c r="H372" s="117"/>
      <c r="I372" s="32"/>
      <c r="N372" s="32"/>
    </row>
    <row r="373" spans="1:14" s="39" customFormat="1" ht="15.75" customHeight="1" x14ac:dyDescent="0.35">
      <c r="A373" s="125">
        <v>4</v>
      </c>
      <c r="B373" s="126"/>
      <c r="C373" s="53" t="s">
        <v>202</v>
      </c>
      <c r="D373" s="54">
        <f>(26.7+0.75*(2.7+2.5))*(10.764)</f>
        <v>329.3784</v>
      </c>
      <c r="E373" s="55">
        <v>0</v>
      </c>
      <c r="F373" s="55">
        <f>D373*(($F$275)+1)+(IF(E373&lt;101,E373,IF(E373&lt;201,E373/2,IF(E373&lt;=301,E373/3,E373/4))))</f>
        <v>494.06759999999997</v>
      </c>
      <c r="G373" s="116"/>
      <c r="H373" s="117"/>
      <c r="I373" s="32"/>
      <c r="N373" s="32"/>
    </row>
    <row r="374" spans="1:14" s="39" customFormat="1" x14ac:dyDescent="0.35">
      <c r="A374" s="118" t="s">
        <v>204</v>
      </c>
      <c r="B374" s="118"/>
      <c r="C374" s="118"/>
      <c r="D374" s="118"/>
      <c r="E374" s="118"/>
      <c r="F374" s="118"/>
      <c r="G374" s="118"/>
      <c r="H374" s="118"/>
      <c r="I374" s="32"/>
      <c r="L374" s="124"/>
      <c r="M374" s="124"/>
    </row>
    <row r="375" spans="1:14" s="39" customFormat="1" ht="33" customHeight="1" x14ac:dyDescent="0.35">
      <c r="A375" s="119" t="s">
        <v>222</v>
      </c>
      <c r="B375" s="120"/>
      <c r="C375" s="120"/>
      <c r="D375" s="120"/>
      <c r="E375" s="120"/>
      <c r="F375" s="120"/>
      <c r="G375" s="120"/>
      <c r="H375" s="121"/>
      <c r="I375" s="32"/>
      <c r="L375" s="124"/>
      <c r="M375" s="124"/>
    </row>
    <row r="376" spans="1:14" s="39" customFormat="1" ht="15.75" customHeight="1" x14ac:dyDescent="0.35">
      <c r="A376" s="125">
        <v>1</v>
      </c>
      <c r="B376" s="126"/>
      <c r="C376" s="53" t="s">
        <v>202</v>
      </c>
      <c r="D376" s="54">
        <f>(26.7)*(10.764)</f>
        <v>287.39879999999999</v>
      </c>
      <c r="E376" s="55">
        <v>0</v>
      </c>
      <c r="F376" s="55">
        <f>D376*(($F$275)+1)+(IF(E376&lt;101,E376,IF(E376&lt;201,E376/2,IF(E376&lt;=301,E376/3,E376/4))))</f>
        <v>431.09820000000002</v>
      </c>
      <c r="G376" s="114" t="str">
        <f>A375</f>
        <v>Ground Floor For Entranace Lobby, Drivers Room, Society Office, Meter Room, Residential &amp; Parking</v>
      </c>
      <c r="H376" s="115"/>
      <c r="I376" s="32"/>
      <c r="N376" s="32"/>
    </row>
    <row r="377" spans="1:14" s="39" customFormat="1" x14ac:dyDescent="0.35">
      <c r="A377" s="118" t="s">
        <v>201</v>
      </c>
      <c r="B377" s="118"/>
      <c r="C377" s="118"/>
      <c r="D377" s="118"/>
      <c r="E377" s="118"/>
      <c r="F377" s="118"/>
      <c r="G377" s="118"/>
      <c r="H377" s="118"/>
      <c r="I377" s="32"/>
      <c r="L377" s="124"/>
      <c r="M377" s="124"/>
    </row>
    <row r="378" spans="1:14" s="39" customFormat="1" ht="15.75" customHeight="1" x14ac:dyDescent="0.35">
      <c r="A378" s="125">
        <v>1</v>
      </c>
      <c r="B378" s="126"/>
      <c r="C378" s="53" t="s">
        <v>202</v>
      </c>
      <c r="D378" s="54">
        <f>(26.18+0.75*(2.7+2.1+2.5))*(10.764)</f>
        <v>340.73442</v>
      </c>
      <c r="E378" s="55">
        <v>0</v>
      </c>
      <c r="F378" s="55">
        <f t="shared" ref="F378:F379" si="12">D378*(($F$275)+1)+(IF(E378&lt;101,E378,IF(E378&lt;201,E378/2,IF(E378&lt;=301,E378/3,E378/4))))</f>
        <v>511.10163</v>
      </c>
      <c r="G378" s="114" t="str">
        <f>A377</f>
        <v>1st to 7th Floor For Residential</v>
      </c>
      <c r="H378" s="115"/>
      <c r="I378" s="32"/>
      <c r="N378" s="32"/>
    </row>
    <row r="379" spans="1:14" s="39" customFormat="1" ht="15.75" customHeight="1" x14ac:dyDescent="0.35">
      <c r="A379" s="125">
        <v>2</v>
      </c>
      <c r="B379" s="126"/>
      <c r="C379" s="53" t="s">
        <v>202</v>
      </c>
      <c r="D379" s="54">
        <f>(26.7+0.75*(2.7+2.5))*(10.764)</f>
        <v>329.3784</v>
      </c>
      <c r="E379" s="55">
        <v>0</v>
      </c>
      <c r="F379" s="55">
        <f t="shared" si="12"/>
        <v>494.06759999999997</v>
      </c>
      <c r="G379" s="116"/>
      <c r="H379" s="117"/>
      <c r="I379" s="32"/>
      <c r="N379" s="32"/>
    </row>
    <row r="380" spans="1:14" s="39" customFormat="1" ht="15.75" customHeight="1" x14ac:dyDescent="0.35">
      <c r="A380" s="125">
        <v>3</v>
      </c>
      <c r="B380" s="126"/>
      <c r="C380" s="53" t="s">
        <v>202</v>
      </c>
      <c r="D380" s="54">
        <f>(26.7+0.75*(2.7+2.5))*(10.764)</f>
        <v>329.3784</v>
      </c>
      <c r="E380" s="55">
        <v>0</v>
      </c>
      <c r="F380" s="55">
        <f>D380*(($F$275)+1)+(IF(E380&lt;101,E380,IF(E380&lt;201,E380/2,IF(E380&lt;=301,E380/3,E380/4))))</f>
        <v>494.06759999999997</v>
      </c>
      <c r="G380" s="116"/>
      <c r="H380" s="117"/>
      <c r="I380" s="32"/>
      <c r="N380" s="32"/>
    </row>
    <row r="381" spans="1:14" s="39" customFormat="1" ht="15.75" customHeight="1" x14ac:dyDescent="0.35">
      <c r="A381" s="125">
        <v>4</v>
      </c>
      <c r="B381" s="126"/>
      <c r="C381" s="53" t="s">
        <v>202</v>
      </c>
      <c r="D381" s="54">
        <f>(26.7+0.75*(2.7+2.5))*(10.764)</f>
        <v>329.3784</v>
      </c>
      <c r="E381" s="55">
        <v>0</v>
      </c>
      <c r="F381" s="55">
        <f>D381*(($F$275)+1)+(IF(E381&lt;101,E381,IF(E381&lt;201,E381/2,IF(E381&lt;=301,E381/3,E381/4))))</f>
        <v>494.06759999999997</v>
      </c>
      <c r="G381" s="116"/>
      <c r="H381" s="117"/>
      <c r="I381" s="32"/>
      <c r="N381" s="32"/>
    </row>
    <row r="382" spans="1:14" s="43" customFormat="1" ht="15.75" customHeight="1" x14ac:dyDescent="0.35">
      <c r="A382" s="125">
        <v>5</v>
      </c>
      <c r="B382" s="126"/>
      <c r="C382" s="53" t="s">
        <v>202</v>
      </c>
      <c r="D382" s="54">
        <f>(26.7+0.75*(2.7+2.5))*(10.764)</f>
        <v>329.3784</v>
      </c>
      <c r="E382" s="55">
        <v>0</v>
      </c>
      <c r="F382" s="55">
        <f>D382*(($F$275)+1)+(IF(E382&lt;101,E382,IF(E382&lt;201,E382/2,IF(E382&lt;=301,E382/3,E382/4))))</f>
        <v>494.06759999999997</v>
      </c>
      <c r="G382" s="116"/>
      <c r="H382" s="117"/>
      <c r="I382" s="32"/>
      <c r="N382" s="32"/>
    </row>
    <row r="383" spans="1:14" s="43" customFormat="1" ht="15.75" customHeight="1" x14ac:dyDescent="0.35">
      <c r="A383" s="125">
        <v>6</v>
      </c>
      <c r="B383" s="126"/>
      <c r="C383" s="53" t="s">
        <v>202</v>
      </c>
      <c r="D383" s="54">
        <f>(26.25+0.75*(2.7))*(10.764)</f>
        <v>304.35209999999995</v>
      </c>
      <c r="E383" s="55">
        <v>0</v>
      </c>
      <c r="F383" s="55">
        <f>D383*(($F$275)+1)+(IF(E383&lt;101,E383,IF(E383&lt;201,E383/2,IF(E383&lt;=301,E383/3,E383/4))))</f>
        <v>456.52814999999993</v>
      </c>
      <c r="G383" s="122"/>
      <c r="H383" s="123"/>
      <c r="I383" s="32"/>
      <c r="N383" s="32"/>
    </row>
    <row r="384" spans="1:14" s="39" customFormat="1" x14ac:dyDescent="0.35">
      <c r="A384" s="118" t="s">
        <v>215</v>
      </c>
      <c r="B384" s="118"/>
      <c r="C384" s="118"/>
      <c r="D384" s="118"/>
      <c r="E384" s="118"/>
      <c r="F384" s="118"/>
      <c r="G384" s="118"/>
      <c r="H384" s="118"/>
      <c r="I384" s="32"/>
      <c r="L384" s="124"/>
      <c r="M384" s="124"/>
    </row>
    <row r="385" spans="1:14" s="39" customFormat="1" x14ac:dyDescent="0.35">
      <c r="A385" s="118" t="s">
        <v>221</v>
      </c>
      <c r="B385" s="118"/>
      <c r="C385" s="118"/>
      <c r="D385" s="118"/>
      <c r="E385" s="118"/>
      <c r="F385" s="118"/>
      <c r="G385" s="118"/>
      <c r="H385" s="118"/>
      <c r="I385" s="32"/>
      <c r="L385" s="124"/>
      <c r="M385" s="124"/>
    </row>
    <row r="386" spans="1:14" s="39" customFormat="1" ht="15.75" customHeight="1" x14ac:dyDescent="0.35">
      <c r="A386" s="125">
        <v>1</v>
      </c>
      <c r="B386" s="126"/>
      <c r="C386" s="53" t="s">
        <v>202</v>
      </c>
      <c r="D386" s="54">
        <f>(26.7)*(10.764)</f>
        <v>287.39879999999999</v>
      </c>
      <c r="E386" s="55">
        <v>0</v>
      </c>
      <c r="F386" s="55">
        <f t="shared" ref="F386:F387" si="13">D386*(($F$275)+1)+(IF(E386&lt;101,E386,IF(E386&lt;201,E386/2,IF(E386&lt;=301,E386/3,E386/4))))</f>
        <v>431.09820000000002</v>
      </c>
      <c r="G386" s="114" t="str">
        <f>A385</f>
        <v>Ground Floor For Meter Room, Residential &amp; Parking</v>
      </c>
      <c r="H386" s="115"/>
      <c r="I386" s="32"/>
      <c r="N386" s="32"/>
    </row>
    <row r="387" spans="1:14" s="39" customFormat="1" ht="15.75" customHeight="1" x14ac:dyDescent="0.35">
      <c r="A387" s="125">
        <v>2</v>
      </c>
      <c r="B387" s="126"/>
      <c r="C387" s="53" t="s">
        <v>202</v>
      </c>
      <c r="D387" s="54">
        <f>(26.7)*(10.764)</f>
        <v>287.39879999999999</v>
      </c>
      <c r="E387" s="55">
        <v>0</v>
      </c>
      <c r="F387" s="55">
        <f t="shared" si="13"/>
        <v>431.09820000000002</v>
      </c>
      <c r="G387" s="116"/>
      <c r="H387" s="117"/>
      <c r="I387" s="32"/>
      <c r="N387" s="32"/>
    </row>
    <row r="388" spans="1:14" s="39" customFormat="1" x14ac:dyDescent="0.35">
      <c r="A388" s="118" t="s">
        <v>223</v>
      </c>
      <c r="B388" s="118"/>
      <c r="C388" s="118"/>
      <c r="D388" s="118"/>
      <c r="E388" s="118"/>
      <c r="F388" s="118"/>
      <c r="G388" s="118"/>
      <c r="H388" s="118"/>
      <c r="I388" s="32"/>
      <c r="L388" s="124"/>
      <c r="M388" s="124"/>
    </row>
    <row r="389" spans="1:14" s="39" customFormat="1" ht="15.75" customHeight="1" x14ac:dyDescent="0.35">
      <c r="A389" s="127">
        <v>1</v>
      </c>
      <c r="B389" s="127"/>
      <c r="C389" s="53" t="s">
        <v>202</v>
      </c>
      <c r="D389" s="54">
        <f>(26.7+0.75*(2.7+2.5))*(10.764)</f>
        <v>329.3784</v>
      </c>
      <c r="E389" s="55">
        <v>0</v>
      </c>
      <c r="F389" s="55">
        <f t="shared" ref="F389:F390" si="14">D389*(($F$275)+1)+(IF(E389&lt;101,E389,IF(E389&lt;201,E389/2,IF(E389&lt;=301,E389/3,E389/4))))</f>
        <v>494.06759999999997</v>
      </c>
      <c r="G389" s="127" t="str">
        <f>A388</f>
        <v>1st to 5th Floor For Residential</v>
      </c>
      <c r="H389" s="127"/>
      <c r="I389" s="32"/>
      <c r="N389" s="32"/>
    </row>
    <row r="390" spans="1:14" s="39" customFormat="1" ht="15.75" customHeight="1" x14ac:dyDescent="0.35">
      <c r="A390" s="127">
        <v>2</v>
      </c>
      <c r="B390" s="127"/>
      <c r="C390" s="53" t="s">
        <v>202</v>
      </c>
      <c r="D390" s="54">
        <f>(26.7+0.75*(2.7+2.5))*(10.764)</f>
        <v>329.3784</v>
      </c>
      <c r="E390" s="55">
        <v>0</v>
      </c>
      <c r="F390" s="55">
        <f t="shared" si="14"/>
        <v>494.06759999999997</v>
      </c>
      <c r="G390" s="127"/>
      <c r="H390" s="127"/>
      <c r="I390" s="32"/>
      <c r="N390" s="32"/>
    </row>
    <row r="391" spans="1:14" s="39" customFormat="1" ht="15.75" customHeight="1" x14ac:dyDescent="0.35">
      <c r="A391" s="127">
        <v>3</v>
      </c>
      <c r="B391" s="127"/>
      <c r="C391" s="53" t="s">
        <v>202</v>
      </c>
      <c r="D391" s="54">
        <f>(26.7+0.75*(2.7+2.5))*(10.764)</f>
        <v>329.3784</v>
      </c>
      <c r="E391" s="55">
        <v>0</v>
      </c>
      <c r="F391" s="55">
        <f>D391*(($F$275)+1)+(IF(E391&lt;101,E391,IF(E391&lt;201,E391/2,IF(E391&lt;=301,E391/3,E391/4))))</f>
        <v>494.06759999999997</v>
      </c>
      <c r="G391" s="127"/>
      <c r="H391" s="127"/>
      <c r="I391" s="32"/>
      <c r="N391" s="32"/>
    </row>
    <row r="392" spans="1:14" s="39" customFormat="1" ht="15.75" customHeight="1" x14ac:dyDescent="0.35">
      <c r="A392" s="127">
        <v>4</v>
      </c>
      <c r="B392" s="127"/>
      <c r="C392" s="53" t="s">
        <v>202</v>
      </c>
      <c r="D392" s="54">
        <f>(26.7+0.75*(2.7+2.5))*(10.764)</f>
        <v>329.3784</v>
      </c>
      <c r="E392" s="55">
        <v>0</v>
      </c>
      <c r="F392" s="55">
        <f>D392*(($F$275)+1)+(IF(E392&lt;101,E392,IF(E392&lt;201,E392/2,IF(E392&lt;=301,E392/3,E392/4))))</f>
        <v>494.06759999999997</v>
      </c>
      <c r="G392" s="127"/>
      <c r="H392" s="127"/>
      <c r="I392" s="32"/>
      <c r="N392" s="32"/>
    </row>
    <row r="393" spans="1:14" s="39" customFormat="1" x14ac:dyDescent="0.35">
      <c r="A393" s="118" t="s">
        <v>212</v>
      </c>
      <c r="B393" s="118"/>
      <c r="C393" s="118"/>
      <c r="D393" s="118"/>
      <c r="E393" s="118"/>
      <c r="F393" s="118"/>
      <c r="G393" s="118"/>
      <c r="H393" s="118"/>
      <c r="I393" s="32"/>
      <c r="L393" s="124"/>
      <c r="M393" s="124"/>
    </row>
    <row r="394" spans="1:14" s="39" customFormat="1" x14ac:dyDescent="0.35">
      <c r="A394" s="118" t="s">
        <v>221</v>
      </c>
      <c r="B394" s="118"/>
      <c r="C394" s="118"/>
      <c r="D394" s="118"/>
      <c r="E394" s="118"/>
      <c r="F394" s="118"/>
      <c r="G394" s="118"/>
      <c r="H394" s="118"/>
      <c r="I394" s="32"/>
      <c r="L394" s="124"/>
      <c r="M394" s="124"/>
    </row>
    <row r="395" spans="1:14" s="39" customFormat="1" ht="15.75" customHeight="1" x14ac:dyDescent="0.35">
      <c r="A395" s="125">
        <v>1</v>
      </c>
      <c r="B395" s="126"/>
      <c r="C395" s="53" t="s">
        <v>202</v>
      </c>
      <c r="D395" s="54">
        <f>(26.7)*(10.764)</f>
        <v>287.39879999999999</v>
      </c>
      <c r="E395" s="55">
        <v>0</v>
      </c>
      <c r="F395" s="55">
        <f t="shared" ref="F395:F396" si="15">D395*(($F$275)+1)+(IF(E395&lt;101,E395,IF(E395&lt;201,E395/2,IF(E395&lt;=301,E395/3,E395/4))))</f>
        <v>431.09820000000002</v>
      </c>
      <c r="G395" s="114" t="str">
        <f>A394</f>
        <v>Ground Floor For Meter Room, Residential &amp; Parking</v>
      </c>
      <c r="H395" s="115"/>
      <c r="I395" s="32"/>
      <c r="N395" s="32"/>
    </row>
    <row r="396" spans="1:14" s="39" customFormat="1" ht="15.75" customHeight="1" x14ac:dyDescent="0.35">
      <c r="A396" s="125">
        <v>2</v>
      </c>
      <c r="B396" s="126"/>
      <c r="C396" s="53" t="s">
        <v>202</v>
      </c>
      <c r="D396" s="54">
        <f>(26.7)*(10.764)</f>
        <v>287.39879999999999</v>
      </c>
      <c r="E396" s="55">
        <v>0</v>
      </c>
      <c r="F396" s="55">
        <f t="shared" si="15"/>
        <v>431.09820000000002</v>
      </c>
      <c r="G396" s="116"/>
      <c r="H396" s="117"/>
      <c r="I396" s="32"/>
      <c r="N396" s="32"/>
    </row>
    <row r="397" spans="1:14" s="39" customFormat="1" x14ac:dyDescent="0.35">
      <c r="A397" s="118" t="s">
        <v>223</v>
      </c>
      <c r="B397" s="118"/>
      <c r="C397" s="118"/>
      <c r="D397" s="118"/>
      <c r="E397" s="118"/>
      <c r="F397" s="118"/>
      <c r="G397" s="118"/>
      <c r="H397" s="118"/>
      <c r="I397" s="32"/>
      <c r="L397" s="124"/>
      <c r="M397" s="124"/>
    </row>
    <row r="398" spans="1:14" s="39" customFormat="1" ht="15.75" customHeight="1" x14ac:dyDescent="0.35">
      <c r="A398" s="125">
        <v>1</v>
      </c>
      <c r="B398" s="126"/>
      <c r="C398" s="53" t="s">
        <v>202</v>
      </c>
      <c r="D398" s="54">
        <f>(26.7+0.75*(2.7+2.5))*(10.764)</f>
        <v>329.3784</v>
      </c>
      <c r="E398" s="55">
        <v>0</v>
      </c>
      <c r="F398" s="55">
        <f t="shared" ref="F398:F399" si="16">D398*(($F$275)+1)+(IF(E398&lt;101,E398,IF(E398&lt;201,E398/2,IF(E398&lt;=301,E398/3,E398/4))))</f>
        <v>494.06759999999997</v>
      </c>
      <c r="G398" s="114" t="str">
        <f>A397</f>
        <v>1st to 5th Floor For Residential</v>
      </c>
      <c r="H398" s="115"/>
      <c r="I398" s="32"/>
      <c r="N398" s="32"/>
    </row>
    <row r="399" spans="1:14" s="39" customFormat="1" ht="15.75" customHeight="1" x14ac:dyDescent="0.35">
      <c r="A399" s="125">
        <v>2</v>
      </c>
      <c r="B399" s="126"/>
      <c r="C399" s="53" t="s">
        <v>202</v>
      </c>
      <c r="D399" s="54">
        <f>(26.7+0.75*(2.7+2.5))*(10.764)</f>
        <v>329.3784</v>
      </c>
      <c r="E399" s="55">
        <v>0</v>
      </c>
      <c r="F399" s="55">
        <f t="shared" si="16"/>
        <v>494.06759999999997</v>
      </c>
      <c r="G399" s="116"/>
      <c r="H399" s="117"/>
      <c r="I399" s="32"/>
      <c r="N399" s="32"/>
    </row>
    <row r="400" spans="1:14" s="39" customFormat="1" ht="15.75" customHeight="1" x14ac:dyDescent="0.35">
      <c r="A400" s="125">
        <v>3</v>
      </c>
      <c r="B400" s="126"/>
      <c r="C400" s="53" t="s">
        <v>202</v>
      </c>
      <c r="D400" s="54">
        <f>(26.7+0.75*(2.7+2.5))*(10.764)</f>
        <v>329.3784</v>
      </c>
      <c r="E400" s="55">
        <v>0</v>
      </c>
      <c r="F400" s="55">
        <f>D400*(($F$275)+1)+(IF(E400&lt;101,E400,IF(E400&lt;201,E400/2,IF(E400&lt;=301,E400/3,E400/4))))</f>
        <v>494.06759999999997</v>
      </c>
      <c r="G400" s="116"/>
      <c r="H400" s="117"/>
      <c r="I400" s="32"/>
      <c r="N400" s="32"/>
    </row>
    <row r="401" spans="1:14" s="39" customFormat="1" ht="15.75" customHeight="1" x14ac:dyDescent="0.35">
      <c r="A401" s="125">
        <v>4</v>
      </c>
      <c r="B401" s="126"/>
      <c r="C401" s="53" t="s">
        <v>202</v>
      </c>
      <c r="D401" s="54">
        <f>(26.7+0.75*(2.7+2.5))*(10.764)</f>
        <v>329.3784</v>
      </c>
      <c r="E401" s="55">
        <v>0</v>
      </c>
      <c r="F401" s="55">
        <f>D401*(($F$275)+1)+(IF(E401&lt;101,E401,IF(E401&lt;201,E401/2,IF(E401&lt;=301,E401/3,E401/4))))</f>
        <v>494.06759999999997</v>
      </c>
      <c r="G401" s="116"/>
      <c r="H401" s="117"/>
      <c r="I401" s="32"/>
      <c r="N401" s="32"/>
    </row>
    <row r="402" spans="1:14" s="39" customFormat="1" x14ac:dyDescent="0.35">
      <c r="A402" s="118" t="s">
        <v>213</v>
      </c>
      <c r="B402" s="118"/>
      <c r="C402" s="118"/>
      <c r="D402" s="118"/>
      <c r="E402" s="118"/>
      <c r="F402" s="118"/>
      <c r="G402" s="118"/>
      <c r="H402" s="118"/>
      <c r="I402" s="32"/>
      <c r="L402" s="124"/>
      <c r="M402" s="124"/>
    </row>
    <row r="403" spans="1:14" s="39" customFormat="1" x14ac:dyDescent="0.35">
      <c r="A403" s="118" t="s">
        <v>221</v>
      </c>
      <c r="B403" s="118"/>
      <c r="C403" s="118"/>
      <c r="D403" s="118"/>
      <c r="E403" s="118"/>
      <c r="F403" s="118"/>
      <c r="G403" s="118"/>
      <c r="H403" s="118"/>
      <c r="I403" s="32"/>
      <c r="L403" s="124"/>
      <c r="M403" s="124"/>
    </row>
    <row r="404" spans="1:14" s="39" customFormat="1" ht="15.75" customHeight="1" x14ac:dyDescent="0.35">
      <c r="A404" s="125">
        <v>1</v>
      </c>
      <c r="B404" s="126"/>
      <c r="C404" s="53" t="s">
        <v>202</v>
      </c>
      <c r="D404" s="54">
        <f>(26.7)*(10.764)</f>
        <v>287.39879999999999</v>
      </c>
      <c r="E404" s="55">
        <v>0</v>
      </c>
      <c r="F404" s="55">
        <f t="shared" ref="F404:F405" si="17">D404*(($F$275)+1)+(IF(E404&lt;101,E404,IF(E404&lt;201,E404/2,IF(E404&lt;=301,E404/3,E404/4))))</f>
        <v>431.09820000000002</v>
      </c>
      <c r="G404" s="114" t="str">
        <f>A403</f>
        <v>Ground Floor For Meter Room, Residential &amp; Parking</v>
      </c>
      <c r="H404" s="115"/>
      <c r="I404" s="32"/>
      <c r="N404" s="32"/>
    </row>
    <row r="405" spans="1:14" s="39" customFormat="1" ht="15.75" customHeight="1" x14ac:dyDescent="0.35">
      <c r="A405" s="125">
        <v>2</v>
      </c>
      <c r="B405" s="126"/>
      <c r="C405" s="53" t="s">
        <v>202</v>
      </c>
      <c r="D405" s="54">
        <f>(26.7)*(10.764)</f>
        <v>287.39879999999999</v>
      </c>
      <c r="E405" s="55">
        <v>0</v>
      </c>
      <c r="F405" s="55">
        <f t="shared" si="17"/>
        <v>431.09820000000002</v>
      </c>
      <c r="G405" s="116"/>
      <c r="H405" s="117"/>
      <c r="I405" s="32"/>
      <c r="N405" s="32"/>
    </row>
    <row r="406" spans="1:14" s="39" customFormat="1" x14ac:dyDescent="0.35">
      <c r="A406" s="118" t="s">
        <v>223</v>
      </c>
      <c r="B406" s="118"/>
      <c r="C406" s="118"/>
      <c r="D406" s="118"/>
      <c r="E406" s="118"/>
      <c r="F406" s="118"/>
      <c r="G406" s="118"/>
      <c r="H406" s="118"/>
      <c r="I406" s="32"/>
      <c r="L406" s="124"/>
      <c r="M406" s="124"/>
    </row>
    <row r="407" spans="1:14" s="39" customFormat="1" ht="15.75" customHeight="1" x14ac:dyDescent="0.35">
      <c r="A407" s="125">
        <v>1</v>
      </c>
      <c r="B407" s="126"/>
      <c r="C407" s="53" t="s">
        <v>202</v>
      </c>
      <c r="D407" s="54">
        <f>(26.7+0.75*(2.7+2.5))*(10.764)</f>
        <v>329.3784</v>
      </c>
      <c r="E407" s="55">
        <v>0</v>
      </c>
      <c r="F407" s="55">
        <f t="shared" ref="F407:F408" si="18">D407*(($F$275)+1)+(IF(E407&lt;101,E407,IF(E407&lt;201,E407/2,IF(E407&lt;=301,E407/3,E407/4))))</f>
        <v>494.06759999999997</v>
      </c>
      <c r="G407" s="114" t="str">
        <f>A406</f>
        <v>1st to 5th Floor For Residential</v>
      </c>
      <c r="H407" s="115"/>
      <c r="I407" s="32"/>
      <c r="N407" s="32"/>
    </row>
    <row r="408" spans="1:14" s="39" customFormat="1" ht="15.75" customHeight="1" x14ac:dyDescent="0.35">
      <c r="A408" s="125">
        <v>2</v>
      </c>
      <c r="B408" s="126"/>
      <c r="C408" s="53" t="s">
        <v>202</v>
      </c>
      <c r="D408" s="54">
        <f>(26.7+0.75*(2.7+2.5))*(10.764)</f>
        <v>329.3784</v>
      </c>
      <c r="E408" s="55">
        <v>0</v>
      </c>
      <c r="F408" s="55">
        <f t="shared" si="18"/>
        <v>494.06759999999997</v>
      </c>
      <c r="G408" s="116"/>
      <c r="H408" s="117"/>
      <c r="I408" s="32"/>
      <c r="N408" s="32"/>
    </row>
    <row r="409" spans="1:14" s="39" customFormat="1" ht="15.75" customHeight="1" x14ac:dyDescent="0.35">
      <c r="A409" s="125">
        <v>3</v>
      </c>
      <c r="B409" s="126"/>
      <c r="C409" s="53" t="s">
        <v>202</v>
      </c>
      <c r="D409" s="54">
        <f>(26.7+0.75*(2.7+2.5))*(10.764)</f>
        <v>329.3784</v>
      </c>
      <c r="E409" s="55">
        <v>0</v>
      </c>
      <c r="F409" s="55">
        <f>D409*(($F$275)+1)+(IF(E409&lt;101,E409,IF(E409&lt;201,E409/2,IF(E409&lt;=301,E409/3,E409/4))))</f>
        <v>494.06759999999997</v>
      </c>
      <c r="G409" s="116"/>
      <c r="H409" s="117"/>
      <c r="I409" s="32"/>
      <c r="N409" s="32"/>
    </row>
    <row r="410" spans="1:14" s="39" customFormat="1" ht="15.75" customHeight="1" x14ac:dyDescent="0.35">
      <c r="A410" s="125">
        <v>4</v>
      </c>
      <c r="B410" s="126"/>
      <c r="C410" s="53" t="s">
        <v>202</v>
      </c>
      <c r="D410" s="54">
        <f>(26.7+0.75*(2.7+2.5))*(10.764)</f>
        <v>329.3784</v>
      </c>
      <c r="E410" s="55">
        <v>0</v>
      </c>
      <c r="F410" s="55">
        <f>D410*(($F$275)+1)+(IF(E410&lt;101,E410,IF(E410&lt;201,E410/2,IF(E410&lt;=301,E410/3,E410/4))))</f>
        <v>494.06759999999997</v>
      </c>
      <c r="G410" s="116"/>
      <c r="H410" s="117"/>
      <c r="I410" s="32"/>
      <c r="N410" s="32"/>
    </row>
    <row r="411" spans="1:14" s="39" customFormat="1" x14ac:dyDescent="0.35">
      <c r="A411" s="118" t="s">
        <v>214</v>
      </c>
      <c r="B411" s="118"/>
      <c r="C411" s="118"/>
      <c r="D411" s="118"/>
      <c r="E411" s="118"/>
      <c r="F411" s="118"/>
      <c r="G411" s="118"/>
      <c r="H411" s="118"/>
      <c r="I411" s="32"/>
      <c r="L411" s="124"/>
      <c r="M411" s="124"/>
    </row>
    <row r="412" spans="1:14" s="39" customFormat="1" x14ac:dyDescent="0.35">
      <c r="A412" s="118" t="s">
        <v>221</v>
      </c>
      <c r="B412" s="118"/>
      <c r="C412" s="118"/>
      <c r="D412" s="118"/>
      <c r="E412" s="118"/>
      <c r="F412" s="118"/>
      <c r="G412" s="118"/>
      <c r="H412" s="118"/>
      <c r="I412" s="32"/>
      <c r="L412" s="124"/>
      <c r="M412" s="124"/>
    </row>
    <row r="413" spans="1:14" s="39" customFormat="1" ht="15.75" customHeight="1" x14ac:dyDescent="0.35">
      <c r="A413" s="125">
        <v>1</v>
      </c>
      <c r="B413" s="126"/>
      <c r="C413" s="53" t="s">
        <v>202</v>
      </c>
      <c r="D413" s="54">
        <f>(26.7)*(10.764)</f>
        <v>287.39879999999999</v>
      </c>
      <c r="E413" s="55">
        <v>0</v>
      </c>
      <c r="F413" s="55">
        <f t="shared" ref="F413:F414" si="19">D413*(($F$275)+1)+(IF(E413&lt;101,E413,IF(E413&lt;201,E413/2,IF(E413&lt;=301,E413/3,E413/4))))</f>
        <v>431.09820000000002</v>
      </c>
      <c r="G413" s="114" t="str">
        <f>A412</f>
        <v>Ground Floor For Meter Room, Residential &amp; Parking</v>
      </c>
      <c r="H413" s="115"/>
      <c r="I413" s="32"/>
      <c r="N413" s="32"/>
    </row>
    <row r="414" spans="1:14" s="39" customFormat="1" ht="15.75" customHeight="1" x14ac:dyDescent="0.35">
      <c r="A414" s="125">
        <v>2</v>
      </c>
      <c r="B414" s="126"/>
      <c r="C414" s="53" t="s">
        <v>202</v>
      </c>
      <c r="D414" s="54">
        <f>(26.7)*(10.764)</f>
        <v>287.39879999999999</v>
      </c>
      <c r="E414" s="55">
        <v>0</v>
      </c>
      <c r="F414" s="55">
        <f t="shared" si="19"/>
        <v>431.09820000000002</v>
      </c>
      <c r="G414" s="116"/>
      <c r="H414" s="117"/>
      <c r="I414" s="32"/>
      <c r="N414" s="32"/>
    </row>
    <row r="415" spans="1:14" s="39" customFormat="1" x14ac:dyDescent="0.35">
      <c r="A415" s="118" t="s">
        <v>223</v>
      </c>
      <c r="B415" s="118"/>
      <c r="C415" s="118"/>
      <c r="D415" s="118"/>
      <c r="E415" s="118"/>
      <c r="F415" s="118"/>
      <c r="G415" s="118"/>
      <c r="H415" s="118"/>
      <c r="I415" s="32"/>
      <c r="L415" s="124"/>
      <c r="M415" s="124"/>
    </row>
    <row r="416" spans="1:14" s="39" customFormat="1" ht="15.75" customHeight="1" x14ac:dyDescent="0.35">
      <c r="A416" s="125">
        <v>1</v>
      </c>
      <c r="B416" s="126"/>
      <c r="C416" s="53" t="s">
        <v>202</v>
      </c>
      <c r="D416" s="54">
        <f>(26.7+0.75*(2.7+2.5))*(10.764)</f>
        <v>329.3784</v>
      </c>
      <c r="E416" s="55">
        <v>0</v>
      </c>
      <c r="F416" s="55">
        <f t="shared" ref="F416:F417" si="20">D416*(($F$275)+1)+(IF(E416&lt;101,E416,IF(E416&lt;201,E416/2,IF(E416&lt;=301,E416/3,E416/4))))</f>
        <v>494.06759999999997</v>
      </c>
      <c r="G416" s="114" t="str">
        <f>A415</f>
        <v>1st to 5th Floor For Residential</v>
      </c>
      <c r="H416" s="115"/>
      <c r="I416" s="32"/>
      <c r="N416" s="32"/>
    </row>
    <row r="417" spans="1:14" s="39" customFormat="1" ht="15.75" customHeight="1" x14ac:dyDescent="0.35">
      <c r="A417" s="125">
        <v>2</v>
      </c>
      <c r="B417" s="126"/>
      <c r="C417" s="53" t="s">
        <v>202</v>
      </c>
      <c r="D417" s="54">
        <f>(26.7+0.75*(2.7+2.5))*(10.764)</f>
        <v>329.3784</v>
      </c>
      <c r="E417" s="55">
        <v>0</v>
      </c>
      <c r="F417" s="55">
        <f t="shared" si="20"/>
        <v>494.06759999999997</v>
      </c>
      <c r="G417" s="116"/>
      <c r="H417" s="117"/>
      <c r="I417" s="32"/>
      <c r="N417" s="32"/>
    </row>
    <row r="418" spans="1:14" s="39" customFormat="1" ht="15.75" customHeight="1" x14ac:dyDescent="0.35">
      <c r="A418" s="125">
        <v>3</v>
      </c>
      <c r="B418" s="126"/>
      <c r="C418" s="53" t="s">
        <v>202</v>
      </c>
      <c r="D418" s="54">
        <f>(26.7+0.75*(2.7+2.5))*(10.764)</f>
        <v>329.3784</v>
      </c>
      <c r="E418" s="55">
        <v>0</v>
      </c>
      <c r="F418" s="55">
        <f>D418*(($F$275)+1)+(IF(E418&lt;101,E418,IF(E418&lt;201,E418/2,IF(E418&lt;=301,E418/3,E418/4))))</f>
        <v>494.06759999999997</v>
      </c>
      <c r="G418" s="116"/>
      <c r="H418" s="117"/>
      <c r="I418" s="32"/>
      <c r="N418" s="32"/>
    </row>
    <row r="419" spans="1:14" s="39" customFormat="1" ht="15.75" customHeight="1" x14ac:dyDescent="0.35">
      <c r="A419" s="125">
        <v>4</v>
      </c>
      <c r="B419" s="126"/>
      <c r="C419" s="53" t="s">
        <v>202</v>
      </c>
      <c r="D419" s="54">
        <f>(26.7+0.75*(2.7+2.5))*(10.764)</f>
        <v>329.3784</v>
      </c>
      <c r="E419" s="55">
        <v>0</v>
      </c>
      <c r="F419" s="55">
        <f>D419*(($F$275)+1)+(IF(E419&lt;101,E419,IF(E419&lt;201,E419/2,IF(E419&lt;=301,E419/3,E419/4))))</f>
        <v>494.06759999999997</v>
      </c>
      <c r="G419" s="116"/>
      <c r="H419" s="117"/>
      <c r="I419" s="45">
        <f>10.764</f>
        <v>10.763999999999999</v>
      </c>
      <c r="N419" s="32"/>
    </row>
    <row r="420" spans="1:14" s="31" customFormat="1" x14ac:dyDescent="0.35">
      <c r="A420" s="145" t="s">
        <v>69</v>
      </c>
      <c r="B420" s="145"/>
      <c r="C420" s="145"/>
      <c r="D420" s="145"/>
      <c r="E420" s="145"/>
      <c r="F420" s="145"/>
      <c r="G420" s="145"/>
      <c r="H420" s="145"/>
    </row>
    <row r="421" spans="1:14" s="31" customFormat="1" ht="67.5" customHeight="1" x14ac:dyDescent="0.35">
      <c r="A421" s="56" t="s">
        <v>150</v>
      </c>
      <c r="B421" s="187" t="s">
        <v>248</v>
      </c>
      <c r="C421" s="188"/>
      <c r="D421" s="188"/>
      <c r="E421" s="188"/>
      <c r="F421" s="188"/>
      <c r="G421" s="188"/>
      <c r="H421" s="189"/>
    </row>
    <row r="422" spans="1:14" s="31" customFormat="1" x14ac:dyDescent="0.35">
      <c r="A422" s="56" t="s">
        <v>150</v>
      </c>
      <c r="B422" s="187" t="str">
        <f>(IF(F274="Saleable area Loading :","We have considered Saleable area of Flats as per our Calculation.","We considered Saleable area of Flat as per Builder area Sheet."))</f>
        <v>We have considered Saleable area of Flats as per our Calculation.</v>
      </c>
      <c r="C422" s="188"/>
      <c r="D422" s="188"/>
      <c r="E422" s="188"/>
      <c r="F422" s="188"/>
      <c r="G422" s="188"/>
      <c r="H422" s="189"/>
    </row>
    <row r="423" spans="1:14" s="31" customFormat="1" x14ac:dyDescent="0.35">
      <c r="A423" s="56" t="s">
        <v>150</v>
      </c>
      <c r="B423" s="108" t="s">
        <v>120</v>
      </c>
      <c r="C423" s="109"/>
      <c r="D423" s="109"/>
      <c r="E423" s="109"/>
      <c r="F423" s="109"/>
      <c r="G423" s="109"/>
      <c r="H423" s="110"/>
    </row>
    <row r="424" spans="1:14" s="31" customFormat="1" x14ac:dyDescent="0.35">
      <c r="A424" s="56" t="s">
        <v>150</v>
      </c>
      <c r="B424" s="108" t="s">
        <v>228</v>
      </c>
      <c r="C424" s="109"/>
      <c r="D424" s="109"/>
      <c r="E424" s="109"/>
      <c r="F424" s="109"/>
      <c r="G424" s="109"/>
      <c r="H424" s="110"/>
    </row>
    <row r="425" spans="1:14" s="31" customFormat="1" x14ac:dyDescent="0.35">
      <c r="A425" s="56" t="s">
        <v>150</v>
      </c>
      <c r="B425" s="108" t="s">
        <v>149</v>
      </c>
      <c r="C425" s="109"/>
      <c r="D425" s="109"/>
      <c r="E425" s="109"/>
      <c r="F425" s="109"/>
      <c r="G425" s="109"/>
      <c r="H425" s="110"/>
    </row>
    <row r="426" spans="1:14" s="31" customFormat="1" x14ac:dyDescent="0.35">
      <c r="A426" s="56" t="s">
        <v>150</v>
      </c>
      <c r="B426" s="108" t="s">
        <v>121</v>
      </c>
      <c r="C426" s="109"/>
      <c r="D426" s="109"/>
      <c r="E426" s="109"/>
      <c r="F426" s="109"/>
      <c r="G426" s="109"/>
      <c r="H426" s="110"/>
    </row>
    <row r="427" spans="1:14" s="31" customFormat="1" ht="34.5" hidden="1" customHeight="1" x14ac:dyDescent="0.35">
      <c r="A427" s="56" t="s">
        <v>150</v>
      </c>
      <c r="B427" s="108" t="s">
        <v>151</v>
      </c>
      <c r="C427" s="109"/>
      <c r="D427" s="109"/>
      <c r="E427" s="109"/>
      <c r="F427" s="109"/>
      <c r="G427" s="109"/>
      <c r="H427" s="110"/>
    </row>
    <row r="428" spans="1:14" s="31" customFormat="1" x14ac:dyDescent="0.35">
      <c r="A428" s="56" t="s">
        <v>150</v>
      </c>
      <c r="B428" s="108" t="s">
        <v>122</v>
      </c>
      <c r="C428" s="109"/>
      <c r="D428" s="109"/>
      <c r="E428" s="109"/>
      <c r="F428" s="109"/>
      <c r="G428" s="109"/>
      <c r="H428" s="110"/>
    </row>
    <row r="429" spans="1:14" s="31" customFormat="1" x14ac:dyDescent="0.35">
      <c r="A429" s="56" t="s">
        <v>150</v>
      </c>
      <c r="B429" s="108" t="s">
        <v>234</v>
      </c>
      <c r="C429" s="109"/>
      <c r="D429" s="109"/>
      <c r="E429" s="109"/>
      <c r="F429" s="109"/>
      <c r="G429" s="109"/>
      <c r="H429" s="110"/>
    </row>
    <row r="430" spans="1:14" s="31" customFormat="1" ht="32.25" customHeight="1" x14ac:dyDescent="0.35">
      <c r="A430" s="56" t="s">
        <v>150</v>
      </c>
      <c r="B430" s="108" t="s">
        <v>236</v>
      </c>
      <c r="C430" s="109"/>
      <c r="D430" s="109"/>
      <c r="E430" s="109"/>
      <c r="F430" s="109"/>
      <c r="G430" s="109"/>
      <c r="H430" s="110"/>
    </row>
    <row r="431" spans="1:14" s="31" customFormat="1" hidden="1" x14ac:dyDescent="0.35">
      <c r="A431" s="56" t="s">
        <v>150</v>
      </c>
      <c r="B431" s="108" t="s">
        <v>240</v>
      </c>
      <c r="C431" s="109"/>
      <c r="D431" s="109"/>
      <c r="E431" s="109"/>
      <c r="F431" s="109"/>
      <c r="G431" s="109"/>
      <c r="H431" s="110"/>
    </row>
    <row r="432" spans="1:14" x14ac:dyDescent="0.35">
      <c r="A432" s="186" t="s">
        <v>62</v>
      </c>
      <c r="B432" s="186"/>
      <c r="C432" s="186"/>
      <c r="D432" s="186"/>
      <c r="E432" s="186"/>
      <c r="F432" s="186"/>
      <c r="G432" s="186"/>
      <c r="H432" s="186"/>
    </row>
    <row r="433" spans="1:8" x14ac:dyDescent="0.35">
      <c r="A433" s="160" t="s">
        <v>63</v>
      </c>
      <c r="B433" s="160"/>
      <c r="C433" s="160"/>
      <c r="D433" s="160"/>
      <c r="E433" s="160"/>
      <c r="F433" s="160"/>
      <c r="G433" s="160"/>
      <c r="H433" s="160"/>
    </row>
    <row r="434" spans="1:8" ht="15.75" customHeight="1" x14ac:dyDescent="0.35">
      <c r="A434" s="201" t="s">
        <v>64</v>
      </c>
      <c r="B434" s="201"/>
      <c r="C434" s="201"/>
      <c r="D434" s="201"/>
      <c r="E434" s="201"/>
      <c r="F434" s="201"/>
      <c r="G434" s="201"/>
      <c r="H434" s="201"/>
    </row>
    <row r="435" spans="1:8" x14ac:dyDescent="0.35">
      <c r="A435" s="160" t="s">
        <v>65</v>
      </c>
      <c r="B435" s="160"/>
      <c r="C435" s="160"/>
      <c r="D435" s="160"/>
      <c r="E435" s="160"/>
      <c r="F435" s="160"/>
      <c r="G435" s="160"/>
      <c r="H435" s="160"/>
    </row>
    <row r="436" spans="1:8" x14ac:dyDescent="0.35">
      <c r="A436" s="160" t="s">
        <v>66</v>
      </c>
      <c r="B436" s="160"/>
      <c r="C436" s="160"/>
      <c r="D436" s="160"/>
      <c r="E436" s="160"/>
      <c r="F436" s="160"/>
      <c r="G436" s="160"/>
      <c r="H436" s="160"/>
    </row>
    <row r="437" spans="1:8" x14ac:dyDescent="0.35">
      <c r="A437" s="160" t="s">
        <v>123</v>
      </c>
      <c r="B437" s="160"/>
      <c r="C437" s="160"/>
      <c r="D437" s="160"/>
      <c r="E437" s="160"/>
      <c r="F437" s="160"/>
      <c r="G437" s="160"/>
      <c r="H437" s="160"/>
    </row>
    <row r="438" spans="1:8" ht="19.5" customHeight="1" x14ac:dyDescent="0.35">
      <c r="A438" s="179" t="s">
        <v>124</v>
      </c>
      <c r="B438" s="179"/>
      <c r="C438" s="179"/>
      <c r="D438" s="179"/>
      <c r="E438" s="179"/>
      <c r="F438" s="179"/>
      <c r="G438" s="179"/>
      <c r="H438" s="179"/>
    </row>
    <row r="439" spans="1:8" x14ac:dyDescent="0.35">
      <c r="A439" s="185" t="s">
        <v>77</v>
      </c>
      <c r="B439" s="185"/>
      <c r="C439" s="185" t="s">
        <v>237</v>
      </c>
      <c r="D439" s="185"/>
      <c r="E439" s="185" t="s">
        <v>105</v>
      </c>
      <c r="F439" s="185"/>
      <c r="G439" s="185" t="s">
        <v>251</v>
      </c>
      <c r="H439" s="185"/>
    </row>
    <row r="440" spans="1:8" x14ac:dyDescent="0.35">
      <c r="A440" s="184" t="s">
        <v>79</v>
      </c>
      <c r="B440" s="184"/>
      <c r="C440" s="184"/>
      <c r="D440" s="184"/>
      <c r="E440" s="184"/>
      <c r="F440" s="184"/>
      <c r="G440" s="184"/>
      <c r="H440" s="184"/>
    </row>
    <row r="441" spans="1:8" x14ac:dyDescent="0.35">
      <c r="A441" s="184"/>
      <c r="B441" s="184"/>
      <c r="C441" s="184"/>
      <c r="D441" s="184"/>
      <c r="E441" s="184"/>
      <c r="F441" s="184"/>
      <c r="G441" s="184"/>
      <c r="H441" s="184"/>
    </row>
    <row r="442" spans="1:8" x14ac:dyDescent="0.35">
      <c r="A442" s="184"/>
      <c r="B442" s="184"/>
      <c r="C442" s="184"/>
      <c r="D442" s="184"/>
      <c r="E442" s="184"/>
      <c r="F442" s="184"/>
      <c r="G442" s="184"/>
      <c r="H442" s="184"/>
    </row>
    <row r="443" spans="1:8" x14ac:dyDescent="0.35">
      <c r="A443" s="184"/>
      <c r="B443" s="184"/>
      <c r="C443" s="184"/>
      <c r="D443" s="184"/>
      <c r="E443" s="184"/>
      <c r="F443" s="184"/>
      <c r="G443" s="184"/>
      <c r="H443" s="184"/>
    </row>
    <row r="444" spans="1:8" x14ac:dyDescent="0.35">
      <c r="A444" s="57" t="s">
        <v>67</v>
      </c>
      <c r="B444" s="58"/>
      <c r="C444" s="58"/>
      <c r="D444" s="57" t="str">
        <f>E8</f>
        <v>Shree Sai Residential Park</v>
      </c>
      <c r="E444" s="59"/>
      <c r="F444" s="58"/>
      <c r="G444" s="58"/>
      <c r="H444" s="58"/>
    </row>
    <row r="445" spans="1:8" x14ac:dyDescent="0.35">
      <c r="A445" s="58"/>
      <c r="B445" s="58"/>
      <c r="C445" s="58"/>
      <c r="D445" s="58"/>
      <c r="E445" s="58"/>
      <c r="F445" s="58"/>
      <c r="G445" s="58"/>
      <c r="H445" s="58"/>
    </row>
    <row r="446" spans="1:8" x14ac:dyDescent="0.35">
      <c r="A446" s="58"/>
      <c r="B446" s="58"/>
      <c r="C446" s="58"/>
      <c r="D446" s="58"/>
      <c r="E446" s="58"/>
      <c r="F446" s="58"/>
      <c r="G446" s="58"/>
      <c r="H446" s="58"/>
    </row>
    <row r="447" spans="1:8" ht="15" customHeight="1" x14ac:dyDescent="0.35">
      <c r="A447" s="59"/>
      <c r="B447" s="59"/>
      <c r="C447" s="59"/>
      <c r="D447" s="59"/>
      <c r="E447" s="59"/>
      <c r="F447" s="59"/>
      <c r="G447" s="59"/>
      <c r="H447" s="59"/>
    </row>
    <row r="448" spans="1:8" x14ac:dyDescent="0.35">
      <c r="A448" s="59"/>
      <c r="B448" s="59"/>
      <c r="C448" s="59"/>
      <c r="D448" s="59"/>
      <c r="E448" s="59"/>
      <c r="F448" s="59"/>
      <c r="G448" s="59"/>
      <c r="H448" s="59"/>
    </row>
    <row r="449" spans="1:8" x14ac:dyDescent="0.35">
      <c r="A449" s="59"/>
      <c r="B449" s="59"/>
      <c r="C449" s="59"/>
      <c r="D449" s="59"/>
      <c r="E449" s="59"/>
      <c r="F449" s="59"/>
      <c r="G449" s="59"/>
      <c r="H449" s="59"/>
    </row>
    <row r="450" spans="1:8" x14ac:dyDescent="0.35">
      <c r="A450" s="59"/>
      <c r="B450" s="59"/>
      <c r="C450" s="59"/>
      <c r="D450" s="59"/>
      <c r="E450" s="59"/>
      <c r="F450" s="59"/>
      <c r="G450" s="59"/>
      <c r="H450" s="59"/>
    </row>
    <row r="451" spans="1:8" x14ac:dyDescent="0.35">
      <c r="A451" s="59"/>
      <c r="B451" s="59"/>
      <c r="C451" s="59"/>
      <c r="D451" s="59"/>
      <c r="E451" s="59"/>
      <c r="F451" s="59"/>
      <c r="G451" s="59"/>
      <c r="H451" s="59"/>
    </row>
    <row r="452" spans="1:8" x14ac:dyDescent="0.35">
      <c r="A452" s="59"/>
      <c r="B452" s="59"/>
      <c r="C452" s="59"/>
      <c r="D452" s="59"/>
      <c r="E452" s="59"/>
      <c r="F452" s="59"/>
      <c r="G452" s="59"/>
      <c r="H452" s="59"/>
    </row>
    <row r="453" spans="1:8" x14ac:dyDescent="0.35">
      <c r="A453" s="59"/>
      <c r="B453" s="59"/>
      <c r="C453" s="59"/>
      <c r="D453" s="59"/>
      <c r="E453" s="59"/>
      <c r="F453" s="59"/>
      <c r="G453" s="59"/>
      <c r="H453" s="59"/>
    </row>
    <row r="454" spans="1:8" x14ac:dyDescent="0.35">
      <c r="A454" s="59"/>
      <c r="B454" s="59"/>
      <c r="C454" s="59"/>
      <c r="D454" s="59"/>
      <c r="E454" s="59"/>
      <c r="F454" s="59"/>
      <c r="G454" s="59"/>
      <c r="H454" s="59"/>
    </row>
    <row r="455" spans="1:8" x14ac:dyDescent="0.35">
      <c r="A455" s="59"/>
      <c r="B455" s="59"/>
      <c r="C455" s="59"/>
      <c r="D455" s="59"/>
      <c r="E455" s="59"/>
      <c r="F455" s="59"/>
      <c r="G455" s="59"/>
      <c r="H455" s="59"/>
    </row>
    <row r="456" spans="1:8" x14ac:dyDescent="0.35">
      <c r="A456" s="59"/>
      <c r="B456" s="59"/>
      <c r="C456" s="59"/>
      <c r="D456" s="59"/>
      <c r="E456" s="59"/>
      <c r="F456" s="59"/>
      <c r="G456" s="59"/>
      <c r="H456" s="59"/>
    </row>
    <row r="457" spans="1:8" x14ac:dyDescent="0.35">
      <c r="A457" s="59"/>
      <c r="B457" s="59"/>
      <c r="C457" s="59"/>
      <c r="D457" s="59"/>
      <c r="E457" s="59"/>
      <c r="F457" s="59"/>
      <c r="G457" s="59"/>
      <c r="H457" s="59"/>
    </row>
    <row r="458" spans="1:8" x14ac:dyDescent="0.35">
      <c r="A458" s="59"/>
      <c r="B458" s="59"/>
      <c r="C458" s="59"/>
      <c r="D458" s="59"/>
      <c r="E458" s="59"/>
      <c r="F458" s="59"/>
      <c r="G458" s="59"/>
      <c r="H458" s="59"/>
    </row>
    <row r="459" spans="1:8" x14ac:dyDescent="0.35">
      <c r="A459" s="59"/>
      <c r="B459" s="59"/>
      <c r="C459" s="59"/>
      <c r="D459" s="59"/>
      <c r="E459" s="59"/>
      <c r="F459" s="59"/>
      <c r="G459" s="59"/>
      <c r="H459" s="59"/>
    </row>
    <row r="460" spans="1:8" x14ac:dyDescent="0.35">
      <c r="A460" s="59"/>
      <c r="B460" s="59"/>
      <c r="C460" s="59"/>
      <c r="D460" s="59"/>
      <c r="E460" s="59"/>
      <c r="F460" s="59"/>
      <c r="G460" s="59"/>
      <c r="H460" s="59"/>
    </row>
    <row r="461" spans="1:8" x14ac:dyDescent="0.35">
      <c r="A461" s="59"/>
      <c r="B461" s="59"/>
      <c r="C461" s="59"/>
      <c r="D461" s="59"/>
      <c r="E461" s="59"/>
      <c r="F461" s="59"/>
      <c r="G461" s="59"/>
      <c r="H461" s="59"/>
    </row>
    <row r="462" spans="1:8" x14ac:dyDescent="0.35">
      <c r="A462" s="59"/>
      <c r="B462" s="59"/>
      <c r="C462" s="59"/>
      <c r="D462" s="59"/>
      <c r="E462" s="59"/>
      <c r="F462" s="59"/>
      <c r="G462" s="59"/>
      <c r="H462" s="59"/>
    </row>
    <row r="463" spans="1:8" x14ac:dyDescent="0.35">
      <c r="A463" s="59"/>
      <c r="B463" s="59"/>
      <c r="C463" s="59"/>
      <c r="D463" s="59"/>
      <c r="E463" s="59"/>
      <c r="F463" s="59"/>
      <c r="G463" s="59"/>
      <c r="H463" s="59"/>
    </row>
    <row r="464" spans="1:8" x14ac:dyDescent="0.35">
      <c r="A464" s="59"/>
      <c r="B464" s="59"/>
      <c r="C464" s="59"/>
      <c r="D464" s="59"/>
      <c r="E464" s="59"/>
      <c r="F464" s="59"/>
      <c r="G464" s="59"/>
      <c r="H464" s="59"/>
    </row>
    <row r="465" spans="1:8" x14ac:dyDescent="0.35">
      <c r="A465" s="59"/>
      <c r="B465" s="59"/>
      <c r="C465" s="59"/>
      <c r="D465" s="59"/>
      <c r="E465" s="59"/>
      <c r="F465" s="59"/>
      <c r="G465" s="59"/>
      <c r="H465" s="59"/>
    </row>
    <row r="466" spans="1:8" x14ac:dyDescent="0.35">
      <c r="A466" s="59"/>
      <c r="B466" s="59"/>
      <c r="C466" s="59"/>
      <c r="D466" s="59"/>
      <c r="E466" s="59"/>
      <c r="F466" s="59"/>
      <c r="G466" s="59"/>
      <c r="H466" s="59"/>
    </row>
    <row r="467" spans="1:8" x14ac:dyDescent="0.35">
      <c r="A467" s="59"/>
      <c r="B467" s="59"/>
      <c r="C467" s="59"/>
      <c r="D467" s="59"/>
      <c r="E467" s="59"/>
      <c r="F467" s="59"/>
      <c r="G467" s="59"/>
      <c r="H467" s="59"/>
    </row>
    <row r="468" spans="1:8" x14ac:dyDescent="0.35">
      <c r="A468" s="59"/>
      <c r="B468" s="59"/>
      <c r="C468" s="59"/>
      <c r="D468" s="59"/>
      <c r="E468" s="59"/>
      <c r="F468" s="59"/>
      <c r="G468" s="59"/>
      <c r="H468" s="59"/>
    </row>
    <row r="469" spans="1:8" x14ac:dyDescent="0.35">
      <c r="A469" s="59"/>
      <c r="B469" s="59"/>
      <c r="C469" s="59"/>
      <c r="D469" s="59"/>
      <c r="E469" s="59"/>
      <c r="F469" s="59"/>
      <c r="G469" s="59"/>
      <c r="H469" s="59"/>
    </row>
    <row r="470" spans="1:8" x14ac:dyDescent="0.35">
      <c r="A470" s="59"/>
      <c r="B470" s="59"/>
      <c r="C470" s="59"/>
      <c r="D470" s="59"/>
      <c r="E470" s="59"/>
      <c r="F470" s="59"/>
      <c r="G470" s="59"/>
      <c r="H470" s="59"/>
    </row>
    <row r="471" spans="1:8" x14ac:dyDescent="0.35">
      <c r="A471" s="59"/>
      <c r="B471" s="59"/>
      <c r="C471" s="59"/>
      <c r="D471" s="59"/>
      <c r="E471" s="59"/>
      <c r="F471" s="59"/>
      <c r="G471" s="59"/>
      <c r="H471" s="59"/>
    </row>
    <row r="472" spans="1:8" x14ac:dyDescent="0.35">
      <c r="A472" s="59"/>
      <c r="B472" s="59"/>
      <c r="C472" s="59"/>
      <c r="D472" s="59"/>
      <c r="E472" s="59"/>
      <c r="F472" s="59"/>
      <c r="G472" s="59"/>
      <c r="H472" s="59"/>
    </row>
    <row r="473" spans="1:8" x14ac:dyDescent="0.35">
      <c r="A473" s="59"/>
      <c r="B473" s="59"/>
      <c r="C473" s="59"/>
      <c r="D473" s="59"/>
      <c r="E473" s="59"/>
      <c r="F473" s="59"/>
      <c r="G473" s="59"/>
      <c r="H473" s="59"/>
    </row>
    <row r="474" spans="1:8" x14ac:dyDescent="0.35">
      <c r="A474" s="59"/>
      <c r="B474" s="59"/>
      <c r="C474" s="59"/>
      <c r="D474" s="59"/>
      <c r="E474" s="59"/>
      <c r="F474" s="59"/>
      <c r="G474" s="59"/>
      <c r="H474" s="59"/>
    </row>
    <row r="475" spans="1:8" x14ac:dyDescent="0.35">
      <c r="A475" s="59"/>
      <c r="B475" s="59"/>
      <c r="C475" s="59"/>
      <c r="D475" s="59"/>
      <c r="E475" s="59"/>
      <c r="F475" s="59"/>
      <c r="G475" s="59"/>
      <c r="H475" s="59"/>
    </row>
    <row r="476" spans="1:8" x14ac:dyDescent="0.35">
      <c r="A476" s="59"/>
      <c r="B476" s="59"/>
      <c r="C476" s="59"/>
      <c r="D476" s="59"/>
      <c r="E476" s="59"/>
      <c r="F476" s="59"/>
      <c r="G476" s="59"/>
      <c r="H476" s="59"/>
    </row>
    <row r="477" spans="1:8" x14ac:dyDescent="0.35">
      <c r="A477" s="59"/>
      <c r="B477" s="59"/>
      <c r="C477" s="59"/>
      <c r="D477" s="59"/>
      <c r="E477" s="59"/>
      <c r="F477" s="59"/>
      <c r="G477" s="59"/>
      <c r="H477" s="59"/>
    </row>
    <row r="478" spans="1:8" x14ac:dyDescent="0.35">
      <c r="A478" s="59"/>
      <c r="B478" s="59"/>
      <c r="C478" s="59"/>
      <c r="D478" s="59"/>
      <c r="E478" s="59"/>
      <c r="F478" s="59"/>
      <c r="G478" s="59"/>
      <c r="H478" s="59"/>
    </row>
    <row r="479" spans="1:8" x14ac:dyDescent="0.35">
      <c r="A479" s="59"/>
      <c r="B479" s="59"/>
      <c r="C479" s="59"/>
      <c r="D479" s="59"/>
      <c r="E479" s="59"/>
      <c r="F479" s="59"/>
      <c r="G479" s="59"/>
      <c r="H479" s="59"/>
    </row>
    <row r="480" spans="1:8" x14ac:dyDescent="0.35">
      <c r="A480" s="59"/>
      <c r="B480" s="59"/>
      <c r="C480" s="59"/>
      <c r="D480" s="59"/>
      <c r="E480" s="59"/>
      <c r="F480" s="59"/>
      <c r="G480" s="59"/>
      <c r="H480" s="59"/>
    </row>
    <row r="481" spans="1:8" x14ac:dyDescent="0.35">
      <c r="A481" s="59"/>
      <c r="B481" s="59"/>
      <c r="C481" s="59"/>
      <c r="D481" s="59"/>
      <c r="E481" s="59"/>
      <c r="F481" s="59"/>
      <c r="G481" s="59"/>
      <c r="H481" s="59"/>
    </row>
    <row r="482" spans="1:8" x14ac:dyDescent="0.35">
      <c r="A482" s="59"/>
      <c r="B482" s="59"/>
      <c r="C482" s="59"/>
      <c r="D482" s="59"/>
      <c r="E482" s="59"/>
      <c r="F482" s="59"/>
      <c r="G482" s="59"/>
      <c r="H482" s="59"/>
    </row>
    <row r="483" spans="1:8" x14ac:dyDescent="0.35">
      <c r="A483" s="59"/>
      <c r="B483" s="59"/>
      <c r="C483" s="59"/>
      <c r="D483" s="59"/>
      <c r="E483" s="59"/>
      <c r="F483" s="59"/>
      <c r="G483" s="59"/>
      <c r="H483" s="59"/>
    </row>
    <row r="484" spans="1:8" x14ac:dyDescent="0.35">
      <c r="A484" s="59"/>
      <c r="B484" s="59"/>
      <c r="C484" s="59"/>
      <c r="D484" s="59"/>
      <c r="E484" s="59"/>
      <c r="F484" s="59"/>
      <c r="G484" s="59"/>
      <c r="H484" s="59"/>
    </row>
    <row r="485" spans="1:8" x14ac:dyDescent="0.35">
      <c r="A485" s="59"/>
      <c r="B485" s="59"/>
      <c r="C485" s="59"/>
      <c r="D485" s="59"/>
      <c r="E485" s="59"/>
      <c r="F485" s="59"/>
      <c r="G485" s="59"/>
      <c r="H485" s="59"/>
    </row>
    <row r="486" spans="1:8" x14ac:dyDescent="0.35">
      <c r="A486" s="59"/>
      <c r="B486" s="59"/>
      <c r="C486" s="59"/>
      <c r="D486" s="59"/>
      <c r="E486" s="59"/>
      <c r="F486" s="59"/>
      <c r="G486" s="59"/>
      <c r="H486" s="59"/>
    </row>
    <row r="487" spans="1:8" x14ac:dyDescent="0.35">
      <c r="A487" s="59"/>
      <c r="B487" s="59"/>
      <c r="C487" s="59"/>
      <c r="D487" s="59"/>
      <c r="E487" s="59"/>
      <c r="F487" s="59"/>
      <c r="G487" s="59"/>
      <c r="H487" s="59"/>
    </row>
    <row r="488" spans="1:8" x14ac:dyDescent="0.35">
      <c r="A488" s="60" t="s">
        <v>229</v>
      </c>
      <c r="B488" s="59"/>
      <c r="C488" s="59"/>
      <c r="D488" s="59"/>
      <c r="E488" s="59"/>
      <c r="F488" s="59"/>
      <c r="G488" s="59"/>
      <c r="H488" s="59"/>
    </row>
    <row r="489" spans="1:8" x14ac:dyDescent="0.35">
      <c r="A489" s="59"/>
      <c r="B489" s="59"/>
      <c r="C489" s="59"/>
      <c r="D489" s="59"/>
      <c r="E489" s="59"/>
      <c r="F489" s="59"/>
      <c r="G489" s="59"/>
      <c r="H489" s="59"/>
    </row>
    <row r="490" spans="1:8" x14ac:dyDescent="0.35">
      <c r="A490" s="59"/>
      <c r="B490" s="59"/>
      <c r="C490" s="59"/>
      <c r="D490" s="59"/>
      <c r="E490" s="59"/>
      <c r="F490" s="59"/>
      <c r="G490" s="59"/>
      <c r="H490" s="59"/>
    </row>
    <row r="491" spans="1:8" x14ac:dyDescent="0.35">
      <c r="A491" s="59"/>
      <c r="B491" s="59"/>
      <c r="C491" s="59"/>
      <c r="D491" s="59"/>
      <c r="E491" s="59"/>
      <c r="F491" s="59"/>
      <c r="G491" s="59"/>
      <c r="H491" s="59"/>
    </row>
    <row r="492" spans="1:8" x14ac:dyDescent="0.35">
      <c r="A492" s="59"/>
      <c r="B492" s="59"/>
      <c r="C492" s="59"/>
      <c r="D492" s="59"/>
      <c r="E492" s="59"/>
      <c r="F492" s="59"/>
      <c r="G492" s="59"/>
      <c r="H492" s="59"/>
    </row>
    <row r="493" spans="1:8" x14ac:dyDescent="0.35">
      <c r="A493" s="59"/>
      <c r="B493" s="59"/>
      <c r="C493" s="59"/>
      <c r="D493" s="59"/>
      <c r="E493" s="59"/>
      <c r="F493" s="59"/>
      <c r="G493" s="59"/>
      <c r="H493" s="59"/>
    </row>
    <row r="494" spans="1:8" x14ac:dyDescent="0.35">
      <c r="A494" s="59"/>
      <c r="B494" s="59"/>
      <c r="C494" s="59"/>
      <c r="D494" s="59"/>
      <c r="E494" s="59"/>
      <c r="F494" s="59"/>
      <c r="G494" s="59"/>
      <c r="H494" s="59"/>
    </row>
    <row r="495" spans="1:8" x14ac:dyDescent="0.35">
      <c r="A495" s="59"/>
      <c r="B495" s="59"/>
      <c r="C495" s="59"/>
      <c r="D495" s="59"/>
      <c r="E495" s="59"/>
      <c r="F495" s="59"/>
      <c r="G495" s="59"/>
      <c r="H495" s="59"/>
    </row>
    <row r="496" spans="1:8" x14ac:dyDescent="0.35">
      <c r="A496" s="59"/>
      <c r="B496" s="59"/>
      <c r="C496" s="59"/>
      <c r="D496" s="59"/>
      <c r="E496" s="59"/>
      <c r="F496" s="59"/>
      <c r="G496" s="59"/>
      <c r="H496" s="59"/>
    </row>
    <row r="497" spans="1:8" x14ac:dyDescent="0.35">
      <c r="A497" s="59"/>
      <c r="B497" s="59"/>
      <c r="C497" s="59"/>
      <c r="D497" s="59"/>
      <c r="E497" s="59"/>
      <c r="F497" s="59"/>
      <c r="G497" s="59"/>
      <c r="H497" s="59"/>
    </row>
    <row r="498" spans="1:8" x14ac:dyDescent="0.35">
      <c r="A498" s="59"/>
      <c r="B498" s="59"/>
      <c r="C498" s="59"/>
      <c r="D498" s="59"/>
      <c r="E498" s="59"/>
      <c r="F498" s="59"/>
      <c r="G498" s="59"/>
      <c r="H498" s="59"/>
    </row>
    <row r="499" spans="1:8" x14ac:dyDescent="0.35">
      <c r="A499" s="59"/>
      <c r="B499" s="59"/>
      <c r="C499" s="59"/>
      <c r="D499" s="59"/>
      <c r="E499" s="59"/>
      <c r="F499" s="59"/>
      <c r="G499" s="59"/>
      <c r="H499" s="59"/>
    </row>
    <row r="500" spans="1:8" x14ac:dyDescent="0.35">
      <c r="A500" s="59"/>
      <c r="B500" s="59"/>
      <c r="C500" s="59"/>
      <c r="D500" s="59"/>
      <c r="E500" s="59"/>
      <c r="F500" s="59"/>
      <c r="G500" s="59"/>
      <c r="H500" s="59"/>
    </row>
    <row r="501" spans="1:8" x14ac:dyDescent="0.35">
      <c r="A501" s="59"/>
      <c r="B501" s="59"/>
      <c r="C501" s="59"/>
      <c r="D501" s="59"/>
      <c r="E501" s="59"/>
      <c r="F501" s="59"/>
      <c r="G501" s="59"/>
      <c r="H501" s="59"/>
    </row>
    <row r="502" spans="1:8" x14ac:dyDescent="0.35">
      <c r="A502" s="59"/>
      <c r="B502" s="59"/>
      <c r="C502" s="59"/>
      <c r="D502" s="59"/>
      <c r="E502" s="59"/>
      <c r="F502" s="59"/>
      <c r="G502" s="59"/>
      <c r="H502" s="59"/>
    </row>
    <row r="503" spans="1:8" x14ac:dyDescent="0.35">
      <c r="A503" s="59"/>
      <c r="B503" s="59"/>
      <c r="C503" s="59"/>
      <c r="D503" s="59"/>
      <c r="E503" s="59"/>
      <c r="F503" s="59"/>
      <c r="G503" s="59"/>
      <c r="H503" s="59"/>
    </row>
    <row r="504" spans="1:8" x14ac:dyDescent="0.35">
      <c r="A504" s="59"/>
      <c r="B504" s="59"/>
      <c r="C504" s="59"/>
      <c r="D504" s="59"/>
      <c r="E504" s="59"/>
      <c r="F504" s="59"/>
      <c r="G504" s="59"/>
      <c r="H504" s="59"/>
    </row>
    <row r="505" spans="1:8" x14ac:dyDescent="0.35">
      <c r="A505" s="59"/>
      <c r="B505" s="59"/>
      <c r="C505" s="59"/>
      <c r="D505" s="59"/>
      <c r="E505" s="59"/>
      <c r="F505" s="59"/>
      <c r="G505" s="59"/>
      <c r="H505" s="59"/>
    </row>
    <row r="506" spans="1:8" x14ac:dyDescent="0.35">
      <c r="A506" s="59"/>
      <c r="B506" s="59"/>
      <c r="C506" s="59"/>
      <c r="D506" s="59"/>
      <c r="E506" s="59"/>
      <c r="F506" s="59"/>
      <c r="G506" s="59"/>
      <c r="H506" s="59"/>
    </row>
    <row r="507" spans="1:8" x14ac:dyDescent="0.35">
      <c r="A507" s="59"/>
      <c r="B507" s="59"/>
      <c r="C507" s="59"/>
      <c r="D507" s="59"/>
      <c r="E507" s="59"/>
      <c r="F507" s="59"/>
      <c r="G507" s="59"/>
      <c r="H507" s="59"/>
    </row>
    <row r="508" spans="1:8" x14ac:dyDescent="0.35">
      <c r="A508" s="59"/>
      <c r="B508" s="59"/>
      <c r="C508" s="59"/>
      <c r="D508" s="59"/>
      <c r="E508" s="59"/>
      <c r="F508" s="59"/>
      <c r="G508" s="59"/>
      <c r="H508" s="59"/>
    </row>
    <row r="509" spans="1:8" x14ac:dyDescent="0.35">
      <c r="A509" s="59"/>
      <c r="B509" s="59"/>
      <c r="C509" s="59"/>
      <c r="D509" s="59"/>
      <c r="E509" s="59"/>
      <c r="F509" s="59"/>
      <c r="G509" s="59"/>
      <c r="H509" s="59"/>
    </row>
    <row r="510" spans="1:8" x14ac:dyDescent="0.35">
      <c r="A510" s="59"/>
      <c r="B510" s="59"/>
      <c r="C510" s="59"/>
      <c r="D510" s="59"/>
      <c r="E510" s="59"/>
      <c r="F510" s="59"/>
      <c r="G510" s="59"/>
      <c r="H510" s="59"/>
    </row>
    <row r="511" spans="1:8" x14ac:dyDescent="0.35">
      <c r="A511" s="59"/>
      <c r="B511" s="59"/>
      <c r="C511" s="59"/>
      <c r="D511" s="59"/>
      <c r="E511" s="59"/>
      <c r="F511" s="59"/>
      <c r="G511" s="59"/>
      <c r="H511" s="59"/>
    </row>
    <row r="512" spans="1:8" x14ac:dyDescent="0.35">
      <c r="A512" s="59"/>
      <c r="B512" s="59"/>
      <c r="C512" s="59"/>
      <c r="D512" s="59"/>
      <c r="E512" s="59"/>
      <c r="F512" s="59"/>
      <c r="G512" s="59"/>
      <c r="H512" s="59"/>
    </row>
    <row r="513" spans="1:8" x14ac:dyDescent="0.35">
      <c r="A513" s="59"/>
      <c r="B513" s="59"/>
      <c r="C513" s="59"/>
      <c r="D513" s="59"/>
      <c r="E513" s="59"/>
      <c r="F513" s="59"/>
      <c r="G513" s="59"/>
      <c r="H513" s="59"/>
    </row>
    <row r="514" spans="1:8" x14ac:dyDescent="0.35">
      <c r="A514" s="59"/>
      <c r="B514" s="59"/>
      <c r="C514" s="59"/>
      <c r="D514" s="59"/>
      <c r="E514" s="59"/>
      <c r="F514" s="59"/>
      <c r="G514" s="59"/>
      <c r="H514" s="59"/>
    </row>
    <row r="515" spans="1:8" x14ac:dyDescent="0.35">
      <c r="A515" s="59"/>
      <c r="B515" s="59"/>
      <c r="C515" s="59"/>
      <c r="D515" s="59"/>
      <c r="E515" s="59"/>
      <c r="F515" s="59"/>
      <c r="G515" s="59"/>
      <c r="H515" s="59"/>
    </row>
    <row r="516" spans="1:8" x14ac:dyDescent="0.35">
      <c r="A516" s="59"/>
      <c r="B516" s="59"/>
      <c r="C516" s="59"/>
      <c r="D516" s="59"/>
      <c r="E516" s="59"/>
      <c r="F516" s="59"/>
      <c r="G516" s="59"/>
      <c r="H516" s="59"/>
    </row>
    <row r="517" spans="1:8" x14ac:dyDescent="0.35">
      <c r="A517" s="59"/>
      <c r="B517" s="59"/>
      <c r="C517" s="59"/>
      <c r="D517" s="59"/>
      <c r="E517" s="59"/>
      <c r="F517" s="59"/>
      <c r="G517" s="59"/>
      <c r="H517" s="59"/>
    </row>
    <row r="518" spans="1:8" x14ac:dyDescent="0.35">
      <c r="A518" s="59"/>
      <c r="B518" s="59"/>
      <c r="C518" s="59"/>
      <c r="D518" s="59"/>
      <c r="E518" s="59"/>
      <c r="F518" s="59"/>
      <c r="G518" s="59"/>
      <c r="H518" s="59"/>
    </row>
    <row r="519" spans="1:8" x14ac:dyDescent="0.35">
      <c r="A519" s="59"/>
      <c r="B519" s="59"/>
      <c r="C519" s="59"/>
      <c r="D519" s="59"/>
      <c r="E519" s="59"/>
      <c r="F519" s="59"/>
      <c r="G519" s="59"/>
      <c r="H519" s="59"/>
    </row>
    <row r="520" spans="1:8" x14ac:dyDescent="0.35">
      <c r="A520" s="59"/>
      <c r="B520" s="59"/>
      <c r="C520" s="59"/>
      <c r="D520" s="59"/>
      <c r="E520" s="59"/>
      <c r="F520" s="59"/>
      <c r="G520" s="59"/>
      <c r="H520" s="59"/>
    </row>
    <row r="521" spans="1:8" x14ac:dyDescent="0.35">
      <c r="A521" s="59"/>
      <c r="B521" s="59"/>
      <c r="C521" s="59"/>
      <c r="D521" s="59"/>
      <c r="E521" s="59"/>
      <c r="F521" s="59"/>
      <c r="G521" s="59"/>
      <c r="H521" s="59"/>
    </row>
    <row r="522" spans="1:8" x14ac:dyDescent="0.35">
      <c r="A522" s="59"/>
      <c r="B522" s="59"/>
      <c r="C522" s="59"/>
      <c r="D522" s="59"/>
      <c r="E522" s="59"/>
      <c r="F522" s="59"/>
      <c r="G522" s="59"/>
      <c r="H522" s="59"/>
    </row>
    <row r="523" spans="1:8" x14ac:dyDescent="0.35">
      <c r="A523" s="59"/>
      <c r="B523" s="59"/>
      <c r="C523" s="59"/>
      <c r="D523" s="59"/>
      <c r="E523" s="59"/>
      <c r="F523" s="59"/>
      <c r="G523" s="59"/>
      <c r="H523" s="59"/>
    </row>
    <row r="524" spans="1:8" x14ac:dyDescent="0.35">
      <c r="A524" s="59"/>
      <c r="B524" s="59"/>
      <c r="C524" s="59"/>
      <c r="D524" s="59"/>
      <c r="E524" s="59"/>
      <c r="F524" s="59"/>
      <c r="G524" s="59"/>
      <c r="H524" s="59"/>
    </row>
    <row r="525" spans="1:8" x14ac:dyDescent="0.35">
      <c r="A525" s="59"/>
      <c r="B525" s="59"/>
      <c r="C525" s="59"/>
      <c r="D525" s="59"/>
      <c r="E525" s="59"/>
      <c r="F525" s="59"/>
      <c r="G525" s="59"/>
      <c r="H525" s="59"/>
    </row>
    <row r="526" spans="1:8" x14ac:dyDescent="0.35">
      <c r="A526" s="59"/>
      <c r="B526" s="59"/>
      <c r="C526" s="59"/>
      <c r="D526" s="59"/>
      <c r="E526" s="59"/>
      <c r="F526" s="59"/>
      <c r="G526" s="59"/>
      <c r="H526" s="59"/>
    </row>
    <row r="527" spans="1:8" x14ac:dyDescent="0.35">
      <c r="A527" s="59"/>
      <c r="B527" s="59"/>
      <c r="C527" s="59"/>
      <c r="D527" s="59"/>
      <c r="E527" s="59"/>
      <c r="F527" s="59"/>
      <c r="G527" s="59"/>
      <c r="H527" s="59"/>
    </row>
    <row r="528" spans="1:8" x14ac:dyDescent="0.35">
      <c r="A528" s="59"/>
      <c r="B528" s="59"/>
      <c r="C528" s="59"/>
      <c r="D528" s="59"/>
      <c r="E528" s="59"/>
      <c r="F528" s="59"/>
      <c r="G528" s="59"/>
      <c r="H528" s="59"/>
    </row>
    <row r="529" spans="1:8" x14ac:dyDescent="0.35">
      <c r="A529" s="59"/>
      <c r="B529" s="59"/>
      <c r="C529" s="59"/>
      <c r="D529" s="59"/>
      <c r="E529" s="59"/>
      <c r="F529" s="59"/>
      <c r="G529" s="59"/>
      <c r="H529" s="59"/>
    </row>
    <row r="530" spans="1:8" x14ac:dyDescent="0.35">
      <c r="A530" s="59"/>
      <c r="B530" s="59"/>
      <c r="C530" s="59"/>
      <c r="D530" s="59"/>
      <c r="E530" s="59"/>
      <c r="F530" s="59"/>
      <c r="G530" s="59"/>
      <c r="H530" s="59"/>
    </row>
    <row r="531" spans="1:8" x14ac:dyDescent="0.35">
      <c r="A531" s="59"/>
      <c r="B531" s="59"/>
      <c r="C531" s="59"/>
      <c r="D531" s="59"/>
      <c r="E531" s="59"/>
      <c r="F531" s="59"/>
      <c r="G531" s="59"/>
      <c r="H531" s="59"/>
    </row>
    <row r="532" spans="1:8" x14ac:dyDescent="0.35">
      <c r="A532" s="60" t="s">
        <v>68</v>
      </c>
      <c r="B532" s="59"/>
      <c r="C532" s="59"/>
      <c r="D532" s="59"/>
      <c r="E532" s="59"/>
      <c r="F532" s="59"/>
      <c r="G532" s="59"/>
      <c r="H532" s="59"/>
    </row>
    <row r="533" spans="1:8" x14ac:dyDescent="0.35">
      <c r="A533" s="59"/>
      <c r="B533" s="59"/>
      <c r="C533" s="59"/>
      <c r="D533" s="59"/>
      <c r="E533" s="59"/>
      <c r="F533" s="59"/>
      <c r="G533" s="59"/>
      <c r="H533" s="59"/>
    </row>
    <row r="534" spans="1:8" x14ac:dyDescent="0.35">
      <c r="A534" s="59"/>
      <c r="B534" s="59"/>
      <c r="C534" s="59"/>
      <c r="D534" s="59"/>
      <c r="E534" s="59"/>
      <c r="F534" s="59"/>
      <c r="G534" s="59"/>
      <c r="H534" s="59"/>
    </row>
    <row r="535" spans="1:8" x14ac:dyDescent="0.35">
      <c r="A535" s="59"/>
      <c r="B535" s="59"/>
      <c r="C535" s="59"/>
      <c r="D535" s="59"/>
      <c r="E535" s="59"/>
      <c r="F535" s="59"/>
      <c r="G535" s="59"/>
      <c r="H535" s="59"/>
    </row>
    <row r="536" spans="1:8" x14ac:dyDescent="0.35">
      <c r="A536" s="59"/>
      <c r="B536" s="59"/>
      <c r="C536" s="59"/>
      <c r="D536" s="59"/>
      <c r="E536" s="59"/>
      <c r="F536" s="59"/>
      <c r="G536" s="59"/>
      <c r="H536" s="59"/>
    </row>
    <row r="537" spans="1:8" x14ac:dyDescent="0.35">
      <c r="A537" s="59"/>
      <c r="B537" s="59"/>
      <c r="C537" s="59"/>
      <c r="D537" s="59"/>
      <c r="E537" s="59"/>
      <c r="F537" s="59"/>
      <c r="G537" s="59"/>
      <c r="H537" s="59"/>
    </row>
    <row r="538" spans="1:8" x14ac:dyDescent="0.35">
      <c r="A538" s="59"/>
      <c r="B538" s="59"/>
      <c r="C538" s="59"/>
      <c r="D538" s="59"/>
      <c r="E538" s="59"/>
      <c r="F538" s="59"/>
      <c r="G538" s="59"/>
      <c r="H538" s="59"/>
    </row>
    <row r="539" spans="1:8" x14ac:dyDescent="0.35">
      <c r="A539" s="59"/>
      <c r="B539" s="59"/>
      <c r="C539" s="59"/>
      <c r="D539" s="59"/>
      <c r="E539" s="59"/>
      <c r="F539" s="59"/>
      <c r="G539" s="59"/>
      <c r="H539" s="59"/>
    </row>
    <row r="540" spans="1:8" x14ac:dyDescent="0.35">
      <c r="A540" s="59"/>
      <c r="B540" s="59"/>
      <c r="C540" s="59"/>
      <c r="D540" s="59"/>
      <c r="E540" s="59"/>
      <c r="F540" s="59"/>
      <c r="G540" s="59"/>
      <c r="H540" s="59"/>
    </row>
    <row r="541" spans="1:8" x14ac:dyDescent="0.35">
      <c r="A541" s="59"/>
      <c r="B541" s="59"/>
      <c r="C541" s="59"/>
      <c r="D541" s="59"/>
      <c r="E541" s="59"/>
      <c r="F541" s="59"/>
      <c r="G541" s="59"/>
      <c r="H541" s="59"/>
    </row>
    <row r="542" spans="1:8" x14ac:dyDescent="0.35">
      <c r="A542" s="59"/>
      <c r="B542" s="59"/>
      <c r="C542" s="59"/>
      <c r="D542" s="59"/>
      <c r="E542" s="59"/>
      <c r="F542" s="59"/>
      <c r="G542" s="59"/>
      <c r="H542" s="59"/>
    </row>
    <row r="543" spans="1:8" x14ac:dyDescent="0.35">
      <c r="A543" s="59"/>
      <c r="B543" s="59"/>
      <c r="C543" s="59"/>
      <c r="D543" s="59"/>
      <c r="E543" s="59"/>
      <c r="F543" s="59"/>
      <c r="G543" s="59"/>
      <c r="H543" s="59"/>
    </row>
    <row r="544" spans="1:8" x14ac:dyDescent="0.35">
      <c r="A544" s="59"/>
      <c r="B544" s="59"/>
      <c r="C544" s="59"/>
      <c r="D544" s="59"/>
      <c r="E544" s="59"/>
      <c r="F544" s="59"/>
      <c r="G544" s="59"/>
      <c r="H544" s="59"/>
    </row>
    <row r="545" spans="1:8" x14ac:dyDescent="0.35">
      <c r="A545" s="59"/>
      <c r="B545" s="59"/>
      <c r="C545" s="59"/>
      <c r="D545" s="59"/>
      <c r="E545" s="59"/>
      <c r="F545" s="59"/>
      <c r="G545" s="59"/>
      <c r="H545" s="59"/>
    </row>
    <row r="546" spans="1:8" x14ac:dyDescent="0.35">
      <c r="A546" s="59"/>
      <c r="B546" s="59"/>
      <c r="C546" s="59"/>
      <c r="D546" s="59"/>
      <c r="E546" s="59"/>
      <c r="F546" s="59"/>
      <c r="G546" s="59"/>
      <c r="H546" s="59"/>
    </row>
    <row r="547" spans="1:8" x14ac:dyDescent="0.35">
      <c r="A547" s="59"/>
      <c r="B547" s="59"/>
      <c r="C547" s="59"/>
      <c r="D547" s="59"/>
      <c r="E547" s="59"/>
      <c r="F547" s="59"/>
      <c r="G547" s="59"/>
      <c r="H547" s="59"/>
    </row>
    <row r="548" spans="1:8" x14ac:dyDescent="0.35">
      <c r="A548" s="59"/>
      <c r="B548" s="59"/>
      <c r="C548" s="59"/>
      <c r="D548" s="59"/>
      <c r="E548" s="59"/>
      <c r="F548" s="59"/>
      <c r="G548" s="59"/>
      <c r="H548" s="59"/>
    </row>
    <row r="549" spans="1:8" x14ac:dyDescent="0.35">
      <c r="A549" s="59"/>
      <c r="B549" s="59"/>
      <c r="C549" s="59"/>
      <c r="D549" s="59"/>
      <c r="E549" s="59"/>
      <c r="F549" s="59"/>
      <c r="G549" s="59"/>
      <c r="H549" s="59"/>
    </row>
    <row r="550" spans="1:8" x14ac:dyDescent="0.35">
      <c r="A550" s="59"/>
      <c r="B550" s="59"/>
      <c r="C550" s="59"/>
      <c r="D550" s="59"/>
      <c r="E550" s="59"/>
      <c r="F550" s="59"/>
      <c r="G550" s="59"/>
      <c r="H550" s="59"/>
    </row>
    <row r="551" spans="1:8" x14ac:dyDescent="0.35">
      <c r="A551" s="59"/>
      <c r="B551" s="59"/>
      <c r="C551" s="59"/>
      <c r="D551" s="59"/>
      <c r="E551" s="59"/>
      <c r="F551" s="59"/>
      <c r="G551" s="59"/>
      <c r="H551" s="59"/>
    </row>
    <row r="552" spans="1:8" x14ac:dyDescent="0.35">
      <c r="A552" s="59"/>
      <c r="B552" s="59"/>
      <c r="C552" s="59"/>
      <c r="D552" s="59"/>
      <c r="E552" s="59"/>
      <c r="F552" s="59"/>
      <c r="G552" s="59"/>
      <c r="H552" s="59"/>
    </row>
    <row r="553" spans="1:8" x14ac:dyDescent="0.35">
      <c r="A553" s="59"/>
      <c r="B553" s="59"/>
      <c r="C553" s="59"/>
      <c r="D553" s="59"/>
      <c r="E553" s="59"/>
      <c r="F553" s="59"/>
      <c r="G553" s="59"/>
      <c r="H553" s="59"/>
    </row>
    <row r="554" spans="1:8" x14ac:dyDescent="0.35">
      <c r="A554" s="59"/>
      <c r="B554" s="59"/>
      <c r="C554" s="59"/>
      <c r="D554" s="59"/>
      <c r="E554" s="59"/>
      <c r="F554" s="59"/>
      <c r="G554" s="59"/>
      <c r="H554" s="59"/>
    </row>
    <row r="555" spans="1:8" x14ac:dyDescent="0.35">
      <c r="A555" s="59"/>
      <c r="B555" s="59"/>
      <c r="C555" s="59"/>
      <c r="D555" s="59"/>
      <c r="E555" s="59"/>
      <c r="F555" s="59"/>
      <c r="G555" s="59"/>
      <c r="H555" s="59"/>
    </row>
    <row r="556" spans="1:8" x14ac:dyDescent="0.35">
      <c r="A556" s="59"/>
      <c r="B556" s="59"/>
      <c r="C556" s="59"/>
      <c r="D556" s="59"/>
      <c r="E556" s="59"/>
      <c r="F556" s="59"/>
      <c r="G556" s="59"/>
      <c r="H556" s="59"/>
    </row>
    <row r="557" spans="1:8" x14ac:dyDescent="0.35">
      <c r="A557" s="59"/>
      <c r="B557" s="59"/>
      <c r="C557" s="59"/>
      <c r="D557" s="59"/>
      <c r="E557" s="59"/>
      <c r="F557" s="59"/>
      <c r="G557" s="59"/>
      <c r="H557" s="59"/>
    </row>
    <row r="558" spans="1:8" x14ac:dyDescent="0.35">
      <c r="A558" s="59"/>
      <c r="B558" s="59"/>
      <c r="C558" s="59"/>
      <c r="D558" s="59"/>
      <c r="E558" s="59"/>
      <c r="F558" s="59"/>
      <c r="G558" s="59"/>
      <c r="H558" s="59"/>
    </row>
    <row r="559" spans="1:8" x14ac:dyDescent="0.35">
      <c r="A559" s="59"/>
      <c r="B559" s="59"/>
      <c r="C559" s="59"/>
      <c r="D559" s="59"/>
      <c r="E559" s="59"/>
      <c r="F559" s="59"/>
      <c r="G559" s="59"/>
      <c r="H559" s="59"/>
    </row>
    <row r="560" spans="1:8" x14ac:dyDescent="0.35">
      <c r="A560" s="59"/>
      <c r="B560" s="59"/>
      <c r="C560" s="59"/>
      <c r="D560" s="59"/>
      <c r="E560" s="59"/>
      <c r="F560" s="59"/>
      <c r="G560" s="59"/>
      <c r="H560" s="59"/>
    </row>
    <row r="561" spans="1:8" x14ac:dyDescent="0.35">
      <c r="A561" s="59"/>
      <c r="B561" s="59"/>
      <c r="C561" s="59"/>
      <c r="D561" s="59"/>
      <c r="E561" s="59"/>
      <c r="F561" s="59"/>
      <c r="G561" s="59"/>
      <c r="H561" s="59"/>
    </row>
    <row r="562" spans="1:8" x14ac:dyDescent="0.35">
      <c r="A562" s="59"/>
      <c r="B562" s="59"/>
      <c r="C562" s="59"/>
      <c r="D562" s="59"/>
      <c r="E562" s="59"/>
      <c r="F562" s="59"/>
      <c r="G562" s="59"/>
      <c r="H562" s="59"/>
    </row>
    <row r="563" spans="1:8" x14ac:dyDescent="0.35">
      <c r="A563" s="59"/>
      <c r="B563" s="59"/>
      <c r="C563" s="59"/>
      <c r="D563" s="59"/>
      <c r="E563" s="59"/>
      <c r="F563" s="59"/>
      <c r="G563" s="59"/>
      <c r="H563" s="59"/>
    </row>
    <row r="564" spans="1:8" x14ac:dyDescent="0.35">
      <c r="A564" s="59"/>
      <c r="B564" s="59"/>
      <c r="C564" s="59"/>
      <c r="D564" s="59"/>
      <c r="E564" s="59"/>
      <c r="F564" s="59"/>
      <c r="G564" s="59"/>
      <c r="H564" s="59"/>
    </row>
    <row r="565" spans="1:8" x14ac:dyDescent="0.35">
      <c r="A565" s="59"/>
      <c r="B565" s="59"/>
      <c r="C565" s="59"/>
      <c r="D565" s="59"/>
      <c r="E565" s="59"/>
      <c r="F565" s="59"/>
      <c r="G565" s="59"/>
      <c r="H565" s="59"/>
    </row>
    <row r="566" spans="1:8" x14ac:dyDescent="0.35">
      <c r="A566" s="59"/>
      <c r="B566" s="59"/>
      <c r="C566" s="59"/>
      <c r="D566" s="59"/>
      <c r="E566" s="59"/>
      <c r="F566" s="59"/>
      <c r="G566" s="59"/>
      <c r="H566" s="59"/>
    </row>
    <row r="567" spans="1:8" x14ac:dyDescent="0.35">
      <c r="A567" s="59"/>
      <c r="B567" s="59"/>
      <c r="C567" s="59"/>
      <c r="D567" s="59"/>
      <c r="E567" s="59"/>
      <c r="F567" s="59"/>
      <c r="G567" s="59"/>
      <c r="H567" s="59"/>
    </row>
    <row r="568" spans="1:8" x14ac:dyDescent="0.35">
      <c r="A568" s="59"/>
      <c r="B568" s="59"/>
      <c r="C568" s="59"/>
      <c r="D568" s="59"/>
      <c r="E568" s="59"/>
      <c r="F568" s="59"/>
      <c r="G568" s="59"/>
      <c r="H568" s="59"/>
    </row>
    <row r="569" spans="1:8" x14ac:dyDescent="0.35">
      <c r="A569" s="59"/>
      <c r="B569" s="59"/>
      <c r="C569" s="59"/>
      <c r="D569" s="59"/>
      <c r="E569" s="59"/>
      <c r="F569" s="59"/>
      <c r="G569" s="59"/>
      <c r="H569" s="59"/>
    </row>
    <row r="570" spans="1:8" x14ac:dyDescent="0.35">
      <c r="A570" s="59"/>
      <c r="B570" s="59"/>
      <c r="C570" s="59"/>
      <c r="D570" s="59"/>
      <c r="E570" s="59"/>
      <c r="F570" s="59"/>
      <c r="G570" s="59"/>
      <c r="H570" s="59"/>
    </row>
    <row r="571" spans="1:8" x14ac:dyDescent="0.35">
      <c r="A571" s="59"/>
      <c r="B571" s="59"/>
      <c r="C571" s="59"/>
      <c r="D571" s="59"/>
      <c r="E571" s="59"/>
      <c r="F571" s="59"/>
      <c r="G571" s="59"/>
      <c r="H571" s="59"/>
    </row>
    <row r="572" spans="1:8" x14ac:dyDescent="0.35">
      <c r="A572" s="59"/>
      <c r="B572" s="59"/>
      <c r="C572" s="59"/>
      <c r="D572" s="59"/>
      <c r="E572" s="59"/>
      <c r="F572" s="59"/>
      <c r="G572" s="59"/>
      <c r="H572" s="59"/>
    </row>
    <row r="573" spans="1:8" x14ac:dyDescent="0.35">
      <c r="A573" s="59"/>
      <c r="B573" s="59"/>
      <c r="C573" s="59"/>
      <c r="D573" s="59"/>
      <c r="E573" s="59"/>
      <c r="F573" s="59"/>
      <c r="G573" s="59"/>
      <c r="H573" s="59"/>
    </row>
    <row r="574" spans="1:8" x14ac:dyDescent="0.35">
      <c r="A574" s="59"/>
      <c r="B574" s="59"/>
      <c r="C574" s="59"/>
      <c r="D574" s="59"/>
      <c r="E574" s="59"/>
      <c r="F574" s="59"/>
      <c r="G574" s="59"/>
      <c r="H574" s="59"/>
    </row>
    <row r="575" spans="1:8" x14ac:dyDescent="0.35">
      <c r="A575" s="59"/>
      <c r="B575" s="59"/>
      <c r="C575" s="59"/>
      <c r="D575" s="59"/>
      <c r="E575" s="59"/>
      <c r="F575" s="59"/>
      <c r="G575" s="59"/>
      <c r="H575" s="59"/>
    </row>
  </sheetData>
  <mergeCells count="768">
    <mergeCell ref="A208:B208"/>
    <mergeCell ref="C208:H208"/>
    <mergeCell ref="A210:B210"/>
    <mergeCell ref="C210:H210"/>
    <mergeCell ref="A211:B211"/>
    <mergeCell ref="E211:F211"/>
    <mergeCell ref="G211:H211"/>
    <mergeCell ref="A212:B212"/>
    <mergeCell ref="E212:F221"/>
    <mergeCell ref="G212:H221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B429:H429"/>
    <mergeCell ref="B430:H430"/>
    <mergeCell ref="A357:B357"/>
    <mergeCell ref="A358:B358"/>
    <mergeCell ref="A348:B348"/>
    <mergeCell ref="A349:B349"/>
    <mergeCell ref="A344:B344"/>
    <mergeCell ref="A345:B345"/>
    <mergeCell ref="A341:B341"/>
    <mergeCell ref="A342:B342"/>
    <mergeCell ref="A382:B382"/>
    <mergeCell ref="A383:B383"/>
    <mergeCell ref="A361:B361"/>
    <mergeCell ref="A362:B362"/>
    <mergeCell ref="A363:B363"/>
    <mergeCell ref="A370:B370"/>
    <mergeCell ref="A371:B371"/>
    <mergeCell ref="A372:B372"/>
    <mergeCell ref="A373:B373"/>
    <mergeCell ref="A378:B378"/>
    <mergeCell ref="A379:B379"/>
    <mergeCell ref="A376:B376"/>
    <mergeCell ref="A367:B367"/>
    <mergeCell ref="A368:B368"/>
    <mergeCell ref="A380:B380"/>
    <mergeCell ref="A381:B381"/>
    <mergeCell ref="A389:B389"/>
    <mergeCell ref="A390:B390"/>
    <mergeCell ref="A391:B391"/>
    <mergeCell ref="A392:B392"/>
    <mergeCell ref="A398:B398"/>
    <mergeCell ref="A399:B399"/>
    <mergeCell ref="A400:B400"/>
    <mergeCell ref="A386:B386"/>
    <mergeCell ref="A387:B387"/>
    <mergeCell ref="A416:B416"/>
    <mergeCell ref="A417:B417"/>
    <mergeCell ref="A418:B418"/>
    <mergeCell ref="A419:B419"/>
    <mergeCell ref="A413:B413"/>
    <mergeCell ref="A414:B414"/>
    <mergeCell ref="A404:B404"/>
    <mergeCell ref="A405:B405"/>
    <mergeCell ref="A395:B395"/>
    <mergeCell ref="A396:B396"/>
    <mergeCell ref="D59:H59"/>
    <mergeCell ref="F243:H243"/>
    <mergeCell ref="A280:B280"/>
    <mergeCell ref="A281:B281"/>
    <mergeCell ref="A282:B282"/>
    <mergeCell ref="A283:B283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4:B264"/>
    <mergeCell ref="A265:B265"/>
    <mergeCell ref="A266:B266"/>
    <mergeCell ref="A267:B267"/>
    <mergeCell ref="A268:B268"/>
    <mergeCell ref="A269:B269"/>
    <mergeCell ref="A134:B134"/>
    <mergeCell ref="A127:B127"/>
    <mergeCell ref="A16:B16"/>
    <mergeCell ref="C16:H16"/>
    <mergeCell ref="E41:H41"/>
    <mergeCell ref="A41:D41"/>
    <mergeCell ref="A437:H437"/>
    <mergeCell ref="A434:H434"/>
    <mergeCell ref="A250:B250"/>
    <mergeCell ref="D274:D275"/>
    <mergeCell ref="E274:E275"/>
    <mergeCell ref="G274:H275"/>
    <mergeCell ref="A146:B146"/>
    <mergeCell ref="A147:B147"/>
    <mergeCell ref="A148:B148"/>
    <mergeCell ref="A138:B138"/>
    <mergeCell ref="C138:H138"/>
    <mergeCell ref="A204:B204"/>
    <mergeCell ref="A133:B133"/>
    <mergeCell ref="F237:H237"/>
    <mergeCell ref="A207:B207"/>
    <mergeCell ref="A48:B48"/>
    <mergeCell ref="C48:E48"/>
    <mergeCell ref="D60:H60"/>
    <mergeCell ref="A57:C60"/>
    <mergeCell ref="A222:B222"/>
    <mergeCell ref="G48:H48"/>
    <mergeCell ref="G50:H50"/>
    <mergeCell ref="D54:H54"/>
    <mergeCell ref="C50:E50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440:H443"/>
    <mergeCell ref="A439:B439"/>
    <mergeCell ref="E439:F439"/>
    <mergeCell ref="C439:D439"/>
    <mergeCell ref="G439:H439"/>
    <mergeCell ref="A247:E247"/>
    <mergeCell ref="F247:H247"/>
    <mergeCell ref="A248:E248"/>
    <mergeCell ref="F248:H248"/>
    <mergeCell ref="A366:H366"/>
    <mergeCell ref="A435:H435"/>
    <mergeCell ref="A249:H249"/>
    <mergeCell ref="A438:H438"/>
    <mergeCell ref="A436:H436"/>
    <mergeCell ref="A432:H432"/>
    <mergeCell ref="A433:H433"/>
    <mergeCell ref="E250:F250"/>
    <mergeCell ref="B428:H428"/>
    <mergeCell ref="G259:H259"/>
    <mergeCell ref="G260:H260"/>
    <mergeCell ref="B426:H426"/>
    <mergeCell ref="A272:H272"/>
    <mergeCell ref="B421:H421"/>
    <mergeCell ref="B422:H422"/>
    <mergeCell ref="A130:B130"/>
    <mergeCell ref="A126:B126"/>
    <mergeCell ref="A124:B124"/>
    <mergeCell ref="C124:H124"/>
    <mergeCell ref="A132:B132"/>
    <mergeCell ref="A63:C63"/>
    <mergeCell ref="D63:H63"/>
    <mergeCell ref="C126:H126"/>
    <mergeCell ref="A129:B129"/>
    <mergeCell ref="A131:B131"/>
    <mergeCell ref="E127:F127"/>
    <mergeCell ref="A64:C64"/>
    <mergeCell ref="D64:H64"/>
    <mergeCell ref="A67:C67"/>
    <mergeCell ref="D67:H67"/>
    <mergeCell ref="A65:C65"/>
    <mergeCell ref="D65:H65"/>
    <mergeCell ref="A66:C66"/>
    <mergeCell ref="D66:H66"/>
    <mergeCell ref="A128:B128"/>
    <mergeCell ref="G127:H127"/>
    <mergeCell ref="A68:B68"/>
    <mergeCell ref="C68:H68"/>
    <mergeCell ref="A70:B7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9:H39"/>
    <mergeCell ref="A61:C61"/>
    <mergeCell ref="A62:C62"/>
    <mergeCell ref="D61:H61"/>
    <mergeCell ref="E128:F137"/>
    <mergeCell ref="G128:H137"/>
    <mergeCell ref="A136:B136"/>
    <mergeCell ref="A137:B137"/>
    <mergeCell ref="D62:H62"/>
    <mergeCell ref="A42:D42"/>
    <mergeCell ref="E42:H42"/>
    <mergeCell ref="E43:H43"/>
    <mergeCell ref="E44:H44"/>
    <mergeCell ref="E45:H45"/>
    <mergeCell ref="A43:D43"/>
    <mergeCell ref="A44:D44"/>
    <mergeCell ref="A45:D45"/>
    <mergeCell ref="A46:H46"/>
    <mergeCell ref="D56:H56"/>
    <mergeCell ref="A56:C56"/>
    <mergeCell ref="G49:H49"/>
    <mergeCell ref="A50:B51"/>
    <mergeCell ref="F35:H35"/>
    <mergeCell ref="A37:B37"/>
    <mergeCell ref="A135:B135"/>
    <mergeCell ref="C251:D251"/>
    <mergeCell ref="E251:F251"/>
    <mergeCell ref="G251:H251"/>
    <mergeCell ref="A237:E237"/>
    <mergeCell ref="A194:B194"/>
    <mergeCell ref="C194:H194"/>
    <mergeCell ref="A142:B142"/>
    <mergeCell ref="E142:F151"/>
    <mergeCell ref="A149:B149"/>
    <mergeCell ref="A150:B150"/>
    <mergeCell ref="A151:B151"/>
    <mergeCell ref="A198:B198"/>
    <mergeCell ref="E198:F207"/>
    <mergeCell ref="A36:H36"/>
    <mergeCell ref="A35:B35"/>
    <mergeCell ref="C35:E35"/>
    <mergeCell ref="C37:H37"/>
    <mergeCell ref="G198:H207"/>
    <mergeCell ref="A40:D40"/>
    <mergeCell ref="E40:H40"/>
    <mergeCell ref="G197:H197"/>
    <mergeCell ref="L288:M288"/>
    <mergeCell ref="L290:M290"/>
    <mergeCell ref="L291:M291"/>
    <mergeCell ref="L292:M292"/>
    <mergeCell ref="F236:H236"/>
    <mergeCell ref="F241:H241"/>
    <mergeCell ref="L366:M366"/>
    <mergeCell ref="A274:A275"/>
    <mergeCell ref="A246:E246"/>
    <mergeCell ref="G261:H261"/>
    <mergeCell ref="G252:H252"/>
    <mergeCell ref="C253:D253"/>
    <mergeCell ref="E253:F253"/>
    <mergeCell ref="G253:H253"/>
    <mergeCell ref="C252:D252"/>
    <mergeCell ref="E252:F252"/>
    <mergeCell ref="C250:D250"/>
    <mergeCell ref="G250:H250"/>
    <mergeCell ref="F246:H246"/>
    <mergeCell ref="F244:H244"/>
    <mergeCell ref="A273:H273"/>
    <mergeCell ref="A245:E245"/>
    <mergeCell ref="C274:C275"/>
    <mergeCell ref="C261:D261"/>
    <mergeCell ref="L283:M283"/>
    <mergeCell ref="L280:M280"/>
    <mergeCell ref="A263:B263"/>
    <mergeCell ref="G263:H263"/>
    <mergeCell ref="L281:M281"/>
    <mergeCell ref="G264:H264"/>
    <mergeCell ref="L282:M282"/>
    <mergeCell ref="L286:M286"/>
    <mergeCell ref="L287:M287"/>
    <mergeCell ref="A279:H279"/>
    <mergeCell ref="G265:H265"/>
    <mergeCell ref="G266:H266"/>
    <mergeCell ref="A270:B270"/>
    <mergeCell ref="C270:D270"/>
    <mergeCell ref="E270:F270"/>
    <mergeCell ref="G270:H270"/>
    <mergeCell ref="C271:D271"/>
    <mergeCell ref="E271:F271"/>
    <mergeCell ref="G271:H271"/>
    <mergeCell ref="C269:D269"/>
    <mergeCell ref="E269:F269"/>
    <mergeCell ref="G269:H269"/>
    <mergeCell ref="A286:B286"/>
    <mergeCell ref="A287:B287"/>
    <mergeCell ref="A196:B196"/>
    <mergeCell ref="C196:H196"/>
    <mergeCell ref="A197:B197"/>
    <mergeCell ref="E197:F197"/>
    <mergeCell ref="B423:H423"/>
    <mergeCell ref="B424:H424"/>
    <mergeCell ref="A420:H420"/>
    <mergeCell ref="B274:B275"/>
    <mergeCell ref="A289:H289"/>
    <mergeCell ref="G290:H292"/>
    <mergeCell ref="F245:H245"/>
    <mergeCell ref="C222:H222"/>
    <mergeCell ref="A224:B224"/>
    <mergeCell ref="C224:H224"/>
    <mergeCell ref="A225:B225"/>
    <mergeCell ref="E225:F225"/>
    <mergeCell ref="G225:H225"/>
    <mergeCell ref="A226:B226"/>
    <mergeCell ref="E226:F235"/>
    <mergeCell ref="G226:H235"/>
    <mergeCell ref="A227:B227"/>
    <mergeCell ref="A228:B228"/>
    <mergeCell ref="A229:B229"/>
    <mergeCell ref="F239:H239"/>
    <mergeCell ref="A315:H315"/>
    <mergeCell ref="A243:E243"/>
    <mergeCell ref="A201:B201"/>
    <mergeCell ref="A202:B202"/>
    <mergeCell ref="A203:B203"/>
    <mergeCell ref="A205:B205"/>
    <mergeCell ref="A206:B206"/>
    <mergeCell ref="A239:E239"/>
    <mergeCell ref="A236:E236"/>
    <mergeCell ref="F240:H240"/>
    <mergeCell ref="A230:B230"/>
    <mergeCell ref="A231:B231"/>
    <mergeCell ref="A232:B232"/>
    <mergeCell ref="A233:B233"/>
    <mergeCell ref="A234:B234"/>
    <mergeCell ref="A235:B235"/>
    <mergeCell ref="A288:B288"/>
    <mergeCell ref="A290:B290"/>
    <mergeCell ref="A291:B291"/>
    <mergeCell ref="A292:B292"/>
    <mergeCell ref="A295:B295"/>
    <mergeCell ref="A296:B296"/>
    <mergeCell ref="A298:B298"/>
    <mergeCell ref="A299:B299"/>
    <mergeCell ref="A304:B304"/>
    <mergeCell ref="A305:B305"/>
    <mergeCell ref="G307:H310"/>
    <mergeCell ref="A302:H302"/>
    <mergeCell ref="A38:B38"/>
    <mergeCell ref="C38:H38"/>
    <mergeCell ref="B427:H427"/>
    <mergeCell ref="A47:B47"/>
    <mergeCell ref="C47:H47"/>
    <mergeCell ref="B425:H425"/>
    <mergeCell ref="A199:B199"/>
    <mergeCell ref="A200:B200"/>
    <mergeCell ref="G142:H151"/>
    <mergeCell ref="A143:B143"/>
    <mergeCell ref="A144:B144"/>
    <mergeCell ref="A145:B145"/>
    <mergeCell ref="F238:H238"/>
    <mergeCell ref="A238:E238"/>
    <mergeCell ref="A240:E240"/>
    <mergeCell ref="A140:B140"/>
    <mergeCell ref="C140:H140"/>
    <mergeCell ref="A141:B141"/>
    <mergeCell ref="E141:F141"/>
    <mergeCell ref="G141:H141"/>
    <mergeCell ref="A241:E241"/>
    <mergeCell ref="A277:H277"/>
    <mergeCell ref="A276:H276"/>
    <mergeCell ref="A278:H278"/>
    <mergeCell ref="G280:H283"/>
    <mergeCell ref="A284:H284"/>
    <mergeCell ref="A285:H285"/>
    <mergeCell ref="G286:H288"/>
    <mergeCell ref="A271:B271"/>
    <mergeCell ref="G258:H258"/>
    <mergeCell ref="C259:D259"/>
    <mergeCell ref="E259:F259"/>
    <mergeCell ref="C260:D260"/>
    <mergeCell ref="E260:F260"/>
    <mergeCell ref="E261:F261"/>
    <mergeCell ref="C263:D263"/>
    <mergeCell ref="A261:B261"/>
    <mergeCell ref="A242:E242"/>
    <mergeCell ref="F242:H242"/>
    <mergeCell ref="A244:E244"/>
    <mergeCell ref="A262:H262"/>
    <mergeCell ref="C267:D267"/>
    <mergeCell ref="E267:F267"/>
    <mergeCell ref="G267:H267"/>
    <mergeCell ref="L307:M307"/>
    <mergeCell ref="L308:M308"/>
    <mergeCell ref="L309:M309"/>
    <mergeCell ref="L310:M310"/>
    <mergeCell ref="A311:H311"/>
    <mergeCell ref="L311:M311"/>
    <mergeCell ref="A312:H312"/>
    <mergeCell ref="G313:H314"/>
    <mergeCell ref="L313:M313"/>
    <mergeCell ref="L314:M314"/>
    <mergeCell ref="A307:B307"/>
    <mergeCell ref="A308:B308"/>
    <mergeCell ref="A309:B309"/>
    <mergeCell ref="A310:B310"/>
    <mergeCell ref="A313:B313"/>
    <mergeCell ref="A314:B314"/>
    <mergeCell ref="L302:M302"/>
    <mergeCell ref="A303:H303"/>
    <mergeCell ref="G304:H305"/>
    <mergeCell ref="L304:M304"/>
    <mergeCell ref="L305:M305"/>
    <mergeCell ref="A346:H346"/>
    <mergeCell ref="A347:H347"/>
    <mergeCell ref="G348:H349"/>
    <mergeCell ref="L348:M348"/>
    <mergeCell ref="L349:M349"/>
    <mergeCell ref="A334:H334"/>
    <mergeCell ref="G335:H338"/>
    <mergeCell ref="L335:M335"/>
    <mergeCell ref="L336:M336"/>
    <mergeCell ref="L338:M338"/>
    <mergeCell ref="L337:M337"/>
    <mergeCell ref="A329:H329"/>
    <mergeCell ref="A330:H330"/>
    <mergeCell ref="G331:H333"/>
    <mergeCell ref="L331:M331"/>
    <mergeCell ref="L332:M332"/>
    <mergeCell ref="L333:M333"/>
    <mergeCell ref="A306:H306"/>
    <mergeCell ref="L316:M316"/>
    <mergeCell ref="L295:M295"/>
    <mergeCell ref="L296:M296"/>
    <mergeCell ref="A297:H297"/>
    <mergeCell ref="G298:H301"/>
    <mergeCell ref="L298:M298"/>
    <mergeCell ref="L299:M299"/>
    <mergeCell ref="L300:M300"/>
    <mergeCell ref="L301:M301"/>
    <mergeCell ref="L293:M293"/>
    <mergeCell ref="A301:B301"/>
    <mergeCell ref="A300:B300"/>
    <mergeCell ref="A293:H293"/>
    <mergeCell ref="A294:H294"/>
    <mergeCell ref="G295:H296"/>
    <mergeCell ref="A316:B316"/>
    <mergeCell ref="A317:B317"/>
    <mergeCell ref="A318:B318"/>
    <mergeCell ref="A319:B319"/>
    <mergeCell ref="L325:M325"/>
    <mergeCell ref="L326:M326"/>
    <mergeCell ref="L327:M327"/>
    <mergeCell ref="L328:M328"/>
    <mergeCell ref="A339:H339"/>
    <mergeCell ref="A325:B325"/>
    <mergeCell ref="A326:B326"/>
    <mergeCell ref="A327:B327"/>
    <mergeCell ref="L317:M317"/>
    <mergeCell ref="L318:M318"/>
    <mergeCell ref="L319:M319"/>
    <mergeCell ref="A320:H320"/>
    <mergeCell ref="L320:M320"/>
    <mergeCell ref="A321:H321"/>
    <mergeCell ref="G322:H323"/>
    <mergeCell ref="L322:M322"/>
    <mergeCell ref="L323:M323"/>
    <mergeCell ref="A322:B322"/>
    <mergeCell ref="A323:B323"/>
    <mergeCell ref="G316:H319"/>
    <mergeCell ref="A340:H340"/>
    <mergeCell ref="G341:H342"/>
    <mergeCell ref="L341:M341"/>
    <mergeCell ref="L342:M342"/>
    <mergeCell ref="A328:B328"/>
    <mergeCell ref="A335:B335"/>
    <mergeCell ref="A336:B336"/>
    <mergeCell ref="A337:B337"/>
    <mergeCell ref="A338:B338"/>
    <mergeCell ref="A331:B331"/>
    <mergeCell ref="A332:B332"/>
    <mergeCell ref="A333:B333"/>
    <mergeCell ref="L344:M344"/>
    <mergeCell ref="L345:M345"/>
    <mergeCell ref="L346:M346"/>
    <mergeCell ref="A364:H364"/>
    <mergeCell ref="L364:M364"/>
    <mergeCell ref="A365:H365"/>
    <mergeCell ref="L365:M365"/>
    <mergeCell ref="A355:H355"/>
    <mergeCell ref="L355:M355"/>
    <mergeCell ref="A356:H356"/>
    <mergeCell ref="G357:H358"/>
    <mergeCell ref="L357:M357"/>
    <mergeCell ref="L358:M358"/>
    <mergeCell ref="A350:H350"/>
    <mergeCell ref="G351:H354"/>
    <mergeCell ref="L351:M351"/>
    <mergeCell ref="L352:M352"/>
    <mergeCell ref="L353:M353"/>
    <mergeCell ref="L354:M354"/>
    <mergeCell ref="A351:B351"/>
    <mergeCell ref="A352:B352"/>
    <mergeCell ref="A353:B353"/>
    <mergeCell ref="A354:B354"/>
    <mergeCell ref="A360:B360"/>
    <mergeCell ref="L388:M388"/>
    <mergeCell ref="G389:H392"/>
    <mergeCell ref="A384:H384"/>
    <mergeCell ref="L384:M384"/>
    <mergeCell ref="A385:H385"/>
    <mergeCell ref="L385:M385"/>
    <mergeCell ref="A359:H359"/>
    <mergeCell ref="G360:H363"/>
    <mergeCell ref="L360:M360"/>
    <mergeCell ref="L361:M361"/>
    <mergeCell ref="L362:M362"/>
    <mergeCell ref="L363:M363"/>
    <mergeCell ref="A374:H374"/>
    <mergeCell ref="L374:M374"/>
    <mergeCell ref="A375:H375"/>
    <mergeCell ref="L375:M375"/>
    <mergeCell ref="G376:H376"/>
    <mergeCell ref="A377:H377"/>
    <mergeCell ref="L377:M377"/>
    <mergeCell ref="G367:H368"/>
    <mergeCell ref="A369:H369"/>
    <mergeCell ref="L369:M369"/>
    <mergeCell ref="G370:H373"/>
    <mergeCell ref="G378:H383"/>
    <mergeCell ref="L402:M402"/>
    <mergeCell ref="A403:H403"/>
    <mergeCell ref="L403:M403"/>
    <mergeCell ref="A393:H393"/>
    <mergeCell ref="L393:M393"/>
    <mergeCell ref="A394:H394"/>
    <mergeCell ref="L394:M394"/>
    <mergeCell ref="G395:H396"/>
    <mergeCell ref="A397:H397"/>
    <mergeCell ref="L397:M397"/>
    <mergeCell ref="A401:B401"/>
    <mergeCell ref="L411:M411"/>
    <mergeCell ref="A412:H412"/>
    <mergeCell ref="L412:M412"/>
    <mergeCell ref="G413:H414"/>
    <mergeCell ref="A415:H415"/>
    <mergeCell ref="L415:M415"/>
    <mergeCell ref="G404:H405"/>
    <mergeCell ref="A406:H406"/>
    <mergeCell ref="L406:M406"/>
    <mergeCell ref="G407:H410"/>
    <mergeCell ref="A407:B407"/>
    <mergeCell ref="A408:B408"/>
    <mergeCell ref="A409:B409"/>
    <mergeCell ref="A410:B410"/>
    <mergeCell ref="G416:H419"/>
    <mergeCell ref="C254:D254"/>
    <mergeCell ref="E254:F254"/>
    <mergeCell ref="G254:H254"/>
    <mergeCell ref="C255:D255"/>
    <mergeCell ref="E255:F255"/>
    <mergeCell ref="G255:H255"/>
    <mergeCell ref="C256:D256"/>
    <mergeCell ref="E256:F256"/>
    <mergeCell ref="G256:H256"/>
    <mergeCell ref="C257:D257"/>
    <mergeCell ref="E257:F257"/>
    <mergeCell ref="G257:H257"/>
    <mergeCell ref="C258:D258"/>
    <mergeCell ref="E258:F258"/>
    <mergeCell ref="A411:H411"/>
    <mergeCell ref="G398:H401"/>
    <mergeCell ref="A402:H402"/>
    <mergeCell ref="G386:H387"/>
    <mergeCell ref="A388:H388"/>
    <mergeCell ref="A343:H343"/>
    <mergeCell ref="G344:H345"/>
    <mergeCell ref="A324:H324"/>
    <mergeCell ref="G325:H328"/>
    <mergeCell ref="C268:D268"/>
    <mergeCell ref="E268:F268"/>
    <mergeCell ref="G268:H268"/>
    <mergeCell ref="E263:F263"/>
    <mergeCell ref="C264:D264"/>
    <mergeCell ref="E264:F264"/>
    <mergeCell ref="C265:D265"/>
    <mergeCell ref="E265:F265"/>
    <mergeCell ref="C266:D266"/>
    <mergeCell ref="E266:F266"/>
    <mergeCell ref="C70:H70"/>
    <mergeCell ref="A71:B71"/>
    <mergeCell ref="E71:F71"/>
    <mergeCell ref="G71:H71"/>
    <mergeCell ref="A72:B72"/>
    <mergeCell ref="E72:F81"/>
    <mergeCell ref="G72:H81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155:B155"/>
    <mergeCell ref="E155:F155"/>
    <mergeCell ref="G155:H155"/>
    <mergeCell ref="A156:B156"/>
    <mergeCell ref="E156:F165"/>
    <mergeCell ref="G156:H165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82:B82"/>
    <mergeCell ref="C82:H82"/>
    <mergeCell ref="A84:B84"/>
    <mergeCell ref="C84:H84"/>
    <mergeCell ref="A85:B85"/>
    <mergeCell ref="E85:F85"/>
    <mergeCell ref="G85:H85"/>
    <mergeCell ref="A86:B86"/>
    <mergeCell ref="E86:F95"/>
    <mergeCell ref="G86:H95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C96:H96"/>
    <mergeCell ref="A98:B98"/>
    <mergeCell ref="C98:H98"/>
    <mergeCell ref="A99:B99"/>
    <mergeCell ref="E99:F99"/>
    <mergeCell ref="G99:H99"/>
    <mergeCell ref="A100:B100"/>
    <mergeCell ref="E100:F109"/>
    <mergeCell ref="G100:H109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B431:H431"/>
    <mergeCell ref="A110:B110"/>
    <mergeCell ref="C110:H110"/>
    <mergeCell ref="A112:B112"/>
    <mergeCell ref="C112:H112"/>
    <mergeCell ref="A113:B113"/>
    <mergeCell ref="E113:F113"/>
    <mergeCell ref="G113:H113"/>
    <mergeCell ref="A114:B114"/>
    <mergeCell ref="E114:F123"/>
    <mergeCell ref="G114:H123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52:B152"/>
    <mergeCell ref="C152:H152"/>
    <mergeCell ref="A154:B154"/>
    <mergeCell ref="C154:H154"/>
    <mergeCell ref="A166:B166"/>
    <mergeCell ref="C166:H166"/>
    <mergeCell ref="A168:B168"/>
    <mergeCell ref="C168:H168"/>
    <mergeCell ref="A169:B169"/>
    <mergeCell ref="E169:F169"/>
    <mergeCell ref="G169:H169"/>
    <mergeCell ref="A170:B170"/>
    <mergeCell ref="E170:F179"/>
    <mergeCell ref="G170:H179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C180:H180"/>
    <mergeCell ref="A182:B182"/>
    <mergeCell ref="C182:H182"/>
    <mergeCell ref="A183:B183"/>
    <mergeCell ref="E183:F183"/>
    <mergeCell ref="G183:H183"/>
    <mergeCell ref="A184:B184"/>
    <mergeCell ref="E184:F193"/>
    <mergeCell ref="G184:H193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7" manualBreakCount="7">
    <brk id="67" max="16383" man="1"/>
    <brk id="137" max="16383" man="1"/>
    <brk id="179" max="16383" man="1"/>
    <brk id="221" max="16383" man="1"/>
    <brk id="443" max="16383" man="1"/>
    <brk id="487" max="16383" man="1"/>
    <brk id="53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18" t="s">
        <v>106</v>
      </c>
      <c r="C3" s="218"/>
      <c r="D3" s="218"/>
      <c r="E3" s="218"/>
      <c r="F3" s="218"/>
      <c r="G3" s="218"/>
      <c r="H3" s="218"/>
    </row>
    <row r="4" spans="1:9" x14ac:dyDescent="0.35">
      <c r="A4" s="2"/>
      <c r="B4" s="3" t="s">
        <v>107</v>
      </c>
      <c r="C4" s="3" t="s">
        <v>108</v>
      </c>
      <c r="D4" s="3" t="s">
        <v>70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2025-05-31T08:00:21Z</cp:lastPrinted>
  <dcterms:created xsi:type="dcterms:W3CDTF">2019-07-16T09:29:46Z</dcterms:created>
  <dcterms:modified xsi:type="dcterms:W3CDTF">2025-08-18T10:12:48Z</dcterms:modified>
</cp:coreProperties>
</file>