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Dump\Aug 2025\17-08-2025\"/>
    </mc:Choice>
  </mc:AlternateContent>
  <bookViews>
    <workbookView xWindow="0" yWindow="0" windowWidth="19200" windowHeight="6640" tabRatio="559"/>
  </bookViews>
  <sheets>
    <sheet name="Report" sheetId="4" r:id="rId1"/>
    <sheet name="VALUATION" sheetId="7" r:id="rId2"/>
    <sheet name="NOTE" sheetId="5" r:id="rId3"/>
    <sheet name="E%" sheetId="2" r:id="rId4"/>
    <sheet name="B,C,D%" sheetId="6" r:id="rId5"/>
    <sheet name="Flat detail" sheetId="3" r:id="rId6"/>
  </sheets>
  <definedNames>
    <definedName name="_xlnm.Print_Area" localSheetId="0">Report!$A$1:$J$362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2" i="4" l="1"/>
  <c r="C102" i="4" l="1"/>
  <c r="F3" i="4" l="1"/>
  <c r="G123" i="4" l="1"/>
  <c r="I141" i="4" l="1"/>
  <c r="D247" i="4"/>
  <c r="D174" i="4"/>
  <c r="G174" i="4" s="1"/>
  <c r="D173" i="4"/>
  <c r="D167" i="4"/>
  <c r="D160" i="4"/>
  <c r="D153" i="4"/>
  <c r="D142" i="4"/>
  <c r="C126" i="4" s="1"/>
  <c r="D141" i="4"/>
  <c r="D171" i="4"/>
  <c r="G171" i="4" s="1"/>
  <c r="D170" i="4"/>
  <c r="G170" i="4" s="1"/>
  <c r="I169" i="4"/>
  <c r="D169" i="4"/>
  <c r="G169" i="4" s="1"/>
  <c r="L169" i="4" s="1"/>
  <c r="D244" i="4"/>
  <c r="G244" i="4" s="1"/>
  <c r="D243" i="4"/>
  <c r="G243" i="4" s="1"/>
  <c r="D242" i="4"/>
  <c r="G242" i="4" s="1"/>
  <c r="D241" i="4"/>
  <c r="G241" i="4" s="1"/>
  <c r="I240" i="4"/>
  <c r="D240" i="4"/>
  <c r="G240" i="4" s="1"/>
  <c r="D206" i="4"/>
  <c r="G206" i="4" s="1"/>
  <c r="D205" i="4"/>
  <c r="G205" i="4" s="1"/>
  <c r="D204" i="4"/>
  <c r="G204" i="4" s="1"/>
  <c r="I203" i="4"/>
  <c r="D203" i="4"/>
  <c r="G203" i="4" s="1"/>
  <c r="D126" i="4" l="1"/>
  <c r="G142" i="4"/>
  <c r="O127" i="4"/>
  <c r="N141" i="4"/>
  <c r="G141" i="4"/>
  <c r="N178" i="4"/>
  <c r="G247" i="4"/>
  <c r="L141" i="4" l="1"/>
  <c r="P127" i="4" s="1"/>
  <c r="G126" i="4"/>
  <c r="M141" i="4"/>
  <c r="L263" i="4"/>
  <c r="L262" i="4"/>
  <c r="L211" i="4"/>
  <c r="L210" i="4"/>
  <c r="L184" i="4"/>
  <c r="M113" i="4"/>
  <c r="M112" i="4"/>
  <c r="M111" i="4"/>
  <c r="M110" i="4"/>
  <c r="M97" i="4"/>
  <c r="M96" i="4"/>
  <c r="M95" i="4"/>
  <c r="M94" i="4"/>
  <c r="M83" i="4"/>
  <c r="M82" i="4"/>
  <c r="M81" i="4"/>
  <c r="M80" i="4"/>
  <c r="M67" i="4"/>
  <c r="M66" i="4"/>
  <c r="M65" i="4"/>
  <c r="M64" i="4"/>
  <c r="I101" i="4"/>
  <c r="I87" i="4"/>
  <c r="I71" i="4"/>
  <c r="I57" i="4"/>
  <c r="D115" i="4" l="1"/>
  <c r="D113" i="4"/>
  <c r="D111" i="4"/>
  <c r="D109" i="4"/>
  <c r="D107" i="4"/>
  <c r="D106" i="4"/>
  <c r="D112" i="4"/>
  <c r="D110" i="4"/>
  <c r="H106" i="4"/>
  <c r="M107" i="4"/>
  <c r="M108" i="4"/>
  <c r="M109" i="4" s="1"/>
  <c r="M114" i="4" s="1"/>
  <c r="M115" i="4" s="1"/>
  <c r="M106" i="4"/>
  <c r="M105" i="4"/>
  <c r="D114" i="4"/>
  <c r="D108" i="4"/>
  <c r="D99" i="4"/>
  <c r="D97" i="4"/>
  <c r="D95" i="4"/>
  <c r="D93" i="4"/>
  <c r="D91" i="4"/>
  <c r="D90" i="4"/>
  <c r="M92" i="4"/>
  <c r="M93" i="4" s="1"/>
  <c r="M98" i="4" s="1"/>
  <c r="M99" i="4" s="1"/>
  <c r="M90" i="4"/>
  <c r="M89" i="4"/>
  <c r="D98" i="4"/>
  <c r="D96" i="4"/>
  <c r="D94" i="4"/>
  <c r="D92" i="4"/>
  <c r="H90" i="4"/>
  <c r="M91" i="4"/>
  <c r="M77" i="4"/>
  <c r="M76" i="4"/>
  <c r="D84" i="4"/>
  <c r="D80" i="4"/>
  <c r="H76" i="4"/>
  <c r="D85" i="4"/>
  <c r="D83" i="4"/>
  <c r="D81" i="4"/>
  <c r="D79" i="4"/>
  <c r="D77" i="4"/>
  <c r="D76" i="4"/>
  <c r="M78" i="4"/>
  <c r="M79" i="4" s="1"/>
  <c r="M84" i="4" s="1"/>
  <c r="M85" i="4" s="1"/>
  <c r="M75" i="4"/>
  <c r="D82" i="4"/>
  <c r="D78" i="4"/>
  <c r="D62" i="4"/>
  <c r="M60" i="4"/>
  <c r="D66" i="4"/>
  <c r="D69" i="4"/>
  <c r="D67" i="4"/>
  <c r="D65" i="4"/>
  <c r="D63" i="4"/>
  <c r="M61" i="4"/>
  <c r="C60" i="4" s="1"/>
  <c r="M59" i="4"/>
  <c r="M62" i="4"/>
  <c r="M63" i="4" s="1"/>
  <c r="D68" i="4"/>
  <c r="D64" i="4"/>
  <c r="O136" i="4"/>
  <c r="N150" i="4"/>
  <c r="O134" i="4"/>
  <c r="N148" i="4"/>
  <c r="N147" i="4" s="1"/>
  <c r="P132" i="4" s="1"/>
  <c r="H47" i="4"/>
  <c r="M68" i="4" l="1"/>
  <c r="M69" i="4" s="1"/>
  <c r="C61" i="4" s="1"/>
  <c r="D60" i="4"/>
  <c r="K100" i="4"/>
  <c r="K86" i="4"/>
  <c r="C88" i="4" s="1"/>
  <c r="F90" i="4" s="1"/>
  <c r="K70" i="4"/>
  <c r="F76" i="4" s="1"/>
  <c r="F7" i="7"/>
  <c r="G7" i="7"/>
  <c r="F6" i="7"/>
  <c r="G6" i="7" s="1"/>
  <c r="G5" i="7"/>
  <c r="F106" i="4" l="1"/>
  <c r="K56" i="4"/>
  <c r="C58" i="4" s="1"/>
  <c r="F60" i="4" s="1"/>
  <c r="H60" i="4"/>
  <c r="D61" i="4"/>
  <c r="G8" i="7"/>
  <c r="G15" i="6"/>
  <c r="G16" i="6" s="1"/>
  <c r="C15" i="6" s="1"/>
  <c r="B7" i="6"/>
  <c r="H15" i="6" s="1"/>
  <c r="B16" i="6" s="1"/>
  <c r="D6" i="6"/>
  <c r="C5" i="6"/>
  <c r="B12" i="6" s="1"/>
  <c r="I255" i="4"/>
  <c r="I250" i="4"/>
  <c r="D238" i="4"/>
  <c r="G238" i="4" s="1"/>
  <c r="D237" i="4"/>
  <c r="G237" i="4" s="1"/>
  <c r="D235" i="4"/>
  <c r="G235" i="4" s="1"/>
  <c r="D234" i="4"/>
  <c r="G234" i="4" s="1"/>
  <c r="D232" i="4"/>
  <c r="G232" i="4" s="1"/>
  <c r="D231" i="4"/>
  <c r="G231" i="4" s="1"/>
  <c r="D229" i="4"/>
  <c r="G229" i="4" s="1"/>
  <c r="D228" i="4"/>
  <c r="G228" i="4" s="1"/>
  <c r="D226" i="4"/>
  <c r="G226" i="4" s="1"/>
  <c r="D225" i="4"/>
  <c r="G225" i="4" s="1"/>
  <c r="D224" i="4"/>
  <c r="G224" i="4" s="1"/>
  <c r="D223" i="4"/>
  <c r="G223" i="4" s="1"/>
  <c r="D222" i="4"/>
  <c r="G222" i="4" s="1"/>
  <c r="D220" i="4"/>
  <c r="G220" i="4" s="1"/>
  <c r="D219" i="4"/>
  <c r="G219" i="4" s="1"/>
  <c r="D218" i="4"/>
  <c r="G218" i="4" s="1"/>
  <c r="D217" i="4"/>
  <c r="G217" i="4" s="1"/>
  <c r="D216" i="4"/>
  <c r="G216" i="4" s="1"/>
  <c r="D214" i="4"/>
  <c r="G214" i="4" s="1"/>
  <c r="D213" i="4"/>
  <c r="G213" i="4" s="1"/>
  <c r="L215" i="4" s="1"/>
  <c r="D212" i="4"/>
  <c r="G212" i="4" s="1"/>
  <c r="L214" i="4" s="1"/>
  <c r="D211" i="4"/>
  <c r="G211" i="4" s="1"/>
  <c r="L213" i="4" s="1"/>
  <c r="D210" i="4"/>
  <c r="D200" i="4"/>
  <c r="G200" i="4" s="1"/>
  <c r="D199" i="4"/>
  <c r="G199" i="4" s="1"/>
  <c r="D198" i="4"/>
  <c r="G198" i="4" s="1"/>
  <c r="D195" i="4"/>
  <c r="G195" i="4" s="1"/>
  <c r="D194" i="4"/>
  <c r="G194" i="4" s="1"/>
  <c r="D193" i="4"/>
  <c r="G193" i="4" s="1"/>
  <c r="D191" i="4"/>
  <c r="G191" i="4" s="1"/>
  <c r="D190" i="4"/>
  <c r="G190" i="4" s="1"/>
  <c r="D189" i="4"/>
  <c r="G189" i="4" s="1"/>
  <c r="D188" i="4"/>
  <c r="G188" i="4" s="1"/>
  <c r="D186" i="4"/>
  <c r="G186" i="4" s="1"/>
  <c r="D185" i="4"/>
  <c r="G185" i="4" s="1"/>
  <c r="D184" i="4"/>
  <c r="G184" i="4" s="1"/>
  <c r="L186" i="4" s="1"/>
  <c r="D183" i="4"/>
  <c r="G183" i="4" s="1"/>
  <c r="L185" i="4" s="1"/>
  <c r="D181" i="4"/>
  <c r="G181" i="4" s="1"/>
  <c r="L183" i="4" s="1"/>
  <c r="D179" i="4"/>
  <c r="G179" i="4" s="1"/>
  <c r="L181" i="4" s="1"/>
  <c r="D180" i="4"/>
  <c r="G180" i="4" s="1"/>
  <c r="D178" i="4"/>
  <c r="G167" i="4"/>
  <c r="D164" i="4"/>
  <c r="G164" i="4" s="1"/>
  <c r="D163" i="4"/>
  <c r="G163" i="4" s="1"/>
  <c r="D162" i="4"/>
  <c r="G162" i="4" s="1"/>
  <c r="L162" i="4" s="1"/>
  <c r="G160" i="4"/>
  <c r="D159" i="4"/>
  <c r="G159" i="4" s="1"/>
  <c r="D158" i="4"/>
  <c r="G158" i="4" s="1"/>
  <c r="D157" i="4"/>
  <c r="G157" i="4" s="1"/>
  <c r="D156" i="4"/>
  <c r="G156" i="4" s="1"/>
  <c r="D155" i="4"/>
  <c r="G155" i="4" s="1"/>
  <c r="G153" i="4"/>
  <c r="D152" i="4"/>
  <c r="G152" i="4" s="1"/>
  <c r="D151" i="4"/>
  <c r="G151" i="4" s="1"/>
  <c r="D150" i="4"/>
  <c r="G150" i="4" s="1"/>
  <c r="D149" i="4"/>
  <c r="G149" i="4" s="1"/>
  <c r="D148" i="4"/>
  <c r="C127" i="4" l="1"/>
  <c r="D127" i="4"/>
  <c r="D128" i="4"/>
  <c r="C128" i="4"/>
  <c r="C129" i="4"/>
  <c r="D129" i="4"/>
  <c r="L150" i="4"/>
  <c r="P136" i="4" s="1"/>
  <c r="M150" i="4"/>
  <c r="B11" i="6"/>
  <c r="L15" i="6" s="1"/>
  <c r="B20" i="6" s="1"/>
  <c r="B9" i="6"/>
  <c r="J16" i="6" s="1"/>
  <c r="C18" i="6" s="1"/>
  <c r="G210" i="4"/>
  <c r="G129" i="4" s="1"/>
  <c r="G178" i="4"/>
  <c r="G128" i="4" s="1"/>
  <c r="B15" i="6"/>
  <c r="D12" i="6"/>
  <c r="M16" i="6"/>
  <c r="C21" i="6" s="1"/>
  <c r="M15" i="6"/>
  <c r="B21" i="6" s="1"/>
  <c r="H16" i="6"/>
  <c r="C16" i="6" s="1"/>
  <c r="L16" i="6"/>
  <c r="C20" i="6" s="1"/>
  <c r="D7" i="6"/>
  <c r="D11" i="6"/>
  <c r="B8" i="6"/>
  <c r="B10" i="6"/>
  <c r="G148" i="4"/>
  <c r="G127" i="4" s="1"/>
  <c r="D267" i="4"/>
  <c r="G267" i="4" s="1"/>
  <c r="I265" i="4"/>
  <c r="D266" i="4"/>
  <c r="G266" i="4" s="1"/>
  <c r="D265" i="4"/>
  <c r="G265" i="4" s="1"/>
  <c r="I198" i="4"/>
  <c r="I234" i="4"/>
  <c r="D273" i="4"/>
  <c r="G273" i="4" s="1"/>
  <c r="D272" i="4"/>
  <c r="G272" i="4" s="1"/>
  <c r="I270" i="4"/>
  <c r="D271" i="4"/>
  <c r="G271" i="4" s="1"/>
  <c r="D270" i="4"/>
  <c r="G270" i="4" s="1"/>
  <c r="D258" i="4"/>
  <c r="G258" i="4" s="1"/>
  <c r="D257" i="4"/>
  <c r="G257" i="4" s="1"/>
  <c r="D256" i="4"/>
  <c r="G256" i="4" s="1"/>
  <c r="D255" i="4"/>
  <c r="G255" i="4" s="1"/>
  <c r="I222" i="4"/>
  <c r="I188" i="4"/>
  <c r="I155" i="4"/>
  <c r="D262" i="4"/>
  <c r="G262" i="4" s="1"/>
  <c r="L261" i="4" s="1"/>
  <c r="I260" i="4"/>
  <c r="D261" i="4"/>
  <c r="G261" i="4" s="1"/>
  <c r="L260" i="4" s="1"/>
  <c r="D260" i="4"/>
  <c r="G260" i="4" s="1"/>
  <c r="L259" i="4" s="1"/>
  <c r="D252" i="4"/>
  <c r="G252" i="4" s="1"/>
  <c r="D250" i="4"/>
  <c r="I228" i="4"/>
  <c r="I193" i="4"/>
  <c r="I162" i="4"/>
  <c r="D253" i="4"/>
  <c r="G253" i="4" s="1"/>
  <c r="D251" i="4"/>
  <c r="G251" i="4" s="1"/>
  <c r="I216" i="4"/>
  <c r="I183" i="4"/>
  <c r="I210" i="4"/>
  <c r="I178" i="4"/>
  <c r="D287" i="4"/>
  <c r="I148" i="4"/>
  <c r="D50" i="4"/>
  <c r="C47" i="4"/>
  <c r="F42" i="4"/>
  <c r="C14" i="4"/>
  <c r="F7" i="4"/>
  <c r="G250" i="4" l="1"/>
  <c r="G130" i="4" s="1"/>
  <c r="D130" i="4"/>
  <c r="D131" i="4" s="1"/>
  <c r="C130" i="4"/>
  <c r="C131" i="4" s="1"/>
  <c r="L212" i="4"/>
  <c r="M178" i="4"/>
  <c r="L178" i="4"/>
  <c r="P164" i="4" s="1"/>
  <c r="M148" i="4"/>
  <c r="L148" i="4"/>
  <c r="P134" i="4" s="1"/>
  <c r="D9" i="6"/>
  <c r="J15" i="6"/>
  <c r="B18" i="6" s="1"/>
  <c r="K16" i="6"/>
  <c r="C19" i="6" s="1"/>
  <c r="D10" i="6"/>
  <c r="K15" i="6"/>
  <c r="B19" i="6" s="1"/>
  <c r="D8" i="6"/>
  <c r="I16" i="6"/>
  <c r="C17" i="6" s="1"/>
  <c r="I15" i="6"/>
  <c r="B17" i="6" s="1"/>
  <c r="C22" i="6" l="1"/>
  <c r="G131" i="4"/>
  <c r="B22" i="6"/>
  <c r="B7" i="2"/>
  <c r="G15" i="2" l="1"/>
  <c r="G16" i="2" s="1"/>
  <c r="C15" i="2" s="1"/>
  <c r="H15" i="2"/>
  <c r="B16" i="2" s="1"/>
  <c r="D6" i="2"/>
  <c r="C5" i="2"/>
  <c r="B12" i="2" s="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<sst xmlns="http://schemas.openxmlformats.org/spreadsheetml/2006/main" count="821" uniqueCount="317">
  <si>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</si>
  <si>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</si>
  <si>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</si>
  <si>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</si>
  <si>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</si>
  <si>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</si>
  <si>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</si>
  <si>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</si>
  <si>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</si>
  <si>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</si>
  <si>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</si>
  <si>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</si>
  <si>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</si>
  <si>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</si>
  <si>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</si>
  <si>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</si>
  <si>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</si>
  <si>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</si>
  <si>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</si>
  <si>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</si>
  <si>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</si>
  <si>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</si>
  <si>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</si>
  <si>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</si>
  <si>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</si>
  <si>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</si>
  <si>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</si>
  <si>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</si>
  <si>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</si>
  <si>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</si>
  <si>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</si>
  <si>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</si>
  <si>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</si>
  <si>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</si>
  <si>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</si>
  <si>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</si>
  <si>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</si>
  <si>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</si>
  <si>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</si>
  <si>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</si>
  <si>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</si>
  <si>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</si>
  <si>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</si>
  <si>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</si>
  <si>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</si>
  <si>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</si>
  <si>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</si>
  <si>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</si>
  <si>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</si>
  <si>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</si>
  <si>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</si>
  <si>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</si>
  <si>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</si>
  <si>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</si>
  <si>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</si>
  <si>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</si>
  <si>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</si>
  <si>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</si>
  <si>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</si>
  <si>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</si>
  <si>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</si>
  <si>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</si>
  <si>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</si>
  <si>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</si>
  <si>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</si>
  <si>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</si>
  <si>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</si>
  <si>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</si>
  <si>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</si>
  <si>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</si>
  <si>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</si>
  <si>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</si>
  <si>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</si>
  <si>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</si>
  <si>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</si>
  <si>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</si>
  <si>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</si>
  <si>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</si>
  <si>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</si>
  <si>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</si>
  <si>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</si>
  <si>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</si>
  <si>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</si>
  <si>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</si>
  <si>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</si>
  <si>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</si>
  <si>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</si>
  <si>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</si>
  <si>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</si>
  <si>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</si>
  <si>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</si>
  <si>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</si>
  <si>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</si>
  <si>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</si>
  <si>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</si>
  <si>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</si>
  <si>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</si>
  <si>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</si>
  <si>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</si>
  <si>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</si>
  <si>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</si>
  <si>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</si>
  <si>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</si>
  <si>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</si>
  <si>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</si>
  <si>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</si>
  <si>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</si>
  <si>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</si>
  <si>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</si>
  <si>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</si>
  <si>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</si>
  <si>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</si>
  <si>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</si>
  <si>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</si>
  <si>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</si>
  <si>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</si>
  <si>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</si>
  <si>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</si>
  <si>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</si>
  <si>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</si>
  <si>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</si>
  <si>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</si>
  <si>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</si>
  <si>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</si>
  <si>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</si>
  <si>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</si>
  <si>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</si>
  <si>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</si>
  <si>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</si>
  <si>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</si>
  <si>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</si>
  <si>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</si>
  <si>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</si>
  <si>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</si>
  <si>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</si>
  <si>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</si>
  <si>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</si>
  <si>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</si>
  <si>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</si>
  <si>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</si>
  <si>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</si>
  <si>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</si>
  <si>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</si>
  <si>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</si>
  <si>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</si>
  <si>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</si>
  <si>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</si>
  <si>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</si>
  <si>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</si>
  <si>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</si>
  <si>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</si>
  <si>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</si>
  <si>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</si>
  <si>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</si>
  <si>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</si>
  <si>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</si>
  <si>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</si>
  <si>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</si>
  <si>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</si>
  <si>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</si>
  <si>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</si>
  <si>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</si>
  <si>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</si>
  <si>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</si>
  <si>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</si>
  <si>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</si>
  <si>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</si>
  <si>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</si>
  <si>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</si>
  <si>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</si>
  <si>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</si>
  <si>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</si>
  <si>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</si>
  <si>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</si>
  <si>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</si>
  <si>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</si>
  <si>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Shree Krushna Tower</t>
  </si>
  <si>
    <t xml:space="preserve">02225676009
</t>
  </si>
  <si>
    <t>P51800022998</t>
  </si>
  <si>
    <t>CTS No</t>
  </si>
  <si>
    <t>Mulund</t>
  </si>
  <si>
    <t>Mumbai</t>
  </si>
  <si>
    <t>SRA/ENG/3916/T/STGL/AP</t>
  </si>
  <si>
    <t>PLOT - A</t>
  </si>
  <si>
    <t>B Wing</t>
  </si>
  <si>
    <t>C Wing</t>
  </si>
  <si>
    <t>1BHK</t>
  </si>
  <si>
    <t>Refuge Area</t>
  </si>
  <si>
    <t>Residential</t>
  </si>
  <si>
    <t>Harmony Tower C.H.S</t>
  </si>
  <si>
    <t>Astik Marg</t>
  </si>
  <si>
    <t xml:space="preserve">Material laying at Site: Bricks, Cement &amp; Steel etc. </t>
  </si>
  <si>
    <t xml:space="preserve">Wheather the construction is as per approved Building plan : Under Construction </t>
  </si>
  <si>
    <t>Building</t>
  </si>
  <si>
    <t>Ground Floor For Parking</t>
  </si>
  <si>
    <t>Ground Floor for Parking</t>
  </si>
  <si>
    <t>1st Floor for Fitness Centre</t>
  </si>
  <si>
    <t>1st Floor for Residential</t>
  </si>
  <si>
    <t>2BHK</t>
  </si>
  <si>
    <t>D Wing</t>
  </si>
  <si>
    <t>E Wing</t>
  </si>
  <si>
    <t>2nd Floor for Residential</t>
  </si>
  <si>
    <t xml:space="preserve">2nd Floor </t>
  </si>
  <si>
    <t>2nd Floor</t>
  </si>
  <si>
    <t>Rehab</t>
  </si>
  <si>
    <t xml:space="preserve"> Refuge Area</t>
  </si>
  <si>
    <t>8th Floor (Part Refuge Area)</t>
  </si>
  <si>
    <t>-</t>
  </si>
  <si>
    <t>15th Floor (Part Refuge Area)</t>
  </si>
  <si>
    <t>301,..., 1301</t>
  </si>
  <si>
    <t>302,..., 1302</t>
  </si>
  <si>
    <t>303,..., 1303</t>
  </si>
  <si>
    <t>304,..., 1304</t>
  </si>
  <si>
    <t>305,..., 1305</t>
  </si>
  <si>
    <t>306,..., 1306</t>
  </si>
  <si>
    <t>A Wing - Sale</t>
  </si>
  <si>
    <t>B Wing - Sale</t>
  </si>
  <si>
    <t>C Wing - Sale</t>
  </si>
  <si>
    <t>D Wing - Sale</t>
  </si>
  <si>
    <t>Market Research Data</t>
  </si>
  <si>
    <t>Source</t>
  </si>
  <si>
    <t>Distance from proposed property</t>
  </si>
  <si>
    <t>Net Carpet</t>
  </si>
  <si>
    <t>Saleable Area</t>
  </si>
  <si>
    <t>Rate on Saleable</t>
  </si>
  <si>
    <t>Market Value</t>
  </si>
  <si>
    <t>Magic Brick</t>
  </si>
  <si>
    <t>Average</t>
  </si>
  <si>
    <t xml:space="preserve">Valuation Adopted </t>
  </si>
  <si>
    <t>Kurla</t>
  </si>
  <si>
    <t>746 Pt ,750 Pt 723E Pt</t>
  </si>
  <si>
    <t>Building No.2 ( A, B,C, D Sale Wing)
Building No.2 ( E Rehab Wing)</t>
  </si>
  <si>
    <t>Sale Residential Area Details :</t>
  </si>
  <si>
    <t>Building No.2</t>
  </si>
  <si>
    <t>About 900M from Mulund Railway Station</t>
  </si>
  <si>
    <t>5 wings</t>
  </si>
  <si>
    <t>27/03/2021.</t>
  </si>
  <si>
    <t>Asmi</t>
  </si>
  <si>
    <t>Akash</t>
  </si>
  <si>
    <t>1st Floor</t>
  </si>
  <si>
    <t>Construction details:</t>
  </si>
  <si>
    <t>Floors</t>
  </si>
  <si>
    <t>All work Completed. Provide OC.</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</si>
  <si>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</si>
  <si>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</si>
  <si>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</si>
  <si>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</si>
  <si>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</si>
  <si>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</si>
  <si>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</si>
  <si>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</si>
  <si>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</si>
  <si>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</si>
  <si>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</si>
  <si>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</si>
  <si>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2</t>
  </si>
  <si>
    <t>Ext. Plaster &amp; Plumbing</t>
  </si>
  <si>
    <t>External Plaster &amp; Plumbing</t>
  </si>
  <si>
    <t>Basement 3</t>
  </si>
  <si>
    <t>Flooring &amp; Fitting</t>
  </si>
  <si>
    <t>Basement 4</t>
  </si>
  <si>
    <t>Painting &amp; Wooden</t>
  </si>
  <si>
    <t>Basement 5</t>
  </si>
  <si>
    <t>Building Common Amenities</t>
  </si>
  <si>
    <t>Plinth in process/1st basement proces</t>
  </si>
  <si>
    <t>Possession</t>
  </si>
  <si>
    <t>E Wing = Gr. + 1st to 22nd Floor</t>
  </si>
  <si>
    <t>1,75,000/-</t>
  </si>
  <si>
    <t xml:space="preserve">Other Charges </t>
  </si>
  <si>
    <t>A Wing = G + 1st to 22nd Floor</t>
  </si>
  <si>
    <t xml:space="preserve">31352 shree krushna tower D wing rcc 1 slab done c wing rcc 1st slab done B wing rcc 1st slab in progress A wing 50% piling done I met mr Rahul sawant sales 9022640980 </t>
  </si>
  <si>
    <t>13/04/2022.</t>
  </si>
  <si>
    <t>1RK</t>
  </si>
  <si>
    <t>Ground Floor For Parking &amp; Residential</t>
  </si>
  <si>
    <t>1st Floor for Amenities</t>
  </si>
  <si>
    <t>3rd Floor Terrace Area</t>
  </si>
  <si>
    <t>3rd to 7th, 9th to 14th &amp; 16th to 17th Floor</t>
  </si>
  <si>
    <t>18th to 22nd Floor</t>
  </si>
  <si>
    <t>1801,..., 2201</t>
  </si>
  <si>
    <t>1802,..., 2202</t>
  </si>
  <si>
    <t>1803,..., 2203</t>
  </si>
  <si>
    <t>1804,..., 2204</t>
  </si>
  <si>
    <t>1805,..., 2205</t>
  </si>
  <si>
    <t>1801 to 2201</t>
  </si>
  <si>
    <t>1802 to 2202</t>
  </si>
  <si>
    <t>1803 to 2203</t>
  </si>
  <si>
    <t>1804 to 2204</t>
  </si>
  <si>
    <t>Refuge  Area</t>
  </si>
  <si>
    <t>301,…,1701</t>
  </si>
  <si>
    <t>302,…,1702</t>
  </si>
  <si>
    <t>303,…,1703</t>
  </si>
  <si>
    <t>304,…,1704</t>
  </si>
  <si>
    <t>301,..., 1701</t>
  </si>
  <si>
    <t>302,..., 1702</t>
  </si>
  <si>
    <t>303,..., 1703</t>
  </si>
  <si>
    <t>304,..., 1704</t>
  </si>
  <si>
    <t>305,..., 1705</t>
  </si>
  <si>
    <t>306,..., 1706</t>
  </si>
  <si>
    <t>A Wing</t>
  </si>
  <si>
    <t>Sale Flats = 348</t>
  </si>
  <si>
    <t xml:space="preserve">Recommended rate of the flat Per Sq. Ft. ( on Saleable area) </t>
  </si>
  <si>
    <t xml:space="preserve">Sale Blg No.2 
A Wing = Gr. + 2nd Floor
B Wing = Gr. + 1st to 17th Floor
C, D, E Wing = Gr. + 1st to 22nd Floor
</t>
  </si>
  <si>
    <t>B &amp; C Wing = G + 1st to 22nd Floor</t>
  </si>
  <si>
    <t>D Wing = G + 1st to 22nd Floor</t>
  </si>
  <si>
    <t>Location Link</t>
  </si>
  <si>
    <t>https://goo.gl/maps/hd7QyAFj7XsGhct47?coh=178572&amp;entry=tt</t>
  </si>
  <si>
    <t>Site Meet Person Contact Details ( Name &amp; Contect No.)</t>
  </si>
  <si>
    <t>Contact Details ( Name &amp; Contect No.)</t>
  </si>
  <si>
    <t xml:space="preserve">Office No. 1031, Wing J, Akshar Business Park, Plot No. 03 Sector 25, Near APMC Market, 
Vashi, Navi Mumbai, Maharashtra 400703 TEL: 022-46090378/79/8
E mail : vsjcapf@gmail.com. Web site : www.vsjadon.com </t>
  </si>
  <si>
    <t>SRA/ENG/3916/T/STGL/AP
Valid Up to: 
This CC is further extended for 15th to 21st upper floors of sale wing 'B' &amp; from 16th to 22nd upper floors including OHWT/LMR to sale wing 'C' &amp; 'D' with brickwork &amp; plaster &amp; RCC framework for 22nd upper floor including OHWT/LMR to sale wing 'B' &amp; RCC framework from Ground to 22nd upper floors for sale wing 'A' including OHWT &amp; LMR of composite bldg as per approved plans dtd 03/11/2022.</t>
  </si>
  <si>
    <t>Tanvi : 7400413390</t>
  </si>
  <si>
    <t>M/s. Shree Akshay Housing</t>
  </si>
  <si>
    <t>Mr Vivek (CRM) 7400413392</t>
  </si>
  <si>
    <t>19.179141094,72.955057526</t>
  </si>
  <si>
    <t>Pooja</t>
  </si>
  <si>
    <r>
      <t xml:space="preserve">1. Wing A = Construction work is in the process. Internal visit not allowed.
    Wing D = Finishing work is in process.
    Wing B &amp; C = All work completed. Please provide OC.
    Wing E = All work completed. Please provide OC.
2. We considered Saleable area as per our calculation
3. We considered Carpet area as per Approved Plan.
4. We considered Gross carpet area = Net carpet 
5. We considered Flat rate as per Market Inquire.
6.Recommended rate should be considered as all inclusive rate if other charges are not mentioned. (Excluding GST &amp; other government Taxes).
7. Car parking is subjected to authentic documentation.
8. We have updated revised approved floor plan (on 30/04/2022).
9. We have updated latest CC from Rera (On 10/02/2024).
10. Provide latest approved plans dtd.03/11/2022.
</t>
    </r>
    <r>
      <rPr>
        <b/>
        <sz val="12"/>
        <color rgb="FFFF0000"/>
        <rFont val="Times New Roman"/>
        <family val="1"/>
      </rPr>
      <t xml:space="preserve">11. As per RERA, completion period of project Shree Krushna Tower is expired on Date
30/12/2024 but still project is under construction.
</t>
    </r>
    <r>
      <rPr>
        <b/>
        <sz val="12"/>
        <rFont val="Times New Roman"/>
        <family val="1"/>
      </rPr>
      <t xml:space="preserve">
10. On site, we meet Sales persom : 7400413392.
</t>
    </r>
  </si>
  <si>
    <t>Nainesh Tambe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</si>
</sst>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
      <sz val="13.75"/>
      <color rgb="FF272727"/>
      <name val="Arial"/>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9">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6" fillId="0" borderId="0"/>
    <xf numFmtId="0" fontId="1" fillId="0" borderId="0"/>
    <xf numFmtId="164" fontId="6" fillId="0" borderId="0" applyFont="0" applyFill="0" applyBorder="0" applyAlignment="0" applyProtection="0"/>
    <xf numFmtId="0" fontId="22" fillId="0" borderId="0" applyNumberFormat="0" applyFill="0" applyBorder="0" applyAlignment="0" applyProtection="0"/>
  </cellStyleXfs>
  <cellXfs count="263">
    <xf numFmtId="0" fontId="0" fillId="0" borderId="0" xfId="0"/>
    <xf numFmtId="0" fontId="8" fillId="0" borderId="0" xfId="0" applyFont="1" applyAlignment="1">
      <alignment horizontal="center" vertical="center"/>
    </xf>
    <xf numFmtId="1" fontId="9" fillId="0" borderId="4" xfId="1" applyNumberFormat="1" applyFont="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0" xfId="1" applyFont="1"/>
    <xf numFmtId="0" fontId="7" fillId="2" borderId="4" xfId="1" applyFont="1" applyFill="1" applyBorder="1" applyAlignment="1">
      <alignment vertical="top"/>
    </xf>
    <xf numFmtId="0" fontId="7" fillId="0" borderId="0" xfId="2" applyFont="1"/>
    <xf numFmtId="1" fontId="4" fillId="0" borderId="4" xfId="1" applyNumberFormat="1" applyFont="1" applyBorder="1" applyAlignment="1">
      <alignment horizontal="center" vertical="top" wrapText="1"/>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7" fillId="2" borderId="4" xfId="1" applyFont="1" applyFill="1" applyBorder="1" applyAlignment="1">
      <alignment horizontal="left" vertical="top"/>
    </xf>
    <xf numFmtId="0" fontId="6" fillId="0" borderId="0" xfId="5"/>
    <xf numFmtId="0" fontId="1" fillId="0" borderId="0" xfId="6"/>
    <xf numFmtId="0" fontId="10" fillId="0" borderId="4" xfId="6" applyFont="1" applyBorder="1" applyAlignment="1">
      <alignment horizontal="center" vertical="top" wrapText="1"/>
    </xf>
    <xf numFmtId="0" fontId="1" fillId="0" borderId="4" xfId="6" applyBorder="1" applyAlignment="1">
      <alignment horizontal="center" vertical="center"/>
    </xf>
    <xf numFmtId="0" fontId="1" fillId="0" borderId="4" xfId="6" applyBorder="1" applyAlignment="1">
      <alignment horizontal="left"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10" fillId="0" borderId="4" xfId="6" applyFont="1" applyBorder="1" applyAlignment="1">
      <alignment horizontal="center" vertical="center"/>
    </xf>
    <xf numFmtId="1" fontId="20" fillId="0" borderId="4" xfId="6" applyNumberFormat="1" applyFont="1" applyBorder="1" applyAlignment="1">
      <alignment horizontal="center" vertical="center"/>
    </xf>
    <xf numFmtId="0" fontId="6" fillId="0" borderId="4" xfId="5" applyBorder="1" applyAlignment="1">
      <alignment horizontal="center" vertical="center"/>
    </xf>
    <xf numFmtId="0" fontId="21" fillId="0" borderId="0" xfId="5" applyFont="1"/>
    <xf numFmtId="1" fontId="7" fillId="0" borderId="4" xfId="1" applyNumberFormat="1" applyFont="1" applyBorder="1" applyAlignment="1">
      <alignment horizontal="left" vertical="center" wrapText="1"/>
    </xf>
    <xf numFmtId="0" fontId="8" fillId="0" borderId="19" xfId="1" applyFont="1" applyBorder="1" applyProtection="1">
      <protection hidden="1"/>
    </xf>
    <xf numFmtId="0" fontId="8" fillId="0" borderId="20" xfId="1" applyFont="1" applyBorder="1" applyProtection="1">
      <protection hidden="1"/>
    </xf>
    <xf numFmtId="0" fontId="14" fillId="0" borderId="2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8" fillId="0" borderId="0" xfId="1" applyFont="1" applyProtection="1">
      <protection hidden="1"/>
    </xf>
    <xf numFmtId="0" fontId="8" fillId="0" borderId="23" xfId="1" applyFont="1" applyBorder="1" applyProtection="1">
      <protection hidden="1"/>
    </xf>
    <xf numFmtId="0" fontId="17" fillId="0" borderId="0" xfId="0" applyFont="1" applyProtection="1">
      <protection hidden="1"/>
    </xf>
    <xf numFmtId="0" fontId="8" fillId="0" borderId="23" xfId="1" applyFont="1" applyBorder="1"/>
    <xf numFmtId="9" fontId="17" fillId="0" borderId="0" xfId="0" applyNumberFormat="1" applyFont="1" applyProtection="1">
      <protection hidden="1"/>
    </xf>
    <xf numFmtId="0" fontId="17" fillId="0" borderId="23" xfId="0" applyFont="1" applyBorder="1" applyProtection="1">
      <protection hidden="1"/>
    </xf>
    <xf numFmtId="2" fontId="0" fillId="0" borderId="23" xfId="0" applyNumberFormat="1" applyBorder="1"/>
    <xf numFmtId="1" fontId="0" fillId="0" borderId="0" xfId="0" applyNumberFormat="1"/>
    <xf numFmtId="1" fontId="0" fillId="0" borderId="23" xfId="0" applyNumberFormat="1" applyBorder="1"/>
    <xf numFmtId="165" fontId="0" fillId="0" borderId="0" xfId="0" applyNumberFormat="1"/>
    <xf numFmtId="1" fontId="0" fillId="0" borderId="23" xfId="0" applyNumberFormat="1" applyBorder="1" applyAlignment="1">
      <alignment horizontal="right"/>
    </xf>
    <xf numFmtId="0" fontId="0" fillId="0" borderId="23" xfId="0" applyBorder="1"/>
    <xf numFmtId="165" fontId="0" fillId="0" borderId="23" xfId="0" applyNumberFormat="1" applyBorder="1"/>
    <xf numFmtId="0" fontId="17" fillId="0" borderId="30" xfId="0" applyFont="1" applyBorder="1" applyProtection="1">
      <protection hidden="1"/>
    </xf>
    <xf numFmtId="9" fontId="17" fillId="0" borderId="30" xfId="0" applyNumberFormat="1" applyFont="1" applyBorder="1" applyProtection="1">
      <protection hidden="1"/>
    </xf>
    <xf numFmtId="1" fontId="0" fillId="0" borderId="31" xfId="0" applyNumberFormat="1" applyBorder="1"/>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0" fontId="14" fillId="0" borderId="28" xfId="1" applyFont="1" applyBorder="1" applyAlignment="1" applyProtection="1">
      <alignment horizontal="center" wrapText="1"/>
      <protection locked="0"/>
    </xf>
    <xf numFmtId="0" fontId="14" fillId="0" borderId="4" xfId="1" applyFont="1" applyBorder="1" applyAlignment="1" applyProtection="1">
      <alignment horizontal="center" vertical="top" wrapText="1"/>
      <protection locked="0"/>
    </xf>
    <xf numFmtId="1" fontId="8" fillId="0" borderId="4" xfId="0" applyNumberFormat="1" applyFont="1" applyBorder="1" applyAlignment="1">
      <alignment horizontal="center" vertical="center"/>
    </xf>
    <xf numFmtId="0" fontId="8" fillId="0" borderId="0" xfId="1" applyFont="1" applyAlignment="1">
      <alignment wrapText="1"/>
    </xf>
    <xf numFmtId="0" fontId="23" fillId="0" borderId="0" xfId="0" applyFont="1" applyAlignment="1">
      <alignment vertical="center" wrapText="1"/>
    </xf>
    <xf numFmtId="0" fontId="8" fillId="0" borderId="0" xfId="1" applyFont="1" applyAlignment="1" applyProtection="1">
      <alignment horizontal="center" vertical="center"/>
      <protection hidden="1"/>
    </xf>
    <xf numFmtId="0" fontId="8" fillId="0" borderId="23" xfId="1" applyFont="1" applyBorder="1" applyAlignment="1" applyProtection="1">
      <alignment horizontal="center" vertical="center"/>
      <protection hidden="1"/>
    </xf>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vertical="top"/>
      <protection locked="0"/>
    </xf>
    <xf numFmtId="0" fontId="14" fillId="0" borderId="35"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0" fontId="7" fillId="2" borderId="4" xfId="1" applyFont="1" applyFill="1" applyBorder="1" applyAlignment="1">
      <alignment horizontal="left" vertical="top"/>
    </xf>
    <xf numFmtId="0" fontId="14" fillId="0" borderId="4" xfId="1" applyFont="1" applyBorder="1" applyAlignment="1" applyProtection="1">
      <alignment horizontal="center" vertical="top"/>
      <protection locked="0"/>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7" fillId="0" borderId="6" xfId="1" applyNumberFormat="1" applyFont="1" applyBorder="1" applyAlignment="1">
      <alignment horizontal="center" vertical="center" wrapText="1"/>
    </xf>
    <xf numFmtId="0" fontId="14" fillId="0" borderId="21"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9" fontId="14" fillId="2" borderId="1" xfId="1" applyNumberFormat="1" applyFont="1" applyFill="1" applyBorder="1" applyAlignment="1" applyProtection="1">
      <alignment horizontal="center" vertical="center" wrapText="1"/>
      <protection hidden="1"/>
    </xf>
    <xf numFmtId="9" fontId="14" fillId="2" borderId="3" xfId="1" applyNumberFormat="1" applyFont="1" applyFill="1" applyBorder="1" applyAlignment="1" applyProtection="1">
      <alignment horizontal="center" vertical="center" wrapText="1"/>
      <protection hidden="1"/>
    </xf>
    <xf numFmtId="9" fontId="14" fillId="2" borderId="4" xfId="1" applyNumberFormat="1" applyFont="1" applyFill="1" applyBorder="1" applyAlignment="1" applyProtection="1">
      <alignment horizontal="center" vertical="center" wrapText="1"/>
      <protection hidden="1"/>
    </xf>
    <xf numFmtId="9" fontId="14" fillId="2" borderId="5" xfId="1" applyNumberFormat="1" applyFont="1" applyFill="1" applyBorder="1" applyAlignment="1" applyProtection="1">
      <alignment horizontal="center" vertical="center" wrapText="1"/>
      <protection hidden="1"/>
    </xf>
    <xf numFmtId="9" fontId="14" fillId="2" borderId="6" xfId="1" applyNumberFormat="1" applyFont="1" applyFill="1" applyBorder="1" applyAlignment="1" applyProtection="1">
      <alignment horizontal="center" vertical="center" wrapText="1"/>
      <protection hidden="1"/>
    </xf>
    <xf numFmtId="9" fontId="14" fillId="2" borderId="26" xfId="1" applyNumberFormat="1" applyFont="1" applyFill="1" applyBorder="1" applyAlignment="1" applyProtection="1">
      <alignment horizontal="center" vertical="center" wrapText="1"/>
      <protection hidden="1"/>
    </xf>
    <xf numFmtId="9" fontId="14" fillId="2" borderId="11" xfId="1" applyNumberFormat="1" applyFont="1" applyFill="1" applyBorder="1" applyAlignment="1" applyProtection="1">
      <alignment horizontal="center" vertical="center" wrapText="1"/>
      <protection hidden="1"/>
    </xf>
    <xf numFmtId="9" fontId="14" fillId="2" borderId="0" xfId="1" applyNumberFormat="1" applyFont="1" applyFill="1" applyAlignment="1" applyProtection="1">
      <alignment horizontal="center" vertical="center" wrapText="1"/>
      <protection hidden="1"/>
    </xf>
    <xf numFmtId="9" fontId="14" fillId="2" borderId="23" xfId="1" applyNumberFormat="1" applyFont="1" applyFill="1" applyBorder="1" applyAlignment="1" applyProtection="1">
      <alignment horizontal="center" vertical="center" wrapText="1"/>
      <protection hidden="1"/>
    </xf>
    <xf numFmtId="0" fontId="14" fillId="0" borderId="4" xfId="1" applyFont="1" applyBorder="1" applyAlignment="1" applyProtection="1">
      <alignment horizontal="center" vertical="top"/>
      <protection locked="0"/>
    </xf>
    <xf numFmtId="0" fontId="15" fillId="0" borderId="21" xfId="1" applyFont="1" applyBorder="1" applyAlignment="1" applyProtection="1">
      <alignment horizontal="left" vertical="top"/>
      <protection locked="0"/>
    </xf>
    <xf numFmtId="0" fontId="15" fillId="0" borderId="4" xfId="1" applyFont="1" applyBorder="1" applyAlignment="1" applyProtection="1">
      <alignment horizontal="left" vertical="top"/>
      <protection locked="0"/>
    </xf>
    <xf numFmtId="0" fontId="15" fillId="0" borderId="4" xfId="1" applyFont="1" applyBorder="1" applyAlignment="1" applyProtection="1">
      <alignment horizontal="left" vertical="top" wrapText="1"/>
      <protection locked="0"/>
    </xf>
    <xf numFmtId="0" fontId="14" fillId="0" borderId="34" xfId="1" applyFont="1" applyBorder="1" applyAlignment="1" applyProtection="1">
      <alignment horizontal="center" vertical="top" wrapText="1"/>
      <protection locked="0"/>
    </xf>
    <xf numFmtId="0" fontId="14" fillId="0" borderId="10" xfId="1" applyFont="1" applyBorder="1" applyAlignment="1" applyProtection="1">
      <alignment horizontal="center" vertical="top" wrapText="1"/>
      <protection locked="0"/>
    </xf>
    <xf numFmtId="0" fontId="14" fillId="0" borderId="35" xfId="1" applyFont="1" applyBorder="1" applyAlignment="1" applyProtection="1">
      <alignment horizontal="center" vertical="top" wrapText="1"/>
      <protection locked="0"/>
    </xf>
    <xf numFmtId="0" fontId="14" fillId="0" borderId="36" xfId="1" applyFont="1" applyBorder="1" applyAlignment="1" applyProtection="1">
      <alignment horizontal="center" vertical="top" wrapText="1"/>
      <protection locked="0"/>
    </xf>
    <xf numFmtId="0" fontId="15" fillId="0" borderId="4" xfId="1" applyFont="1" applyBorder="1" applyAlignment="1" applyProtection="1">
      <alignment horizontal="center" vertical="center"/>
      <protection locked="0"/>
    </xf>
    <xf numFmtId="9" fontId="15" fillId="0" borderId="4" xfId="1" applyNumberFormat="1" applyFont="1" applyBorder="1" applyAlignment="1" applyProtection="1">
      <alignment horizontal="center" vertical="center" wrapText="1"/>
      <protection locked="0"/>
    </xf>
    <xf numFmtId="0" fontId="15" fillId="0" borderId="4" xfId="1" applyFont="1" applyBorder="1" applyAlignment="1" applyProtection="1">
      <alignment horizontal="center" vertical="center" wrapText="1"/>
      <protection locked="0"/>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4" fillId="0" borderId="1" xfId="1" applyFont="1" applyBorder="1" applyAlignment="1" applyProtection="1">
      <alignment horizontal="center" vertical="top"/>
      <protection locked="0"/>
    </xf>
    <xf numFmtId="0" fontId="14" fillId="0" borderId="3" xfId="1" applyFont="1" applyBorder="1" applyAlignment="1" applyProtection="1">
      <alignment horizontal="center" vertical="top"/>
      <protection locked="0"/>
    </xf>
    <xf numFmtId="0" fontId="14" fillId="0" borderId="22" xfId="1" applyFont="1" applyBorder="1" applyAlignment="1" applyProtection="1">
      <alignment horizontal="center" vertical="top"/>
      <protection locked="0"/>
    </xf>
    <xf numFmtId="0" fontId="15" fillId="0" borderId="1" xfId="1" applyFont="1" applyBorder="1" applyAlignment="1" applyProtection="1">
      <alignment horizontal="left" vertical="top" wrapText="1"/>
      <protection locked="0"/>
    </xf>
    <xf numFmtId="0" fontId="15" fillId="0" borderId="2" xfId="1" applyFont="1" applyBorder="1" applyAlignment="1" applyProtection="1">
      <alignment horizontal="left" vertical="top" wrapText="1"/>
      <protection locked="0"/>
    </xf>
    <xf numFmtId="0" fontId="15" fillId="0" borderId="22" xfId="1" applyFont="1" applyBorder="1" applyAlignment="1" applyProtection="1">
      <alignment horizontal="left" vertical="top" wrapText="1"/>
      <protection locked="0"/>
    </xf>
    <xf numFmtId="0" fontId="14" fillId="0" borderId="24" xfId="1" applyFont="1" applyBorder="1" applyAlignment="1" applyProtection="1">
      <alignment horizontal="center" vertical="top" wrapText="1"/>
      <protection locked="0"/>
    </xf>
    <xf numFmtId="0" fontId="14" fillId="0" borderId="3" xfId="1" applyFont="1" applyBorder="1" applyAlignment="1" applyProtection="1">
      <alignment horizontal="center" vertical="top" wrapText="1"/>
      <protection locked="0"/>
    </xf>
    <xf numFmtId="0" fontId="14" fillId="0" borderId="25" xfId="1" applyFont="1" applyBorder="1" applyAlignment="1" applyProtection="1">
      <alignment horizontal="center" vertical="top" wrapText="1"/>
      <protection locked="0"/>
    </xf>
    <xf numFmtId="9" fontId="14" fillId="2" borderId="28" xfId="1" applyNumberFormat="1" applyFont="1" applyFill="1" applyBorder="1" applyAlignment="1" applyProtection="1">
      <alignment horizontal="center" vertical="center" wrapText="1"/>
      <protection hidden="1"/>
    </xf>
    <xf numFmtId="9" fontId="14" fillId="2" borderId="29" xfId="1" applyNumberFormat="1" applyFont="1" applyFill="1" applyBorder="1" applyAlignment="1" applyProtection="1">
      <alignment horizontal="center" vertical="center" wrapText="1"/>
      <protection hidden="1"/>
    </xf>
    <xf numFmtId="9" fontId="14" fillId="2" borderId="30" xfId="1" applyNumberFormat="1" applyFont="1" applyFill="1" applyBorder="1" applyAlignment="1" applyProtection="1">
      <alignment horizontal="center" vertical="center" wrapText="1"/>
      <protection hidden="1"/>
    </xf>
    <xf numFmtId="9" fontId="14" fillId="2" borderId="31" xfId="1" applyNumberFormat="1" applyFont="1" applyFill="1" applyBorder="1" applyAlignment="1" applyProtection="1">
      <alignment horizontal="center" vertical="center" wrapText="1"/>
      <protection hidden="1"/>
    </xf>
    <xf numFmtId="0" fontId="14" fillId="0" borderId="27" xfId="1" applyFont="1" applyBorder="1" applyAlignment="1" applyProtection="1">
      <alignment horizontal="center" vertical="top" wrapText="1"/>
      <protection locked="0"/>
    </xf>
    <xf numFmtId="0" fontId="14" fillId="0" borderId="28" xfId="1" applyFont="1" applyBorder="1" applyAlignment="1" applyProtection="1">
      <alignment horizontal="center" vertical="top" wrapText="1"/>
      <protection locked="0"/>
    </xf>
    <xf numFmtId="9" fontId="14" fillId="2" borderId="32" xfId="1" applyNumberFormat="1" applyFont="1" applyFill="1" applyBorder="1" applyAlignment="1" applyProtection="1">
      <alignment horizontal="center" vertical="center" wrapText="1"/>
      <protection hidden="1"/>
    </xf>
    <xf numFmtId="9" fontId="14" fillId="2" borderId="33" xfId="1" applyNumberFormat="1" applyFont="1" applyFill="1" applyBorder="1" applyAlignment="1" applyProtection="1">
      <alignment horizontal="center" vertical="center" wrapText="1"/>
      <protection hidden="1"/>
    </xf>
    <xf numFmtId="0" fontId="15" fillId="0" borderId="4" xfId="1" applyFont="1" applyBorder="1" applyAlignment="1" applyProtection="1">
      <alignment horizontal="center" vertical="top" wrapText="1"/>
      <protection locked="0"/>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14" fontId="14" fillId="0" borderId="1" xfId="1" applyNumberFormat="1" applyFont="1" applyBorder="1" applyAlignment="1">
      <alignment horizontal="left" vertical="top"/>
    </xf>
    <xf numFmtId="14" fontId="14" fillId="0" borderId="2" xfId="1" applyNumberFormat="1" applyFont="1" applyBorder="1" applyAlignment="1">
      <alignment horizontal="left" vertical="top"/>
    </xf>
    <xf numFmtId="14" fontId="14" fillId="0" borderId="3" xfId="1" applyNumberFormat="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4" xfId="1" applyFont="1" applyBorder="1" applyAlignment="1">
      <alignment horizontal="left" vertical="top" wrapText="1"/>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0" fontId="7" fillId="0" borderId="4" xfId="1" applyFont="1" applyBorder="1" applyAlignment="1">
      <alignment horizontal="left" vertical="top"/>
    </xf>
    <xf numFmtId="0" fontId="14" fillId="0" borderId="4" xfId="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14" fillId="0" borderId="4" xfId="1" applyFont="1" applyBorder="1" applyAlignment="1">
      <alignment horizontal="left"/>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2" borderId="4" xfId="1" applyFont="1" applyFill="1" applyBorder="1" applyAlignment="1">
      <alignment horizontal="left" vertical="top"/>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8" fillId="0" borderId="1" xfId="1" applyFont="1" applyBorder="1" applyAlignment="1">
      <alignment horizontal="center" vertical="top"/>
    </xf>
    <xf numFmtId="0" fontId="8" fillId="0" borderId="3" xfId="1" applyFont="1" applyBorder="1" applyAlignment="1">
      <alignment horizontal="center"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9" fillId="0" borderId="4" xfId="1" applyFont="1" applyBorder="1" applyAlignment="1">
      <alignment horizontal="left" vertical="top"/>
    </xf>
    <xf numFmtId="0" fontId="22" fillId="0" borderId="1" xfId="8" applyBorder="1" applyAlignment="1">
      <alignment horizontal="left" vertical="top"/>
    </xf>
    <xf numFmtId="165" fontId="14" fillId="0" borderId="4" xfId="1" applyNumberFormat="1" applyFont="1" applyBorder="1" applyAlignment="1">
      <alignment horizontal="left" vertical="top"/>
    </xf>
    <xf numFmtId="2" fontId="14" fillId="0" borderId="4" xfId="1" applyNumberFormat="1" applyFont="1" applyBorder="1" applyAlignment="1">
      <alignment horizontal="left" vertical="top"/>
    </xf>
    <xf numFmtId="2" fontId="14" fillId="0" borderId="4" xfId="1" applyNumberFormat="1" applyFont="1" applyBorder="1" applyAlignment="1">
      <alignment horizontal="left" vertical="top" wrapText="1"/>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0" fontId="7" fillId="2" borderId="4" xfId="1" applyFont="1" applyFill="1" applyBorder="1" applyAlignment="1">
      <alignment horizontal="left" vertical="top" wrapText="1"/>
    </xf>
    <xf numFmtId="14" fontId="7" fillId="0" borderId="4" xfId="1" applyNumberFormat="1" applyFont="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14" fontId="7" fillId="2" borderId="1" xfId="1" applyNumberFormat="1" applyFont="1" applyFill="1" applyBorder="1" applyAlignment="1">
      <alignment horizontal="left" vertical="top"/>
    </xf>
    <xf numFmtId="14" fontId="7" fillId="0" borderId="4" xfId="1" applyNumberFormat="1" applyFont="1" applyBorder="1" applyAlignment="1">
      <alignment horizontal="center" vertical="top"/>
    </xf>
    <xf numFmtId="0" fontId="8" fillId="0" borderId="3" xfId="1" applyFont="1" applyBorder="1" applyAlignment="1">
      <alignment horizontal="left"/>
    </xf>
    <xf numFmtId="14" fontId="14" fillId="0" borderId="1" xfId="1" applyNumberFormat="1" applyFont="1" applyBorder="1" applyAlignment="1">
      <alignment horizontal="left" vertical="top" wrapText="1"/>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2" xfId="1" applyFont="1" applyBorder="1" applyAlignment="1">
      <alignment horizontal="center" vertical="top" wrapText="1"/>
    </xf>
    <xf numFmtId="0" fontId="14" fillId="0" borderId="4" xfId="1" applyFont="1" applyBorder="1" applyAlignment="1">
      <alignment horizontal="left" vertical="top" wrapText="1"/>
    </xf>
    <xf numFmtId="0" fontId="15" fillId="0" borderId="4" xfId="1" applyFont="1" applyBorder="1" applyAlignment="1">
      <alignment horizontal="left" vertical="top"/>
    </xf>
    <xf numFmtId="0" fontId="15" fillId="0" borderId="4" xfId="1" applyFont="1" applyBorder="1" applyAlignment="1">
      <alignment horizontal="left" vertical="top"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9" fillId="2" borderId="4" xfId="1" applyFont="1" applyFill="1" applyBorder="1" applyAlignment="1">
      <alignment horizontal="left" vertical="top"/>
    </xf>
    <xf numFmtId="0" fontId="7" fillId="2" borderId="1" xfId="1" applyFont="1" applyFill="1" applyBorder="1" applyAlignment="1">
      <alignment horizontal="left" vertical="top"/>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15" fillId="0" borderId="1" xfId="0" applyNumberFormat="1" applyFont="1" applyBorder="1" applyAlignment="1">
      <alignment horizontal="center" vertical="top" wrapText="1"/>
    </xf>
    <xf numFmtId="1" fontId="15" fillId="0" borderId="2" xfId="0" applyNumberFormat="1" applyFont="1" applyBorder="1" applyAlignment="1">
      <alignment horizontal="center" vertical="top" wrapText="1"/>
    </xf>
    <xf numFmtId="1" fontId="15" fillId="0" borderId="3" xfId="0" applyNumberFormat="1" applyFont="1" applyBorder="1" applyAlignment="1">
      <alignment horizontal="center" vertical="top" wrapText="1"/>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7" fillId="0" borderId="4" xfId="1" applyNumberFormat="1" applyFont="1" applyBorder="1" applyAlignment="1">
      <alignment horizontal="center" vertical="center" wrapText="1"/>
    </xf>
    <xf numFmtId="1" fontId="9" fillId="0" borderId="4" xfId="1" applyNumberFormat="1" applyFont="1" applyBorder="1" applyAlignment="1">
      <alignment horizontal="center" vertical="center" wrapText="1"/>
    </xf>
    <xf numFmtId="0" fontId="5" fillId="0" borderId="4" xfId="1" applyFont="1" applyBorder="1" applyAlignment="1">
      <alignment horizontal="center" vertical="top" wrapText="1"/>
    </xf>
    <xf numFmtId="0" fontId="19" fillId="0" borderId="4" xfId="1" applyFont="1" applyBorder="1" applyAlignment="1">
      <alignment horizontal="center" vertical="top" wrapText="1"/>
    </xf>
    <xf numFmtId="0" fontId="9" fillId="0" borderId="4" xfId="1" applyFont="1" applyBorder="1" applyAlignment="1">
      <alignment horizontal="center"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1" fontId="9" fillId="0" borderId="4" xfId="0" applyNumberFormat="1" applyFont="1" applyBorder="1" applyAlignment="1">
      <alignment horizontal="left" vertical="top" wrapText="1"/>
    </xf>
    <xf numFmtId="0" fontId="15" fillId="0" borderId="1" xfId="2" applyFont="1" applyBorder="1" applyAlignment="1">
      <alignment horizontal="left" vertical="top" wrapText="1"/>
    </xf>
    <xf numFmtId="0" fontId="15" fillId="0" borderId="2" xfId="2" applyFont="1" applyBorder="1" applyAlignment="1">
      <alignment horizontal="left" vertical="top" wrapText="1"/>
    </xf>
    <xf numFmtId="0" fontId="15" fillId="0" borderId="3" xfId="2" applyFont="1" applyBorder="1" applyAlignment="1">
      <alignment horizontal="left" vertical="top" wrapText="1"/>
    </xf>
    <xf numFmtId="1" fontId="8" fillId="0" borderId="1" xfId="1" applyNumberFormat="1" applyFont="1" applyBorder="1" applyAlignment="1">
      <alignment horizontal="center" vertical="center"/>
    </xf>
    <xf numFmtId="1" fontId="8" fillId="0" borderId="3" xfId="1" applyNumberFormat="1" applyFont="1" applyBorder="1" applyAlignment="1">
      <alignment horizontal="center" vertical="center"/>
    </xf>
    <xf numFmtId="1" fontId="7" fillId="0" borderId="2" xfId="1" applyNumberFormat="1" applyFont="1" applyBorder="1" applyAlignment="1">
      <alignment horizontal="center" vertical="center" wrapText="1"/>
    </xf>
    <xf numFmtId="1" fontId="8" fillId="0" borderId="4" xfId="1" applyNumberFormat="1" applyFont="1" applyBorder="1" applyAlignment="1">
      <alignment horizontal="center" vertical="center"/>
    </xf>
    <xf numFmtId="0" fontId="10" fillId="0" borderId="4" xfId="6" applyFont="1" applyBorder="1" applyAlignment="1">
      <alignment horizontal="left"/>
    </xf>
    <xf numFmtId="0" fontId="0" fillId="0" borderId="0" xfId="0" applyAlignment="1">
      <alignment horizontal="center" vertical="center" wrapText="1"/>
    </xf>
    <xf numFmtId="0" fontId="0" fillId="0" borderId="0" xfId="0" applyAlignment="1">
      <alignment horizontal="center"/>
    </xf>
    <xf numFmtId="0" fontId="17" fillId="0" borderId="4" xfId="0" applyFont="1" applyBorder="1" applyAlignment="1">
      <alignment horizontal="center"/>
    </xf>
    <xf numFmtId="0" fontId="17" fillId="3"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0" fillId="3" borderId="4" xfId="0" applyFill="1" applyBorder="1" applyAlignment="1">
      <alignment horizontal="center" wrapText="1"/>
    </xf>
    <xf numFmtId="0" fontId="10" fillId="0" borderId="4" xfId="0" applyFont="1" applyBorder="1" applyAlignment="1">
      <alignment horizontal="center"/>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825167</xdr:colOff>
      <xdr:row>345</xdr:row>
      <xdr:rowOff>196432</xdr:rowOff>
    </xdr:from>
    <xdr:to>
      <xdr:col>7</xdr:col>
      <xdr:colOff>226373</xdr:colOff>
      <xdr:row>360</xdr:row>
      <xdr:rowOff>89049</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25167" y="71902364"/>
          <a:ext cx="4146388" cy="2880000"/>
        </a:xfrm>
        <a:prstGeom prst="rect">
          <a:avLst/>
        </a:prstGeom>
        <a:ln>
          <a:solidFill>
            <a:schemeClr val="accent1"/>
          </a:solidFill>
        </a:ln>
      </xdr:spPr>
    </xdr:pic>
    <xdr:clientData/>
  </xdr:twoCellAnchor>
  <xdr:twoCellAnchor editAs="oneCell">
    <xdr:from>
      <xdr:col>0</xdr:col>
      <xdr:colOff>807848</xdr:colOff>
      <xdr:row>330</xdr:row>
      <xdr:rowOff>155864</xdr:rowOff>
    </xdr:from>
    <xdr:to>
      <xdr:col>7</xdr:col>
      <xdr:colOff>206084</xdr:colOff>
      <xdr:row>345</xdr:row>
      <xdr:rowOff>29423</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807848" y="68874409"/>
          <a:ext cx="4143418" cy="2880000"/>
        </a:xfrm>
        <a:prstGeom prst="rect">
          <a:avLst/>
        </a:prstGeom>
        <a:ln>
          <a:solidFill>
            <a:schemeClr val="accent1"/>
          </a:solidFill>
        </a:ln>
      </xdr:spPr>
    </xdr:pic>
    <xdr:clientData/>
  </xdr:twoCellAnchor>
  <xdr:oneCellAnchor>
    <xdr:from>
      <xdr:col>15</xdr:col>
      <xdr:colOff>295346</xdr:colOff>
      <xdr:row>272</xdr:row>
      <xdr:rowOff>0</xdr:rowOff>
    </xdr:from>
    <xdr:ext cx="722442" cy="311496"/>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9420296" y="62722125"/>
          <a:ext cx="722442"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B</a:t>
          </a:r>
        </a:p>
      </xdr:txBody>
    </xdr:sp>
    <xdr:clientData/>
  </xdr:oneCellAnchor>
  <xdr:oneCellAnchor>
    <xdr:from>
      <xdr:col>18</xdr:col>
      <xdr:colOff>261967</xdr:colOff>
      <xdr:row>285</xdr:row>
      <xdr:rowOff>25159</xdr:rowOff>
    </xdr:from>
    <xdr:ext cx="722442" cy="311496"/>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11215717" y="65338084"/>
          <a:ext cx="722442"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B</a:t>
          </a:r>
        </a:p>
      </xdr:txBody>
    </xdr:sp>
    <xdr:clientData/>
  </xdr:oneCellAnchor>
  <xdr:oneCellAnchor>
    <xdr:from>
      <xdr:col>11</xdr:col>
      <xdr:colOff>33367</xdr:colOff>
      <xdr:row>301</xdr:row>
      <xdr:rowOff>53734</xdr:rowOff>
    </xdr:from>
    <xdr:ext cx="722442" cy="311496"/>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6624667" y="68452759"/>
          <a:ext cx="722442"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D</a:t>
          </a:r>
        </a:p>
      </xdr:txBody>
    </xdr:sp>
    <xdr:clientData/>
  </xdr:oneCellAnchor>
  <xdr:oneCellAnchor>
    <xdr:from>
      <xdr:col>14</xdr:col>
      <xdr:colOff>176242</xdr:colOff>
      <xdr:row>288</xdr:row>
      <xdr:rowOff>6109</xdr:rowOff>
    </xdr:from>
    <xdr:ext cx="701218" cy="311496"/>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8691592" y="65919109"/>
          <a:ext cx="701218"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E</a:t>
          </a:r>
        </a:p>
      </xdr:txBody>
    </xdr:sp>
    <xdr:clientData/>
  </xdr:oneCellAnchor>
  <xdr:oneCellAnchor>
    <xdr:from>
      <xdr:col>11</xdr:col>
      <xdr:colOff>542925</xdr:colOff>
      <xdr:row>297</xdr:row>
      <xdr:rowOff>152400</xdr:rowOff>
    </xdr:from>
    <xdr:ext cx="722442" cy="311496"/>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7134225" y="67113150"/>
          <a:ext cx="72244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C00000"/>
              </a:solidFill>
            </a:rPr>
            <a:t>Wing A</a:t>
          </a:r>
        </a:p>
      </xdr:txBody>
    </xdr:sp>
    <xdr:clientData/>
  </xdr:oneCellAnchor>
  <xdr:oneCellAnchor>
    <xdr:from>
      <xdr:col>10</xdr:col>
      <xdr:colOff>190500</xdr:colOff>
      <xdr:row>299</xdr:row>
      <xdr:rowOff>91834</xdr:rowOff>
    </xdr:from>
    <xdr:ext cx="722442" cy="311496"/>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6543675" y="68090809"/>
          <a:ext cx="722442"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A</a:t>
          </a:r>
        </a:p>
      </xdr:txBody>
    </xdr:sp>
    <xdr:clientData/>
  </xdr:oneCellAnchor>
  <xdr:twoCellAnchor>
    <xdr:from>
      <xdr:col>11</xdr:col>
      <xdr:colOff>171450</xdr:colOff>
      <xdr:row>298</xdr:row>
      <xdr:rowOff>47625</xdr:rowOff>
    </xdr:from>
    <xdr:to>
      <xdr:col>11</xdr:col>
      <xdr:colOff>313596</xdr:colOff>
      <xdr:row>299</xdr:row>
      <xdr:rowOff>91834</xdr:rowOff>
    </xdr:to>
    <xdr:cxnSp macro="">
      <xdr:nvCxnSpPr>
        <xdr:cNvPr id="3" name="Straight Arrow Connector 2">
          <a:extLst>
            <a:ext uri="{FF2B5EF4-FFF2-40B4-BE49-F238E27FC236}">
              <a16:creationId xmlns:a16="http://schemas.microsoft.com/office/drawing/2014/main" id="{00000000-0008-0000-0000-000003000000}"/>
            </a:ext>
          </a:extLst>
        </xdr:cNvPr>
        <xdr:cNvCxnSpPr>
          <a:stCxn id="34" idx="0"/>
        </xdr:cNvCxnSpPr>
      </xdr:nvCxnSpPr>
      <xdr:spPr>
        <a:xfrm flipH="1" flipV="1">
          <a:off x="6762750" y="67846575"/>
          <a:ext cx="142146" cy="244234"/>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112059</xdr:colOff>
      <xdr:row>296</xdr:row>
      <xdr:rowOff>174198</xdr:rowOff>
    </xdr:from>
    <xdr:ext cx="1017010" cy="311496"/>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6465794" y="68048227"/>
          <a:ext cx="1017010" cy="31149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t>Wing B &amp; C</a:t>
          </a:r>
        </a:p>
      </xdr:txBody>
    </xdr:sp>
    <xdr:clientData/>
  </xdr:oneCellAnchor>
  <xdr:twoCellAnchor>
    <xdr:from>
      <xdr:col>11</xdr:col>
      <xdr:colOff>102533</xdr:colOff>
      <xdr:row>295</xdr:row>
      <xdr:rowOff>101414</xdr:rowOff>
    </xdr:from>
    <xdr:to>
      <xdr:col>11</xdr:col>
      <xdr:colOff>382568</xdr:colOff>
      <xdr:row>296</xdr:row>
      <xdr:rowOff>174198</xdr:rowOff>
    </xdr:to>
    <xdr:cxnSp macro="">
      <xdr:nvCxnSpPr>
        <xdr:cNvPr id="57" name="Straight Arrow Connector 56">
          <a:extLst>
            <a:ext uri="{FF2B5EF4-FFF2-40B4-BE49-F238E27FC236}">
              <a16:creationId xmlns:a16="http://schemas.microsoft.com/office/drawing/2014/main" id="{00000000-0008-0000-0000-000039000000}"/>
            </a:ext>
          </a:extLst>
        </xdr:cNvPr>
        <xdr:cNvCxnSpPr>
          <a:stCxn id="53" idx="0"/>
        </xdr:cNvCxnSpPr>
      </xdr:nvCxnSpPr>
      <xdr:spPr>
        <a:xfrm flipH="1" flipV="1">
          <a:off x="6691592" y="67773738"/>
          <a:ext cx="280035" cy="274489"/>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298</xdr:row>
      <xdr:rowOff>19050</xdr:rowOff>
    </xdr:from>
    <xdr:to>
      <xdr:col>3</xdr:col>
      <xdr:colOff>207369</xdr:colOff>
      <xdr:row>299</xdr:row>
      <xdr:rowOff>176826</xdr:rowOff>
    </xdr:to>
    <xdr:cxnSp macro="">
      <xdr:nvCxnSpPr>
        <xdr:cNvPr id="76" name="Straight Arrow Connector 75">
          <a:extLst>
            <a:ext uri="{FF2B5EF4-FFF2-40B4-BE49-F238E27FC236}">
              <a16:creationId xmlns:a16="http://schemas.microsoft.com/office/drawing/2014/main" id="{00000000-0008-0000-0000-00004C000000}"/>
            </a:ext>
          </a:extLst>
        </xdr:cNvPr>
        <xdr:cNvCxnSpPr/>
      </xdr:nvCxnSpPr>
      <xdr:spPr>
        <a:xfrm flipH="1" flipV="1">
          <a:off x="2724150" y="69913500"/>
          <a:ext cx="112119" cy="357801"/>
        </a:xfrm>
        <a:prstGeom prst="straightConnector1">
          <a:avLst/>
        </a:prstGeom>
        <a:ln>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77881</xdr:colOff>
      <xdr:row>321</xdr:row>
      <xdr:rowOff>151000</xdr:rowOff>
    </xdr:from>
    <xdr:to>
      <xdr:col>19</xdr:col>
      <xdr:colOff>296944</xdr:colOff>
      <xdr:row>331</xdr:row>
      <xdr:rowOff>63101</xdr:rowOff>
    </xdr:to>
    <xdr:pic>
      <xdr:nvPicPr>
        <xdr:cNvPr id="39" name="Picture 38" descr="https://vsjcllp.vsjadon.com/upload/insp-207506-1525.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9812431" y="72321925"/>
          <a:ext cx="1438263" cy="1912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173131</xdr:colOff>
      <xdr:row>321</xdr:row>
      <xdr:rowOff>151000</xdr:rowOff>
    </xdr:from>
    <xdr:to>
      <xdr:col>14</xdr:col>
      <xdr:colOff>296944</xdr:colOff>
      <xdr:row>331</xdr:row>
      <xdr:rowOff>63101</xdr:rowOff>
    </xdr:to>
    <xdr:pic>
      <xdr:nvPicPr>
        <xdr:cNvPr id="40" name="Picture 39" descr="https://vsjcllp.vsjadon.com/upload/insp-207506-849.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6764431" y="72321925"/>
          <a:ext cx="1438263" cy="1912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384362</xdr:colOff>
      <xdr:row>321</xdr:row>
      <xdr:rowOff>151000</xdr:rowOff>
    </xdr:from>
    <xdr:to>
      <xdr:col>16</xdr:col>
      <xdr:colOff>601744</xdr:colOff>
      <xdr:row>331</xdr:row>
      <xdr:rowOff>63101</xdr:rowOff>
    </xdr:to>
    <xdr:pic>
      <xdr:nvPicPr>
        <xdr:cNvPr id="45" name="Picture 44" descr="https://vsjcllp.vsjadon.com/upload/insp-207506-874.jpg">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8290112" y="72321925"/>
          <a:ext cx="1436582" cy="1912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401731</xdr:colOff>
      <xdr:row>321</xdr:row>
      <xdr:rowOff>155762</xdr:rowOff>
    </xdr:from>
    <xdr:to>
      <xdr:col>22</xdr:col>
      <xdr:colOff>5201</xdr:colOff>
      <xdr:row>331</xdr:row>
      <xdr:rowOff>67863</xdr:rowOff>
    </xdr:to>
    <xdr:pic>
      <xdr:nvPicPr>
        <xdr:cNvPr id="46" name="Picture 45" descr="https://vsjcllp.vsjadon.com/upload/insp-207506-1022.jpg">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1355481" y="72326687"/>
          <a:ext cx="1432270" cy="1912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148478</xdr:colOff>
      <xdr:row>308</xdr:row>
      <xdr:rowOff>90488</xdr:rowOff>
    </xdr:from>
    <xdr:to>
      <xdr:col>15</xdr:col>
      <xdr:colOff>151212</xdr:colOff>
      <xdr:row>321</xdr:row>
      <xdr:rowOff>52980</xdr:rowOff>
    </xdr:to>
    <xdr:pic>
      <xdr:nvPicPr>
        <xdr:cNvPr id="54" name="Picture 53" descr="https://vsjcllp.vsjadon.com/upload/insp-207506-928.jp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739778" y="69661088"/>
          <a:ext cx="1926784" cy="256281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400050</xdr:colOff>
      <xdr:row>290</xdr:row>
      <xdr:rowOff>47625</xdr:rowOff>
    </xdr:from>
    <xdr:to>
      <xdr:col>16</xdr:col>
      <xdr:colOff>534870</xdr:colOff>
      <xdr:row>307</xdr:row>
      <xdr:rowOff>195262</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7296150" y="61172725"/>
          <a:ext cx="2795470" cy="3494087"/>
          <a:chOff x="400050" y="66087251"/>
          <a:chExt cx="2661746" cy="3576637"/>
        </a:xfrm>
      </xdr:grpSpPr>
      <xdr:pic>
        <xdr:nvPicPr>
          <xdr:cNvPr id="56" name="Picture 55" descr="https://vsjcllp.vsjadon.com/upload/insp-207506-880.jp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00050" y="66087251"/>
            <a:ext cx="2661746" cy="3576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612962" y="66109103"/>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A</a:t>
            </a:r>
          </a:p>
        </xdr:txBody>
      </xdr:sp>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1524001" y="66473294"/>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B</a:t>
            </a:r>
          </a:p>
        </xdr:txBody>
      </xdr:sp>
    </xdr:grpSp>
    <xdr:clientData/>
  </xdr:twoCellAnchor>
  <xdr:twoCellAnchor>
    <xdr:from>
      <xdr:col>17</xdr:col>
      <xdr:colOff>76200</xdr:colOff>
      <xdr:row>290</xdr:row>
      <xdr:rowOff>42863</xdr:rowOff>
    </xdr:from>
    <xdr:to>
      <xdr:col>21</xdr:col>
      <xdr:colOff>306270</xdr:colOff>
      <xdr:row>307</xdr:row>
      <xdr:rowOff>190500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0274300" y="61167963"/>
          <a:ext cx="2795470" cy="3494087"/>
          <a:chOff x="3208804" y="66082489"/>
          <a:chExt cx="2681357" cy="3576637"/>
        </a:xfrm>
      </xdr:grpSpPr>
      <xdr:pic>
        <xdr:nvPicPr>
          <xdr:cNvPr id="41" name="Picture 40" descr="https://vsjcllp.vsjadon.com/upload/insp-207506-851.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208804" y="66082489"/>
            <a:ext cx="2681357" cy="3576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3465979" y="66866341"/>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B</a:t>
            </a:r>
          </a:p>
        </xdr:txBody>
      </xdr:sp>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4530538" y="67023223"/>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D</a:t>
            </a:r>
          </a:p>
        </xdr:txBody>
      </xdr:sp>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4100233" y="66783417"/>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C</a:t>
            </a:r>
          </a:p>
        </xdr:txBody>
      </xdr:sp>
    </xdr:grpSp>
    <xdr:clientData/>
  </xdr:twoCellAnchor>
  <xdr:twoCellAnchor>
    <xdr:from>
      <xdr:col>18</xdr:col>
      <xdr:colOff>502585</xdr:colOff>
      <xdr:row>308</xdr:row>
      <xdr:rowOff>97491</xdr:rowOff>
    </xdr:from>
    <xdr:to>
      <xdr:col>22</xdr:col>
      <xdr:colOff>43606</xdr:colOff>
      <xdr:row>321</xdr:row>
      <xdr:rowOff>38047</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1342035" y="64765891"/>
          <a:ext cx="2106421" cy="2499606"/>
          <a:chOff x="4247031" y="69767823"/>
          <a:chExt cx="1991187" cy="2562733"/>
        </a:xfrm>
      </xdr:grpSpPr>
      <xdr:pic>
        <xdr:nvPicPr>
          <xdr:cNvPr id="59" name="Picture 58" descr="https://vsjcllp.vsjadon.com/upload/insp-207506-883.jpg">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247031" y="69767823"/>
            <a:ext cx="1927411" cy="25627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4538384" y="69958323"/>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D</a:t>
            </a:r>
          </a:p>
        </xdr:txBody>
      </xdr:sp>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5520020" y="70368458"/>
            <a:ext cx="718198" cy="3140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SRA</a:t>
            </a:r>
          </a:p>
        </xdr:txBody>
      </xdr:sp>
    </xdr:grpSp>
    <xdr:clientData/>
  </xdr:twoCellAnchor>
  <xdr:twoCellAnchor>
    <xdr:from>
      <xdr:col>15</xdr:col>
      <xdr:colOff>281267</xdr:colOff>
      <xdr:row>308</xdr:row>
      <xdr:rowOff>95250</xdr:rowOff>
    </xdr:from>
    <xdr:to>
      <xdr:col>18</xdr:col>
      <xdr:colOff>378207</xdr:colOff>
      <xdr:row>321</xdr:row>
      <xdr:rowOff>57743</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9196667" y="64763650"/>
          <a:ext cx="2020990" cy="2521543"/>
          <a:chOff x="2201955" y="69765582"/>
          <a:chExt cx="1916776" cy="2584670"/>
        </a:xfrm>
      </xdr:grpSpPr>
      <xdr:pic>
        <xdr:nvPicPr>
          <xdr:cNvPr id="58" name="Picture 57" descr="https://vsjcllp.vsjadon.com/upload/insp-207506-1512.jp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2201955" y="69765582"/>
            <a:ext cx="1916776" cy="25846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2201955" y="69765582"/>
            <a:ext cx="718198" cy="314099"/>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1"/>
              <a:t>Wing E</a:t>
            </a:r>
          </a:p>
        </xdr:txBody>
      </xdr:sp>
    </xdr:grpSp>
    <xdr:clientData/>
  </xdr:twoCellAnchor>
  <xdr:twoCellAnchor>
    <xdr:from>
      <xdr:col>0</xdr:col>
      <xdr:colOff>95250</xdr:colOff>
      <xdr:row>287</xdr:row>
      <xdr:rowOff>82550</xdr:rowOff>
    </xdr:from>
    <xdr:to>
      <xdr:col>9</xdr:col>
      <xdr:colOff>160650</xdr:colOff>
      <xdr:row>327</xdr:row>
      <xdr:rowOff>97140</xdr:rowOff>
    </xdr:to>
    <xdr:grpSp>
      <xdr:nvGrpSpPr>
        <xdr:cNvPr id="4" name="Group 3"/>
        <xdr:cNvGrpSpPr/>
      </xdr:nvGrpSpPr>
      <xdr:grpSpPr>
        <a:xfrm>
          <a:off x="95250" y="60617100"/>
          <a:ext cx="6466200" cy="7888590"/>
          <a:chOff x="95250" y="60617100"/>
          <a:chExt cx="6466200" cy="7888590"/>
        </a:xfrm>
      </xdr:grpSpPr>
      <xdr:pic>
        <xdr:nvPicPr>
          <xdr:cNvPr id="42" name="Picture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401779" y="66345690"/>
            <a:ext cx="1624519" cy="2160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95250" y="60617100"/>
            <a:ext cx="2057724" cy="2736000"/>
          </a:xfrm>
          <a:prstGeom prst="rect">
            <a:avLst/>
          </a:prstGeom>
          <a:ln>
            <a:solidFill>
              <a:schemeClr val="tx1"/>
            </a:solidFill>
          </a:ln>
        </xdr:spPr>
      </xdr:pic>
      <xdr:pic>
        <xdr:nvPicPr>
          <xdr:cNvPr id="55" name="Picture 5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299488" y="60617100"/>
            <a:ext cx="2057724" cy="273600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503726" y="60617100"/>
            <a:ext cx="2057724" cy="2736000"/>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503726" y="63481395"/>
            <a:ext cx="2057724" cy="2736000"/>
          </a:xfrm>
          <a:prstGeom prst="rect">
            <a:avLst/>
          </a:prstGeom>
          <a:ln>
            <a:solidFill>
              <a:schemeClr val="tx1"/>
            </a:solidFill>
          </a:ln>
        </xdr:spPr>
      </xdr:pic>
      <xdr:pic>
        <xdr:nvPicPr>
          <xdr:cNvPr id="67" name="Picture 6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95250" y="63481395"/>
            <a:ext cx="2057724" cy="2736000"/>
          </a:xfrm>
          <a:prstGeom prst="rect">
            <a:avLst/>
          </a:prstGeom>
          <a:ln>
            <a:solidFill>
              <a:schemeClr val="tx1"/>
            </a:solidFill>
          </a:ln>
        </xdr:spPr>
      </xdr:pic>
      <xdr:pic>
        <xdr:nvPicPr>
          <xdr:cNvPr id="71" name="Picture 7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1630746" y="66345690"/>
            <a:ext cx="1624519" cy="2160000"/>
          </a:xfrm>
          <a:prstGeom prst="rect">
            <a:avLst/>
          </a:prstGeom>
          <a:ln>
            <a:solidFill>
              <a:schemeClr val="tx1"/>
            </a:solidFill>
          </a:ln>
        </xdr:spPr>
      </xdr:pic>
      <xdr:pic>
        <xdr:nvPicPr>
          <xdr:cNvPr id="72" name="Picture 7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2299488" y="63481395"/>
            <a:ext cx="2057724"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11</xdr:row>
      <xdr:rowOff>0</xdr:rowOff>
    </xdr:from>
    <xdr:to>
      <xdr:col>6</xdr:col>
      <xdr:colOff>354146</xdr:colOff>
      <xdr:row>29</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1026" y="2857500"/>
          <a:ext cx="6754945" cy="3600000"/>
        </a:xfrm>
        <a:prstGeom prst="rect">
          <a:avLst/>
        </a:prstGeom>
        <a:ln>
          <a:solidFill>
            <a:schemeClr val="tx1"/>
          </a:solidFill>
        </a:ln>
      </xdr:spPr>
    </xdr:pic>
    <xdr:clientData/>
  </xdr:twoCellAnchor>
  <xdr:twoCellAnchor editAs="oneCell">
    <xdr:from>
      <xdr:col>1</xdr:col>
      <xdr:colOff>33798</xdr:colOff>
      <xdr:row>30</xdr:row>
      <xdr:rowOff>37088</xdr:rowOff>
    </xdr:from>
    <xdr:to>
      <xdr:col>6</xdr:col>
      <xdr:colOff>387943</xdr:colOff>
      <xdr:row>49</xdr:row>
      <xdr:rowOff>17588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14823" y="6514088"/>
          <a:ext cx="6754945" cy="3600000"/>
        </a:xfrm>
        <a:prstGeom prst="rect">
          <a:avLst/>
        </a:prstGeom>
        <a:ln>
          <a:solidFill>
            <a:schemeClr val="tx1"/>
          </a:solidFill>
        </a:ln>
      </xdr:spPr>
    </xdr:pic>
    <xdr:clientData/>
  </xdr:twoCellAnchor>
  <xdr:twoCellAnchor editAs="oneCell">
    <xdr:from>
      <xdr:col>1</xdr:col>
      <xdr:colOff>0</xdr:colOff>
      <xdr:row>50</xdr:row>
      <xdr:rowOff>37088</xdr:rowOff>
    </xdr:from>
    <xdr:to>
      <xdr:col>6</xdr:col>
      <xdr:colOff>354145</xdr:colOff>
      <xdr:row>69</xdr:row>
      <xdr:rowOff>17588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581025" y="10324088"/>
          <a:ext cx="6754945" cy="3600000"/>
        </a:xfrm>
        <a:prstGeom prst="rect">
          <a:avLst/>
        </a:prstGeom>
        <a:ln>
          <a:solidFill>
            <a:schemeClr val="tx1"/>
          </a:solidFill>
        </a:ln>
      </xdr:spPr>
    </xdr:pic>
    <xdr:clientData/>
  </xdr:twoCellAnchor>
  <xdr:twoCellAnchor editAs="oneCell">
    <xdr:from>
      <xdr:col>5</xdr:col>
      <xdr:colOff>542926</xdr:colOff>
      <xdr:row>10</xdr:row>
      <xdr:rowOff>161925</xdr:rowOff>
    </xdr:from>
    <xdr:to>
      <xdr:col>14</xdr:col>
      <xdr:colOff>97576</xdr:colOff>
      <xdr:row>29</xdr:row>
      <xdr:rowOff>142425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6591301" y="2066925"/>
          <a:ext cx="6403125" cy="3600000"/>
        </a:xfrm>
        <a:prstGeom prst="rect">
          <a:avLst/>
        </a:prstGeom>
      </xdr:spPr>
    </xdr:pic>
    <xdr:clientData/>
  </xdr:twoCellAnchor>
  <xdr:twoCellAnchor editAs="oneCell">
    <xdr:from>
      <xdr:col>5</xdr:col>
      <xdr:colOff>542926</xdr:colOff>
      <xdr:row>30</xdr:row>
      <xdr:rowOff>19050</xdr:rowOff>
    </xdr:from>
    <xdr:to>
      <xdr:col>14</xdr:col>
      <xdr:colOff>97576</xdr:colOff>
      <xdr:row>48</xdr:row>
      <xdr:rowOff>190050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591301" y="5734050"/>
          <a:ext cx="6403125" cy="3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8</xdr:col>
      <xdr:colOff>46893</xdr:colOff>
      <xdr:row>22</xdr:row>
      <xdr:rowOff>114300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24358" t="15339" r="15642" b="4394"/>
        <a:stretch/>
      </xdr:blipFill>
      <xdr:spPr>
        <a:xfrm rot="16200000">
          <a:off x="1595072" y="700453"/>
          <a:ext cx="4114800" cy="309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26</xdr:row>
      <xdr:rowOff>0</xdr:rowOff>
    </xdr:from>
    <xdr:to>
      <xdr:col>7</xdr:col>
      <xdr:colOff>293775</xdr:colOff>
      <xdr:row>37</xdr:row>
      <xdr:rowOff>64500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25" y="3238500"/>
          <a:ext cx="1617750" cy="2160000"/>
        </a:xfrm>
        <a:prstGeom prst="rect">
          <a:avLst/>
        </a:prstGeom>
        <a:ln>
          <a:solidFill>
            <a:schemeClr val="tx1"/>
          </a:solidFill>
        </a:ln>
      </xdr:spPr>
    </xdr:pic>
    <xdr:clientData/>
  </xdr:twoCellAnchor>
  <xdr:twoCellAnchor editAs="oneCell">
    <xdr:from>
      <xdr:col>7</xdr:col>
      <xdr:colOff>434516</xdr:colOff>
      <xdr:row>26</xdr:row>
      <xdr:rowOff>0</xdr:rowOff>
    </xdr:from>
    <xdr:to>
      <xdr:col>9</xdr:col>
      <xdr:colOff>328241</xdr:colOff>
      <xdr:row>37</xdr:row>
      <xdr:rowOff>64500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06616" y="3238500"/>
          <a:ext cx="1617750"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hd7QyAFj7XsGhct47?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4"/>
  <sheetViews>
    <sheetView tabSelected="1" view="pageBreakPreview" topLeftCell="A89" zoomScaleNormal="100" zoomScaleSheetLayoutView="100" zoomScalePageLayoutView="85" workbookViewId="0">
      <selection activeCell="A92" sqref="A90:J104"/>
    </sheetView>
  </sheetViews>
  <sheetFormatPr defaultRowHeight="15.5" x14ac:dyDescent="0.35"/>
  <cols>
    <col min="1" max="1" width="14.1796875" style="11" customWidth="1"/>
    <col min="2" max="2" width="11.26953125" style="11" customWidth="1"/>
    <col min="3" max="3" width="14" style="11" customWidth="1"/>
    <col min="4" max="4" width="7.26953125" style="11" customWidth="1"/>
    <col min="5" max="5" width="5.54296875" style="11" customWidth="1"/>
    <col min="6" max="6" width="9.81640625" style="11" customWidth="1"/>
    <col min="7" max="7" width="9" style="11" customWidth="1"/>
    <col min="8" max="8" width="10" style="11" customWidth="1"/>
    <col min="9" max="9" width="10.54296875" style="11" customWidth="1"/>
    <col min="10" max="11" width="3.54296875" style="11" customWidth="1"/>
    <col min="12" max="12" width="10.54296875" style="11" bestFit="1" customWidth="1"/>
    <col min="13" max="13" width="9.1796875" style="11"/>
    <col min="14" max="14" width="0" style="11" hidden="1" customWidth="1"/>
    <col min="15" max="256" width="9.1796875" style="11"/>
    <col min="257" max="257" width="8.7265625" style="11" customWidth="1"/>
    <col min="258" max="258" width="9.81640625" style="11" customWidth="1"/>
    <col min="259" max="259" width="14.453125" style="11" customWidth="1"/>
    <col min="260" max="260" width="7.26953125" style="11" customWidth="1"/>
    <col min="261" max="261" width="5.54296875" style="11" customWidth="1"/>
    <col min="262" max="262" width="9" style="11" customWidth="1"/>
    <col min="263" max="264" width="9.81640625" style="11" customWidth="1"/>
    <col min="265" max="265" width="11.1796875" style="11" customWidth="1"/>
    <col min="266" max="266" width="2.81640625" style="11" customWidth="1"/>
    <col min="267" max="267" width="3.54296875" style="11" customWidth="1"/>
    <col min="268" max="512" width="9.1796875" style="11"/>
    <col min="513" max="513" width="8.7265625" style="11" customWidth="1"/>
    <col min="514" max="514" width="9.81640625" style="11" customWidth="1"/>
    <col min="515" max="515" width="14.453125" style="11" customWidth="1"/>
    <col min="516" max="516" width="7.26953125" style="11" customWidth="1"/>
    <col min="517" max="517" width="5.54296875" style="11" customWidth="1"/>
    <col min="518" max="518" width="9" style="11" customWidth="1"/>
    <col min="519" max="520" width="9.81640625" style="11" customWidth="1"/>
    <col min="521" max="521" width="11.1796875" style="11" customWidth="1"/>
    <col min="522" max="522" width="2.81640625" style="11" customWidth="1"/>
    <col min="523" max="523" width="3.54296875" style="11" customWidth="1"/>
    <col min="524" max="768" width="9.1796875" style="11"/>
    <col min="769" max="769" width="8.7265625" style="11" customWidth="1"/>
    <col min="770" max="770" width="9.81640625" style="11" customWidth="1"/>
    <col min="771" max="771" width="14.453125" style="11" customWidth="1"/>
    <col min="772" max="772" width="7.26953125" style="11" customWidth="1"/>
    <col min="773" max="773" width="5.54296875" style="11" customWidth="1"/>
    <col min="774" max="774" width="9" style="11" customWidth="1"/>
    <col min="775" max="776" width="9.81640625" style="11" customWidth="1"/>
    <col min="777" max="777" width="11.1796875" style="11" customWidth="1"/>
    <col min="778" max="778" width="2.81640625" style="11" customWidth="1"/>
    <col min="779" max="779" width="3.54296875" style="11" customWidth="1"/>
    <col min="780" max="1024" width="9.1796875" style="11"/>
    <col min="1025" max="1025" width="8.7265625" style="11" customWidth="1"/>
    <col min="1026" max="1026" width="9.81640625" style="11" customWidth="1"/>
    <col min="1027" max="1027" width="14.453125" style="11" customWidth="1"/>
    <col min="1028" max="1028" width="7.26953125" style="11" customWidth="1"/>
    <col min="1029" max="1029" width="5.54296875" style="11" customWidth="1"/>
    <col min="1030" max="1030" width="9" style="11" customWidth="1"/>
    <col min="1031" max="1032" width="9.81640625" style="11" customWidth="1"/>
    <col min="1033" max="1033" width="11.1796875" style="11" customWidth="1"/>
    <col min="1034" max="1034" width="2.81640625" style="11" customWidth="1"/>
    <col min="1035" max="1035" width="3.54296875" style="11" customWidth="1"/>
    <col min="1036" max="1280" width="9.1796875" style="11"/>
    <col min="1281" max="1281" width="8.7265625" style="11" customWidth="1"/>
    <col min="1282" max="1282" width="9.81640625" style="11" customWidth="1"/>
    <col min="1283" max="1283" width="14.453125" style="11" customWidth="1"/>
    <col min="1284" max="1284" width="7.26953125" style="11" customWidth="1"/>
    <col min="1285" max="1285" width="5.54296875" style="11" customWidth="1"/>
    <col min="1286" max="1286" width="9" style="11" customWidth="1"/>
    <col min="1287" max="1288" width="9.81640625" style="11" customWidth="1"/>
    <col min="1289" max="1289" width="11.1796875" style="11" customWidth="1"/>
    <col min="1290" max="1290" width="2.81640625" style="11" customWidth="1"/>
    <col min="1291" max="1291" width="3.54296875" style="11" customWidth="1"/>
    <col min="1292" max="1536" width="9.1796875" style="11"/>
    <col min="1537" max="1537" width="8.7265625" style="11" customWidth="1"/>
    <col min="1538" max="1538" width="9.81640625" style="11" customWidth="1"/>
    <col min="1539" max="1539" width="14.453125" style="11" customWidth="1"/>
    <col min="1540" max="1540" width="7.26953125" style="11" customWidth="1"/>
    <col min="1541" max="1541" width="5.54296875" style="11" customWidth="1"/>
    <col min="1542" max="1542" width="9" style="11" customWidth="1"/>
    <col min="1543" max="1544" width="9.81640625" style="11" customWidth="1"/>
    <col min="1545" max="1545" width="11.1796875" style="11" customWidth="1"/>
    <col min="1546" max="1546" width="2.81640625" style="11" customWidth="1"/>
    <col min="1547" max="1547" width="3.54296875" style="11" customWidth="1"/>
    <col min="1548" max="1792" width="9.1796875" style="11"/>
    <col min="1793" max="1793" width="8.7265625" style="11" customWidth="1"/>
    <col min="1794" max="1794" width="9.81640625" style="11" customWidth="1"/>
    <col min="1795" max="1795" width="14.453125" style="11" customWidth="1"/>
    <col min="1796" max="1796" width="7.26953125" style="11" customWidth="1"/>
    <col min="1797" max="1797" width="5.54296875" style="11" customWidth="1"/>
    <col min="1798" max="1798" width="9" style="11" customWidth="1"/>
    <col min="1799" max="1800" width="9.81640625" style="11" customWidth="1"/>
    <col min="1801" max="1801" width="11.1796875" style="11" customWidth="1"/>
    <col min="1802" max="1802" width="2.81640625" style="11" customWidth="1"/>
    <col min="1803" max="1803" width="3.54296875" style="11" customWidth="1"/>
    <col min="1804" max="2048" width="9.1796875" style="11"/>
    <col min="2049" max="2049" width="8.7265625" style="11" customWidth="1"/>
    <col min="2050" max="2050" width="9.81640625" style="11" customWidth="1"/>
    <col min="2051" max="2051" width="14.453125" style="11" customWidth="1"/>
    <col min="2052" max="2052" width="7.26953125" style="11" customWidth="1"/>
    <col min="2053" max="2053" width="5.54296875" style="11" customWidth="1"/>
    <col min="2054" max="2054" width="9" style="11" customWidth="1"/>
    <col min="2055" max="2056" width="9.81640625" style="11" customWidth="1"/>
    <col min="2057" max="2057" width="11.1796875" style="11" customWidth="1"/>
    <col min="2058" max="2058" width="2.81640625" style="11" customWidth="1"/>
    <col min="2059" max="2059" width="3.54296875" style="11" customWidth="1"/>
    <col min="2060" max="2304" width="9.1796875" style="11"/>
    <col min="2305" max="2305" width="8.7265625" style="11" customWidth="1"/>
    <col min="2306" max="2306" width="9.81640625" style="11" customWidth="1"/>
    <col min="2307" max="2307" width="14.453125" style="11" customWidth="1"/>
    <col min="2308" max="2308" width="7.26953125" style="11" customWidth="1"/>
    <col min="2309" max="2309" width="5.54296875" style="11" customWidth="1"/>
    <col min="2310" max="2310" width="9" style="11" customWidth="1"/>
    <col min="2311" max="2312" width="9.81640625" style="11" customWidth="1"/>
    <col min="2313" max="2313" width="11.1796875" style="11" customWidth="1"/>
    <col min="2314" max="2314" width="2.81640625" style="11" customWidth="1"/>
    <col min="2315" max="2315" width="3.54296875" style="11" customWidth="1"/>
    <col min="2316" max="2560" width="9.1796875" style="11"/>
    <col min="2561" max="2561" width="8.7265625" style="11" customWidth="1"/>
    <col min="2562" max="2562" width="9.81640625" style="11" customWidth="1"/>
    <col min="2563" max="2563" width="14.453125" style="11" customWidth="1"/>
    <col min="2564" max="2564" width="7.26953125" style="11" customWidth="1"/>
    <col min="2565" max="2565" width="5.54296875" style="11" customWidth="1"/>
    <col min="2566" max="2566" width="9" style="11" customWidth="1"/>
    <col min="2567" max="2568" width="9.81640625" style="11" customWidth="1"/>
    <col min="2569" max="2569" width="11.1796875" style="11" customWidth="1"/>
    <col min="2570" max="2570" width="2.81640625" style="11" customWidth="1"/>
    <col min="2571" max="2571" width="3.54296875" style="11" customWidth="1"/>
    <col min="2572" max="2816" width="9.1796875" style="11"/>
    <col min="2817" max="2817" width="8.7265625" style="11" customWidth="1"/>
    <col min="2818" max="2818" width="9.81640625" style="11" customWidth="1"/>
    <col min="2819" max="2819" width="14.453125" style="11" customWidth="1"/>
    <col min="2820" max="2820" width="7.26953125" style="11" customWidth="1"/>
    <col min="2821" max="2821" width="5.54296875" style="11" customWidth="1"/>
    <col min="2822" max="2822" width="9" style="11" customWidth="1"/>
    <col min="2823" max="2824" width="9.81640625" style="11" customWidth="1"/>
    <col min="2825" max="2825" width="11.1796875" style="11" customWidth="1"/>
    <col min="2826" max="2826" width="2.81640625" style="11" customWidth="1"/>
    <col min="2827" max="2827" width="3.54296875" style="11" customWidth="1"/>
    <col min="2828" max="3072" width="9.1796875" style="11"/>
    <col min="3073" max="3073" width="8.7265625" style="11" customWidth="1"/>
    <col min="3074" max="3074" width="9.81640625" style="11" customWidth="1"/>
    <col min="3075" max="3075" width="14.453125" style="11" customWidth="1"/>
    <col min="3076" max="3076" width="7.26953125" style="11" customWidth="1"/>
    <col min="3077" max="3077" width="5.54296875" style="11" customWidth="1"/>
    <col min="3078" max="3078" width="9" style="11" customWidth="1"/>
    <col min="3079" max="3080" width="9.81640625" style="11" customWidth="1"/>
    <col min="3081" max="3081" width="11.1796875" style="11" customWidth="1"/>
    <col min="3082" max="3082" width="2.81640625" style="11" customWidth="1"/>
    <col min="3083" max="3083" width="3.54296875" style="11" customWidth="1"/>
    <col min="3084" max="3328" width="9.1796875" style="11"/>
    <col min="3329" max="3329" width="8.7265625" style="11" customWidth="1"/>
    <col min="3330" max="3330" width="9.81640625" style="11" customWidth="1"/>
    <col min="3331" max="3331" width="14.453125" style="11" customWidth="1"/>
    <col min="3332" max="3332" width="7.26953125" style="11" customWidth="1"/>
    <col min="3333" max="3333" width="5.54296875" style="11" customWidth="1"/>
    <col min="3334" max="3334" width="9" style="11" customWidth="1"/>
    <col min="3335" max="3336" width="9.81640625" style="11" customWidth="1"/>
    <col min="3337" max="3337" width="11.1796875" style="11" customWidth="1"/>
    <col min="3338" max="3338" width="2.81640625" style="11" customWidth="1"/>
    <col min="3339" max="3339" width="3.54296875" style="11" customWidth="1"/>
    <col min="3340" max="3584" width="9.1796875" style="11"/>
    <col min="3585" max="3585" width="8.7265625" style="11" customWidth="1"/>
    <col min="3586" max="3586" width="9.81640625" style="11" customWidth="1"/>
    <col min="3587" max="3587" width="14.453125" style="11" customWidth="1"/>
    <col min="3588" max="3588" width="7.26953125" style="11" customWidth="1"/>
    <col min="3589" max="3589" width="5.54296875" style="11" customWidth="1"/>
    <col min="3590" max="3590" width="9" style="11" customWidth="1"/>
    <col min="3591" max="3592" width="9.81640625" style="11" customWidth="1"/>
    <col min="3593" max="3593" width="11.1796875" style="11" customWidth="1"/>
    <col min="3594" max="3594" width="2.81640625" style="11" customWidth="1"/>
    <col min="3595" max="3595" width="3.54296875" style="11" customWidth="1"/>
    <col min="3596" max="3840" width="9.1796875" style="11"/>
    <col min="3841" max="3841" width="8.7265625" style="11" customWidth="1"/>
    <col min="3842" max="3842" width="9.81640625" style="11" customWidth="1"/>
    <col min="3843" max="3843" width="14.453125" style="11" customWidth="1"/>
    <col min="3844" max="3844" width="7.26953125" style="11" customWidth="1"/>
    <col min="3845" max="3845" width="5.54296875" style="11" customWidth="1"/>
    <col min="3846" max="3846" width="9" style="11" customWidth="1"/>
    <col min="3847" max="3848" width="9.81640625" style="11" customWidth="1"/>
    <col min="3849" max="3849" width="11.1796875" style="11" customWidth="1"/>
    <col min="3850" max="3850" width="2.81640625" style="11" customWidth="1"/>
    <col min="3851" max="3851" width="3.54296875" style="11" customWidth="1"/>
    <col min="3852" max="4096" width="9.1796875" style="11"/>
    <col min="4097" max="4097" width="8.7265625" style="11" customWidth="1"/>
    <col min="4098" max="4098" width="9.81640625" style="11" customWidth="1"/>
    <col min="4099" max="4099" width="14.453125" style="11" customWidth="1"/>
    <col min="4100" max="4100" width="7.26953125" style="11" customWidth="1"/>
    <col min="4101" max="4101" width="5.54296875" style="11" customWidth="1"/>
    <col min="4102" max="4102" width="9" style="11" customWidth="1"/>
    <col min="4103" max="4104" width="9.81640625" style="11" customWidth="1"/>
    <col min="4105" max="4105" width="11.1796875" style="11" customWidth="1"/>
    <col min="4106" max="4106" width="2.81640625" style="11" customWidth="1"/>
    <col min="4107" max="4107" width="3.54296875" style="11" customWidth="1"/>
    <col min="4108" max="4352" width="9.1796875" style="11"/>
    <col min="4353" max="4353" width="8.7265625" style="11" customWidth="1"/>
    <col min="4354" max="4354" width="9.81640625" style="11" customWidth="1"/>
    <col min="4355" max="4355" width="14.453125" style="11" customWidth="1"/>
    <col min="4356" max="4356" width="7.26953125" style="11" customWidth="1"/>
    <col min="4357" max="4357" width="5.54296875" style="11" customWidth="1"/>
    <col min="4358" max="4358" width="9" style="11" customWidth="1"/>
    <col min="4359" max="4360" width="9.81640625" style="11" customWidth="1"/>
    <col min="4361" max="4361" width="11.1796875" style="11" customWidth="1"/>
    <col min="4362" max="4362" width="2.81640625" style="11" customWidth="1"/>
    <col min="4363" max="4363" width="3.54296875" style="11" customWidth="1"/>
    <col min="4364" max="4608" width="9.1796875" style="11"/>
    <col min="4609" max="4609" width="8.7265625" style="11" customWidth="1"/>
    <col min="4610" max="4610" width="9.81640625" style="11" customWidth="1"/>
    <col min="4611" max="4611" width="14.453125" style="11" customWidth="1"/>
    <col min="4612" max="4612" width="7.26953125" style="11" customWidth="1"/>
    <col min="4613" max="4613" width="5.54296875" style="11" customWidth="1"/>
    <col min="4614" max="4614" width="9" style="11" customWidth="1"/>
    <col min="4615" max="4616" width="9.81640625" style="11" customWidth="1"/>
    <col min="4617" max="4617" width="11.1796875" style="11" customWidth="1"/>
    <col min="4618" max="4618" width="2.81640625" style="11" customWidth="1"/>
    <col min="4619" max="4619" width="3.54296875" style="11" customWidth="1"/>
    <col min="4620" max="4864" width="9.1796875" style="11"/>
    <col min="4865" max="4865" width="8.7265625" style="11" customWidth="1"/>
    <col min="4866" max="4866" width="9.81640625" style="11" customWidth="1"/>
    <col min="4867" max="4867" width="14.453125" style="11" customWidth="1"/>
    <col min="4868" max="4868" width="7.26953125" style="11" customWidth="1"/>
    <col min="4869" max="4869" width="5.54296875" style="11" customWidth="1"/>
    <col min="4870" max="4870" width="9" style="11" customWidth="1"/>
    <col min="4871" max="4872" width="9.81640625" style="11" customWidth="1"/>
    <col min="4873" max="4873" width="11.1796875" style="11" customWidth="1"/>
    <col min="4874" max="4874" width="2.81640625" style="11" customWidth="1"/>
    <col min="4875" max="4875" width="3.54296875" style="11" customWidth="1"/>
    <col min="4876" max="5120" width="9.1796875" style="11"/>
    <col min="5121" max="5121" width="8.7265625" style="11" customWidth="1"/>
    <col min="5122" max="5122" width="9.81640625" style="11" customWidth="1"/>
    <col min="5123" max="5123" width="14.453125" style="11" customWidth="1"/>
    <col min="5124" max="5124" width="7.26953125" style="11" customWidth="1"/>
    <col min="5125" max="5125" width="5.54296875" style="11" customWidth="1"/>
    <col min="5126" max="5126" width="9" style="11" customWidth="1"/>
    <col min="5127" max="5128" width="9.81640625" style="11" customWidth="1"/>
    <col min="5129" max="5129" width="11.1796875" style="11" customWidth="1"/>
    <col min="5130" max="5130" width="2.81640625" style="11" customWidth="1"/>
    <col min="5131" max="5131" width="3.54296875" style="11" customWidth="1"/>
    <col min="5132" max="5376" width="9.1796875" style="11"/>
    <col min="5377" max="5377" width="8.7265625" style="11" customWidth="1"/>
    <col min="5378" max="5378" width="9.81640625" style="11" customWidth="1"/>
    <col min="5379" max="5379" width="14.453125" style="11" customWidth="1"/>
    <col min="5380" max="5380" width="7.26953125" style="11" customWidth="1"/>
    <col min="5381" max="5381" width="5.54296875" style="11" customWidth="1"/>
    <col min="5382" max="5382" width="9" style="11" customWidth="1"/>
    <col min="5383" max="5384" width="9.81640625" style="11" customWidth="1"/>
    <col min="5385" max="5385" width="11.1796875" style="11" customWidth="1"/>
    <col min="5386" max="5386" width="2.81640625" style="11" customWidth="1"/>
    <col min="5387" max="5387" width="3.54296875" style="11" customWidth="1"/>
    <col min="5388" max="5632" width="9.1796875" style="11"/>
    <col min="5633" max="5633" width="8.7265625" style="11" customWidth="1"/>
    <col min="5634" max="5634" width="9.81640625" style="11" customWidth="1"/>
    <col min="5635" max="5635" width="14.453125" style="11" customWidth="1"/>
    <col min="5636" max="5636" width="7.26953125" style="11" customWidth="1"/>
    <col min="5637" max="5637" width="5.54296875" style="11" customWidth="1"/>
    <col min="5638" max="5638" width="9" style="11" customWidth="1"/>
    <col min="5639" max="5640" width="9.81640625" style="11" customWidth="1"/>
    <col min="5641" max="5641" width="11.1796875" style="11" customWidth="1"/>
    <col min="5642" max="5642" width="2.81640625" style="11" customWidth="1"/>
    <col min="5643" max="5643" width="3.54296875" style="11" customWidth="1"/>
    <col min="5644" max="5888" width="9.1796875" style="11"/>
    <col min="5889" max="5889" width="8.7265625" style="11" customWidth="1"/>
    <col min="5890" max="5890" width="9.81640625" style="11" customWidth="1"/>
    <col min="5891" max="5891" width="14.453125" style="11" customWidth="1"/>
    <col min="5892" max="5892" width="7.26953125" style="11" customWidth="1"/>
    <col min="5893" max="5893" width="5.54296875" style="11" customWidth="1"/>
    <col min="5894" max="5894" width="9" style="11" customWidth="1"/>
    <col min="5895" max="5896" width="9.81640625" style="11" customWidth="1"/>
    <col min="5897" max="5897" width="11.1796875" style="11" customWidth="1"/>
    <col min="5898" max="5898" width="2.81640625" style="11" customWidth="1"/>
    <col min="5899" max="5899" width="3.54296875" style="11" customWidth="1"/>
    <col min="5900" max="6144" width="9.1796875" style="11"/>
    <col min="6145" max="6145" width="8.7265625" style="11" customWidth="1"/>
    <col min="6146" max="6146" width="9.81640625" style="11" customWidth="1"/>
    <col min="6147" max="6147" width="14.453125" style="11" customWidth="1"/>
    <col min="6148" max="6148" width="7.26953125" style="11" customWidth="1"/>
    <col min="6149" max="6149" width="5.54296875" style="11" customWidth="1"/>
    <col min="6150" max="6150" width="9" style="11" customWidth="1"/>
    <col min="6151" max="6152" width="9.81640625" style="11" customWidth="1"/>
    <col min="6153" max="6153" width="11.1796875" style="11" customWidth="1"/>
    <col min="6154" max="6154" width="2.81640625" style="11" customWidth="1"/>
    <col min="6155" max="6155" width="3.54296875" style="11" customWidth="1"/>
    <col min="6156" max="6400" width="9.1796875" style="11"/>
    <col min="6401" max="6401" width="8.7265625" style="11" customWidth="1"/>
    <col min="6402" max="6402" width="9.81640625" style="11" customWidth="1"/>
    <col min="6403" max="6403" width="14.453125" style="11" customWidth="1"/>
    <col min="6404" max="6404" width="7.26953125" style="11" customWidth="1"/>
    <col min="6405" max="6405" width="5.54296875" style="11" customWidth="1"/>
    <col min="6406" max="6406" width="9" style="11" customWidth="1"/>
    <col min="6407" max="6408" width="9.81640625" style="11" customWidth="1"/>
    <col min="6409" max="6409" width="11.1796875" style="11" customWidth="1"/>
    <col min="6410" max="6410" width="2.81640625" style="11" customWidth="1"/>
    <col min="6411" max="6411" width="3.54296875" style="11" customWidth="1"/>
    <col min="6412" max="6656" width="9.1796875" style="11"/>
    <col min="6657" max="6657" width="8.7265625" style="11" customWidth="1"/>
    <col min="6658" max="6658" width="9.81640625" style="11" customWidth="1"/>
    <col min="6659" max="6659" width="14.453125" style="11" customWidth="1"/>
    <col min="6660" max="6660" width="7.26953125" style="11" customWidth="1"/>
    <col min="6661" max="6661" width="5.54296875" style="11" customWidth="1"/>
    <col min="6662" max="6662" width="9" style="11" customWidth="1"/>
    <col min="6663" max="6664" width="9.81640625" style="11" customWidth="1"/>
    <col min="6665" max="6665" width="11.1796875" style="11" customWidth="1"/>
    <col min="6666" max="6666" width="2.81640625" style="11" customWidth="1"/>
    <col min="6667" max="6667" width="3.54296875" style="11" customWidth="1"/>
    <col min="6668" max="6912" width="9.1796875" style="11"/>
    <col min="6913" max="6913" width="8.7265625" style="11" customWidth="1"/>
    <col min="6914" max="6914" width="9.81640625" style="11" customWidth="1"/>
    <col min="6915" max="6915" width="14.453125" style="11" customWidth="1"/>
    <col min="6916" max="6916" width="7.26953125" style="11" customWidth="1"/>
    <col min="6917" max="6917" width="5.54296875" style="11" customWidth="1"/>
    <col min="6918" max="6918" width="9" style="11" customWidth="1"/>
    <col min="6919" max="6920" width="9.81640625" style="11" customWidth="1"/>
    <col min="6921" max="6921" width="11.1796875" style="11" customWidth="1"/>
    <col min="6922" max="6922" width="2.81640625" style="11" customWidth="1"/>
    <col min="6923" max="6923" width="3.54296875" style="11" customWidth="1"/>
    <col min="6924" max="7168" width="9.1796875" style="11"/>
    <col min="7169" max="7169" width="8.7265625" style="11" customWidth="1"/>
    <col min="7170" max="7170" width="9.81640625" style="11" customWidth="1"/>
    <col min="7171" max="7171" width="14.453125" style="11" customWidth="1"/>
    <col min="7172" max="7172" width="7.26953125" style="11" customWidth="1"/>
    <col min="7173" max="7173" width="5.54296875" style="11" customWidth="1"/>
    <col min="7174" max="7174" width="9" style="11" customWidth="1"/>
    <col min="7175" max="7176" width="9.81640625" style="11" customWidth="1"/>
    <col min="7177" max="7177" width="11.1796875" style="11" customWidth="1"/>
    <col min="7178" max="7178" width="2.81640625" style="11" customWidth="1"/>
    <col min="7179" max="7179" width="3.54296875" style="11" customWidth="1"/>
    <col min="7180" max="7424" width="9.1796875" style="11"/>
    <col min="7425" max="7425" width="8.7265625" style="11" customWidth="1"/>
    <col min="7426" max="7426" width="9.81640625" style="11" customWidth="1"/>
    <col min="7427" max="7427" width="14.453125" style="11" customWidth="1"/>
    <col min="7428" max="7428" width="7.26953125" style="11" customWidth="1"/>
    <col min="7429" max="7429" width="5.54296875" style="11" customWidth="1"/>
    <col min="7430" max="7430" width="9" style="11" customWidth="1"/>
    <col min="7431" max="7432" width="9.81640625" style="11" customWidth="1"/>
    <col min="7433" max="7433" width="11.1796875" style="11" customWidth="1"/>
    <col min="7434" max="7434" width="2.81640625" style="11" customWidth="1"/>
    <col min="7435" max="7435" width="3.54296875" style="11" customWidth="1"/>
    <col min="7436" max="7680" width="9.1796875" style="11"/>
    <col min="7681" max="7681" width="8.7265625" style="11" customWidth="1"/>
    <col min="7682" max="7682" width="9.81640625" style="11" customWidth="1"/>
    <col min="7683" max="7683" width="14.453125" style="11" customWidth="1"/>
    <col min="7684" max="7684" width="7.26953125" style="11" customWidth="1"/>
    <col min="7685" max="7685" width="5.54296875" style="11" customWidth="1"/>
    <col min="7686" max="7686" width="9" style="11" customWidth="1"/>
    <col min="7687" max="7688" width="9.81640625" style="11" customWidth="1"/>
    <col min="7689" max="7689" width="11.1796875" style="11" customWidth="1"/>
    <col min="7690" max="7690" width="2.81640625" style="11" customWidth="1"/>
    <col min="7691" max="7691" width="3.54296875" style="11" customWidth="1"/>
    <col min="7692" max="7936" width="9.1796875" style="11"/>
    <col min="7937" max="7937" width="8.7265625" style="11" customWidth="1"/>
    <col min="7938" max="7938" width="9.81640625" style="11" customWidth="1"/>
    <col min="7939" max="7939" width="14.453125" style="11" customWidth="1"/>
    <col min="7940" max="7940" width="7.26953125" style="11" customWidth="1"/>
    <col min="7941" max="7941" width="5.54296875" style="11" customWidth="1"/>
    <col min="7942" max="7942" width="9" style="11" customWidth="1"/>
    <col min="7943" max="7944" width="9.81640625" style="11" customWidth="1"/>
    <col min="7945" max="7945" width="11.1796875" style="11" customWidth="1"/>
    <col min="7946" max="7946" width="2.81640625" style="11" customWidth="1"/>
    <col min="7947" max="7947" width="3.54296875" style="11" customWidth="1"/>
    <col min="7948" max="8192" width="9.1796875" style="11"/>
    <col min="8193" max="8193" width="8.7265625" style="11" customWidth="1"/>
    <col min="8194" max="8194" width="9.81640625" style="11" customWidth="1"/>
    <col min="8195" max="8195" width="14.453125" style="11" customWidth="1"/>
    <col min="8196" max="8196" width="7.26953125" style="11" customWidth="1"/>
    <col min="8197" max="8197" width="5.54296875" style="11" customWidth="1"/>
    <col min="8198" max="8198" width="9" style="11" customWidth="1"/>
    <col min="8199" max="8200" width="9.81640625" style="11" customWidth="1"/>
    <col min="8201" max="8201" width="11.1796875" style="11" customWidth="1"/>
    <col min="8202" max="8202" width="2.81640625" style="11" customWidth="1"/>
    <col min="8203" max="8203" width="3.54296875" style="11" customWidth="1"/>
    <col min="8204" max="8448" width="9.1796875" style="11"/>
    <col min="8449" max="8449" width="8.7265625" style="11" customWidth="1"/>
    <col min="8450" max="8450" width="9.81640625" style="11" customWidth="1"/>
    <col min="8451" max="8451" width="14.453125" style="11" customWidth="1"/>
    <col min="8452" max="8452" width="7.26953125" style="11" customWidth="1"/>
    <col min="8453" max="8453" width="5.54296875" style="11" customWidth="1"/>
    <col min="8454" max="8454" width="9" style="11" customWidth="1"/>
    <col min="8455" max="8456" width="9.81640625" style="11" customWidth="1"/>
    <col min="8457" max="8457" width="11.1796875" style="11" customWidth="1"/>
    <col min="8458" max="8458" width="2.81640625" style="11" customWidth="1"/>
    <col min="8459" max="8459" width="3.54296875" style="11" customWidth="1"/>
    <col min="8460" max="8704" width="9.1796875" style="11"/>
    <col min="8705" max="8705" width="8.7265625" style="11" customWidth="1"/>
    <col min="8706" max="8706" width="9.81640625" style="11" customWidth="1"/>
    <col min="8707" max="8707" width="14.453125" style="11" customWidth="1"/>
    <col min="8708" max="8708" width="7.26953125" style="11" customWidth="1"/>
    <col min="8709" max="8709" width="5.54296875" style="11" customWidth="1"/>
    <col min="8710" max="8710" width="9" style="11" customWidth="1"/>
    <col min="8711" max="8712" width="9.81640625" style="11" customWidth="1"/>
    <col min="8713" max="8713" width="11.1796875" style="11" customWidth="1"/>
    <col min="8714" max="8714" width="2.81640625" style="11" customWidth="1"/>
    <col min="8715" max="8715" width="3.54296875" style="11" customWidth="1"/>
    <col min="8716" max="8960" width="9.1796875" style="11"/>
    <col min="8961" max="8961" width="8.7265625" style="11" customWidth="1"/>
    <col min="8962" max="8962" width="9.81640625" style="11" customWidth="1"/>
    <col min="8963" max="8963" width="14.453125" style="11" customWidth="1"/>
    <col min="8964" max="8964" width="7.26953125" style="11" customWidth="1"/>
    <col min="8965" max="8965" width="5.54296875" style="11" customWidth="1"/>
    <col min="8966" max="8966" width="9" style="11" customWidth="1"/>
    <col min="8967" max="8968" width="9.81640625" style="11" customWidth="1"/>
    <col min="8969" max="8969" width="11.1796875" style="11" customWidth="1"/>
    <col min="8970" max="8970" width="2.81640625" style="11" customWidth="1"/>
    <col min="8971" max="8971" width="3.54296875" style="11" customWidth="1"/>
    <col min="8972" max="9216" width="9.1796875" style="11"/>
    <col min="9217" max="9217" width="8.7265625" style="11" customWidth="1"/>
    <col min="9218" max="9218" width="9.81640625" style="11" customWidth="1"/>
    <col min="9219" max="9219" width="14.453125" style="11" customWidth="1"/>
    <col min="9220" max="9220" width="7.26953125" style="11" customWidth="1"/>
    <col min="9221" max="9221" width="5.54296875" style="11" customWidth="1"/>
    <col min="9222" max="9222" width="9" style="11" customWidth="1"/>
    <col min="9223" max="9224" width="9.81640625" style="11" customWidth="1"/>
    <col min="9225" max="9225" width="11.1796875" style="11" customWidth="1"/>
    <col min="9226" max="9226" width="2.81640625" style="11" customWidth="1"/>
    <col min="9227" max="9227" width="3.54296875" style="11" customWidth="1"/>
    <col min="9228" max="9472" width="9.1796875" style="11"/>
    <col min="9473" max="9473" width="8.7265625" style="11" customWidth="1"/>
    <col min="9474" max="9474" width="9.81640625" style="11" customWidth="1"/>
    <col min="9475" max="9475" width="14.453125" style="11" customWidth="1"/>
    <col min="9476" max="9476" width="7.26953125" style="11" customWidth="1"/>
    <col min="9477" max="9477" width="5.54296875" style="11" customWidth="1"/>
    <col min="9478" max="9478" width="9" style="11" customWidth="1"/>
    <col min="9479" max="9480" width="9.81640625" style="11" customWidth="1"/>
    <col min="9481" max="9481" width="11.1796875" style="11" customWidth="1"/>
    <col min="9482" max="9482" width="2.81640625" style="11" customWidth="1"/>
    <col min="9483" max="9483" width="3.54296875" style="11" customWidth="1"/>
    <col min="9484" max="9728" width="9.1796875" style="11"/>
    <col min="9729" max="9729" width="8.7265625" style="11" customWidth="1"/>
    <col min="9730" max="9730" width="9.81640625" style="11" customWidth="1"/>
    <col min="9731" max="9731" width="14.453125" style="11" customWidth="1"/>
    <col min="9732" max="9732" width="7.26953125" style="11" customWidth="1"/>
    <col min="9733" max="9733" width="5.54296875" style="11" customWidth="1"/>
    <col min="9734" max="9734" width="9" style="11" customWidth="1"/>
    <col min="9735" max="9736" width="9.81640625" style="11" customWidth="1"/>
    <col min="9737" max="9737" width="11.1796875" style="11" customWidth="1"/>
    <col min="9738" max="9738" width="2.81640625" style="11" customWidth="1"/>
    <col min="9739" max="9739" width="3.54296875" style="11" customWidth="1"/>
    <col min="9740" max="9984" width="9.1796875" style="11"/>
    <col min="9985" max="9985" width="8.7265625" style="11" customWidth="1"/>
    <col min="9986" max="9986" width="9.81640625" style="11" customWidth="1"/>
    <col min="9987" max="9987" width="14.453125" style="11" customWidth="1"/>
    <col min="9988" max="9988" width="7.26953125" style="11" customWidth="1"/>
    <col min="9989" max="9989" width="5.54296875" style="11" customWidth="1"/>
    <col min="9990" max="9990" width="9" style="11" customWidth="1"/>
    <col min="9991" max="9992" width="9.81640625" style="11" customWidth="1"/>
    <col min="9993" max="9993" width="11.1796875" style="11" customWidth="1"/>
    <col min="9994" max="9994" width="2.81640625" style="11" customWidth="1"/>
    <col min="9995" max="9995" width="3.54296875" style="11" customWidth="1"/>
    <col min="9996" max="10240" width="9.1796875" style="11"/>
    <col min="10241" max="10241" width="8.7265625" style="11" customWidth="1"/>
    <col min="10242" max="10242" width="9.81640625" style="11" customWidth="1"/>
    <col min="10243" max="10243" width="14.453125" style="11" customWidth="1"/>
    <col min="10244" max="10244" width="7.26953125" style="11" customWidth="1"/>
    <col min="10245" max="10245" width="5.54296875" style="11" customWidth="1"/>
    <col min="10246" max="10246" width="9" style="11" customWidth="1"/>
    <col min="10247" max="10248" width="9.81640625" style="11" customWidth="1"/>
    <col min="10249" max="10249" width="11.1796875" style="11" customWidth="1"/>
    <col min="10250" max="10250" width="2.81640625" style="11" customWidth="1"/>
    <col min="10251" max="10251" width="3.54296875" style="11" customWidth="1"/>
    <col min="10252" max="10496" width="9.1796875" style="11"/>
    <col min="10497" max="10497" width="8.7265625" style="11" customWidth="1"/>
    <col min="10498" max="10498" width="9.81640625" style="11" customWidth="1"/>
    <col min="10499" max="10499" width="14.453125" style="11" customWidth="1"/>
    <col min="10500" max="10500" width="7.26953125" style="11" customWidth="1"/>
    <col min="10501" max="10501" width="5.54296875" style="11" customWidth="1"/>
    <col min="10502" max="10502" width="9" style="11" customWidth="1"/>
    <col min="10503" max="10504" width="9.81640625" style="11" customWidth="1"/>
    <col min="10505" max="10505" width="11.1796875" style="11" customWidth="1"/>
    <col min="10506" max="10506" width="2.81640625" style="11" customWidth="1"/>
    <col min="10507" max="10507" width="3.54296875" style="11" customWidth="1"/>
    <col min="10508" max="10752" width="9.1796875" style="11"/>
    <col min="10753" max="10753" width="8.7265625" style="11" customWidth="1"/>
    <col min="10754" max="10754" width="9.81640625" style="11" customWidth="1"/>
    <col min="10755" max="10755" width="14.453125" style="11" customWidth="1"/>
    <col min="10756" max="10756" width="7.26953125" style="11" customWidth="1"/>
    <col min="10757" max="10757" width="5.54296875" style="11" customWidth="1"/>
    <col min="10758" max="10758" width="9" style="11" customWidth="1"/>
    <col min="10759" max="10760" width="9.81640625" style="11" customWidth="1"/>
    <col min="10761" max="10761" width="11.1796875" style="11" customWidth="1"/>
    <col min="10762" max="10762" width="2.81640625" style="11" customWidth="1"/>
    <col min="10763" max="10763" width="3.54296875" style="11" customWidth="1"/>
    <col min="10764" max="11008" width="9.1796875" style="11"/>
    <col min="11009" max="11009" width="8.7265625" style="11" customWidth="1"/>
    <col min="11010" max="11010" width="9.81640625" style="11" customWidth="1"/>
    <col min="11011" max="11011" width="14.453125" style="11" customWidth="1"/>
    <col min="11012" max="11012" width="7.26953125" style="11" customWidth="1"/>
    <col min="11013" max="11013" width="5.54296875" style="11" customWidth="1"/>
    <col min="11014" max="11014" width="9" style="11" customWidth="1"/>
    <col min="11015" max="11016" width="9.81640625" style="11" customWidth="1"/>
    <col min="11017" max="11017" width="11.1796875" style="11" customWidth="1"/>
    <col min="11018" max="11018" width="2.81640625" style="11" customWidth="1"/>
    <col min="11019" max="11019" width="3.54296875" style="11" customWidth="1"/>
    <col min="11020" max="11264" width="9.1796875" style="11"/>
    <col min="11265" max="11265" width="8.7265625" style="11" customWidth="1"/>
    <col min="11266" max="11266" width="9.81640625" style="11" customWidth="1"/>
    <col min="11267" max="11267" width="14.453125" style="11" customWidth="1"/>
    <col min="11268" max="11268" width="7.26953125" style="11" customWidth="1"/>
    <col min="11269" max="11269" width="5.54296875" style="11" customWidth="1"/>
    <col min="11270" max="11270" width="9" style="11" customWidth="1"/>
    <col min="11271" max="11272" width="9.81640625" style="11" customWidth="1"/>
    <col min="11273" max="11273" width="11.1796875" style="11" customWidth="1"/>
    <col min="11274" max="11274" width="2.81640625" style="11" customWidth="1"/>
    <col min="11275" max="11275" width="3.54296875" style="11" customWidth="1"/>
    <col min="11276" max="11520" width="9.1796875" style="11"/>
    <col min="11521" max="11521" width="8.7265625" style="11" customWidth="1"/>
    <col min="11522" max="11522" width="9.81640625" style="11" customWidth="1"/>
    <col min="11523" max="11523" width="14.453125" style="11" customWidth="1"/>
    <col min="11524" max="11524" width="7.26953125" style="11" customWidth="1"/>
    <col min="11525" max="11525" width="5.54296875" style="11" customWidth="1"/>
    <col min="11526" max="11526" width="9" style="11" customWidth="1"/>
    <col min="11527" max="11528" width="9.81640625" style="11" customWidth="1"/>
    <col min="11529" max="11529" width="11.1796875" style="11" customWidth="1"/>
    <col min="11530" max="11530" width="2.81640625" style="11" customWidth="1"/>
    <col min="11531" max="11531" width="3.54296875" style="11" customWidth="1"/>
    <col min="11532" max="11776" width="9.1796875" style="11"/>
    <col min="11777" max="11777" width="8.7265625" style="11" customWidth="1"/>
    <col min="11778" max="11778" width="9.81640625" style="11" customWidth="1"/>
    <col min="11779" max="11779" width="14.453125" style="11" customWidth="1"/>
    <col min="11780" max="11780" width="7.26953125" style="11" customWidth="1"/>
    <col min="11781" max="11781" width="5.54296875" style="11" customWidth="1"/>
    <col min="11782" max="11782" width="9" style="11" customWidth="1"/>
    <col min="11783" max="11784" width="9.81640625" style="11" customWidth="1"/>
    <col min="11785" max="11785" width="11.1796875" style="11" customWidth="1"/>
    <col min="11786" max="11786" width="2.81640625" style="11" customWidth="1"/>
    <col min="11787" max="11787" width="3.54296875" style="11" customWidth="1"/>
    <col min="11788" max="12032" width="9.1796875" style="11"/>
    <col min="12033" max="12033" width="8.7265625" style="11" customWidth="1"/>
    <col min="12034" max="12034" width="9.81640625" style="11" customWidth="1"/>
    <col min="12035" max="12035" width="14.453125" style="11" customWidth="1"/>
    <col min="12036" max="12036" width="7.26953125" style="11" customWidth="1"/>
    <col min="12037" max="12037" width="5.54296875" style="11" customWidth="1"/>
    <col min="12038" max="12038" width="9" style="11" customWidth="1"/>
    <col min="12039" max="12040" width="9.81640625" style="11" customWidth="1"/>
    <col min="12041" max="12041" width="11.1796875" style="11" customWidth="1"/>
    <col min="12042" max="12042" width="2.81640625" style="11" customWidth="1"/>
    <col min="12043" max="12043" width="3.54296875" style="11" customWidth="1"/>
    <col min="12044" max="12288" width="9.1796875" style="11"/>
    <col min="12289" max="12289" width="8.7265625" style="11" customWidth="1"/>
    <col min="12290" max="12290" width="9.81640625" style="11" customWidth="1"/>
    <col min="12291" max="12291" width="14.453125" style="11" customWidth="1"/>
    <col min="12292" max="12292" width="7.26953125" style="11" customWidth="1"/>
    <col min="12293" max="12293" width="5.54296875" style="11" customWidth="1"/>
    <col min="12294" max="12294" width="9" style="11" customWidth="1"/>
    <col min="12295" max="12296" width="9.81640625" style="11" customWidth="1"/>
    <col min="12297" max="12297" width="11.1796875" style="11" customWidth="1"/>
    <col min="12298" max="12298" width="2.81640625" style="11" customWidth="1"/>
    <col min="12299" max="12299" width="3.54296875" style="11" customWidth="1"/>
    <col min="12300" max="12544" width="9.1796875" style="11"/>
    <col min="12545" max="12545" width="8.7265625" style="11" customWidth="1"/>
    <col min="12546" max="12546" width="9.81640625" style="11" customWidth="1"/>
    <col min="12547" max="12547" width="14.453125" style="11" customWidth="1"/>
    <col min="12548" max="12548" width="7.26953125" style="11" customWidth="1"/>
    <col min="12549" max="12549" width="5.54296875" style="11" customWidth="1"/>
    <col min="12550" max="12550" width="9" style="11" customWidth="1"/>
    <col min="12551" max="12552" width="9.81640625" style="11" customWidth="1"/>
    <col min="12553" max="12553" width="11.1796875" style="11" customWidth="1"/>
    <col min="12554" max="12554" width="2.81640625" style="11" customWidth="1"/>
    <col min="12555" max="12555" width="3.54296875" style="11" customWidth="1"/>
    <col min="12556" max="12800" width="9.1796875" style="11"/>
    <col min="12801" max="12801" width="8.7265625" style="11" customWidth="1"/>
    <col min="12802" max="12802" width="9.81640625" style="11" customWidth="1"/>
    <col min="12803" max="12803" width="14.453125" style="11" customWidth="1"/>
    <col min="12804" max="12804" width="7.26953125" style="11" customWidth="1"/>
    <col min="12805" max="12805" width="5.54296875" style="11" customWidth="1"/>
    <col min="12806" max="12806" width="9" style="11" customWidth="1"/>
    <col min="12807" max="12808" width="9.81640625" style="11" customWidth="1"/>
    <col min="12809" max="12809" width="11.1796875" style="11" customWidth="1"/>
    <col min="12810" max="12810" width="2.81640625" style="11" customWidth="1"/>
    <col min="12811" max="12811" width="3.54296875" style="11" customWidth="1"/>
    <col min="12812" max="13056" width="9.1796875" style="11"/>
    <col min="13057" max="13057" width="8.7265625" style="11" customWidth="1"/>
    <col min="13058" max="13058" width="9.81640625" style="11" customWidth="1"/>
    <col min="13059" max="13059" width="14.453125" style="11" customWidth="1"/>
    <col min="13060" max="13060" width="7.26953125" style="11" customWidth="1"/>
    <col min="13061" max="13061" width="5.54296875" style="11" customWidth="1"/>
    <col min="13062" max="13062" width="9" style="11" customWidth="1"/>
    <col min="13063" max="13064" width="9.81640625" style="11" customWidth="1"/>
    <col min="13065" max="13065" width="11.1796875" style="11" customWidth="1"/>
    <col min="13066" max="13066" width="2.81640625" style="11" customWidth="1"/>
    <col min="13067" max="13067" width="3.54296875" style="11" customWidth="1"/>
    <col min="13068" max="13312" width="9.1796875" style="11"/>
    <col min="13313" max="13313" width="8.7265625" style="11" customWidth="1"/>
    <col min="13314" max="13314" width="9.81640625" style="11" customWidth="1"/>
    <col min="13315" max="13315" width="14.453125" style="11" customWidth="1"/>
    <col min="13316" max="13316" width="7.26953125" style="11" customWidth="1"/>
    <col min="13317" max="13317" width="5.54296875" style="11" customWidth="1"/>
    <col min="13318" max="13318" width="9" style="11" customWidth="1"/>
    <col min="13319" max="13320" width="9.81640625" style="11" customWidth="1"/>
    <col min="13321" max="13321" width="11.1796875" style="11" customWidth="1"/>
    <col min="13322" max="13322" width="2.81640625" style="11" customWidth="1"/>
    <col min="13323" max="13323" width="3.54296875" style="11" customWidth="1"/>
    <col min="13324" max="13568" width="9.1796875" style="11"/>
    <col min="13569" max="13569" width="8.7265625" style="11" customWidth="1"/>
    <col min="13570" max="13570" width="9.81640625" style="11" customWidth="1"/>
    <col min="13571" max="13571" width="14.453125" style="11" customWidth="1"/>
    <col min="13572" max="13572" width="7.26953125" style="11" customWidth="1"/>
    <col min="13573" max="13573" width="5.54296875" style="11" customWidth="1"/>
    <col min="13574" max="13574" width="9" style="11" customWidth="1"/>
    <col min="13575" max="13576" width="9.81640625" style="11" customWidth="1"/>
    <col min="13577" max="13577" width="11.1796875" style="11" customWidth="1"/>
    <col min="13578" max="13578" width="2.81640625" style="11" customWidth="1"/>
    <col min="13579" max="13579" width="3.54296875" style="11" customWidth="1"/>
    <col min="13580" max="13824" width="9.1796875" style="11"/>
    <col min="13825" max="13825" width="8.7265625" style="11" customWidth="1"/>
    <col min="13826" max="13826" width="9.81640625" style="11" customWidth="1"/>
    <col min="13827" max="13827" width="14.453125" style="11" customWidth="1"/>
    <col min="13828" max="13828" width="7.26953125" style="11" customWidth="1"/>
    <col min="13829" max="13829" width="5.54296875" style="11" customWidth="1"/>
    <col min="13830" max="13830" width="9" style="11" customWidth="1"/>
    <col min="13831" max="13832" width="9.81640625" style="11" customWidth="1"/>
    <col min="13833" max="13833" width="11.1796875" style="11" customWidth="1"/>
    <col min="13834" max="13834" width="2.81640625" style="11" customWidth="1"/>
    <col min="13835" max="13835" width="3.54296875" style="11" customWidth="1"/>
    <col min="13836" max="14080" width="9.1796875" style="11"/>
    <col min="14081" max="14081" width="8.7265625" style="11" customWidth="1"/>
    <col min="14082" max="14082" width="9.81640625" style="11" customWidth="1"/>
    <col min="14083" max="14083" width="14.453125" style="11" customWidth="1"/>
    <col min="14084" max="14084" width="7.26953125" style="11" customWidth="1"/>
    <col min="14085" max="14085" width="5.54296875" style="11" customWidth="1"/>
    <col min="14086" max="14086" width="9" style="11" customWidth="1"/>
    <col min="14087" max="14088" width="9.81640625" style="11" customWidth="1"/>
    <col min="14089" max="14089" width="11.1796875" style="11" customWidth="1"/>
    <col min="14090" max="14090" width="2.81640625" style="11" customWidth="1"/>
    <col min="14091" max="14091" width="3.54296875" style="11" customWidth="1"/>
    <col min="14092" max="14336" width="9.1796875" style="11"/>
    <col min="14337" max="14337" width="8.7265625" style="11" customWidth="1"/>
    <col min="14338" max="14338" width="9.81640625" style="11" customWidth="1"/>
    <col min="14339" max="14339" width="14.453125" style="11" customWidth="1"/>
    <col min="14340" max="14340" width="7.26953125" style="11" customWidth="1"/>
    <col min="14341" max="14341" width="5.54296875" style="11" customWidth="1"/>
    <col min="14342" max="14342" width="9" style="11" customWidth="1"/>
    <col min="14343" max="14344" width="9.81640625" style="11" customWidth="1"/>
    <col min="14345" max="14345" width="11.1796875" style="11" customWidth="1"/>
    <col min="14346" max="14346" width="2.81640625" style="11" customWidth="1"/>
    <col min="14347" max="14347" width="3.54296875" style="11" customWidth="1"/>
    <col min="14348" max="14592" width="9.1796875" style="11"/>
    <col min="14593" max="14593" width="8.7265625" style="11" customWidth="1"/>
    <col min="14594" max="14594" width="9.81640625" style="11" customWidth="1"/>
    <col min="14595" max="14595" width="14.453125" style="11" customWidth="1"/>
    <col min="14596" max="14596" width="7.26953125" style="11" customWidth="1"/>
    <col min="14597" max="14597" width="5.54296875" style="11" customWidth="1"/>
    <col min="14598" max="14598" width="9" style="11" customWidth="1"/>
    <col min="14599" max="14600" width="9.81640625" style="11" customWidth="1"/>
    <col min="14601" max="14601" width="11.1796875" style="11" customWidth="1"/>
    <col min="14602" max="14602" width="2.81640625" style="11" customWidth="1"/>
    <col min="14603" max="14603" width="3.54296875" style="11" customWidth="1"/>
    <col min="14604" max="14848" width="9.1796875" style="11"/>
    <col min="14849" max="14849" width="8.7265625" style="11" customWidth="1"/>
    <col min="14850" max="14850" width="9.81640625" style="11" customWidth="1"/>
    <col min="14851" max="14851" width="14.453125" style="11" customWidth="1"/>
    <col min="14852" max="14852" width="7.26953125" style="11" customWidth="1"/>
    <col min="14853" max="14853" width="5.54296875" style="11" customWidth="1"/>
    <col min="14854" max="14854" width="9" style="11" customWidth="1"/>
    <col min="14855" max="14856" width="9.81640625" style="11" customWidth="1"/>
    <col min="14857" max="14857" width="11.1796875" style="11" customWidth="1"/>
    <col min="14858" max="14858" width="2.81640625" style="11" customWidth="1"/>
    <col min="14859" max="14859" width="3.54296875" style="11" customWidth="1"/>
    <col min="14860" max="15104" width="9.1796875" style="11"/>
    <col min="15105" max="15105" width="8.7265625" style="11" customWidth="1"/>
    <col min="15106" max="15106" width="9.81640625" style="11" customWidth="1"/>
    <col min="15107" max="15107" width="14.453125" style="11" customWidth="1"/>
    <col min="15108" max="15108" width="7.26953125" style="11" customWidth="1"/>
    <col min="15109" max="15109" width="5.54296875" style="11" customWidth="1"/>
    <col min="15110" max="15110" width="9" style="11" customWidth="1"/>
    <col min="15111" max="15112" width="9.81640625" style="11" customWidth="1"/>
    <col min="15113" max="15113" width="11.1796875" style="11" customWidth="1"/>
    <col min="15114" max="15114" width="2.81640625" style="11" customWidth="1"/>
    <col min="15115" max="15115" width="3.54296875" style="11" customWidth="1"/>
    <col min="15116" max="15360" width="9.1796875" style="11"/>
    <col min="15361" max="15361" width="8.7265625" style="11" customWidth="1"/>
    <col min="15362" max="15362" width="9.81640625" style="11" customWidth="1"/>
    <col min="15363" max="15363" width="14.453125" style="11" customWidth="1"/>
    <col min="15364" max="15364" width="7.26953125" style="11" customWidth="1"/>
    <col min="15365" max="15365" width="5.54296875" style="11" customWidth="1"/>
    <col min="15366" max="15366" width="9" style="11" customWidth="1"/>
    <col min="15367" max="15368" width="9.81640625" style="11" customWidth="1"/>
    <col min="15369" max="15369" width="11.1796875" style="11" customWidth="1"/>
    <col min="15370" max="15370" width="2.81640625" style="11" customWidth="1"/>
    <col min="15371" max="15371" width="3.54296875" style="11" customWidth="1"/>
    <col min="15372" max="15616" width="9.1796875" style="11"/>
    <col min="15617" max="15617" width="8.7265625" style="11" customWidth="1"/>
    <col min="15618" max="15618" width="9.81640625" style="11" customWidth="1"/>
    <col min="15619" max="15619" width="14.453125" style="11" customWidth="1"/>
    <col min="15620" max="15620" width="7.26953125" style="11" customWidth="1"/>
    <col min="15621" max="15621" width="5.54296875" style="11" customWidth="1"/>
    <col min="15622" max="15622" width="9" style="11" customWidth="1"/>
    <col min="15623" max="15624" width="9.81640625" style="11" customWidth="1"/>
    <col min="15625" max="15625" width="11.1796875" style="11" customWidth="1"/>
    <col min="15626" max="15626" width="2.81640625" style="11" customWidth="1"/>
    <col min="15627" max="15627" width="3.54296875" style="11" customWidth="1"/>
    <col min="15628" max="15872" width="9.1796875" style="11"/>
    <col min="15873" max="15873" width="8.7265625" style="11" customWidth="1"/>
    <col min="15874" max="15874" width="9.81640625" style="11" customWidth="1"/>
    <col min="15875" max="15875" width="14.453125" style="11" customWidth="1"/>
    <col min="15876" max="15876" width="7.26953125" style="11" customWidth="1"/>
    <col min="15877" max="15877" width="5.54296875" style="11" customWidth="1"/>
    <col min="15878" max="15878" width="9" style="11" customWidth="1"/>
    <col min="15879" max="15880" width="9.81640625" style="11" customWidth="1"/>
    <col min="15881" max="15881" width="11.1796875" style="11" customWidth="1"/>
    <col min="15882" max="15882" width="2.81640625" style="11" customWidth="1"/>
    <col min="15883" max="15883" width="3.54296875" style="11" customWidth="1"/>
    <col min="15884" max="16128" width="9.1796875" style="11"/>
    <col min="16129" max="16129" width="8.7265625" style="11" customWidth="1"/>
    <col min="16130" max="16130" width="9.81640625" style="11" customWidth="1"/>
    <col min="16131" max="16131" width="14.453125" style="11" customWidth="1"/>
    <col min="16132" max="16132" width="7.26953125" style="11" customWidth="1"/>
    <col min="16133" max="16133" width="5.54296875" style="11" customWidth="1"/>
    <col min="16134" max="16134" width="9" style="11" customWidth="1"/>
    <col min="16135" max="16136" width="9.81640625" style="11" customWidth="1"/>
    <col min="16137" max="16137" width="11.1796875" style="11" customWidth="1"/>
    <col min="16138" max="16138" width="2.81640625" style="11" customWidth="1"/>
    <col min="16139" max="16139" width="3.54296875" style="11" customWidth="1"/>
    <col min="16140" max="16384" width="9.1796875" style="11"/>
  </cols>
  <sheetData>
    <row r="1" spans="1:15" ht="46.5" customHeight="1" x14ac:dyDescent="0.35">
      <c r="A1" s="148" t="s">
        <v>308</v>
      </c>
      <c r="B1" s="149"/>
      <c r="C1" s="149"/>
      <c r="D1" s="149"/>
      <c r="E1" s="149"/>
      <c r="F1" s="149"/>
      <c r="G1" s="149"/>
      <c r="H1" s="149"/>
      <c r="I1" s="149"/>
      <c r="J1" s="150"/>
    </row>
    <row r="2" spans="1:15" ht="16.5" customHeight="1" x14ac:dyDescent="0.35">
      <c r="A2" s="151" t="s">
        <v>0</v>
      </c>
      <c r="B2" s="152"/>
      <c r="C2" s="152"/>
      <c r="D2" s="152"/>
      <c r="E2" s="152"/>
      <c r="F2" s="152"/>
      <c r="G2" s="152"/>
      <c r="H2" s="152"/>
      <c r="I2" s="152"/>
      <c r="J2" s="153"/>
    </row>
    <row r="3" spans="1:15" x14ac:dyDescent="0.35">
      <c r="A3" s="139" t="s">
        <v>1</v>
      </c>
      <c r="B3" s="140"/>
      <c r="C3" s="140"/>
      <c r="D3" s="140"/>
      <c r="E3" s="141"/>
      <c r="F3" s="154" t="str">
        <f ca="1">TEXT(TODAY(),"DD/MM/YYYY")</f>
        <v>17/08/2025</v>
      </c>
      <c r="G3" s="155"/>
      <c r="H3" s="155"/>
      <c r="I3" s="155"/>
      <c r="J3" s="156"/>
    </row>
    <row r="4" spans="1:15" ht="15" customHeight="1" x14ac:dyDescent="0.35">
      <c r="A4" s="139" t="s">
        <v>2</v>
      </c>
      <c r="B4" s="140"/>
      <c r="C4" s="140"/>
      <c r="D4" s="140"/>
      <c r="E4" s="141"/>
      <c r="F4" s="157" t="s">
        <v>175</v>
      </c>
      <c r="G4" s="158"/>
      <c r="H4" s="158"/>
      <c r="I4" s="158"/>
      <c r="J4" s="159"/>
    </row>
    <row r="5" spans="1:15" x14ac:dyDescent="0.35">
      <c r="A5" s="139" t="s">
        <v>3</v>
      </c>
      <c r="B5" s="140"/>
      <c r="C5" s="140"/>
      <c r="D5" s="140"/>
      <c r="E5" s="141"/>
      <c r="F5" s="142">
        <v>45880</v>
      </c>
      <c r="G5" s="143"/>
      <c r="H5" s="143"/>
      <c r="I5" s="143"/>
      <c r="J5" s="144"/>
    </row>
    <row r="6" spans="1:15" ht="16.5" customHeight="1" x14ac:dyDescent="0.35">
      <c r="A6" s="139" t="s">
        <v>4</v>
      </c>
      <c r="B6" s="140"/>
      <c r="C6" s="140"/>
      <c r="D6" s="140"/>
      <c r="E6" s="141"/>
      <c r="F6" s="145" t="s">
        <v>311</v>
      </c>
      <c r="G6" s="146"/>
      <c r="H6" s="146"/>
      <c r="I6" s="146"/>
      <c r="J6" s="147"/>
    </row>
    <row r="7" spans="1:15" ht="15" customHeight="1" x14ac:dyDescent="0.35">
      <c r="A7" s="139" t="s">
        <v>5</v>
      </c>
      <c r="B7" s="140"/>
      <c r="C7" s="140"/>
      <c r="D7" s="140"/>
      <c r="E7" s="141"/>
      <c r="F7" s="145" t="str">
        <f>F6</f>
        <v>M/s. Shree Akshay Housing</v>
      </c>
      <c r="G7" s="146"/>
      <c r="H7" s="146"/>
      <c r="I7" s="146"/>
      <c r="J7" s="147"/>
    </row>
    <row r="8" spans="1:15" x14ac:dyDescent="0.35">
      <c r="A8" s="139" t="s">
        <v>6</v>
      </c>
      <c r="B8" s="140"/>
      <c r="C8" s="140"/>
      <c r="D8" s="140"/>
      <c r="E8" s="141"/>
      <c r="F8" s="164" t="s">
        <v>176</v>
      </c>
      <c r="G8" s="165"/>
      <c r="H8" s="165"/>
      <c r="I8" s="165"/>
      <c r="J8" s="166"/>
    </row>
    <row r="9" spans="1:15" x14ac:dyDescent="0.35">
      <c r="A9" s="139" t="s">
        <v>307</v>
      </c>
      <c r="B9" s="140"/>
      <c r="C9" s="140"/>
      <c r="D9" s="140"/>
      <c r="E9" s="141"/>
      <c r="F9" s="145" t="s">
        <v>177</v>
      </c>
      <c r="G9" s="140"/>
      <c r="H9" s="140"/>
      <c r="I9" s="140"/>
      <c r="J9" s="141"/>
    </row>
    <row r="10" spans="1:15" x14ac:dyDescent="0.35">
      <c r="A10" s="139" t="s">
        <v>306</v>
      </c>
      <c r="B10" s="140"/>
      <c r="C10" s="140"/>
      <c r="D10" s="140"/>
      <c r="E10" s="141"/>
      <c r="F10" s="145" t="s">
        <v>312</v>
      </c>
      <c r="G10" s="140"/>
      <c r="H10" s="140"/>
      <c r="I10" s="140"/>
      <c r="J10" s="141"/>
      <c r="K10" s="145" t="s">
        <v>310</v>
      </c>
      <c r="L10" s="140"/>
      <c r="M10" s="140"/>
      <c r="N10" s="140"/>
      <c r="O10" s="141"/>
    </row>
    <row r="11" spans="1:15" ht="33.75" customHeight="1" x14ac:dyDescent="0.35">
      <c r="A11" s="139" t="s">
        <v>7</v>
      </c>
      <c r="B11" s="140"/>
      <c r="C11" s="140"/>
      <c r="D11" s="140"/>
      <c r="E11" s="141"/>
      <c r="F11" s="160" t="s">
        <v>231</v>
      </c>
      <c r="G11" s="167"/>
      <c r="H11" s="167"/>
      <c r="I11" s="167"/>
      <c r="J11" s="168"/>
      <c r="M11" s="72"/>
    </row>
    <row r="12" spans="1:15" ht="16.5" customHeight="1" x14ac:dyDescent="0.35">
      <c r="A12" s="139" t="s">
        <v>8</v>
      </c>
      <c r="B12" s="140"/>
      <c r="C12" s="140"/>
      <c r="D12" s="140"/>
      <c r="E12" s="141"/>
      <c r="F12" s="160" t="s">
        <v>9</v>
      </c>
      <c r="G12" s="161"/>
      <c r="H12" s="161"/>
      <c r="I12" s="161"/>
      <c r="J12" s="162"/>
    </row>
    <row r="13" spans="1:15" x14ac:dyDescent="0.35">
      <c r="A13" s="139" t="s">
        <v>10</v>
      </c>
      <c r="B13" s="140"/>
      <c r="C13" s="140"/>
      <c r="D13" s="140"/>
      <c r="E13" s="141"/>
      <c r="F13" s="139" t="s">
        <v>178</v>
      </c>
      <c r="G13" s="140"/>
      <c r="H13" s="140"/>
      <c r="I13" s="140"/>
      <c r="J13" s="141"/>
    </row>
    <row r="14" spans="1:15" ht="31.5" customHeight="1" x14ac:dyDescent="0.35">
      <c r="A14" s="163" t="s">
        <v>11</v>
      </c>
      <c r="B14" s="163"/>
      <c r="C14" s="145" t="str">
        <f>CONCATENATE((IF(OR(F8="",F8="NA"),"",F8)),", ",(IF(OR(A15="",A15="NA"),"",A15)),".",(IF(OR(C15="",C15="NA"),"",C15)),", ",(IF(OR(C16="",C16="NA"),"",C16)),", ",(IF(OR(H16="",H16="NA"),"",H16)),", ",(IF(OR(C17="",C17="NA"),"",C17)),", ",(IF(OR(C18="",C18="NA"),"",C18)),", ",(IF(OR(H17="",H17="NA"),"",H17)),".")</f>
        <v>Shree Krushna Tower, CTS No.746 Pt ,750 Pt 723E Pt, Astik Marg, Mulund, Mulund, Kurla, Mumbai.</v>
      </c>
      <c r="D14" s="146"/>
      <c r="E14" s="146"/>
      <c r="F14" s="146"/>
      <c r="G14" s="146"/>
      <c r="H14" s="146"/>
      <c r="I14" s="146"/>
      <c r="J14" s="147"/>
    </row>
    <row r="15" spans="1:15" ht="15.75" customHeight="1" x14ac:dyDescent="0.35">
      <c r="A15" s="145" t="s">
        <v>179</v>
      </c>
      <c r="B15" s="147"/>
      <c r="C15" s="160" t="s">
        <v>230</v>
      </c>
      <c r="D15" s="161"/>
      <c r="E15" s="161"/>
      <c r="F15" s="161"/>
      <c r="G15" s="161"/>
      <c r="H15" s="161"/>
      <c r="I15" s="161"/>
      <c r="J15" s="162"/>
    </row>
    <row r="16" spans="1:15" ht="15.75" customHeight="1" x14ac:dyDescent="0.35">
      <c r="A16" s="145" t="s">
        <v>12</v>
      </c>
      <c r="B16" s="147"/>
      <c r="C16" s="170" t="s">
        <v>190</v>
      </c>
      <c r="D16" s="170"/>
      <c r="E16" s="170"/>
      <c r="F16" s="171" t="s">
        <v>138</v>
      </c>
      <c r="G16" s="172"/>
      <c r="H16" s="160" t="s">
        <v>180</v>
      </c>
      <c r="I16" s="161"/>
      <c r="J16" s="162"/>
    </row>
    <row r="17" spans="1:10" x14ac:dyDescent="0.35">
      <c r="A17" s="169" t="s">
        <v>14</v>
      </c>
      <c r="B17" s="169"/>
      <c r="C17" s="170" t="s">
        <v>180</v>
      </c>
      <c r="D17" s="170"/>
      <c r="E17" s="170"/>
      <c r="F17" s="171" t="s">
        <v>13</v>
      </c>
      <c r="G17" s="172"/>
      <c r="H17" s="173" t="s">
        <v>181</v>
      </c>
      <c r="I17" s="173"/>
      <c r="J17" s="173"/>
    </row>
    <row r="18" spans="1:10" x14ac:dyDescent="0.35">
      <c r="A18" s="169" t="s">
        <v>139</v>
      </c>
      <c r="B18" s="169"/>
      <c r="C18" s="160" t="s">
        <v>229</v>
      </c>
      <c r="D18" s="161"/>
      <c r="E18" s="162"/>
      <c r="F18" s="171" t="s">
        <v>15</v>
      </c>
      <c r="G18" s="172"/>
      <c r="H18" s="160">
        <v>400080</v>
      </c>
      <c r="I18" s="161"/>
      <c r="J18" s="162"/>
    </row>
    <row r="19" spans="1:10" ht="32.25" customHeight="1" x14ac:dyDescent="0.35">
      <c r="A19" s="169" t="s">
        <v>16</v>
      </c>
      <c r="B19" s="169"/>
      <c r="C19" s="178" t="s">
        <v>189</v>
      </c>
      <c r="D19" s="178"/>
      <c r="E19" s="178"/>
      <c r="F19" s="163" t="s">
        <v>17</v>
      </c>
      <c r="G19" s="163"/>
      <c r="H19" s="161" t="s">
        <v>234</v>
      </c>
      <c r="I19" s="161"/>
      <c r="J19" s="162"/>
    </row>
    <row r="20" spans="1:10" ht="15" customHeight="1" x14ac:dyDescent="0.35">
      <c r="A20" s="171" t="s">
        <v>150</v>
      </c>
      <c r="B20" s="174"/>
      <c r="C20" s="174"/>
      <c r="D20" s="174"/>
      <c r="E20" s="172"/>
      <c r="F20" s="179" t="s">
        <v>18</v>
      </c>
      <c r="G20" s="180"/>
      <c r="H20" s="180"/>
      <c r="I20" s="180"/>
      <c r="J20" s="181"/>
    </row>
    <row r="21" spans="1:10" ht="18.75" customHeight="1" x14ac:dyDescent="0.35">
      <c r="A21" s="175"/>
      <c r="B21" s="176"/>
      <c r="C21" s="176"/>
      <c r="D21" s="176"/>
      <c r="E21" s="177"/>
      <c r="F21" s="182"/>
      <c r="G21" s="183"/>
      <c r="H21" s="183"/>
      <c r="I21" s="183"/>
      <c r="J21" s="184"/>
    </row>
    <row r="22" spans="1:10" ht="15" customHeight="1" x14ac:dyDescent="0.35">
      <c r="A22" s="171" t="s">
        <v>19</v>
      </c>
      <c r="B22" s="174"/>
      <c r="C22" s="174"/>
      <c r="D22" s="174"/>
      <c r="E22" s="172"/>
      <c r="F22" s="171" t="s">
        <v>20</v>
      </c>
      <c r="G22" s="174"/>
      <c r="H22" s="174"/>
      <c r="I22" s="174"/>
      <c r="J22" s="172"/>
    </row>
    <row r="23" spans="1:10" x14ac:dyDescent="0.35">
      <c r="A23" s="175"/>
      <c r="B23" s="176"/>
      <c r="C23" s="176"/>
      <c r="D23" s="176"/>
      <c r="E23" s="177"/>
      <c r="F23" s="175"/>
      <c r="G23" s="176"/>
      <c r="H23" s="176"/>
      <c r="I23" s="176"/>
      <c r="J23" s="177"/>
    </row>
    <row r="24" spans="1:10" ht="15" customHeight="1" x14ac:dyDescent="0.35">
      <c r="A24" s="139" t="s">
        <v>21</v>
      </c>
      <c r="B24" s="140"/>
      <c r="C24" s="140"/>
      <c r="D24" s="140"/>
      <c r="E24" s="141"/>
      <c r="F24" s="157" t="s">
        <v>22</v>
      </c>
      <c r="G24" s="158"/>
      <c r="H24" s="158"/>
      <c r="I24" s="158"/>
      <c r="J24" s="159"/>
    </row>
    <row r="25" spans="1:10" x14ac:dyDescent="0.35">
      <c r="A25" s="139" t="s">
        <v>23</v>
      </c>
      <c r="B25" s="140"/>
      <c r="C25" s="140"/>
      <c r="D25" s="140"/>
      <c r="E25" s="141"/>
      <c r="F25" s="157" t="s">
        <v>24</v>
      </c>
      <c r="G25" s="158"/>
      <c r="H25" s="158"/>
      <c r="I25" s="158"/>
      <c r="J25" s="159"/>
    </row>
    <row r="26" spans="1:10" ht="15" customHeight="1" x14ac:dyDescent="0.35">
      <c r="A26" s="139" t="s">
        <v>25</v>
      </c>
      <c r="B26" s="140"/>
      <c r="C26" s="140"/>
      <c r="D26" s="140"/>
      <c r="E26" s="141"/>
      <c r="F26" s="157" t="s">
        <v>26</v>
      </c>
      <c r="G26" s="158"/>
      <c r="H26" s="158"/>
      <c r="I26" s="158"/>
      <c r="J26" s="159"/>
    </row>
    <row r="27" spans="1:10" x14ac:dyDescent="0.35">
      <c r="A27" s="139" t="s">
        <v>27</v>
      </c>
      <c r="B27" s="140"/>
      <c r="C27" s="140"/>
      <c r="D27" s="140"/>
      <c r="E27" s="141"/>
      <c r="F27" s="157" t="s">
        <v>28</v>
      </c>
      <c r="G27" s="158"/>
      <c r="H27" s="158"/>
      <c r="I27" s="158"/>
      <c r="J27" s="159"/>
    </row>
    <row r="28" spans="1:10" x14ac:dyDescent="0.35">
      <c r="A28" s="185" t="s">
        <v>29</v>
      </c>
      <c r="B28" s="186"/>
      <c r="C28" s="185" t="s">
        <v>30</v>
      </c>
      <c r="D28" s="186"/>
      <c r="E28" s="185" t="s">
        <v>31</v>
      </c>
      <c r="F28" s="186"/>
      <c r="G28" s="185" t="s">
        <v>33</v>
      </c>
      <c r="H28" s="186"/>
      <c r="I28" s="185" t="s">
        <v>32</v>
      </c>
      <c r="J28" s="186"/>
    </row>
    <row r="29" spans="1:10" x14ac:dyDescent="0.35">
      <c r="A29" s="187" t="s">
        <v>34</v>
      </c>
      <c r="B29" s="188"/>
      <c r="C29" s="187" t="s">
        <v>35</v>
      </c>
      <c r="D29" s="188"/>
      <c r="E29" s="187" t="s">
        <v>35</v>
      </c>
      <c r="F29" s="188"/>
      <c r="G29" s="187" t="s">
        <v>35</v>
      </c>
      <c r="H29" s="188"/>
      <c r="I29" s="187" t="s">
        <v>35</v>
      </c>
      <c r="J29" s="188"/>
    </row>
    <row r="30" spans="1:10" x14ac:dyDescent="0.35">
      <c r="A30" s="187" t="s">
        <v>36</v>
      </c>
      <c r="B30" s="188"/>
      <c r="C30" s="187" t="s">
        <v>193</v>
      </c>
      <c r="D30" s="188"/>
      <c r="E30" s="187" t="s">
        <v>193</v>
      </c>
      <c r="F30" s="188"/>
      <c r="G30" s="187" t="s">
        <v>193</v>
      </c>
      <c r="H30" s="188"/>
      <c r="I30" s="187" t="s">
        <v>12</v>
      </c>
      <c r="J30" s="188"/>
    </row>
    <row r="31" spans="1:10" x14ac:dyDescent="0.35">
      <c r="A31" s="139" t="s">
        <v>37</v>
      </c>
      <c r="B31" s="140"/>
      <c r="C31" s="140"/>
      <c r="D31" s="140"/>
      <c r="E31" s="140"/>
      <c r="F31" s="140"/>
      <c r="G31" s="140"/>
      <c r="H31" s="140"/>
      <c r="I31" s="140"/>
      <c r="J31" s="141"/>
    </row>
    <row r="32" spans="1:10" x14ac:dyDescent="0.35">
      <c r="A32" s="139" t="s">
        <v>38</v>
      </c>
      <c r="B32" s="140"/>
      <c r="C32" s="140"/>
      <c r="D32" s="140"/>
      <c r="E32" s="140"/>
      <c r="F32" s="140"/>
      <c r="G32" s="140"/>
      <c r="H32" s="140"/>
      <c r="I32" s="140"/>
      <c r="J32" s="141"/>
    </row>
    <row r="33" spans="1:10" x14ac:dyDescent="0.35">
      <c r="A33" s="164" t="s">
        <v>39</v>
      </c>
      <c r="B33" s="166"/>
      <c r="C33" s="139" t="s">
        <v>313</v>
      </c>
      <c r="D33" s="140"/>
      <c r="E33" s="140"/>
      <c r="F33" s="140"/>
      <c r="G33" s="140"/>
      <c r="H33" s="140"/>
      <c r="I33" s="140"/>
      <c r="J33" s="141"/>
    </row>
    <row r="34" spans="1:10" x14ac:dyDescent="0.35">
      <c r="A34" s="164" t="s">
        <v>304</v>
      </c>
      <c r="B34" s="166"/>
      <c r="C34" s="193" t="s">
        <v>305</v>
      </c>
      <c r="D34" s="140"/>
      <c r="E34" s="140"/>
      <c r="F34" s="140"/>
      <c r="G34" s="140"/>
      <c r="H34" s="140"/>
      <c r="I34" s="140"/>
      <c r="J34" s="141"/>
    </row>
    <row r="35" spans="1:10" x14ac:dyDescent="0.35">
      <c r="A35" s="164" t="s">
        <v>40</v>
      </c>
      <c r="B35" s="165"/>
      <c r="C35" s="165"/>
      <c r="D35" s="165"/>
      <c r="E35" s="165"/>
      <c r="F35" s="165"/>
      <c r="G35" s="165"/>
      <c r="H35" s="165"/>
      <c r="I35" s="165"/>
      <c r="J35" s="166"/>
    </row>
    <row r="36" spans="1:10" ht="15" customHeight="1" x14ac:dyDescent="0.35">
      <c r="A36" s="145" t="s">
        <v>41</v>
      </c>
      <c r="B36" s="146"/>
      <c r="C36" s="146"/>
      <c r="D36" s="146"/>
      <c r="E36" s="147"/>
      <c r="F36" s="189" t="s">
        <v>188</v>
      </c>
      <c r="G36" s="190"/>
      <c r="H36" s="190"/>
      <c r="I36" s="190"/>
      <c r="J36" s="191"/>
    </row>
    <row r="37" spans="1:10" ht="15" customHeight="1" x14ac:dyDescent="0.35">
      <c r="A37" s="175" t="s">
        <v>42</v>
      </c>
      <c r="B37" s="176"/>
      <c r="C37" s="176"/>
      <c r="D37" s="176"/>
      <c r="E37" s="176"/>
      <c r="F37" s="145" t="s">
        <v>43</v>
      </c>
      <c r="G37" s="146"/>
      <c r="H37" s="146"/>
      <c r="I37" s="146"/>
      <c r="J37" s="147"/>
    </row>
    <row r="38" spans="1:10" x14ac:dyDescent="0.35">
      <c r="A38" s="192" t="s">
        <v>44</v>
      </c>
      <c r="B38" s="192"/>
      <c r="C38" s="192"/>
      <c r="D38" s="192"/>
      <c r="E38" s="192"/>
      <c r="F38" s="192"/>
      <c r="G38" s="192"/>
      <c r="H38" s="192"/>
      <c r="I38" s="192"/>
      <c r="J38" s="192"/>
    </row>
    <row r="39" spans="1:10" x14ac:dyDescent="0.35">
      <c r="A39" s="169" t="s">
        <v>45</v>
      </c>
      <c r="B39" s="169"/>
      <c r="C39" s="169"/>
      <c r="D39" s="169"/>
      <c r="E39" s="169"/>
      <c r="F39" s="196">
        <v>4965.26</v>
      </c>
      <c r="G39" s="196"/>
      <c r="H39" s="196"/>
      <c r="I39" s="196"/>
      <c r="J39" s="196"/>
    </row>
    <row r="40" spans="1:10" x14ac:dyDescent="0.35">
      <c r="A40" s="169" t="s">
        <v>46</v>
      </c>
      <c r="B40" s="169"/>
      <c r="C40" s="169"/>
      <c r="D40" s="169"/>
      <c r="E40" s="169"/>
      <c r="F40" s="194">
        <v>4</v>
      </c>
      <c r="G40" s="194"/>
      <c r="H40" s="194"/>
      <c r="I40" s="194"/>
      <c r="J40" s="194"/>
    </row>
    <row r="41" spans="1:10" x14ac:dyDescent="0.35">
      <c r="A41" s="169" t="s">
        <v>47</v>
      </c>
      <c r="B41" s="169"/>
      <c r="C41" s="169"/>
      <c r="D41" s="169"/>
      <c r="E41" s="169"/>
      <c r="F41" s="194">
        <v>0</v>
      </c>
      <c r="G41" s="194"/>
      <c r="H41" s="194"/>
      <c r="I41" s="194"/>
      <c r="J41" s="194"/>
    </row>
    <row r="42" spans="1:10" x14ac:dyDescent="0.35">
      <c r="A42" s="169" t="s">
        <v>48</v>
      </c>
      <c r="B42" s="169"/>
      <c r="C42" s="169"/>
      <c r="D42" s="169"/>
      <c r="E42" s="169"/>
      <c r="F42" s="194">
        <f>F40+F41</f>
        <v>4</v>
      </c>
      <c r="G42" s="194"/>
      <c r="H42" s="194"/>
      <c r="I42" s="194"/>
      <c r="J42" s="194"/>
    </row>
    <row r="43" spans="1:10" x14ac:dyDescent="0.35">
      <c r="A43" s="169" t="s">
        <v>49</v>
      </c>
      <c r="B43" s="169"/>
      <c r="C43" s="169"/>
      <c r="D43" s="169"/>
      <c r="E43" s="169"/>
      <c r="F43" s="195">
        <v>19861.04</v>
      </c>
      <c r="G43" s="195"/>
      <c r="H43" s="195"/>
      <c r="I43" s="195"/>
      <c r="J43" s="195"/>
    </row>
    <row r="44" spans="1:10" x14ac:dyDescent="0.35">
      <c r="A44" s="169" t="s">
        <v>50</v>
      </c>
      <c r="B44" s="169"/>
      <c r="C44" s="169"/>
      <c r="D44" s="169"/>
      <c r="E44" s="169"/>
      <c r="F44" s="170" t="s">
        <v>235</v>
      </c>
      <c r="G44" s="170"/>
      <c r="H44" s="170"/>
      <c r="I44" s="170"/>
      <c r="J44" s="170"/>
    </row>
    <row r="45" spans="1:10" x14ac:dyDescent="0.35">
      <c r="A45" s="192" t="s">
        <v>51</v>
      </c>
      <c r="B45" s="192"/>
      <c r="C45" s="192"/>
      <c r="D45" s="192"/>
      <c r="E45" s="192"/>
      <c r="F45" s="192"/>
      <c r="G45" s="192"/>
      <c r="H45" s="192"/>
      <c r="I45" s="192"/>
      <c r="J45" s="192"/>
    </row>
    <row r="46" spans="1:10" x14ac:dyDescent="0.35">
      <c r="A46" s="163" t="s">
        <v>52</v>
      </c>
      <c r="B46" s="163"/>
      <c r="C46" s="200" t="s">
        <v>182</v>
      </c>
      <c r="D46" s="200"/>
      <c r="E46" s="200"/>
      <c r="F46" s="200"/>
      <c r="G46" s="80" t="s">
        <v>53</v>
      </c>
      <c r="H46" s="201" t="s">
        <v>271</v>
      </c>
      <c r="I46" s="163"/>
      <c r="J46" s="163"/>
    </row>
    <row r="47" spans="1:10" ht="16.5" customHeight="1" x14ac:dyDescent="0.35">
      <c r="A47" s="145" t="s">
        <v>54</v>
      </c>
      <c r="B47" s="147"/>
      <c r="C47" s="197" t="str">
        <f>C46</f>
        <v>SRA/ENG/3916/T/STGL/AP</v>
      </c>
      <c r="D47" s="202"/>
      <c r="E47" s="202"/>
      <c r="F47" s="203"/>
      <c r="G47" s="34" t="s">
        <v>53</v>
      </c>
      <c r="H47" s="145" t="str">
        <f>H46</f>
        <v>13/04/2022.</v>
      </c>
      <c r="I47" s="146"/>
      <c r="J47" s="147"/>
    </row>
    <row r="48" spans="1:10" ht="204" customHeight="1" x14ac:dyDescent="0.35">
      <c r="A48" s="145" t="s">
        <v>55</v>
      </c>
      <c r="B48" s="147"/>
      <c r="C48" s="197" t="s">
        <v>309</v>
      </c>
      <c r="D48" s="198"/>
      <c r="E48" s="198"/>
      <c r="F48" s="199"/>
      <c r="G48" s="12" t="s">
        <v>53</v>
      </c>
      <c r="H48" s="204">
        <v>45043</v>
      </c>
      <c r="I48" s="198"/>
      <c r="J48" s="199"/>
    </row>
    <row r="49" spans="1:13" ht="15" customHeight="1" x14ac:dyDescent="0.35">
      <c r="A49" s="145" t="s">
        <v>56</v>
      </c>
      <c r="B49" s="147"/>
      <c r="C49" s="197" t="s">
        <v>148</v>
      </c>
      <c r="D49" s="198"/>
      <c r="E49" s="198"/>
      <c r="F49" s="199" t="s">
        <v>57</v>
      </c>
      <c r="G49" s="34" t="s">
        <v>53</v>
      </c>
      <c r="H49" s="145" t="s">
        <v>35</v>
      </c>
      <c r="I49" s="146" t="s">
        <v>35</v>
      </c>
      <c r="J49" s="147"/>
    </row>
    <row r="50" spans="1:13" x14ac:dyDescent="0.35">
      <c r="A50" s="169" t="s">
        <v>58</v>
      </c>
      <c r="B50" s="169"/>
      <c r="C50" s="169"/>
      <c r="D50" s="205">
        <f>H48</f>
        <v>45043</v>
      </c>
      <c r="E50" s="205"/>
      <c r="F50" s="139" t="s">
        <v>59</v>
      </c>
      <c r="G50" s="206"/>
      <c r="H50" s="207">
        <v>46019</v>
      </c>
      <c r="I50" s="167"/>
      <c r="J50" s="168"/>
    </row>
    <row r="51" spans="1:13" x14ac:dyDescent="0.35">
      <c r="A51" s="208" t="s">
        <v>60</v>
      </c>
      <c r="B51" s="209"/>
      <c r="C51" s="209"/>
      <c r="D51" s="209"/>
      <c r="E51" s="209"/>
      <c r="F51" s="209"/>
      <c r="G51" s="209"/>
      <c r="H51" s="209"/>
      <c r="I51" s="209"/>
      <c r="J51" s="210"/>
    </row>
    <row r="52" spans="1:13" ht="15.75" customHeight="1" x14ac:dyDescent="0.35">
      <c r="A52" s="139" t="s">
        <v>61</v>
      </c>
      <c r="B52" s="140"/>
      <c r="C52" s="141"/>
      <c r="D52" s="187">
        <v>13303.12</v>
      </c>
      <c r="E52" s="188"/>
      <c r="F52" s="211" t="s">
        <v>62</v>
      </c>
      <c r="G52" s="212"/>
      <c r="H52" s="211" t="s">
        <v>299</v>
      </c>
      <c r="I52" s="213"/>
      <c r="J52" s="212"/>
    </row>
    <row r="53" spans="1:13" ht="66" customHeight="1" x14ac:dyDescent="0.35">
      <c r="A53" s="170" t="s">
        <v>63</v>
      </c>
      <c r="B53" s="170"/>
      <c r="C53" s="214" t="s">
        <v>301</v>
      </c>
      <c r="D53" s="214"/>
      <c r="E53" s="214"/>
      <c r="F53" s="214"/>
      <c r="G53" s="214"/>
      <c r="H53" s="214"/>
      <c r="I53" s="214"/>
      <c r="J53" s="214"/>
    </row>
    <row r="54" spans="1:13" ht="15.75" customHeight="1" x14ac:dyDescent="0.35">
      <c r="A54" s="169" t="s">
        <v>64</v>
      </c>
      <c r="B54" s="169"/>
      <c r="C54" s="169"/>
      <c r="D54" s="163" t="s">
        <v>65</v>
      </c>
      <c r="E54" s="163"/>
      <c r="F54" s="163"/>
      <c r="G54" s="163"/>
      <c r="H54" s="163"/>
      <c r="I54" s="163"/>
      <c r="J54" s="163"/>
    </row>
    <row r="55" spans="1:13" ht="16" thickBot="1" x14ac:dyDescent="0.4">
      <c r="A55" s="170" t="s">
        <v>191</v>
      </c>
      <c r="B55" s="170"/>
      <c r="C55" s="170"/>
      <c r="D55" s="170"/>
      <c r="E55" s="170"/>
      <c r="F55" s="170"/>
      <c r="G55" s="170"/>
      <c r="H55" s="170"/>
      <c r="I55" s="170"/>
      <c r="J55" s="170"/>
    </row>
    <row r="56" spans="1:13" ht="15" customHeight="1" x14ac:dyDescent="0.35">
      <c r="A56" s="138" t="s">
        <v>240</v>
      </c>
      <c r="B56" s="138"/>
      <c r="C56" s="108" t="s">
        <v>269</v>
      </c>
      <c r="D56" s="108"/>
      <c r="E56" s="108"/>
      <c r="F56" s="108"/>
      <c r="G56" s="108"/>
      <c r="H56" s="108"/>
      <c r="I56" s="108"/>
      <c r="J56" s="108"/>
      <c r="K56" s="47" t="str">
        <f ca="1">(IF(C60=0,"Work not yet Started.",IF(D60=25%,"Piling work in process",IF(D60=50%,"Excavation work in process",IF(D60=100%,"Excavation work completed, ","0")))&amp;(IF(C61=0%,"",IF(C61=M62,"Footing work is process",IF(C61=M63,"Footing work Completed",IF(C61=M64,"1st Basement Completed",IF(C61=M65,"1st &amp; 2nd Basement Completed",IF(C61=M66,"1st to 3rd Basement Completed",IF(C61=M67,"1st to 4th Basement Completed",IF(C61=M68,"Plinth work is process",IF(C61=M69,"Plinth work completed","0")))))))))))&amp;(IF(C62&gt;0,", RCC upto "&amp;C62&amp;" Slab completed",""))&amp;(IF(C63&gt;0,", Brickwork upto "&amp;C63&amp;" Floor completed"," "))&amp;(IF(C64&gt;0,", Internal Plaster upto "&amp;C64&amp;" Floor completed"," "))&amp;(IF(C65&gt;0,", External Plaster upto "&amp;C65&amp;" Floor completed"," "))&amp;(IF(C66&gt;0,", Flooring upto "&amp;C66&amp;" Floor completed"," "))&amp;(IF(C67&gt;0,", Painting upto "&amp;C67&amp;" Floor completed"," "))&amp;(IF(C68&gt;0,", Finishing upto "&amp;C68&amp;" Floor completed"," ")))</f>
        <v xml:space="preserve">Excavation work completed, Plinth work completed, RCC upto 23 Slab completed, Brickwork upto 22 Floor completed, Internal Plaster upto 22 Floor completed, External Plaster upto 13 Floor completed, Flooring upto 10 Floor completed, Painting upto 5 Floor completed </v>
      </c>
      <c r="L56" s="47"/>
      <c r="M56" s="48"/>
    </row>
    <row r="57" spans="1:13" ht="16.5" customHeight="1" x14ac:dyDescent="0.35">
      <c r="A57" s="77" t="s">
        <v>134</v>
      </c>
      <c r="B57" s="77">
        <v>0</v>
      </c>
      <c r="C57" s="77" t="s">
        <v>136</v>
      </c>
      <c r="D57" s="77">
        <v>1</v>
      </c>
      <c r="E57" s="105" t="s">
        <v>135</v>
      </c>
      <c r="F57" s="105"/>
      <c r="G57" s="77">
        <v>0</v>
      </c>
      <c r="H57" s="77" t="s">
        <v>241</v>
      </c>
      <c r="I57" s="105">
        <f ca="1">--TRIM(RIGHT(SUBSTITUTE(LEFT(C56,_xlfn.AGGREGATE(16,6,FIND({0,1,2,3,4,5,6,7,8,9},C56,ROW(INDIRECT("1:"&amp;LEN(C56)))),1))," ",REPT(" ",LEN(C56))),LEN(C56)))</f>
        <v>22</v>
      </c>
      <c r="J57" s="105"/>
      <c r="K57" s="51" t="s">
        <v>242</v>
      </c>
      <c r="L57" s="51"/>
      <c r="M57" s="52"/>
    </row>
    <row r="58" spans="1:13" ht="64.5" customHeight="1" x14ac:dyDescent="0.35">
      <c r="A58" s="107" t="s">
        <v>243</v>
      </c>
      <c r="B58" s="107"/>
      <c r="C58" s="108" t="str">
        <f ca="1">K56</f>
        <v xml:space="preserve">Excavation work completed, Plinth work completed, RCC upto 23 Slab completed, Brickwork upto 22 Floor completed, Internal Plaster upto 22 Floor completed, External Plaster upto 13 Floor completed, Flooring upto 10 Floor completed, Painting upto 5 Floor completed </v>
      </c>
      <c r="D58" s="108"/>
      <c r="E58" s="108"/>
      <c r="F58" s="108"/>
      <c r="G58" s="108"/>
      <c r="H58" s="108"/>
      <c r="I58" s="108"/>
      <c r="J58" s="108"/>
      <c r="K58" s="51" t="s">
        <v>244</v>
      </c>
      <c r="L58" s="51"/>
      <c r="M58" s="52"/>
    </row>
    <row r="59" spans="1:13" x14ac:dyDescent="0.35">
      <c r="A59" s="95" t="s">
        <v>66</v>
      </c>
      <c r="B59" s="95"/>
      <c r="C59" s="76" t="s">
        <v>245</v>
      </c>
      <c r="D59" s="95" t="s">
        <v>246</v>
      </c>
      <c r="E59" s="95"/>
      <c r="F59" s="95" t="s">
        <v>247</v>
      </c>
      <c r="G59" s="95"/>
      <c r="H59" s="95" t="s">
        <v>248</v>
      </c>
      <c r="I59" s="95"/>
      <c r="J59" s="95"/>
      <c r="K59" s="53" t="s">
        <v>249</v>
      </c>
      <c r="M59" s="54">
        <f ca="1">I57*25%</f>
        <v>5.5</v>
      </c>
    </row>
    <row r="60" spans="1:13" x14ac:dyDescent="0.35">
      <c r="A60" s="95" t="s">
        <v>250</v>
      </c>
      <c r="B60" s="95"/>
      <c r="C60" s="67">
        <f ca="1">M61</f>
        <v>22</v>
      </c>
      <c r="D60" s="98">
        <f ca="1">((100/I57)*C60)/100</f>
        <v>1.0000000000000002</v>
      </c>
      <c r="E60" s="98"/>
      <c r="F60" s="98">
        <f ca="1">(IF(C58=K57,"100%",IF(C58=K58,"100%",(((C61/I57*10)+(40/(D57+G57+I57)*C62)+(7.5/(I57)*C63)+(7.5/(I57)*C64)+(10/I57*C65)+(10/I57*C66)+(5/I57*C67)+(5/I57*C68)+(5/I57*C69))/100))))</f>
        <v>0.76590909090909098</v>
      </c>
      <c r="G60" s="98"/>
      <c r="H60" s="98">
        <f ca="1">((((C60/I57)*20)+((C61/I57)*25)+(30/(I57+G57+D57)*C62)+(5/I57*C63)+(5/I57*C64)+(5/I57*C65)+(5/I57*C66)+(0/I57*C67)+(0/I57*C68)+(5/I57*C69))/100)</f>
        <v>0.90227272727272723</v>
      </c>
      <c r="I60" s="98"/>
      <c r="J60" s="98"/>
      <c r="K60" s="53" t="s">
        <v>142</v>
      </c>
      <c r="L60" s="55"/>
      <c r="M60" s="56">
        <f ca="1">I57*50%</f>
        <v>11</v>
      </c>
    </row>
    <row r="61" spans="1:13" x14ac:dyDescent="0.35">
      <c r="A61" s="95" t="s">
        <v>67</v>
      </c>
      <c r="B61" s="95"/>
      <c r="C61" s="68">
        <f ca="1">M69</f>
        <v>22</v>
      </c>
      <c r="D61" s="98">
        <f ca="1">((100/I57)*C61)/100</f>
        <v>1.0000000000000002</v>
      </c>
      <c r="E61" s="98"/>
      <c r="F61" s="98"/>
      <c r="G61" s="98"/>
      <c r="H61" s="98"/>
      <c r="I61" s="98"/>
      <c r="J61" s="98"/>
      <c r="K61" s="53" t="s">
        <v>143</v>
      </c>
      <c r="L61" s="55"/>
      <c r="M61" s="56">
        <f ca="1">I57</f>
        <v>22</v>
      </c>
    </row>
    <row r="62" spans="1:13" x14ac:dyDescent="0.35">
      <c r="A62" s="95" t="s">
        <v>251</v>
      </c>
      <c r="B62" s="95"/>
      <c r="C62" s="68">
        <v>23</v>
      </c>
      <c r="D62" s="98">
        <f ca="1">((100/(D57+G57+I57))*C62)/100</f>
        <v>1</v>
      </c>
      <c r="E62" s="98"/>
      <c r="F62" s="98"/>
      <c r="G62" s="98"/>
      <c r="H62" s="98"/>
      <c r="I62" s="98"/>
      <c r="J62" s="98"/>
      <c r="K62" s="53" t="s">
        <v>144</v>
      </c>
      <c r="L62" s="55"/>
      <c r="M62" s="57">
        <f ca="1">(IF(B57&gt;1,(I57/(B57+3)),I57/4))</f>
        <v>5.5</v>
      </c>
    </row>
    <row r="63" spans="1:13" x14ac:dyDescent="0.35">
      <c r="A63" s="95" t="s">
        <v>252</v>
      </c>
      <c r="B63" s="95" t="s">
        <v>253</v>
      </c>
      <c r="C63" s="67">
        <v>22</v>
      </c>
      <c r="D63" s="98">
        <f ca="1">((100/I57)*C63)/100</f>
        <v>1.0000000000000002</v>
      </c>
      <c r="E63" s="98"/>
      <c r="F63" s="98"/>
      <c r="G63" s="98"/>
      <c r="H63" s="98"/>
      <c r="I63" s="98"/>
      <c r="J63" s="98"/>
      <c r="K63" s="53" t="s">
        <v>145</v>
      </c>
      <c r="L63" s="55"/>
      <c r="M63" s="57">
        <f ca="1">(IF(B57&gt;1,(I57/(B57+3)+M62),I57/4+M62))</f>
        <v>11</v>
      </c>
    </row>
    <row r="64" spans="1:13" x14ac:dyDescent="0.35">
      <c r="A64" s="95" t="s">
        <v>254</v>
      </c>
      <c r="B64" s="95" t="s">
        <v>253</v>
      </c>
      <c r="C64" s="67">
        <v>22</v>
      </c>
      <c r="D64" s="98">
        <f ca="1">((100/I57)*C64)/100</f>
        <v>1.0000000000000002</v>
      </c>
      <c r="E64" s="98"/>
      <c r="F64" s="98"/>
      <c r="G64" s="98"/>
      <c r="H64" s="98"/>
      <c r="I64" s="98"/>
      <c r="J64" s="98"/>
      <c r="K64" s="53" t="s">
        <v>255</v>
      </c>
      <c r="L64" s="58"/>
      <c r="M64" s="59">
        <f>(IF(B57&gt;1,(I57/(B57+3)+M63),0))</f>
        <v>0</v>
      </c>
    </row>
    <row r="65" spans="1:13" x14ac:dyDescent="0.35">
      <c r="A65" s="95" t="s">
        <v>256</v>
      </c>
      <c r="B65" s="95" t="s">
        <v>257</v>
      </c>
      <c r="C65" s="67">
        <v>13</v>
      </c>
      <c r="D65" s="98">
        <f ca="1">((100/(I57))*C65)/100</f>
        <v>0.59090909090909094</v>
      </c>
      <c r="E65" s="98"/>
      <c r="F65" s="98"/>
      <c r="G65" s="98"/>
      <c r="H65" s="98"/>
      <c r="I65" s="98"/>
      <c r="J65" s="98"/>
      <c r="K65" s="53" t="s">
        <v>258</v>
      </c>
      <c r="L65" s="58"/>
      <c r="M65" s="59">
        <f>(IF(B57&gt;2,(I57/(B57+3)+M64),0))</f>
        <v>0</v>
      </c>
    </row>
    <row r="66" spans="1:13" x14ac:dyDescent="0.35">
      <c r="A66" s="95" t="s">
        <v>259</v>
      </c>
      <c r="B66" s="95" t="s">
        <v>259</v>
      </c>
      <c r="C66" s="67">
        <v>10</v>
      </c>
      <c r="D66" s="98">
        <f ca="1">((100/I57)*C66)/100</f>
        <v>0.45454545454545459</v>
      </c>
      <c r="E66" s="98"/>
      <c r="F66" s="98"/>
      <c r="G66" s="98"/>
      <c r="H66" s="98"/>
      <c r="I66" s="98"/>
      <c r="J66" s="98"/>
      <c r="K66" s="53" t="s">
        <v>260</v>
      </c>
      <c r="L66" s="60"/>
      <c r="M66" s="61">
        <f>(IF(B57&gt;3,(I57/(B57+3)+M65),0))</f>
        <v>0</v>
      </c>
    </row>
    <row r="67" spans="1:13" ht="15" customHeight="1" x14ac:dyDescent="0.35">
      <c r="A67" s="95" t="s">
        <v>261</v>
      </c>
      <c r="B67" s="95"/>
      <c r="C67" s="67">
        <v>5</v>
      </c>
      <c r="D67" s="98">
        <f ca="1">((100/I57)*C67)/100</f>
        <v>0.22727272727272729</v>
      </c>
      <c r="E67" s="98"/>
      <c r="F67" s="98"/>
      <c r="G67" s="98"/>
      <c r="H67" s="98"/>
      <c r="I67" s="98"/>
      <c r="J67" s="98"/>
      <c r="K67" s="53" t="s">
        <v>262</v>
      </c>
      <c r="L67"/>
      <c r="M67" s="62">
        <f>(IF(B57&gt;4,(I57/(B57+3)+M66),0))</f>
        <v>0</v>
      </c>
    </row>
    <row r="68" spans="1:13" x14ac:dyDescent="0.35">
      <c r="A68" s="95" t="s">
        <v>263</v>
      </c>
      <c r="B68" s="95" t="s">
        <v>263</v>
      </c>
      <c r="C68" s="67">
        <v>0</v>
      </c>
      <c r="D68" s="98">
        <f ca="1">((100/(I57))*C68)/100</f>
        <v>0</v>
      </c>
      <c r="E68" s="98"/>
      <c r="F68" s="98"/>
      <c r="G68" s="98"/>
      <c r="H68" s="98"/>
      <c r="I68" s="98"/>
      <c r="J68" s="98"/>
      <c r="K68" s="53" t="s">
        <v>264</v>
      </c>
      <c r="L68" s="55"/>
      <c r="M68" s="63">
        <f ca="1">(IF(B57&gt;1,(I57/(B57+3)+M63+MAX(0,M64-M63)+MAX(0,M65-M64)+MAX(0,M66-M65)+MAX(0,M67-M66)),I57/4+M63))</f>
        <v>16.5</v>
      </c>
    </row>
    <row r="69" spans="1:13" ht="16" thickBot="1" x14ac:dyDescent="0.4">
      <c r="A69" s="95" t="s">
        <v>265</v>
      </c>
      <c r="B69" s="95"/>
      <c r="C69" s="67">
        <v>0</v>
      </c>
      <c r="D69" s="98">
        <f ca="1">((100/(I57))*C69)/100</f>
        <v>0</v>
      </c>
      <c r="E69" s="98"/>
      <c r="F69" s="98"/>
      <c r="G69" s="98"/>
      <c r="H69" s="98"/>
      <c r="I69" s="98"/>
      <c r="J69" s="98"/>
      <c r="K69" s="64" t="s">
        <v>147</v>
      </c>
      <c r="L69" s="65"/>
      <c r="M69" s="66">
        <f ca="1">(IF(B57&gt;1,(I57/(B57+3)+M68),I57/4+M68))</f>
        <v>22</v>
      </c>
    </row>
    <row r="70" spans="1:13" ht="15" customHeight="1" x14ac:dyDescent="0.35">
      <c r="A70" s="138" t="s">
        <v>240</v>
      </c>
      <c r="B70" s="138"/>
      <c r="C70" s="108" t="s">
        <v>302</v>
      </c>
      <c r="D70" s="108"/>
      <c r="E70" s="108"/>
      <c r="F70" s="108"/>
      <c r="G70" s="108"/>
      <c r="H70" s="108"/>
      <c r="I70" s="108"/>
      <c r="J70" s="108"/>
      <c r="K70" s="47" t="str">
        <f ca="1">(IF(C76=0,"Work not yet Started.",IF(D76=25%,"Piling work in process",IF(D76=50%,"Excavation work in process",IF(D76=100%,"Excavation work completed, ","0")))&amp;(IF(C77=0%,"",IF(C77=M78,"Footing work is process",IF(C77=M79,"Footing work Completed",IF(C77=M80,"1st Basement Completed",IF(C77=M81,"1st &amp; 2nd Basement Completed",IF(C77=M82,"1st to 3rd Basement Completed",IF(C77=M83,"1st to 4th Basement Completed",IF(C77=M84,"Plinth work is process",IF(C77=M85,"Plinth work completed","0")))))))))))&amp;(IF(C78&gt;0,", RCC upto "&amp;C78&amp;" Slab completed",""))&amp;(IF(C79&gt;0,", Brickwork upto "&amp;C79&amp;" Floor completed"," "))&amp;(IF(C80&gt;0,", Internal Plaster upto "&amp;C80&amp;" Floor completed"," "))&amp;(IF(C81&gt;0,", External Plaster upto "&amp;C81&amp;" Floor completed"," "))&amp;(IF(C82&gt;0,", Flooring upto "&amp;C82&amp;" Floor completed"," "))&amp;(IF(C83&gt;0,", Painting upto "&amp;C83&amp;" Floor completed"," "))&amp;(IF(C84&gt;0,", Finishing upto "&amp;C84&amp;" Floor completed"," ")))</f>
        <v>Excavation work completed, Plinth work completed, RCC upto 23 Slab completed, Brickwork upto 22 Floor completed, Internal Plaster upto 22 Floor completed, External Plaster upto 22 Floor completed, Flooring upto 22 Floor completed, Painting upto 22 Floor completed, Finishing upto 22 Floor completed</v>
      </c>
      <c r="L70" s="47"/>
      <c r="M70" s="48"/>
    </row>
    <row r="71" spans="1:13" ht="16.5" customHeight="1" x14ac:dyDescent="0.35">
      <c r="A71" s="77" t="s">
        <v>134</v>
      </c>
      <c r="B71" s="77">
        <v>0</v>
      </c>
      <c r="C71" s="77" t="s">
        <v>136</v>
      </c>
      <c r="D71" s="77">
        <v>1</v>
      </c>
      <c r="E71" s="105" t="s">
        <v>135</v>
      </c>
      <c r="F71" s="105"/>
      <c r="G71" s="77">
        <v>0</v>
      </c>
      <c r="H71" s="77" t="s">
        <v>241</v>
      </c>
      <c r="I71" s="105">
        <f ca="1">--TRIM(RIGHT(SUBSTITUTE(LEFT(C70,_xlfn.AGGREGATE(16,6,FIND({0,1,2,3,4,5,6,7,8,9},C70,ROW(INDIRECT("1:"&amp;LEN(C70)))),1))," ",REPT(" ",LEN(C70))),LEN(C70)))</f>
        <v>22</v>
      </c>
      <c r="J71" s="105"/>
      <c r="K71" s="51" t="s">
        <v>242</v>
      </c>
      <c r="L71" s="51"/>
      <c r="M71" s="52"/>
    </row>
    <row r="72" spans="1:13" x14ac:dyDescent="0.35">
      <c r="A72" s="107" t="s">
        <v>243</v>
      </c>
      <c r="B72" s="107"/>
      <c r="C72" s="108" t="str">
        <f>K71</f>
        <v>All work Completed. Provide OC.</v>
      </c>
      <c r="D72" s="108"/>
      <c r="E72" s="108"/>
      <c r="F72" s="108"/>
      <c r="G72" s="108"/>
      <c r="H72" s="108"/>
      <c r="I72" s="108"/>
      <c r="J72" s="108"/>
      <c r="K72" s="51" t="s">
        <v>244</v>
      </c>
      <c r="L72" s="51"/>
      <c r="M72" s="52"/>
    </row>
    <row r="73" spans="1:13" s="3" customFormat="1" x14ac:dyDescent="0.35">
      <c r="A73" s="113" t="s">
        <v>247</v>
      </c>
      <c r="B73" s="113"/>
      <c r="C73" s="114">
        <v>1</v>
      </c>
      <c r="D73" s="115"/>
      <c r="E73" s="115"/>
      <c r="F73" s="115" t="s">
        <v>248</v>
      </c>
      <c r="G73" s="115"/>
      <c r="H73" s="114">
        <v>1</v>
      </c>
      <c r="I73" s="115"/>
      <c r="J73" s="115"/>
      <c r="K73" s="74"/>
      <c r="L73" s="74"/>
      <c r="M73" s="75"/>
    </row>
    <row r="74" spans="1:13" s="3" customFormat="1" ht="16" thickBot="1" x14ac:dyDescent="0.4">
      <c r="A74" s="113"/>
      <c r="B74" s="113"/>
      <c r="C74" s="115"/>
      <c r="D74" s="115"/>
      <c r="E74" s="115"/>
      <c r="F74" s="115"/>
      <c r="G74" s="115"/>
      <c r="H74" s="115"/>
      <c r="I74" s="115"/>
      <c r="J74" s="115"/>
      <c r="K74" s="74"/>
      <c r="L74" s="74"/>
      <c r="M74" s="75"/>
    </row>
    <row r="75" spans="1:13" hidden="1" x14ac:dyDescent="0.35">
      <c r="A75" s="109" t="s">
        <v>66</v>
      </c>
      <c r="B75" s="110"/>
      <c r="C75" s="78" t="s">
        <v>245</v>
      </c>
      <c r="D75" s="111" t="s">
        <v>246</v>
      </c>
      <c r="E75" s="111"/>
      <c r="F75" s="111" t="s">
        <v>247</v>
      </c>
      <c r="G75" s="111"/>
      <c r="H75" s="111" t="s">
        <v>248</v>
      </c>
      <c r="I75" s="111"/>
      <c r="J75" s="112"/>
      <c r="K75" s="53" t="s">
        <v>249</v>
      </c>
      <c r="M75" s="54">
        <f ca="1">I71*25%</f>
        <v>5.5</v>
      </c>
    </row>
    <row r="76" spans="1:13" hidden="1" x14ac:dyDescent="0.35">
      <c r="A76" s="94" t="s">
        <v>250</v>
      </c>
      <c r="B76" s="95"/>
      <c r="C76" s="67">
        <v>22</v>
      </c>
      <c r="D76" s="96">
        <f ca="1">((100/I71)*C76)/100</f>
        <v>1.0000000000000002</v>
      </c>
      <c r="E76" s="97"/>
      <c r="F76" s="98" t="str">
        <f>(IF(C72=K71,"100%",IF(C72=K72,"100%",(((C77/I71*10)+(40/(D71+G71+I71)*C78)+(7.5/(I71)*C79)+(7.5/(I71)*C80)+(10/I71*C81)+(10/I71*C82)+(5/I71*C83)+(5/I71*C84)+(5/I71*C85))/100))))</f>
        <v>100%</v>
      </c>
      <c r="G76" s="98"/>
      <c r="H76" s="99">
        <f ca="1">((((C76/I71)*20)+((C77/I71)*25)+(30/(I71+G71+D71)*C78)+(5/I71*C79)+(5/I71*C80)+(5/I71*C81)+(5/I71*C82)+(0/I71*C83)+(0/I71*C84)+(5/I71*C85))/100)</f>
        <v>1</v>
      </c>
      <c r="I76" s="100"/>
      <c r="J76" s="101"/>
      <c r="K76" s="53" t="s">
        <v>142</v>
      </c>
      <c r="L76" s="55"/>
      <c r="M76" s="56">
        <f ca="1">I71*50%</f>
        <v>11</v>
      </c>
    </row>
    <row r="77" spans="1:13" hidden="1" x14ac:dyDescent="0.35">
      <c r="A77" s="94" t="s">
        <v>67</v>
      </c>
      <c r="B77" s="95"/>
      <c r="C77" s="68">
        <v>22</v>
      </c>
      <c r="D77" s="96">
        <f ca="1">((100/I71)*C77)/100</f>
        <v>1.0000000000000002</v>
      </c>
      <c r="E77" s="97"/>
      <c r="F77" s="98"/>
      <c r="G77" s="98"/>
      <c r="H77" s="102"/>
      <c r="I77" s="103"/>
      <c r="J77" s="104"/>
      <c r="K77" s="53" t="s">
        <v>143</v>
      </c>
      <c r="L77" s="55"/>
      <c r="M77" s="56">
        <f ca="1">I71</f>
        <v>22</v>
      </c>
    </row>
    <row r="78" spans="1:13" hidden="1" x14ac:dyDescent="0.35">
      <c r="A78" s="94" t="s">
        <v>251</v>
      </c>
      <c r="B78" s="95"/>
      <c r="C78" s="68">
        <v>23</v>
      </c>
      <c r="D78" s="96">
        <f ca="1">((100/(D71+G71+I71))*C78)/100</f>
        <v>1</v>
      </c>
      <c r="E78" s="97"/>
      <c r="F78" s="98"/>
      <c r="G78" s="98"/>
      <c r="H78" s="102"/>
      <c r="I78" s="103"/>
      <c r="J78" s="104"/>
      <c r="K78" s="53" t="s">
        <v>144</v>
      </c>
      <c r="L78" s="55"/>
      <c r="M78" s="57">
        <f ca="1">(IF(B71&gt;1,(I71/(B71+3)),I71/4))</f>
        <v>5.5</v>
      </c>
    </row>
    <row r="79" spans="1:13" hidden="1" x14ac:dyDescent="0.35">
      <c r="A79" s="94" t="s">
        <v>252</v>
      </c>
      <c r="B79" s="95" t="s">
        <v>253</v>
      </c>
      <c r="C79" s="68">
        <v>22</v>
      </c>
      <c r="D79" s="96">
        <f ca="1">((100/I71)*C79)/100</f>
        <v>1.0000000000000002</v>
      </c>
      <c r="E79" s="97"/>
      <c r="F79" s="98"/>
      <c r="G79" s="98"/>
      <c r="H79" s="102"/>
      <c r="I79" s="103"/>
      <c r="J79" s="104"/>
      <c r="K79" s="53" t="s">
        <v>145</v>
      </c>
      <c r="L79" s="55"/>
      <c r="M79" s="57">
        <f ca="1">(IF(B71&gt;1,(I71/(B71+3)+M78),I71/4+M78))</f>
        <v>11</v>
      </c>
    </row>
    <row r="80" spans="1:13" hidden="1" x14ac:dyDescent="0.35">
      <c r="A80" s="94" t="s">
        <v>254</v>
      </c>
      <c r="B80" s="95" t="s">
        <v>253</v>
      </c>
      <c r="C80" s="68">
        <v>22</v>
      </c>
      <c r="D80" s="96">
        <f ca="1">((100/I71)*C80)/100</f>
        <v>1.0000000000000002</v>
      </c>
      <c r="E80" s="97"/>
      <c r="F80" s="98"/>
      <c r="G80" s="98"/>
      <c r="H80" s="102"/>
      <c r="I80" s="103"/>
      <c r="J80" s="104"/>
      <c r="K80" s="53" t="s">
        <v>255</v>
      </c>
      <c r="L80" s="58"/>
      <c r="M80" s="59">
        <f>(IF(B71&gt;1,(I71/(B71+3)+M79),0))</f>
        <v>0</v>
      </c>
    </row>
    <row r="81" spans="1:13" hidden="1" x14ac:dyDescent="0.35">
      <c r="A81" s="94" t="s">
        <v>256</v>
      </c>
      <c r="B81" s="95" t="s">
        <v>257</v>
      </c>
      <c r="C81" s="68">
        <v>22</v>
      </c>
      <c r="D81" s="96">
        <f ca="1">((100/(I71))*C81)/100</f>
        <v>1.0000000000000002</v>
      </c>
      <c r="E81" s="97"/>
      <c r="F81" s="98"/>
      <c r="G81" s="98"/>
      <c r="H81" s="102"/>
      <c r="I81" s="103"/>
      <c r="J81" s="104"/>
      <c r="K81" s="53" t="s">
        <v>258</v>
      </c>
      <c r="L81" s="58"/>
      <c r="M81" s="59">
        <f>(IF(B71&gt;2,(I71/(B71+3)+M80),0))</f>
        <v>0</v>
      </c>
    </row>
    <row r="82" spans="1:13" hidden="1" x14ac:dyDescent="0.35">
      <c r="A82" s="94" t="s">
        <v>259</v>
      </c>
      <c r="B82" s="95" t="s">
        <v>259</v>
      </c>
      <c r="C82" s="68">
        <v>22</v>
      </c>
      <c r="D82" s="96">
        <f ca="1">((100/I71)*C82)/100</f>
        <v>1.0000000000000002</v>
      </c>
      <c r="E82" s="97"/>
      <c r="F82" s="98"/>
      <c r="G82" s="98"/>
      <c r="H82" s="102"/>
      <c r="I82" s="103"/>
      <c r="J82" s="104"/>
      <c r="K82" s="53" t="s">
        <v>260</v>
      </c>
      <c r="L82" s="60"/>
      <c r="M82" s="61">
        <f>(IF(B71&gt;3,(I71/(B71+3)+M81),0))</f>
        <v>0</v>
      </c>
    </row>
    <row r="83" spans="1:13" ht="15" hidden="1" customHeight="1" x14ac:dyDescent="0.35">
      <c r="A83" s="94" t="s">
        <v>261</v>
      </c>
      <c r="B83" s="95"/>
      <c r="C83" s="68">
        <v>22</v>
      </c>
      <c r="D83" s="96">
        <f ca="1">((100/I71)*C83)/100</f>
        <v>1.0000000000000002</v>
      </c>
      <c r="E83" s="97"/>
      <c r="F83" s="98"/>
      <c r="G83" s="98"/>
      <c r="H83" s="102"/>
      <c r="I83" s="103"/>
      <c r="J83" s="104"/>
      <c r="K83" s="53" t="s">
        <v>262</v>
      </c>
      <c r="L83"/>
      <c r="M83" s="62">
        <f>(IF(B71&gt;4,(I71/(B71+3)+M82),0))</f>
        <v>0</v>
      </c>
    </row>
    <row r="84" spans="1:13" hidden="1" x14ac:dyDescent="0.35">
      <c r="A84" s="94" t="s">
        <v>263</v>
      </c>
      <c r="B84" s="95" t="s">
        <v>263</v>
      </c>
      <c r="C84" s="68">
        <v>22</v>
      </c>
      <c r="D84" s="96">
        <f ca="1">((100/(I71))*C84)/100</f>
        <v>1.0000000000000002</v>
      </c>
      <c r="E84" s="97"/>
      <c r="F84" s="98"/>
      <c r="G84" s="98"/>
      <c r="H84" s="102"/>
      <c r="I84" s="103"/>
      <c r="J84" s="104"/>
      <c r="K84" s="53" t="s">
        <v>264</v>
      </c>
      <c r="L84" s="55"/>
      <c r="M84" s="63">
        <f ca="1">(IF(B71&gt;1,(I71/(B71+3)+M79+MAX(0,M80-M79)+MAX(0,M81-M80)+MAX(0,M82-M81)+MAX(0,M83-M82)),I71/4+M79))</f>
        <v>16.5</v>
      </c>
    </row>
    <row r="85" spans="1:13" ht="16" hidden="1" thickBot="1" x14ac:dyDescent="0.4">
      <c r="A85" s="134" t="s">
        <v>265</v>
      </c>
      <c r="B85" s="135"/>
      <c r="C85" s="69">
        <v>22</v>
      </c>
      <c r="D85" s="136">
        <f ca="1">((100/(I71))*C85)/100</f>
        <v>1.0000000000000002</v>
      </c>
      <c r="E85" s="137"/>
      <c r="F85" s="130"/>
      <c r="G85" s="130"/>
      <c r="H85" s="131"/>
      <c r="I85" s="132"/>
      <c r="J85" s="133"/>
      <c r="K85" s="64" t="s">
        <v>147</v>
      </c>
      <c r="L85" s="65"/>
      <c r="M85" s="66">
        <f ca="1">(IF(B71&gt;1,(I71/(B71+3)+M84),I71/4+M84))</f>
        <v>22</v>
      </c>
    </row>
    <row r="86" spans="1:13" ht="15" customHeight="1" x14ac:dyDescent="0.35">
      <c r="A86" s="116" t="s">
        <v>240</v>
      </c>
      <c r="B86" s="117"/>
      <c r="C86" s="118" t="s">
        <v>303</v>
      </c>
      <c r="D86" s="119"/>
      <c r="E86" s="119"/>
      <c r="F86" s="119"/>
      <c r="G86" s="119"/>
      <c r="H86" s="119"/>
      <c r="I86" s="119"/>
      <c r="J86" s="120"/>
      <c r="K86" s="47" t="str">
        <f ca="1">(IF(C90=0,"Work not yet Started.",IF(D90=25%,"Piling work in process",IF(D90=50%,"Excavation work in process",IF(D90=100%,"Excavation work completed, ","0")))&amp;(IF(C91=0%,"",IF(C91=M92,"Footing work is process",IF(C91=M93,"Footing work Completed",IF(C91=M94,"1st Basement Completed",IF(C91=M95,"1st &amp; 2nd Basement Completed",IF(C91=M96,"1st to 3rd Basement Completed",IF(C91=M97,"1st to 4th Basement Completed",IF(C91=M98,"Plinth work is process",IF(C91=M99,"Plinth work completed","0")))))))))))&amp;(IF(C92&gt;0,", RCC upto "&amp;C92&amp;" Slab completed",""))&amp;(IF(C93&gt;0,", Brickwork upto "&amp;C93&amp;" Floor completed"," "))&amp;(IF(C94&gt;0,", Internal Plaster upto "&amp;C94&amp;" Floor completed"," "))&amp;(IF(C95&gt;0,", External Plaster upto "&amp;C95&amp;" Floor completed"," "))&amp;(IF(C96&gt;0,", Flooring upto "&amp;C96&amp;" Floor completed"," "))&amp;(IF(C97&gt;0,", Painting upto "&amp;C97&amp;" Floor completed"," "))&amp;(IF(C98&gt;0,", Finishing upto "&amp;C98&amp;" Floor completed"," ")))</f>
        <v>Excavation work completed, Plinth work completed, RCC upto 23 Slab completed, Brickwork upto 22 Floor completed, Internal Plaster upto 22 Floor completed, External Plaster upto 22 Floor completed, Flooring upto 22 Floor completed, Painting upto 22 Floor completed, Finishing upto 12 Floor completed</v>
      </c>
      <c r="L86" s="47"/>
      <c r="M86" s="48"/>
    </row>
    <row r="87" spans="1:13" ht="16.5" customHeight="1" x14ac:dyDescent="0.35">
      <c r="A87" s="49" t="s">
        <v>134</v>
      </c>
      <c r="B87" s="50">
        <v>0</v>
      </c>
      <c r="C87" s="50" t="s">
        <v>136</v>
      </c>
      <c r="D87" s="50">
        <v>1</v>
      </c>
      <c r="E87" s="121" t="s">
        <v>135</v>
      </c>
      <c r="F87" s="122"/>
      <c r="G87" s="50">
        <v>0</v>
      </c>
      <c r="H87" s="50" t="s">
        <v>241</v>
      </c>
      <c r="I87" s="121">
        <f ca="1">--TRIM(RIGHT(SUBSTITUTE(LEFT(C86,_xlfn.AGGREGATE(16,6,FIND({0,1,2,3,4,5,6,7,8,9},C86,ROW(INDIRECT("1:"&amp;LEN(C86)))),1))," ",REPT(" ",LEN(C86))),LEN(C86)))</f>
        <v>22</v>
      </c>
      <c r="J87" s="123"/>
      <c r="K87" s="51" t="s">
        <v>242</v>
      </c>
      <c r="L87" s="51"/>
      <c r="M87" s="52"/>
    </row>
    <row r="88" spans="1:13" ht="80.25" customHeight="1" x14ac:dyDescent="0.35">
      <c r="A88" s="106" t="s">
        <v>243</v>
      </c>
      <c r="B88" s="107"/>
      <c r="C88" s="124" t="str">
        <f ca="1">K86</f>
        <v>Excavation work completed, Plinth work completed, RCC upto 23 Slab completed, Brickwork upto 22 Floor completed, Internal Plaster upto 22 Floor completed, External Plaster upto 22 Floor completed, Flooring upto 22 Floor completed, Painting upto 22 Floor completed, Finishing upto 12 Floor completed</v>
      </c>
      <c r="D88" s="125"/>
      <c r="E88" s="125"/>
      <c r="F88" s="125"/>
      <c r="G88" s="125"/>
      <c r="H88" s="125"/>
      <c r="I88" s="125"/>
      <c r="J88" s="126"/>
      <c r="K88" s="51" t="s">
        <v>244</v>
      </c>
      <c r="L88" s="51"/>
      <c r="M88" s="52"/>
    </row>
    <row r="89" spans="1:13" x14ac:dyDescent="0.35">
      <c r="A89" s="127" t="s">
        <v>66</v>
      </c>
      <c r="B89" s="128"/>
      <c r="C89" s="70" t="s">
        <v>245</v>
      </c>
      <c r="D89" s="95" t="s">
        <v>246</v>
      </c>
      <c r="E89" s="95"/>
      <c r="F89" s="95" t="s">
        <v>247</v>
      </c>
      <c r="G89" s="95"/>
      <c r="H89" s="95" t="s">
        <v>248</v>
      </c>
      <c r="I89" s="95"/>
      <c r="J89" s="129"/>
      <c r="K89" s="53" t="s">
        <v>249</v>
      </c>
      <c r="M89" s="54">
        <f ca="1">I87*25%</f>
        <v>5.5</v>
      </c>
    </row>
    <row r="90" spans="1:13" x14ac:dyDescent="0.35">
      <c r="A90" s="95" t="s">
        <v>250</v>
      </c>
      <c r="B90" s="95"/>
      <c r="C90" s="67">
        <v>22</v>
      </c>
      <c r="D90" s="98">
        <f ca="1">((100/I87)*C90)/100</f>
        <v>1.0000000000000002</v>
      </c>
      <c r="E90" s="98"/>
      <c r="F90" s="98">
        <f ca="1">(IF(C88=K87,"100%",IF(C88=K88,"100%",(((C91/I87*10)+(40/(D87+G87+I87)*C92)+(7.5/(I87)*C93)+(7.5/(I87)*C94)+(10/I87*C95)+(10/I87*C96)+(5/I87*C97)+(5/I87*C98)+(5/I87*C99))/100))))</f>
        <v>0.92727272727272736</v>
      </c>
      <c r="G90" s="98"/>
      <c r="H90" s="98">
        <f ca="1">((((C90/I87)*20)+((C91/I87)*25)+(30/(I87+G87+D87)*C92)+(5/I87*C93)+(5/I87*C94)+(5/I87*C95)+(5/I87*C96)+(0/I87*C97)+(0/I87*C98)+(5/I87*C99))/100)</f>
        <v>0.95</v>
      </c>
      <c r="I90" s="98"/>
      <c r="J90" s="98"/>
      <c r="K90" s="53" t="s">
        <v>142</v>
      </c>
      <c r="L90" s="55"/>
      <c r="M90" s="56">
        <f ca="1">I87*50%</f>
        <v>11</v>
      </c>
    </row>
    <row r="91" spans="1:13" x14ac:dyDescent="0.35">
      <c r="A91" s="95" t="s">
        <v>67</v>
      </c>
      <c r="B91" s="95"/>
      <c r="C91" s="68">
        <v>22</v>
      </c>
      <c r="D91" s="98">
        <f ca="1">((100/I87)*C91)/100</f>
        <v>1.0000000000000002</v>
      </c>
      <c r="E91" s="98"/>
      <c r="F91" s="98"/>
      <c r="G91" s="98"/>
      <c r="H91" s="98"/>
      <c r="I91" s="98"/>
      <c r="J91" s="98"/>
      <c r="K91" s="53" t="s">
        <v>143</v>
      </c>
      <c r="L91" s="55"/>
      <c r="M91" s="56">
        <f ca="1">I87</f>
        <v>22</v>
      </c>
    </row>
    <row r="92" spans="1:13" x14ac:dyDescent="0.35">
      <c r="A92" s="95" t="s">
        <v>251</v>
      </c>
      <c r="B92" s="95"/>
      <c r="C92" s="68">
        <v>23</v>
      </c>
      <c r="D92" s="98">
        <f ca="1">((100/(D87+G87+I87))*C92)/100</f>
        <v>1</v>
      </c>
      <c r="E92" s="98"/>
      <c r="F92" s="98"/>
      <c r="G92" s="98"/>
      <c r="H92" s="98"/>
      <c r="I92" s="98"/>
      <c r="J92" s="98"/>
      <c r="K92" s="53" t="s">
        <v>144</v>
      </c>
      <c r="L92" s="55"/>
      <c r="M92" s="57">
        <f ca="1">(IF(B87&gt;1,(I87/(B87+3)),I87/4))</f>
        <v>5.5</v>
      </c>
    </row>
    <row r="93" spans="1:13" x14ac:dyDescent="0.35">
      <c r="A93" s="95" t="s">
        <v>252</v>
      </c>
      <c r="B93" s="95" t="s">
        <v>253</v>
      </c>
      <c r="C93" s="67">
        <v>22</v>
      </c>
      <c r="D93" s="98">
        <f ca="1">((100/I87)*C93)/100</f>
        <v>1.0000000000000002</v>
      </c>
      <c r="E93" s="98"/>
      <c r="F93" s="98"/>
      <c r="G93" s="98"/>
      <c r="H93" s="98"/>
      <c r="I93" s="98"/>
      <c r="J93" s="98"/>
      <c r="K93" s="53" t="s">
        <v>145</v>
      </c>
      <c r="L93" s="55"/>
      <c r="M93" s="57">
        <f ca="1">(IF(B87&gt;1,(I87/(B87+3)+M92),I87/4+M92))</f>
        <v>11</v>
      </c>
    </row>
    <row r="94" spans="1:13" x14ac:dyDescent="0.35">
      <c r="A94" s="95" t="s">
        <v>254</v>
      </c>
      <c r="B94" s="95" t="s">
        <v>253</v>
      </c>
      <c r="C94" s="67">
        <v>22</v>
      </c>
      <c r="D94" s="98">
        <f ca="1">((100/I87)*C94)/100</f>
        <v>1.0000000000000002</v>
      </c>
      <c r="E94" s="98"/>
      <c r="F94" s="98"/>
      <c r="G94" s="98"/>
      <c r="H94" s="98"/>
      <c r="I94" s="98"/>
      <c r="J94" s="98"/>
      <c r="K94" s="53" t="s">
        <v>255</v>
      </c>
      <c r="L94" s="58"/>
      <c r="M94" s="59">
        <f>(IF(B87&gt;1,(I87/(B87+3)+M93),0))</f>
        <v>0</v>
      </c>
    </row>
    <row r="95" spans="1:13" x14ac:dyDescent="0.35">
      <c r="A95" s="95" t="s">
        <v>256</v>
      </c>
      <c r="B95" s="95" t="s">
        <v>257</v>
      </c>
      <c r="C95" s="67">
        <v>22</v>
      </c>
      <c r="D95" s="98">
        <f ca="1">((100/(I87))*C95)/100</f>
        <v>1.0000000000000002</v>
      </c>
      <c r="E95" s="98"/>
      <c r="F95" s="98"/>
      <c r="G95" s="98"/>
      <c r="H95" s="98"/>
      <c r="I95" s="98"/>
      <c r="J95" s="98"/>
      <c r="K95" s="53" t="s">
        <v>258</v>
      </c>
      <c r="L95" s="58"/>
      <c r="M95" s="59">
        <f>(IF(B87&gt;2,(I87/(B87+3)+M94),0))</f>
        <v>0</v>
      </c>
    </row>
    <row r="96" spans="1:13" x14ac:dyDescent="0.35">
      <c r="A96" s="95" t="s">
        <v>259</v>
      </c>
      <c r="B96" s="95" t="s">
        <v>259</v>
      </c>
      <c r="C96" s="67">
        <v>22</v>
      </c>
      <c r="D96" s="98">
        <f ca="1">((100/I87)*C96)/100</f>
        <v>1.0000000000000002</v>
      </c>
      <c r="E96" s="98"/>
      <c r="F96" s="98"/>
      <c r="G96" s="98"/>
      <c r="H96" s="98"/>
      <c r="I96" s="98"/>
      <c r="J96" s="98"/>
      <c r="K96" s="53" t="s">
        <v>260</v>
      </c>
      <c r="L96" s="60"/>
      <c r="M96" s="61">
        <f>(IF(B87&gt;3,(I87/(B87+3)+M95),0))</f>
        <v>0</v>
      </c>
    </row>
    <row r="97" spans="1:14" ht="15" customHeight="1" x14ac:dyDescent="0.35">
      <c r="A97" s="95" t="s">
        <v>261</v>
      </c>
      <c r="B97" s="95"/>
      <c r="C97" s="67">
        <v>22</v>
      </c>
      <c r="D97" s="98">
        <f ca="1">((100/I87)*C97)/100</f>
        <v>1.0000000000000002</v>
      </c>
      <c r="E97" s="98"/>
      <c r="F97" s="98"/>
      <c r="G97" s="98"/>
      <c r="H97" s="98"/>
      <c r="I97" s="98"/>
      <c r="J97" s="98"/>
      <c r="K97" s="53" t="s">
        <v>262</v>
      </c>
      <c r="L97"/>
      <c r="M97" s="62">
        <f>(IF(B87&gt;4,(I87/(B87+3)+M96),0))</f>
        <v>0</v>
      </c>
    </row>
    <row r="98" spans="1:14" x14ac:dyDescent="0.35">
      <c r="A98" s="95" t="s">
        <v>263</v>
      </c>
      <c r="B98" s="95" t="s">
        <v>263</v>
      </c>
      <c r="C98" s="67">
        <v>12</v>
      </c>
      <c r="D98" s="98">
        <f ca="1">((100/(I87))*C98)/100</f>
        <v>0.54545454545454541</v>
      </c>
      <c r="E98" s="98"/>
      <c r="F98" s="98"/>
      <c r="G98" s="98"/>
      <c r="H98" s="98"/>
      <c r="I98" s="98"/>
      <c r="J98" s="98"/>
      <c r="K98" s="53" t="s">
        <v>264</v>
      </c>
      <c r="L98" s="55"/>
      <c r="M98" s="63">
        <f ca="1">(IF(B87&gt;1,(I87/(B87+3)+M93+MAX(0,M94-M93)+MAX(0,M95-M94)+MAX(0,M96-M95)+MAX(0,M97-M96)),I87/4+M93))</f>
        <v>16.5</v>
      </c>
    </row>
    <row r="99" spans="1:14" ht="16" thickBot="1" x14ac:dyDescent="0.4">
      <c r="A99" s="95" t="s">
        <v>265</v>
      </c>
      <c r="B99" s="95"/>
      <c r="C99" s="67">
        <v>0</v>
      </c>
      <c r="D99" s="98">
        <f ca="1">((100/(I87))*C99)/100</f>
        <v>0</v>
      </c>
      <c r="E99" s="98"/>
      <c r="F99" s="98"/>
      <c r="G99" s="98"/>
      <c r="H99" s="98"/>
      <c r="I99" s="98"/>
      <c r="J99" s="98"/>
      <c r="K99" s="64" t="s">
        <v>147</v>
      </c>
      <c r="L99" s="65"/>
      <c r="M99" s="66">
        <f ca="1">(IF(B87&gt;1,(I87/(B87+3)+M98),I87/4+M98))</f>
        <v>22</v>
      </c>
    </row>
    <row r="100" spans="1:14" x14ac:dyDescent="0.35">
      <c r="A100" s="138" t="s">
        <v>240</v>
      </c>
      <c r="B100" s="138"/>
      <c r="C100" s="108" t="s">
        <v>266</v>
      </c>
      <c r="D100" s="108"/>
      <c r="E100" s="108"/>
      <c r="F100" s="108"/>
      <c r="G100" s="108"/>
      <c r="H100" s="108"/>
      <c r="I100" s="108"/>
      <c r="J100" s="108"/>
      <c r="K100" s="47" t="str">
        <f ca="1">(IF(C106=0,"Work not yet Started.",IF(D106=25%,"Piling work in process",IF(D106=50%,"Excavation work in process",IF(D106=100%,"Excavation work completed, ","0")))&amp;(IF(C107=0%,"",IF(C107=M108,"Footing work is process",IF(C107=M109,"Footing work Completed",IF(C107=M110,"1st Basement Completed",IF(C107=M111,"1st &amp; 2nd Basement Completed",IF(C107=M112,"1st to 3rd Basement Completed",IF(C107=M113,"1st to 4th Basement Completed",IF(C107=M114,"Plinth work is process",IF(C107=M115,"Plinth work completed","0")))))))))))&amp;(IF(C108&gt;0,", RCC upto "&amp;C108&amp;" Slab completed",""))&amp;(IF(C109&gt;0,", Brickwork upto "&amp;C109&amp;" Floor completed"," "))&amp;(IF(C110&gt;0,", Internal Plaster upto "&amp;C110&amp;" Floor completed"," "))&amp;(IF(C111&gt;0,", External Plaster upto "&amp;C111&amp;" Floor completed"," "))&amp;(IF(C112&gt;0,", Flooring upto "&amp;C112&amp;" Floor completed"," "))&amp;(IF(C113&gt;0,", Painting upto "&amp;C113&amp;" Floor completed"," "))&amp;(IF(C114&gt;0,", Finishing upto "&amp;C114&amp;" Floor completed"," ")))</f>
        <v>Excavation work completed, Plinth work completed, RCC upto 23 Slab completed, Brickwork upto 22 Floor completed, Internal Plaster upto 22 Floor completed, External Plaster upto 22 Floor completed, Flooring upto 22 Floor completed, Painting upto 22 Floor completed, Finishing upto 22 Floor completed</v>
      </c>
      <c r="L100" s="47"/>
      <c r="M100" s="48"/>
    </row>
    <row r="101" spans="1:14" x14ac:dyDescent="0.35">
      <c r="A101" s="81" t="s">
        <v>134</v>
      </c>
      <c r="B101" s="81">
        <v>0</v>
      </c>
      <c r="C101" s="81" t="s">
        <v>136</v>
      </c>
      <c r="D101" s="81">
        <v>1</v>
      </c>
      <c r="E101" s="105" t="s">
        <v>135</v>
      </c>
      <c r="F101" s="105"/>
      <c r="G101" s="81">
        <v>0</v>
      </c>
      <c r="H101" s="81" t="s">
        <v>241</v>
      </c>
      <c r="I101" s="105">
        <f ca="1">--TRIM(RIGHT(SUBSTITUTE(LEFT(C100,_xlfn.AGGREGATE(16,6,FIND({0,1,2,3,4,5,6,7,8,9},C100,ROW(INDIRECT("1:"&amp;LEN(C100)))),1))," ",REPT(" ",LEN(C100))),LEN(C100)))</f>
        <v>22</v>
      </c>
      <c r="J101" s="105"/>
      <c r="K101" s="51" t="s">
        <v>242</v>
      </c>
      <c r="L101" s="51"/>
      <c r="M101" s="52"/>
    </row>
    <row r="102" spans="1:14" x14ac:dyDescent="0.35">
      <c r="A102" s="107" t="s">
        <v>243</v>
      </c>
      <c r="B102" s="107"/>
      <c r="C102" s="108" t="str">
        <f>K101</f>
        <v>All work Completed. Provide OC.</v>
      </c>
      <c r="D102" s="108"/>
      <c r="E102" s="108"/>
      <c r="F102" s="108"/>
      <c r="G102" s="108"/>
      <c r="H102" s="108"/>
      <c r="I102" s="108"/>
      <c r="J102" s="108"/>
      <c r="K102" s="51" t="s">
        <v>244</v>
      </c>
      <c r="L102" s="51"/>
      <c r="M102" s="52"/>
    </row>
    <row r="103" spans="1:14" s="3" customFormat="1" x14ac:dyDescent="0.35">
      <c r="A103" s="113" t="s">
        <v>247</v>
      </c>
      <c r="B103" s="113"/>
      <c r="C103" s="114">
        <v>1</v>
      </c>
      <c r="D103" s="115"/>
      <c r="E103" s="115"/>
      <c r="F103" s="115" t="s">
        <v>248</v>
      </c>
      <c r="G103" s="115"/>
      <c r="H103" s="114">
        <v>1</v>
      </c>
      <c r="I103" s="115"/>
      <c r="J103" s="115"/>
      <c r="K103" s="74"/>
      <c r="L103" s="74"/>
      <c r="M103" s="75"/>
    </row>
    <row r="104" spans="1:14" s="3" customFormat="1" x14ac:dyDescent="0.35">
      <c r="A104" s="113"/>
      <c r="B104" s="113"/>
      <c r="C104" s="115"/>
      <c r="D104" s="115"/>
      <c r="E104" s="115"/>
      <c r="F104" s="115"/>
      <c r="G104" s="115"/>
      <c r="H104" s="115"/>
      <c r="I104" s="115"/>
      <c r="J104" s="115"/>
      <c r="K104" s="74"/>
      <c r="L104" s="74"/>
      <c r="M104" s="75"/>
    </row>
    <row r="105" spans="1:14" hidden="1" x14ac:dyDescent="0.35">
      <c r="A105" s="95" t="s">
        <v>66</v>
      </c>
      <c r="B105" s="95"/>
      <c r="C105" s="79" t="s">
        <v>245</v>
      </c>
      <c r="D105" s="95" t="s">
        <v>246</v>
      </c>
      <c r="E105" s="95"/>
      <c r="F105" s="95" t="s">
        <v>247</v>
      </c>
      <c r="G105" s="95"/>
      <c r="H105" s="95" t="s">
        <v>248</v>
      </c>
      <c r="I105" s="95"/>
      <c r="J105" s="95"/>
      <c r="K105" s="53" t="s">
        <v>249</v>
      </c>
      <c r="M105" s="54">
        <f ca="1">I101*25%</f>
        <v>5.5</v>
      </c>
    </row>
    <row r="106" spans="1:14" hidden="1" x14ac:dyDescent="0.35">
      <c r="A106" s="95" t="s">
        <v>250</v>
      </c>
      <c r="B106" s="95"/>
      <c r="C106" s="67">
        <v>22</v>
      </c>
      <c r="D106" s="98">
        <f ca="1">((100/I101)*C106)/100</f>
        <v>1.0000000000000002</v>
      </c>
      <c r="E106" s="98"/>
      <c r="F106" s="98" t="str">
        <f>(IF(C102=K101,"100%",IF(C102=K102,"100%",(((C107/I101*10)+(40/(D101+G101+I101)*C108)+(7.5/(I101)*C109)+(7.5/(I101)*C110)+(10/I101*C111)+(10/I101*C112)+(5/I101*C113)+(5/I101*C114)+(5/I101*C115))/100))))</f>
        <v>100%</v>
      </c>
      <c r="G106" s="98"/>
      <c r="H106" s="98">
        <f ca="1">((((C106/I101)*20)+((C107/I101)*25)+(30/(I101+G101+D101)*C108)+(5/I101*C109)+(5/I101*C110)+(5/I101*C111)+(5/I101*C112)+(0/I101*C113)+(0/I101*C114)+(5/I101*C115))/100)</f>
        <v>1</v>
      </c>
      <c r="I106" s="98"/>
      <c r="J106" s="98"/>
      <c r="K106" s="53" t="s">
        <v>142</v>
      </c>
      <c r="L106" s="55"/>
      <c r="M106" s="56">
        <f ca="1">I101*50%</f>
        <v>11</v>
      </c>
    </row>
    <row r="107" spans="1:14" hidden="1" x14ac:dyDescent="0.35">
      <c r="A107" s="95" t="s">
        <v>67</v>
      </c>
      <c r="B107" s="95"/>
      <c r="C107" s="68">
        <v>22</v>
      </c>
      <c r="D107" s="98">
        <f ca="1">((100/I101)*C107)/100</f>
        <v>1.0000000000000002</v>
      </c>
      <c r="E107" s="98"/>
      <c r="F107" s="98"/>
      <c r="G107" s="98"/>
      <c r="H107" s="98"/>
      <c r="I107" s="98"/>
      <c r="J107" s="98"/>
      <c r="K107" s="53" t="s">
        <v>143</v>
      </c>
      <c r="L107" s="55"/>
      <c r="M107" s="56">
        <f ca="1">I101</f>
        <v>22</v>
      </c>
    </row>
    <row r="108" spans="1:14" hidden="1" x14ac:dyDescent="0.35">
      <c r="A108" s="95" t="s">
        <v>251</v>
      </c>
      <c r="B108" s="95"/>
      <c r="C108" s="68">
        <v>23</v>
      </c>
      <c r="D108" s="98">
        <f ca="1">((100/(D101+G101+I101))*C108)/100</f>
        <v>1</v>
      </c>
      <c r="E108" s="98"/>
      <c r="F108" s="98"/>
      <c r="G108" s="98"/>
      <c r="H108" s="98"/>
      <c r="I108" s="98"/>
      <c r="J108" s="98"/>
      <c r="K108" s="53" t="s">
        <v>144</v>
      </c>
      <c r="L108" s="55"/>
      <c r="M108" s="57">
        <f ca="1">(IF(B101&gt;1,(I101/(B101+3)),I101/4))</f>
        <v>5.5</v>
      </c>
    </row>
    <row r="109" spans="1:14" s="13" customFormat="1" hidden="1" x14ac:dyDescent="0.35">
      <c r="A109" s="95" t="s">
        <v>252</v>
      </c>
      <c r="B109" s="95" t="s">
        <v>253</v>
      </c>
      <c r="C109" s="67">
        <v>22</v>
      </c>
      <c r="D109" s="98">
        <f ca="1">((100/I101)*C109)/100</f>
        <v>1.0000000000000002</v>
      </c>
      <c r="E109" s="98"/>
      <c r="F109" s="98"/>
      <c r="G109" s="98"/>
      <c r="H109" s="98"/>
      <c r="I109" s="98"/>
      <c r="J109" s="98"/>
      <c r="K109" s="53" t="s">
        <v>145</v>
      </c>
      <c r="L109" s="55"/>
      <c r="M109" s="57">
        <f ca="1">(IF(B101&gt;1,(I101/(B101+3)+M108),I101/4+M108))</f>
        <v>11</v>
      </c>
      <c r="N109" s="11"/>
    </row>
    <row r="110" spans="1:14" s="1" customFormat="1" hidden="1" x14ac:dyDescent="0.35">
      <c r="A110" s="95" t="s">
        <v>254</v>
      </c>
      <c r="B110" s="95" t="s">
        <v>253</v>
      </c>
      <c r="C110" s="67">
        <v>22</v>
      </c>
      <c r="D110" s="98">
        <f ca="1">((100/I101)*C110)/100</f>
        <v>1.0000000000000002</v>
      </c>
      <c r="E110" s="98"/>
      <c r="F110" s="98"/>
      <c r="G110" s="98"/>
      <c r="H110" s="98"/>
      <c r="I110" s="98"/>
      <c r="J110" s="98"/>
      <c r="K110" s="53" t="s">
        <v>255</v>
      </c>
      <c r="L110" s="58"/>
      <c r="M110" s="59">
        <f>(IF(B101&gt;1,(I101/(B101+3)+M109),0))</f>
        <v>0</v>
      </c>
      <c r="N110" s="11"/>
    </row>
    <row r="111" spans="1:14" s="1" customFormat="1" hidden="1" x14ac:dyDescent="0.35">
      <c r="A111" s="95" t="s">
        <v>256</v>
      </c>
      <c r="B111" s="95" t="s">
        <v>257</v>
      </c>
      <c r="C111" s="67">
        <v>22</v>
      </c>
      <c r="D111" s="98">
        <f ca="1">((100/(I101))*C111)/100</f>
        <v>1.0000000000000002</v>
      </c>
      <c r="E111" s="98"/>
      <c r="F111" s="98"/>
      <c r="G111" s="98"/>
      <c r="H111" s="98"/>
      <c r="I111" s="98"/>
      <c r="J111" s="98"/>
      <c r="K111" s="53" t="s">
        <v>258</v>
      </c>
      <c r="L111" s="58"/>
      <c r="M111" s="59">
        <f>(IF(B101&gt;2,(I101/(B101+3)+M110),0))</f>
        <v>0</v>
      </c>
      <c r="N111" s="11"/>
    </row>
    <row r="112" spans="1:14" s="1" customFormat="1" hidden="1" x14ac:dyDescent="0.35">
      <c r="A112" s="95" t="s">
        <v>259</v>
      </c>
      <c r="B112" s="95" t="s">
        <v>259</v>
      </c>
      <c r="C112" s="67">
        <v>22</v>
      </c>
      <c r="D112" s="98">
        <f ca="1">((100/I101)*C112)/100</f>
        <v>1.0000000000000002</v>
      </c>
      <c r="E112" s="98"/>
      <c r="F112" s="98"/>
      <c r="G112" s="98"/>
      <c r="H112" s="98"/>
      <c r="I112" s="98"/>
      <c r="J112" s="98"/>
      <c r="K112" s="53" t="s">
        <v>260</v>
      </c>
      <c r="L112" s="60"/>
      <c r="M112" s="61">
        <f>(IF(B101&gt;3,(I101/(B101+3)+M111),0))</f>
        <v>0</v>
      </c>
      <c r="N112" s="11"/>
    </row>
    <row r="113" spans="1:16" s="1" customFormat="1" hidden="1" x14ac:dyDescent="0.35">
      <c r="A113" s="95" t="s">
        <v>261</v>
      </c>
      <c r="B113" s="95"/>
      <c r="C113" s="67">
        <v>22</v>
      </c>
      <c r="D113" s="98">
        <f ca="1">((100/I101)*C113)/100</f>
        <v>1.0000000000000002</v>
      </c>
      <c r="E113" s="98"/>
      <c r="F113" s="98"/>
      <c r="G113" s="98"/>
      <c r="H113" s="98"/>
      <c r="I113" s="98"/>
      <c r="J113" s="98"/>
      <c r="K113" s="53" t="s">
        <v>262</v>
      </c>
      <c r="L113"/>
      <c r="M113" s="62">
        <f>(IF(B101&gt;4,(I101/(B101+3)+M112),0))</f>
        <v>0</v>
      </c>
      <c r="N113" s="11"/>
    </row>
    <row r="114" spans="1:16" s="1" customFormat="1" hidden="1" x14ac:dyDescent="0.35">
      <c r="A114" s="95" t="s">
        <v>263</v>
      </c>
      <c r="B114" s="95" t="s">
        <v>263</v>
      </c>
      <c r="C114" s="67">
        <v>22</v>
      </c>
      <c r="D114" s="98">
        <f ca="1">((100/(I101))*C114)/100</f>
        <v>1.0000000000000002</v>
      </c>
      <c r="E114" s="98"/>
      <c r="F114" s="98"/>
      <c r="G114" s="98"/>
      <c r="H114" s="98"/>
      <c r="I114" s="98"/>
      <c r="J114" s="98"/>
      <c r="K114" s="53" t="s">
        <v>264</v>
      </c>
      <c r="L114" s="55"/>
      <c r="M114" s="63">
        <f ca="1">(IF(B101&gt;1,(I101/(B101+3)+M109+MAX(0,M110-M109)+MAX(0,M111-M110)+MAX(0,M112-M111)+MAX(0,M113-M112)),I101/4+M109))</f>
        <v>16.5</v>
      </c>
      <c r="N114" s="11"/>
    </row>
    <row r="115" spans="1:16" s="1" customFormat="1" ht="16" hidden="1" thickBot="1" x14ac:dyDescent="0.4">
      <c r="A115" s="95" t="s">
        <v>265</v>
      </c>
      <c r="B115" s="95"/>
      <c r="C115" s="67">
        <v>22</v>
      </c>
      <c r="D115" s="98">
        <f ca="1">((100/(I101))*C115)/100</f>
        <v>1.0000000000000002</v>
      </c>
      <c r="E115" s="98"/>
      <c r="F115" s="98"/>
      <c r="G115" s="98"/>
      <c r="H115" s="98"/>
      <c r="I115" s="98"/>
      <c r="J115" s="98"/>
      <c r="K115" s="64" t="s">
        <v>147</v>
      </c>
      <c r="L115" s="65"/>
      <c r="M115" s="66">
        <f ca="1">(IF(B101&gt;1,(I101/(B101+3)+M114),I101/4+M114))</f>
        <v>22</v>
      </c>
      <c r="N115" s="11"/>
    </row>
    <row r="116" spans="1:16" s="1" customFormat="1" x14ac:dyDescent="0.35">
      <c r="A116" s="170" t="s">
        <v>192</v>
      </c>
      <c r="B116" s="170"/>
      <c r="C116" s="170"/>
      <c r="D116" s="170"/>
      <c r="E116" s="170"/>
      <c r="F116" s="170"/>
      <c r="G116" s="170"/>
      <c r="H116" s="170"/>
      <c r="I116" s="170"/>
      <c r="J116" s="170"/>
      <c r="K116" s="11"/>
      <c r="L116" s="11"/>
      <c r="M116" s="11"/>
      <c r="N116" s="11"/>
    </row>
    <row r="117" spans="1:16" s="1" customFormat="1" x14ac:dyDescent="0.35">
      <c r="A117" s="169" t="s">
        <v>72</v>
      </c>
      <c r="B117" s="169"/>
      <c r="C117" s="169"/>
      <c r="D117" s="169"/>
      <c r="E117" s="169"/>
      <c r="F117" s="169"/>
      <c r="G117" s="169"/>
      <c r="H117" s="169"/>
      <c r="I117" s="169"/>
      <c r="J117" s="169"/>
      <c r="K117" s="11"/>
      <c r="L117" s="11"/>
      <c r="M117" s="11"/>
      <c r="N117" s="11"/>
    </row>
    <row r="118" spans="1:16" s="13" customFormat="1" x14ac:dyDescent="0.35">
      <c r="A118" s="215" t="s">
        <v>140</v>
      </c>
      <c r="B118" s="215"/>
      <c r="C118" s="216" t="s">
        <v>141</v>
      </c>
      <c r="D118" s="216"/>
      <c r="E118" s="216"/>
      <c r="F118" s="216"/>
      <c r="G118" s="216"/>
      <c r="H118" s="216"/>
      <c r="I118" s="216"/>
      <c r="J118" s="216"/>
      <c r="K118" s="11"/>
      <c r="L118" s="11"/>
      <c r="M118" s="11"/>
      <c r="N118" s="11"/>
    </row>
    <row r="119" spans="1:16" x14ac:dyDescent="0.35">
      <c r="A119" s="192" t="s">
        <v>73</v>
      </c>
      <c r="B119" s="192"/>
      <c r="C119" s="192"/>
      <c r="D119" s="192"/>
      <c r="E119" s="192"/>
      <c r="F119" s="192"/>
      <c r="G119" s="192"/>
      <c r="H119" s="192"/>
      <c r="I119" s="192"/>
      <c r="J119" s="192"/>
    </row>
    <row r="120" spans="1:16" x14ac:dyDescent="0.35">
      <c r="A120" s="163" t="s">
        <v>300</v>
      </c>
      <c r="B120" s="169"/>
      <c r="C120" s="169"/>
      <c r="D120" s="169"/>
      <c r="E120" s="169"/>
      <c r="F120" s="169"/>
      <c r="G120" s="222">
        <v>12400</v>
      </c>
      <c r="H120" s="222"/>
      <c r="I120" s="222"/>
      <c r="J120" s="222"/>
    </row>
    <row r="121" spans="1:16" s="3" customFormat="1" x14ac:dyDescent="0.35">
      <c r="A121" s="169" t="s">
        <v>268</v>
      </c>
      <c r="B121" s="169"/>
      <c r="C121" s="169"/>
      <c r="D121" s="169"/>
      <c r="E121" s="169"/>
      <c r="F121" s="169"/>
      <c r="G121" s="200" t="s">
        <v>267</v>
      </c>
      <c r="H121" s="200"/>
      <c r="I121" s="200"/>
      <c r="J121" s="200"/>
      <c r="K121" s="11"/>
      <c r="L121" s="11"/>
      <c r="M121" s="11"/>
      <c r="N121" s="11"/>
    </row>
    <row r="122" spans="1:16" s="3" customFormat="1" x14ac:dyDescent="0.35">
      <c r="A122" s="139" t="s">
        <v>74</v>
      </c>
      <c r="B122" s="140"/>
      <c r="C122" s="140"/>
      <c r="D122" s="140"/>
      <c r="E122" s="140"/>
      <c r="F122" s="141"/>
      <c r="G122" s="197" t="s">
        <v>170</v>
      </c>
      <c r="H122" s="202"/>
      <c r="I122" s="202"/>
      <c r="J122" s="203"/>
      <c r="K122" s="11"/>
      <c r="L122" s="11"/>
      <c r="M122" s="11"/>
      <c r="N122" s="11"/>
    </row>
    <row r="123" spans="1:16" s="3" customFormat="1" x14ac:dyDescent="0.35">
      <c r="A123" s="164" t="s">
        <v>75</v>
      </c>
      <c r="B123" s="165"/>
      <c r="C123" s="165"/>
      <c r="D123" s="165"/>
      <c r="E123" s="165"/>
      <c r="F123" s="166"/>
      <c r="G123" s="223">
        <f>G120*0.8</f>
        <v>9920</v>
      </c>
      <c r="H123" s="198"/>
      <c r="I123" s="198"/>
      <c r="J123" s="199"/>
      <c r="K123" s="13"/>
      <c r="L123" s="13"/>
      <c r="M123" s="13"/>
      <c r="N123" s="13"/>
    </row>
    <row r="124" spans="1:16" s="3" customFormat="1" x14ac:dyDescent="0.35">
      <c r="A124" s="224" t="s">
        <v>232</v>
      </c>
      <c r="B124" s="225"/>
      <c r="C124" s="225"/>
      <c r="D124" s="225"/>
      <c r="E124" s="225"/>
      <c r="F124" s="225"/>
      <c r="G124" s="225"/>
      <c r="H124" s="225"/>
      <c r="I124" s="225"/>
      <c r="J124" s="226"/>
      <c r="K124" s="1"/>
      <c r="L124" s="1"/>
      <c r="M124" s="1"/>
      <c r="N124" s="1"/>
    </row>
    <row r="125" spans="1:16" s="3" customFormat="1" x14ac:dyDescent="0.35">
      <c r="A125" s="227" t="s">
        <v>76</v>
      </c>
      <c r="B125" s="228"/>
      <c r="C125" s="10" t="s">
        <v>173</v>
      </c>
      <c r="D125" s="229" t="s">
        <v>77</v>
      </c>
      <c r="E125" s="230"/>
      <c r="F125" s="231"/>
      <c r="G125" s="227" t="s">
        <v>78</v>
      </c>
      <c r="H125" s="232"/>
      <c r="I125" s="232"/>
      <c r="J125" s="228"/>
      <c r="K125" s="1"/>
      <c r="L125" s="1"/>
      <c r="M125" s="1"/>
      <c r="N125" s="1"/>
    </row>
    <row r="126" spans="1:16" s="3" customFormat="1" ht="15.75" customHeight="1" x14ac:dyDescent="0.35">
      <c r="A126" s="217" t="s">
        <v>298</v>
      </c>
      <c r="B126" s="218"/>
      <c r="C126" s="71">
        <f>COUNT(D141:E142)</f>
        <v>2</v>
      </c>
      <c r="D126" s="219">
        <f>SUM(D141:E142)</f>
        <v>1191.2518799999998</v>
      </c>
      <c r="E126" s="220"/>
      <c r="F126" s="221"/>
      <c r="G126" s="219">
        <f>SUM(G141:H142)</f>
        <v>1786.8778199999997</v>
      </c>
      <c r="H126" s="220"/>
      <c r="I126" s="220"/>
      <c r="J126" s="221"/>
      <c r="K126" s="1"/>
      <c r="L126" s="1"/>
      <c r="M126" s="1"/>
      <c r="N126" s="1"/>
    </row>
    <row r="127" spans="1:16" s="3" customFormat="1" ht="15.75" customHeight="1" x14ac:dyDescent="0.35">
      <c r="A127" s="217" t="s">
        <v>184</v>
      </c>
      <c r="B127" s="218"/>
      <c r="C127" s="71">
        <f>COUNT(D148:E153)+COUNT(D155:E160)*13+COUNT(D162:E164)+COUNT(D167)+COUNT(D169:E171)+COUNT(D173:E174)</f>
        <v>93</v>
      </c>
      <c r="D127" s="219">
        <f>SUM(D148:E153)+SUM(D155:E160)*13+SUM(D162:E164)+SUM(D167)+SUM(D169:E171)+SUM(D173:E174)</f>
        <v>35871.998760000009</v>
      </c>
      <c r="E127" s="220"/>
      <c r="F127" s="221"/>
      <c r="G127" s="219">
        <f>SUM(G148:H153)+SUM(G155:H160)*13+SUM(G162:H164)+SUM(G167)+SUM(G169:H171)+SUM(G173:H174)</f>
        <v>53418.718079999999</v>
      </c>
      <c r="H127" s="220"/>
      <c r="I127" s="220"/>
      <c r="J127" s="221"/>
      <c r="K127" s="1"/>
      <c r="L127" s="1"/>
      <c r="M127" s="1"/>
      <c r="N127" s="1"/>
      <c r="O127" s="3">
        <f>7312500-6937500</f>
        <v>375000</v>
      </c>
      <c r="P127" s="3">
        <f>L141+P124</f>
        <v>7582.9742036750476</v>
      </c>
    </row>
    <row r="128" spans="1:16" s="3" customFormat="1" x14ac:dyDescent="0.35">
      <c r="A128" s="217" t="s">
        <v>185</v>
      </c>
      <c r="B128" s="218"/>
      <c r="C128" s="71">
        <f>COUNT(D178:E181)+COUNT(D183:E186)+COUNT(D188:E191)*13+COUNT(D193:E195)+COUNT(D198:E200)+COUNT(D203:E206)*5</f>
        <v>86</v>
      </c>
      <c r="D128" s="219">
        <f>SUM(D178:E181)+SUM(D183:E186)+SUM(D188:E191)*13+SUM(D193:E195)+SUM(D198:E200)+SUM(D203:E206)*5</f>
        <v>50318.470799999996</v>
      </c>
      <c r="E128" s="220"/>
      <c r="F128" s="221"/>
      <c r="G128" s="219">
        <f>SUM(G178:H181)+SUM(G183:H186)+SUM(G188:H191)*13+SUM(G193:H195)+SUM(G198:H200)+SUM(G203:H206)*5</f>
        <v>75477.706199999971</v>
      </c>
      <c r="H128" s="220"/>
      <c r="I128" s="220"/>
      <c r="J128" s="221"/>
      <c r="K128" s="1"/>
      <c r="L128" s="1"/>
      <c r="M128" s="1"/>
      <c r="N128" s="1"/>
    </row>
    <row r="129" spans="1:16" s="3" customFormat="1" ht="15.75" customHeight="1" x14ac:dyDescent="0.35">
      <c r="A129" s="217" t="s">
        <v>199</v>
      </c>
      <c r="B129" s="218"/>
      <c r="C129" s="71">
        <f>COUNT(D209:E213)+COUNT(D215:E219)+COUNT(D221:E225)*13+COUNT(D227:E228)+COUNT(D230:E231)+COUNT(D233:E234)+COUNT(D236:E237)+COUNT(D239:E243)*5</f>
        <v>84</v>
      </c>
      <c r="D129" s="219">
        <f>SUM(D209:E213)+SUM(D215:E219)+SUM(D221:E225)*13+SUM(D227:E228)+SUM(D230:E231)+SUM(D233:E234)+SUM(D236:E237)+SUM(D239:E243)*5</f>
        <v>32317.187760000001</v>
      </c>
      <c r="E129" s="220"/>
      <c r="F129" s="221"/>
      <c r="G129" s="219">
        <f>SUM(G209:H213)+SUM(G215:H219)+SUM(G221:H225)*13+SUM(G227:H228)+SUM(G230:H231)+SUM(G233:H234)+SUM(G236:H237)+SUM(G239:H243)*5</f>
        <v>48475.781640000001</v>
      </c>
      <c r="H129" s="220"/>
      <c r="I129" s="220"/>
      <c r="J129" s="221"/>
      <c r="K129" s="1"/>
      <c r="L129" s="1"/>
      <c r="M129" s="1"/>
      <c r="N129" s="1"/>
    </row>
    <row r="130" spans="1:16" s="3" customFormat="1" x14ac:dyDescent="0.35">
      <c r="A130" s="217" t="s">
        <v>200</v>
      </c>
      <c r="B130" s="218"/>
      <c r="C130" s="71">
        <f>COUNT(D247)+COUNT(D250:E253)+COUNT(D255:E258)*13+COUNT(D260:E262)+COUNT(D265:E267)+COUNT(D270:E273)*5</f>
        <v>83</v>
      </c>
      <c r="D130" s="219">
        <f>SUM(D247)+SUM(D250:E253)+SUM(D255:E258)*13+SUM(D260:E262)+SUM(D265:E267)+SUM(D270:E273)*5</f>
        <v>28784.146949999998</v>
      </c>
      <c r="E130" s="220"/>
      <c r="F130" s="221"/>
      <c r="G130" s="219">
        <f>SUM(G247)+SUM(G250:H253)+SUM(G255:H258)*13+SUM(G260:H262)+SUM(G265:H267)+SUM(G270:H273)*5</f>
        <v>43176.220425</v>
      </c>
      <c r="H130" s="220"/>
      <c r="I130" s="220"/>
      <c r="J130" s="221"/>
      <c r="K130" s="1"/>
      <c r="L130" s="1"/>
      <c r="M130" s="1"/>
      <c r="N130" s="1"/>
    </row>
    <row r="131" spans="1:16" s="3" customFormat="1" ht="15.75" customHeight="1" x14ac:dyDescent="0.35">
      <c r="A131" s="224" t="s">
        <v>80</v>
      </c>
      <c r="B131" s="225"/>
      <c r="C131" s="10">
        <f>SUM(C126:C130)</f>
        <v>348</v>
      </c>
      <c r="D131" s="233">
        <f>SUM(D126:F130)</f>
        <v>148483.05615000002</v>
      </c>
      <c r="E131" s="234"/>
      <c r="F131" s="235"/>
      <c r="G131" s="227">
        <f>SUM(G126:J130)</f>
        <v>222335.30416499998</v>
      </c>
      <c r="H131" s="232"/>
      <c r="I131" s="232"/>
      <c r="J131" s="228"/>
      <c r="K131" s="1"/>
      <c r="L131" s="1"/>
      <c r="M131" s="1"/>
      <c r="N131" s="1"/>
    </row>
    <row r="132" spans="1:16" s="3" customFormat="1" ht="15.75" customHeight="1" x14ac:dyDescent="0.35">
      <c r="A132" s="151" t="s">
        <v>81</v>
      </c>
      <c r="B132" s="152"/>
      <c r="C132" s="152"/>
      <c r="D132" s="152"/>
      <c r="E132" s="152"/>
      <c r="F132" s="152"/>
      <c r="G132" s="152"/>
      <c r="H132" s="152"/>
      <c r="I132" s="152"/>
      <c r="J132" s="153"/>
      <c r="K132" s="13"/>
      <c r="L132" s="13"/>
      <c r="M132" s="13"/>
      <c r="N132" s="13"/>
      <c r="P132" s="3">
        <f>N147/1.5</f>
        <v>666.66666666666663</v>
      </c>
    </row>
    <row r="133" spans="1:16" s="3" customFormat="1" ht="15.75" customHeight="1" x14ac:dyDescent="0.35">
      <c r="A133" s="151" t="s">
        <v>82</v>
      </c>
      <c r="B133" s="152"/>
      <c r="C133" s="152"/>
      <c r="D133" s="152"/>
      <c r="E133" s="152"/>
      <c r="F133" s="152"/>
      <c r="G133" s="152"/>
      <c r="H133" s="152"/>
      <c r="I133" s="152"/>
      <c r="J133" s="153"/>
      <c r="K133" s="11"/>
      <c r="L133" s="11"/>
      <c r="M133" s="11"/>
      <c r="N133" s="11"/>
    </row>
    <row r="134" spans="1:16" s="3" customFormat="1" ht="51.75" customHeight="1" x14ac:dyDescent="0.35">
      <c r="A134" s="236" t="s">
        <v>149</v>
      </c>
      <c r="B134" s="237"/>
      <c r="C134" s="2" t="s">
        <v>83</v>
      </c>
      <c r="D134" s="236" t="s">
        <v>84</v>
      </c>
      <c r="E134" s="237"/>
      <c r="F134" s="14" t="s">
        <v>85</v>
      </c>
      <c r="G134" s="2" t="s">
        <v>86</v>
      </c>
      <c r="H134" s="2" t="s">
        <v>87</v>
      </c>
      <c r="I134" s="236" t="s">
        <v>88</v>
      </c>
      <c r="J134" s="237"/>
      <c r="K134" s="11"/>
      <c r="L134" s="11"/>
      <c r="M134" s="11"/>
      <c r="N134" s="11"/>
      <c r="O134" s="3">
        <f>7312500-6937500</f>
        <v>375000</v>
      </c>
      <c r="P134" s="3">
        <f>L148+P132</f>
        <v>12332.780826166738</v>
      </c>
    </row>
    <row r="135" spans="1:16" s="3" customFormat="1" x14ac:dyDescent="0.35">
      <c r="A135" s="82" t="s">
        <v>183</v>
      </c>
      <c r="B135" s="83"/>
      <c r="C135" s="83"/>
      <c r="D135" s="83"/>
      <c r="E135" s="83"/>
      <c r="F135" s="83"/>
      <c r="G135" s="83"/>
      <c r="H135" s="83"/>
      <c r="I135" s="83"/>
      <c r="J135" s="84"/>
    </row>
    <row r="136" spans="1:16" s="3" customFormat="1" x14ac:dyDescent="0.35">
      <c r="A136" s="82" t="s">
        <v>233</v>
      </c>
      <c r="B136" s="83"/>
      <c r="C136" s="83"/>
      <c r="D136" s="83"/>
      <c r="E136" s="83"/>
      <c r="F136" s="83"/>
      <c r="G136" s="83"/>
      <c r="H136" s="83"/>
      <c r="I136" s="83"/>
      <c r="J136" s="84"/>
      <c r="O136" s="3">
        <f>7702500-7307500</f>
        <v>395000</v>
      </c>
      <c r="P136" s="3">
        <f>L150+P132</f>
        <v>12376.858485791985</v>
      </c>
    </row>
    <row r="137" spans="1:16" s="3" customFormat="1" x14ac:dyDescent="0.35">
      <c r="A137" s="82" t="s">
        <v>215</v>
      </c>
      <c r="B137" s="83"/>
      <c r="C137" s="83"/>
      <c r="D137" s="83"/>
      <c r="E137" s="83"/>
      <c r="F137" s="83"/>
      <c r="G137" s="83"/>
      <c r="H137" s="83"/>
      <c r="I137" s="83"/>
      <c r="J137" s="84"/>
    </row>
    <row r="138" spans="1:16" s="3" customFormat="1" x14ac:dyDescent="0.35">
      <c r="A138" s="82" t="s">
        <v>195</v>
      </c>
      <c r="B138" s="83"/>
      <c r="C138" s="83"/>
      <c r="D138" s="83"/>
      <c r="E138" s="83"/>
      <c r="F138" s="83"/>
      <c r="G138" s="83"/>
      <c r="H138" s="83"/>
      <c r="I138" s="83"/>
      <c r="J138" s="84"/>
    </row>
    <row r="139" spans="1:16" s="3" customFormat="1" x14ac:dyDescent="0.35">
      <c r="A139" s="82" t="s">
        <v>196</v>
      </c>
      <c r="B139" s="83"/>
      <c r="C139" s="83"/>
      <c r="D139" s="83"/>
      <c r="E139" s="83"/>
      <c r="F139" s="83"/>
      <c r="G139" s="83"/>
      <c r="H139" s="83"/>
      <c r="I139" s="83"/>
      <c r="J139" s="84"/>
    </row>
    <row r="140" spans="1:16" s="3" customFormat="1" x14ac:dyDescent="0.35">
      <c r="A140" s="82" t="s">
        <v>201</v>
      </c>
      <c r="B140" s="83"/>
      <c r="C140" s="83"/>
      <c r="D140" s="83"/>
      <c r="E140" s="83"/>
      <c r="F140" s="83"/>
      <c r="G140" s="83"/>
      <c r="H140" s="83"/>
      <c r="I140" s="83"/>
      <c r="J140" s="84"/>
    </row>
    <row r="141" spans="1:16" s="3" customFormat="1" ht="15.75" customHeight="1" x14ac:dyDescent="0.35">
      <c r="A141" s="85">
        <v>201</v>
      </c>
      <c r="B141" s="86"/>
      <c r="C141" s="4" t="s">
        <v>198</v>
      </c>
      <c r="D141" s="85">
        <f>53.6*10.764</f>
        <v>576.95039999999995</v>
      </c>
      <c r="E141" s="86"/>
      <c r="F141" s="4">
        <v>0</v>
      </c>
      <c r="G141" s="4">
        <f>D141*1.5+F141</f>
        <v>865.42559999999992</v>
      </c>
      <c r="H141" s="4" t="s">
        <v>89</v>
      </c>
      <c r="I141" s="87" t="str">
        <f>A143</f>
        <v>3rd Floor Terrace Area</v>
      </c>
      <c r="J141" s="88"/>
      <c r="L141" s="3">
        <f>6562500/G141</f>
        <v>7582.9742036750476</v>
      </c>
      <c r="M141" s="3">
        <f>149860/G141</f>
        <v>173.16335453908459</v>
      </c>
      <c r="N141" s="3">
        <f>6937500-6562500</f>
        <v>375000</v>
      </c>
    </row>
    <row r="142" spans="1:16" s="3" customFormat="1" x14ac:dyDescent="0.35">
      <c r="A142" s="85">
        <v>202</v>
      </c>
      <c r="B142" s="86"/>
      <c r="C142" s="4" t="s">
        <v>198</v>
      </c>
      <c r="D142" s="85">
        <f>57.07*10.764</f>
        <v>614.30147999999997</v>
      </c>
      <c r="E142" s="86"/>
      <c r="F142" s="4">
        <v>0</v>
      </c>
      <c r="G142" s="4">
        <f t="shared" ref="G142" si="0">D142*1.5+F142</f>
        <v>921.4522199999999</v>
      </c>
      <c r="H142" s="4" t="s">
        <v>89</v>
      </c>
      <c r="I142" s="91"/>
      <c r="J142" s="92"/>
    </row>
    <row r="143" spans="1:16" s="3" customFormat="1" x14ac:dyDescent="0.35">
      <c r="A143" s="82" t="s">
        <v>275</v>
      </c>
      <c r="B143" s="83"/>
      <c r="C143" s="83"/>
      <c r="D143" s="83"/>
      <c r="E143" s="83"/>
      <c r="F143" s="83"/>
      <c r="G143" s="83"/>
      <c r="H143" s="83"/>
      <c r="I143" s="83"/>
      <c r="J143" s="84"/>
    </row>
    <row r="144" spans="1:16" s="3" customFormat="1" x14ac:dyDescent="0.35">
      <c r="A144" s="82" t="s">
        <v>216</v>
      </c>
      <c r="B144" s="83"/>
      <c r="C144" s="83"/>
      <c r="D144" s="83"/>
      <c r="E144" s="83"/>
      <c r="F144" s="83"/>
      <c r="G144" s="83"/>
      <c r="H144" s="83"/>
      <c r="I144" s="83"/>
      <c r="J144" s="84"/>
    </row>
    <row r="145" spans="1:14" s="3" customFormat="1" x14ac:dyDescent="0.35">
      <c r="A145" s="82" t="s">
        <v>195</v>
      </c>
      <c r="B145" s="83"/>
      <c r="C145" s="83"/>
      <c r="D145" s="83"/>
      <c r="E145" s="83"/>
      <c r="F145" s="83"/>
      <c r="G145" s="83"/>
      <c r="H145" s="83"/>
      <c r="I145" s="83"/>
      <c r="J145" s="84"/>
    </row>
    <row r="146" spans="1:14" s="3" customFormat="1" x14ac:dyDescent="0.35">
      <c r="A146" s="82" t="s">
        <v>196</v>
      </c>
      <c r="B146" s="83"/>
      <c r="C146" s="83"/>
      <c r="D146" s="83"/>
      <c r="E146" s="83"/>
      <c r="F146" s="83"/>
      <c r="G146" s="83"/>
      <c r="H146" s="83"/>
      <c r="I146" s="83"/>
      <c r="J146" s="84"/>
    </row>
    <row r="147" spans="1:14" s="3" customFormat="1" x14ac:dyDescent="0.35">
      <c r="A147" s="82" t="s">
        <v>201</v>
      </c>
      <c r="B147" s="83"/>
      <c r="C147" s="83"/>
      <c r="D147" s="83"/>
      <c r="E147" s="83"/>
      <c r="F147" s="83"/>
      <c r="G147" s="83"/>
      <c r="H147" s="83"/>
      <c r="I147" s="83"/>
      <c r="J147" s="84"/>
      <c r="N147" s="3">
        <f>N148/375</f>
        <v>1000</v>
      </c>
    </row>
    <row r="148" spans="1:14" s="3" customFormat="1" x14ac:dyDescent="0.35">
      <c r="A148" s="85">
        <v>201</v>
      </c>
      <c r="B148" s="86"/>
      <c r="C148" s="4" t="s">
        <v>186</v>
      </c>
      <c r="D148" s="85">
        <f>(34.84)*10.764</f>
        <v>375.01776000000001</v>
      </c>
      <c r="E148" s="86"/>
      <c r="F148" s="4">
        <v>0</v>
      </c>
      <c r="G148" s="4">
        <f>D148*1.5+F148</f>
        <v>562.52664000000004</v>
      </c>
      <c r="H148" s="4" t="s">
        <v>89</v>
      </c>
      <c r="I148" s="87" t="str">
        <f>A147</f>
        <v>2nd Floor for Residential</v>
      </c>
      <c r="J148" s="88"/>
      <c r="L148" s="3">
        <f>6562500/G148</f>
        <v>11666.114159500072</v>
      </c>
      <c r="M148" s="3">
        <f>149860/G148</f>
        <v>266.40516082936085</v>
      </c>
      <c r="N148" s="3">
        <f>6937500-6562500</f>
        <v>375000</v>
      </c>
    </row>
    <row r="149" spans="1:14" s="3" customFormat="1" x14ac:dyDescent="0.35">
      <c r="A149" s="85">
        <v>202</v>
      </c>
      <c r="B149" s="86"/>
      <c r="C149" s="4" t="s">
        <v>186</v>
      </c>
      <c r="D149" s="85">
        <f>(34.84)*10.764</f>
        <v>375.01776000000001</v>
      </c>
      <c r="E149" s="86"/>
      <c r="F149" s="4">
        <v>0</v>
      </c>
      <c r="G149" s="4">
        <f t="shared" ref="G149:G164" si="1">D149*1.5+F149</f>
        <v>562.52664000000004</v>
      </c>
      <c r="H149" s="4" t="s">
        <v>89</v>
      </c>
      <c r="I149" s="89"/>
      <c r="J149" s="90"/>
    </row>
    <row r="150" spans="1:14" s="3" customFormat="1" x14ac:dyDescent="0.35">
      <c r="A150" s="85">
        <v>203</v>
      </c>
      <c r="B150" s="86"/>
      <c r="C150" s="4" t="s">
        <v>186</v>
      </c>
      <c r="D150" s="85">
        <f>36.56*10.764</f>
        <v>393.53183999999999</v>
      </c>
      <c r="E150" s="86"/>
      <c r="F150" s="4">
        <v>0</v>
      </c>
      <c r="G150" s="4">
        <f t="shared" si="1"/>
        <v>590.29775999999993</v>
      </c>
      <c r="H150" s="4" t="s">
        <v>89</v>
      </c>
      <c r="I150" s="89"/>
      <c r="J150" s="90"/>
      <c r="L150" s="3">
        <f>6912500/G150</f>
        <v>11710.191819125319</v>
      </c>
      <c r="M150" s="3">
        <f>152126/G150</f>
        <v>257.71061709602287</v>
      </c>
      <c r="N150" s="3">
        <f>7307500-6912500</f>
        <v>395000</v>
      </c>
    </row>
    <row r="151" spans="1:14" s="3" customFormat="1" x14ac:dyDescent="0.35">
      <c r="A151" s="85">
        <v>204</v>
      </c>
      <c r="B151" s="86"/>
      <c r="C151" s="4" t="s">
        <v>186</v>
      </c>
      <c r="D151" s="85">
        <f>36.56*10.764</f>
        <v>393.53183999999999</v>
      </c>
      <c r="E151" s="86"/>
      <c r="F151" s="4">
        <v>0</v>
      </c>
      <c r="G151" s="4">
        <f t="shared" si="1"/>
        <v>590.29775999999993</v>
      </c>
      <c r="H151" s="4" t="s">
        <v>89</v>
      </c>
      <c r="I151" s="89"/>
      <c r="J151" s="90"/>
    </row>
    <row r="152" spans="1:14" s="3" customFormat="1" x14ac:dyDescent="0.35">
      <c r="A152" s="85">
        <v>205</v>
      </c>
      <c r="B152" s="86"/>
      <c r="C152" s="4" t="s">
        <v>186</v>
      </c>
      <c r="D152" s="85">
        <f>36.56*10.764</f>
        <v>393.53183999999999</v>
      </c>
      <c r="E152" s="86"/>
      <c r="F152" s="4">
        <v>0</v>
      </c>
      <c r="G152" s="4">
        <f t="shared" si="1"/>
        <v>590.29775999999993</v>
      </c>
      <c r="H152" s="4" t="s">
        <v>89</v>
      </c>
      <c r="I152" s="89"/>
      <c r="J152" s="90"/>
    </row>
    <row r="153" spans="1:14" s="3" customFormat="1" x14ac:dyDescent="0.35">
      <c r="A153" s="85">
        <v>206</v>
      </c>
      <c r="B153" s="86"/>
      <c r="C153" s="4" t="s">
        <v>186</v>
      </c>
      <c r="D153" s="85">
        <f>36.56*10.764</f>
        <v>393.53183999999999</v>
      </c>
      <c r="E153" s="86"/>
      <c r="F153" s="4">
        <v>0</v>
      </c>
      <c r="G153" s="4">
        <f t="shared" si="1"/>
        <v>590.29775999999993</v>
      </c>
      <c r="H153" s="4" t="s">
        <v>89</v>
      </c>
      <c r="I153" s="91"/>
      <c r="J153" s="92"/>
    </row>
    <row r="154" spans="1:14" s="3" customFormat="1" x14ac:dyDescent="0.35">
      <c r="A154" s="239" t="s">
        <v>276</v>
      </c>
      <c r="B154" s="239"/>
      <c r="C154" s="239"/>
      <c r="D154" s="239"/>
      <c r="E154" s="239"/>
      <c r="F154" s="239"/>
      <c r="G154" s="239"/>
      <c r="H154" s="239"/>
      <c r="I154" s="239"/>
      <c r="J154" s="239"/>
    </row>
    <row r="155" spans="1:14" s="3" customFormat="1" x14ac:dyDescent="0.35">
      <c r="A155" s="238" t="s">
        <v>292</v>
      </c>
      <c r="B155" s="238" t="s">
        <v>209</v>
      </c>
      <c r="C155" s="4" t="s">
        <v>186</v>
      </c>
      <c r="D155" s="238">
        <f>(34.84)*10.764</f>
        <v>375.01776000000001</v>
      </c>
      <c r="E155" s="238"/>
      <c r="F155" s="4">
        <v>0</v>
      </c>
      <c r="G155" s="4">
        <f t="shared" si="1"/>
        <v>562.52664000000004</v>
      </c>
      <c r="H155" s="4" t="s">
        <v>89</v>
      </c>
      <c r="I155" s="238" t="str">
        <f>A154</f>
        <v>3rd to 7th, 9th to 14th &amp; 16th to 17th Floor</v>
      </c>
      <c r="J155" s="238"/>
    </row>
    <row r="156" spans="1:14" s="3" customFormat="1" x14ac:dyDescent="0.35">
      <c r="A156" s="238" t="s">
        <v>293</v>
      </c>
      <c r="B156" s="238" t="s">
        <v>210</v>
      </c>
      <c r="C156" s="4" t="s">
        <v>186</v>
      </c>
      <c r="D156" s="238">
        <f>(34.84)*10.764</f>
        <v>375.01776000000001</v>
      </c>
      <c r="E156" s="238"/>
      <c r="F156" s="4">
        <v>0</v>
      </c>
      <c r="G156" s="4">
        <f t="shared" si="1"/>
        <v>562.52664000000004</v>
      </c>
      <c r="H156" s="4" t="s">
        <v>89</v>
      </c>
      <c r="I156" s="238"/>
      <c r="J156" s="238"/>
    </row>
    <row r="157" spans="1:14" s="3" customFormat="1" x14ac:dyDescent="0.35">
      <c r="A157" s="238" t="s">
        <v>294</v>
      </c>
      <c r="B157" s="238" t="s">
        <v>211</v>
      </c>
      <c r="C157" s="4" t="s">
        <v>186</v>
      </c>
      <c r="D157" s="238">
        <f>36.56*10.764</f>
        <v>393.53183999999999</v>
      </c>
      <c r="E157" s="238"/>
      <c r="F157" s="4">
        <v>0</v>
      </c>
      <c r="G157" s="4">
        <f t="shared" si="1"/>
        <v>590.29775999999993</v>
      </c>
      <c r="H157" s="4" t="s">
        <v>89</v>
      </c>
      <c r="I157" s="238"/>
      <c r="J157" s="238"/>
    </row>
    <row r="158" spans="1:14" s="3" customFormat="1" x14ac:dyDescent="0.35">
      <c r="A158" s="238" t="s">
        <v>295</v>
      </c>
      <c r="B158" s="238" t="s">
        <v>212</v>
      </c>
      <c r="C158" s="4" t="s">
        <v>186</v>
      </c>
      <c r="D158" s="238">
        <f>36.56*10.764</f>
        <v>393.53183999999999</v>
      </c>
      <c r="E158" s="238"/>
      <c r="F158" s="4">
        <v>0</v>
      </c>
      <c r="G158" s="4">
        <f t="shared" si="1"/>
        <v>590.29775999999993</v>
      </c>
      <c r="H158" s="4" t="s">
        <v>89</v>
      </c>
      <c r="I158" s="238"/>
      <c r="J158" s="238"/>
    </row>
    <row r="159" spans="1:14" s="3" customFormat="1" x14ac:dyDescent="0.35">
      <c r="A159" s="238" t="s">
        <v>296</v>
      </c>
      <c r="B159" s="238" t="s">
        <v>213</v>
      </c>
      <c r="C159" s="4" t="s">
        <v>186</v>
      </c>
      <c r="D159" s="238">
        <f>36.56*10.764</f>
        <v>393.53183999999999</v>
      </c>
      <c r="E159" s="238"/>
      <c r="F159" s="4">
        <v>0</v>
      </c>
      <c r="G159" s="4">
        <f t="shared" si="1"/>
        <v>590.29775999999993</v>
      </c>
      <c r="H159" s="4" t="s">
        <v>89</v>
      </c>
      <c r="I159" s="238"/>
      <c r="J159" s="238"/>
    </row>
    <row r="160" spans="1:14" s="3" customFormat="1" x14ac:dyDescent="0.35">
      <c r="A160" s="238" t="s">
        <v>297</v>
      </c>
      <c r="B160" s="238" t="s">
        <v>214</v>
      </c>
      <c r="C160" s="4" t="s">
        <v>186</v>
      </c>
      <c r="D160" s="238">
        <f>36.56*10.764</f>
        <v>393.53183999999999</v>
      </c>
      <c r="E160" s="238"/>
      <c r="F160" s="4">
        <v>0</v>
      </c>
      <c r="G160" s="4">
        <f t="shared" si="1"/>
        <v>590.29775999999993</v>
      </c>
      <c r="H160" s="4" t="s">
        <v>89</v>
      </c>
      <c r="I160" s="238"/>
      <c r="J160" s="238"/>
    </row>
    <row r="161" spans="1:16" s="3" customFormat="1" x14ac:dyDescent="0.35">
      <c r="A161" s="239" t="s">
        <v>206</v>
      </c>
      <c r="B161" s="239"/>
      <c r="C161" s="239"/>
      <c r="D161" s="239"/>
      <c r="E161" s="239"/>
      <c r="F161" s="239"/>
      <c r="G161" s="239"/>
      <c r="H161" s="239"/>
      <c r="I161" s="239"/>
      <c r="J161" s="239"/>
    </row>
    <row r="162" spans="1:16" s="3" customFormat="1" x14ac:dyDescent="0.35">
      <c r="A162" s="238">
        <v>801</v>
      </c>
      <c r="B162" s="238"/>
      <c r="C162" s="4" t="s">
        <v>186</v>
      </c>
      <c r="D162" s="238">
        <f>(34.84)*10.764</f>
        <v>375.01776000000001</v>
      </c>
      <c r="E162" s="238"/>
      <c r="F162" s="4">
        <v>0</v>
      </c>
      <c r="G162" s="4">
        <f t="shared" si="1"/>
        <v>562.52664000000004</v>
      </c>
      <c r="H162" s="4" t="s">
        <v>89</v>
      </c>
      <c r="I162" s="238" t="str">
        <f>A161</f>
        <v>8th Floor (Part Refuge Area)</v>
      </c>
      <c r="J162" s="238"/>
      <c r="L162" s="3">
        <f>7277000/G162</f>
        <v>12936.276226846785</v>
      </c>
    </row>
    <row r="163" spans="1:16" s="3" customFormat="1" x14ac:dyDescent="0.35">
      <c r="A163" s="238">
        <v>802</v>
      </c>
      <c r="B163" s="238"/>
      <c r="C163" s="4" t="s">
        <v>186</v>
      </c>
      <c r="D163" s="238">
        <f>(34.84)*10.764</f>
        <v>375.01776000000001</v>
      </c>
      <c r="E163" s="238"/>
      <c r="F163" s="4">
        <v>0</v>
      </c>
      <c r="G163" s="4">
        <f t="shared" si="1"/>
        <v>562.52664000000004</v>
      </c>
      <c r="H163" s="4" t="s">
        <v>89</v>
      </c>
      <c r="I163" s="238"/>
      <c r="J163" s="238"/>
    </row>
    <row r="164" spans="1:16" s="3" customFormat="1" x14ac:dyDescent="0.35">
      <c r="A164" s="238">
        <v>803</v>
      </c>
      <c r="B164" s="238"/>
      <c r="C164" s="4" t="s">
        <v>186</v>
      </c>
      <c r="D164" s="238">
        <f>36.56*10.764</f>
        <v>393.53183999999999</v>
      </c>
      <c r="E164" s="238"/>
      <c r="F164" s="4">
        <v>0</v>
      </c>
      <c r="G164" s="4">
        <f t="shared" si="1"/>
        <v>590.29775999999993</v>
      </c>
      <c r="H164" s="4" t="s">
        <v>89</v>
      </c>
      <c r="I164" s="238"/>
      <c r="J164" s="238"/>
      <c r="P164" s="3">
        <f>L178+P132</f>
        <v>12332.866685332589</v>
      </c>
    </row>
    <row r="165" spans="1:16" s="3" customFormat="1" x14ac:dyDescent="0.35">
      <c r="A165" s="238">
        <v>804</v>
      </c>
      <c r="B165" s="238"/>
      <c r="C165" s="238" t="s">
        <v>205</v>
      </c>
      <c r="D165" s="238"/>
      <c r="E165" s="238"/>
      <c r="F165" s="238"/>
      <c r="G165" s="238"/>
      <c r="H165" s="4" t="s">
        <v>89</v>
      </c>
      <c r="I165" s="238"/>
      <c r="J165" s="238"/>
    </row>
    <row r="166" spans="1:16" s="3" customFormat="1" x14ac:dyDescent="0.35">
      <c r="A166" s="238">
        <v>805</v>
      </c>
      <c r="B166" s="238"/>
      <c r="C166" s="238"/>
      <c r="D166" s="238"/>
      <c r="E166" s="238"/>
      <c r="F166" s="238"/>
      <c r="G166" s="238"/>
      <c r="H166" s="4" t="s">
        <v>89</v>
      </c>
      <c r="I166" s="238"/>
      <c r="J166" s="238"/>
    </row>
    <row r="167" spans="1:16" s="3" customFormat="1" x14ac:dyDescent="0.35">
      <c r="A167" s="238">
        <v>806</v>
      </c>
      <c r="B167" s="238"/>
      <c r="C167" s="4" t="s">
        <v>186</v>
      </c>
      <c r="D167" s="238">
        <f>36.56*10.764</f>
        <v>393.53183999999999</v>
      </c>
      <c r="E167" s="238"/>
      <c r="F167" s="4">
        <v>0</v>
      </c>
      <c r="G167" s="4">
        <f t="shared" ref="G167" si="2">D167*1.5+F167</f>
        <v>590.29775999999993</v>
      </c>
      <c r="H167" s="4" t="s">
        <v>89</v>
      </c>
      <c r="I167" s="238"/>
      <c r="J167" s="238"/>
    </row>
    <row r="168" spans="1:16" s="3" customFormat="1" x14ac:dyDescent="0.35">
      <c r="A168" s="82" t="s">
        <v>208</v>
      </c>
      <c r="B168" s="83"/>
      <c r="C168" s="83"/>
      <c r="D168" s="83"/>
      <c r="E168" s="83"/>
      <c r="F168" s="83"/>
      <c r="G168" s="83"/>
      <c r="H168" s="83"/>
      <c r="I168" s="83"/>
      <c r="J168" s="84"/>
    </row>
    <row r="169" spans="1:16" s="3" customFormat="1" x14ac:dyDescent="0.35">
      <c r="A169" s="85">
        <v>1501</v>
      </c>
      <c r="B169" s="86"/>
      <c r="C169" s="4" t="s">
        <v>186</v>
      </c>
      <c r="D169" s="85">
        <f>(34.84)*10.764</f>
        <v>375.01776000000001</v>
      </c>
      <c r="E169" s="86"/>
      <c r="F169" s="4">
        <v>0</v>
      </c>
      <c r="G169" s="4">
        <f t="shared" ref="G169:G171" si="3">D169*1.5+F169</f>
        <v>562.52664000000004</v>
      </c>
      <c r="H169" s="4" t="s">
        <v>89</v>
      </c>
      <c r="I169" s="87" t="str">
        <f>A168</f>
        <v>15th Floor (Part Refuge Area)</v>
      </c>
      <c r="J169" s="88"/>
      <c r="L169" s="3">
        <f>7277000/G169</f>
        <v>12936.276226846785</v>
      </c>
    </row>
    <row r="170" spans="1:16" s="3" customFormat="1" x14ac:dyDescent="0.35">
      <c r="A170" s="85">
        <v>1502</v>
      </c>
      <c r="B170" s="86"/>
      <c r="C170" s="4" t="s">
        <v>186</v>
      </c>
      <c r="D170" s="85">
        <f>(34.84)*10.764</f>
        <v>375.01776000000001</v>
      </c>
      <c r="E170" s="86"/>
      <c r="F170" s="4">
        <v>0</v>
      </c>
      <c r="G170" s="4">
        <f t="shared" si="3"/>
        <v>562.52664000000004</v>
      </c>
      <c r="H170" s="4" t="s">
        <v>89</v>
      </c>
      <c r="I170" s="89"/>
      <c r="J170" s="90"/>
    </row>
    <row r="171" spans="1:16" s="3" customFormat="1" x14ac:dyDescent="0.35">
      <c r="A171" s="85">
        <v>1503</v>
      </c>
      <c r="B171" s="86"/>
      <c r="C171" s="4" t="s">
        <v>186</v>
      </c>
      <c r="D171" s="85">
        <f>36.56*10.764</f>
        <v>393.53183999999999</v>
      </c>
      <c r="E171" s="86"/>
      <c r="F171" s="4">
        <v>0</v>
      </c>
      <c r="G171" s="4">
        <f t="shared" si="3"/>
        <v>590.29775999999993</v>
      </c>
      <c r="H171" s="4" t="s">
        <v>89</v>
      </c>
      <c r="I171" s="89"/>
      <c r="J171" s="90"/>
    </row>
    <row r="172" spans="1:16" s="3" customFormat="1" x14ac:dyDescent="0.35">
      <c r="A172" s="85">
        <v>1504</v>
      </c>
      <c r="B172" s="86"/>
      <c r="C172" s="87" t="s">
        <v>205</v>
      </c>
      <c r="D172" s="93"/>
      <c r="E172" s="93"/>
      <c r="F172" s="93"/>
      <c r="G172" s="88"/>
      <c r="H172" s="4" t="s">
        <v>89</v>
      </c>
      <c r="I172" s="89"/>
      <c r="J172" s="90"/>
    </row>
    <row r="173" spans="1:16" s="3" customFormat="1" ht="15.75" customHeight="1" x14ac:dyDescent="0.35">
      <c r="A173" s="85">
        <v>1505</v>
      </c>
      <c r="B173" s="86"/>
      <c r="C173" s="4" t="s">
        <v>272</v>
      </c>
      <c r="D173" s="85">
        <f>24.11*10.764</f>
        <v>259.52003999999999</v>
      </c>
      <c r="E173" s="86"/>
      <c r="F173" s="4">
        <v>0</v>
      </c>
      <c r="G173" s="4"/>
      <c r="H173" s="4" t="s">
        <v>89</v>
      </c>
      <c r="I173" s="89"/>
      <c r="J173" s="90"/>
    </row>
    <row r="174" spans="1:16" s="3" customFormat="1" x14ac:dyDescent="0.35">
      <c r="A174" s="85">
        <v>1506</v>
      </c>
      <c r="B174" s="86"/>
      <c r="C174" s="4" t="s">
        <v>186</v>
      </c>
      <c r="D174" s="85">
        <f>36.56*10.764</f>
        <v>393.53183999999999</v>
      </c>
      <c r="E174" s="86"/>
      <c r="F174" s="4">
        <v>0</v>
      </c>
      <c r="G174" s="4">
        <f t="shared" ref="G174" si="4">D174*1.5+F174</f>
        <v>590.29775999999993</v>
      </c>
      <c r="H174" s="4" t="s">
        <v>89</v>
      </c>
      <c r="I174" s="91"/>
      <c r="J174" s="92"/>
    </row>
    <row r="175" spans="1:16" s="3" customFormat="1" x14ac:dyDescent="0.35">
      <c r="A175" s="82" t="s">
        <v>217</v>
      </c>
      <c r="B175" s="83"/>
      <c r="C175" s="83"/>
      <c r="D175" s="83"/>
      <c r="E175" s="83"/>
      <c r="F175" s="83"/>
      <c r="G175" s="83"/>
      <c r="H175" s="83"/>
      <c r="I175" s="83"/>
      <c r="J175" s="84"/>
    </row>
    <row r="176" spans="1:16" s="3" customFormat="1" x14ac:dyDescent="0.35">
      <c r="A176" s="82" t="s">
        <v>194</v>
      </c>
      <c r="B176" s="83"/>
      <c r="C176" s="83"/>
      <c r="D176" s="83"/>
      <c r="E176" s="83"/>
      <c r="F176" s="83"/>
      <c r="G176" s="83"/>
      <c r="H176" s="83"/>
      <c r="I176" s="83"/>
      <c r="J176" s="84"/>
    </row>
    <row r="177" spans="1:14" s="3" customFormat="1" x14ac:dyDescent="0.35">
      <c r="A177" s="82" t="s">
        <v>197</v>
      </c>
      <c r="B177" s="83"/>
      <c r="C177" s="83"/>
      <c r="D177" s="83"/>
      <c r="E177" s="83"/>
      <c r="F177" s="83"/>
      <c r="G177" s="83"/>
      <c r="H177" s="83"/>
      <c r="I177" s="83"/>
      <c r="J177" s="84"/>
    </row>
    <row r="178" spans="1:14" s="3" customFormat="1" x14ac:dyDescent="0.35">
      <c r="A178" s="85">
        <v>101</v>
      </c>
      <c r="B178" s="86"/>
      <c r="C178" s="4" t="s">
        <v>198</v>
      </c>
      <c r="D178" s="250">
        <f>54.35*10.764</f>
        <v>585.02339999999992</v>
      </c>
      <c r="E178" s="251"/>
      <c r="F178" s="4">
        <v>0</v>
      </c>
      <c r="G178" s="4">
        <f t="shared" ref="G178:G181" si="5">D178*1.5+F178</f>
        <v>877.53509999999983</v>
      </c>
      <c r="H178" s="4" t="s">
        <v>89</v>
      </c>
      <c r="I178" s="87" t="str">
        <f>A177</f>
        <v>1st Floor for Residential</v>
      </c>
      <c r="J178" s="88"/>
      <c r="L178" s="3">
        <f>10237500/G178</f>
        <v>11666.200018665922</v>
      </c>
      <c r="M178" s="3">
        <f>173649/G178</f>
        <v>197.88268298327901</v>
      </c>
      <c r="N178" s="3">
        <f>3.05*6.05+2.05*3+3.05*2.9+3.2*3.05+2.15*1.2+1.2*2.05+1.1*0.75+3.75*0.9</f>
        <v>52.447499999999991</v>
      </c>
    </row>
    <row r="179" spans="1:14" s="3" customFormat="1" x14ac:dyDescent="0.35">
      <c r="A179" s="85">
        <v>102</v>
      </c>
      <c r="B179" s="86"/>
      <c r="C179" s="4" t="s">
        <v>198</v>
      </c>
      <c r="D179" s="250">
        <f t="shared" ref="D179:D180" si="6">54.35*10.764</f>
        <v>585.02339999999992</v>
      </c>
      <c r="E179" s="251"/>
      <c r="F179" s="4">
        <v>0</v>
      </c>
      <c r="G179" s="4">
        <f t="shared" si="5"/>
        <v>877.53509999999983</v>
      </c>
      <c r="H179" s="4" t="s">
        <v>89</v>
      </c>
      <c r="I179" s="89"/>
      <c r="J179" s="90"/>
    </row>
    <row r="180" spans="1:14" s="3" customFormat="1" x14ac:dyDescent="0.35">
      <c r="A180" s="85">
        <v>103</v>
      </c>
      <c r="B180" s="86"/>
      <c r="C180" s="4" t="s">
        <v>198</v>
      </c>
      <c r="D180" s="250">
        <f t="shared" si="6"/>
        <v>585.02339999999992</v>
      </c>
      <c r="E180" s="251"/>
      <c r="F180" s="4">
        <v>0</v>
      </c>
      <c r="G180" s="4">
        <f t="shared" si="5"/>
        <v>877.53509999999983</v>
      </c>
      <c r="H180" s="4" t="s">
        <v>89</v>
      </c>
      <c r="I180" s="89"/>
      <c r="J180" s="90"/>
    </row>
    <row r="181" spans="1:14" s="3" customFormat="1" x14ac:dyDescent="0.35">
      <c r="A181" s="85">
        <v>104</v>
      </c>
      <c r="B181" s="86"/>
      <c r="C181" s="4" t="s">
        <v>198</v>
      </c>
      <c r="D181" s="250">
        <f>54.38*10.764</f>
        <v>585.34631999999999</v>
      </c>
      <c r="E181" s="251"/>
      <c r="F181" s="4">
        <v>0</v>
      </c>
      <c r="G181" s="4">
        <f t="shared" si="5"/>
        <v>878.01947999999993</v>
      </c>
      <c r="H181" s="4" t="s">
        <v>89</v>
      </c>
      <c r="I181" s="91"/>
      <c r="J181" s="92"/>
      <c r="L181" s="3">
        <f>250*G179</f>
        <v>219383.77499999997</v>
      </c>
    </row>
    <row r="182" spans="1:14" s="3" customFormat="1" x14ac:dyDescent="0.35">
      <c r="A182" s="82" t="s">
        <v>202</v>
      </c>
      <c r="B182" s="83"/>
      <c r="C182" s="83"/>
      <c r="D182" s="83"/>
      <c r="E182" s="83"/>
      <c r="F182" s="83"/>
      <c r="G182" s="83"/>
      <c r="H182" s="83"/>
      <c r="I182" s="83"/>
      <c r="J182" s="84"/>
    </row>
    <row r="183" spans="1:14" s="3" customFormat="1" x14ac:dyDescent="0.35">
      <c r="A183" s="85">
        <v>201</v>
      </c>
      <c r="B183" s="86"/>
      <c r="C183" s="4" t="s">
        <v>198</v>
      </c>
      <c r="D183" s="250">
        <f>54.35*10.764</f>
        <v>585.02339999999992</v>
      </c>
      <c r="E183" s="251"/>
      <c r="F183" s="4">
        <v>0</v>
      </c>
      <c r="G183" s="4">
        <f t="shared" ref="G183:G186" si="7">D183*1.5+F183</f>
        <v>877.53509999999983</v>
      </c>
      <c r="H183" s="4" t="s">
        <v>89</v>
      </c>
      <c r="I183" s="87" t="str">
        <f>A182</f>
        <v xml:space="preserve">2nd Floor </v>
      </c>
      <c r="J183" s="88"/>
      <c r="L183" s="3">
        <f t="shared" ref="L183:L185" si="8">250*G181</f>
        <v>219504.87</v>
      </c>
    </row>
    <row r="184" spans="1:14" s="3" customFormat="1" x14ac:dyDescent="0.35">
      <c r="A184" s="85">
        <v>202</v>
      </c>
      <c r="B184" s="86"/>
      <c r="C184" s="4" t="s">
        <v>198</v>
      </c>
      <c r="D184" s="250">
        <f t="shared" ref="D184:D185" si="9">54.35*10.764</f>
        <v>585.02339999999992</v>
      </c>
      <c r="E184" s="251"/>
      <c r="F184" s="4">
        <v>0</v>
      </c>
      <c r="G184" s="4">
        <f t="shared" si="7"/>
        <v>877.53509999999983</v>
      </c>
      <c r="H184" s="4" t="s">
        <v>89</v>
      </c>
      <c r="I184" s="89"/>
      <c r="J184" s="90"/>
      <c r="L184" s="3">
        <f t="shared" si="8"/>
        <v>0</v>
      </c>
    </row>
    <row r="185" spans="1:14" s="3" customFormat="1" x14ac:dyDescent="0.35">
      <c r="A185" s="85">
        <v>203</v>
      </c>
      <c r="B185" s="86"/>
      <c r="C185" s="4" t="s">
        <v>198</v>
      </c>
      <c r="D185" s="250">
        <f t="shared" si="9"/>
        <v>585.02339999999992</v>
      </c>
      <c r="E185" s="251"/>
      <c r="F185" s="4">
        <v>0</v>
      </c>
      <c r="G185" s="4">
        <f t="shared" si="7"/>
        <v>877.53509999999983</v>
      </c>
      <c r="H185" s="4" t="s">
        <v>89</v>
      </c>
      <c r="I185" s="89"/>
      <c r="J185" s="90"/>
      <c r="L185" s="3">
        <f t="shared" si="8"/>
        <v>219383.77499999997</v>
      </c>
    </row>
    <row r="186" spans="1:14" s="3" customFormat="1" x14ac:dyDescent="0.35">
      <c r="A186" s="85">
        <v>204</v>
      </c>
      <c r="B186" s="86"/>
      <c r="C186" s="4" t="s">
        <v>198</v>
      </c>
      <c r="D186" s="250">
        <f>54.38*10.764</f>
        <v>585.34631999999999</v>
      </c>
      <c r="E186" s="251"/>
      <c r="F186" s="4">
        <v>0</v>
      </c>
      <c r="G186" s="4">
        <f t="shared" si="7"/>
        <v>878.01947999999993</v>
      </c>
      <c r="H186" s="4" t="s">
        <v>89</v>
      </c>
      <c r="I186" s="91"/>
      <c r="J186" s="92"/>
      <c r="L186" s="3">
        <f>250*G184</f>
        <v>219383.77499999997</v>
      </c>
    </row>
    <row r="187" spans="1:14" s="3" customFormat="1" x14ac:dyDescent="0.35">
      <c r="A187" s="82" t="s">
        <v>276</v>
      </c>
      <c r="B187" s="83"/>
      <c r="C187" s="83"/>
      <c r="D187" s="83"/>
      <c r="E187" s="83"/>
      <c r="F187" s="83"/>
      <c r="G187" s="83"/>
      <c r="H187" s="83"/>
      <c r="I187" s="83"/>
      <c r="J187" s="84"/>
    </row>
    <row r="188" spans="1:14" s="3" customFormat="1" ht="15.75" customHeight="1" x14ac:dyDescent="0.35">
      <c r="A188" s="85" t="s">
        <v>292</v>
      </c>
      <c r="B188" s="86" t="s">
        <v>209</v>
      </c>
      <c r="C188" s="4" t="s">
        <v>198</v>
      </c>
      <c r="D188" s="250">
        <f>54.35*10.764</f>
        <v>585.02339999999992</v>
      </c>
      <c r="E188" s="251"/>
      <c r="F188" s="4">
        <v>0</v>
      </c>
      <c r="G188" s="4">
        <f t="shared" ref="G188:G191" si="10">D188*1.5+F188</f>
        <v>877.53509999999983</v>
      </c>
      <c r="H188" s="4" t="s">
        <v>89</v>
      </c>
      <c r="I188" s="87" t="str">
        <f>A187</f>
        <v>3rd to 7th, 9th to 14th &amp; 16th to 17th Floor</v>
      </c>
      <c r="J188" s="88"/>
    </row>
    <row r="189" spans="1:14" s="3" customFormat="1" x14ac:dyDescent="0.35">
      <c r="A189" s="85" t="s">
        <v>293</v>
      </c>
      <c r="B189" s="86" t="s">
        <v>210</v>
      </c>
      <c r="C189" s="4" t="s">
        <v>198</v>
      </c>
      <c r="D189" s="250">
        <f t="shared" ref="D189:D190" si="11">54.35*10.764</f>
        <v>585.02339999999992</v>
      </c>
      <c r="E189" s="251"/>
      <c r="F189" s="4">
        <v>0</v>
      </c>
      <c r="G189" s="4">
        <f t="shared" si="10"/>
        <v>877.53509999999983</v>
      </c>
      <c r="H189" s="4" t="s">
        <v>89</v>
      </c>
      <c r="I189" s="89"/>
      <c r="J189" s="90"/>
    </row>
    <row r="190" spans="1:14" s="3" customFormat="1" x14ac:dyDescent="0.35">
      <c r="A190" s="85" t="s">
        <v>294</v>
      </c>
      <c r="B190" s="86" t="s">
        <v>211</v>
      </c>
      <c r="C190" s="4" t="s">
        <v>198</v>
      </c>
      <c r="D190" s="250">
        <f t="shared" si="11"/>
        <v>585.02339999999992</v>
      </c>
      <c r="E190" s="251"/>
      <c r="F190" s="4">
        <v>0</v>
      </c>
      <c r="G190" s="4">
        <f t="shared" si="10"/>
        <v>877.53509999999983</v>
      </c>
      <c r="H190" s="4" t="s">
        <v>89</v>
      </c>
      <c r="I190" s="89"/>
      <c r="J190" s="90"/>
    </row>
    <row r="191" spans="1:14" s="3" customFormat="1" x14ac:dyDescent="0.35">
      <c r="A191" s="85" t="s">
        <v>295</v>
      </c>
      <c r="B191" s="86" t="s">
        <v>212</v>
      </c>
      <c r="C191" s="4" t="s">
        <v>198</v>
      </c>
      <c r="D191" s="250">
        <f>54.38*10.764</f>
        <v>585.34631999999999</v>
      </c>
      <c r="E191" s="251"/>
      <c r="F191" s="4">
        <v>0</v>
      </c>
      <c r="G191" s="4">
        <f t="shared" si="10"/>
        <v>878.01947999999993</v>
      </c>
      <c r="H191" s="4" t="s">
        <v>89</v>
      </c>
      <c r="I191" s="91"/>
      <c r="J191" s="92"/>
    </row>
    <row r="192" spans="1:14" s="3" customFormat="1" x14ac:dyDescent="0.35">
      <c r="A192" s="82" t="s">
        <v>206</v>
      </c>
      <c r="B192" s="83"/>
      <c r="C192" s="83"/>
      <c r="D192" s="83"/>
      <c r="E192" s="83"/>
      <c r="F192" s="83"/>
      <c r="G192" s="83"/>
      <c r="H192" s="83"/>
      <c r="I192" s="83"/>
      <c r="J192" s="84"/>
    </row>
    <row r="193" spans="1:10" s="3" customFormat="1" x14ac:dyDescent="0.35">
      <c r="A193" s="85">
        <v>801</v>
      </c>
      <c r="B193" s="86"/>
      <c r="C193" s="4" t="s">
        <v>198</v>
      </c>
      <c r="D193" s="250">
        <f>54.35*10.764</f>
        <v>585.02339999999992</v>
      </c>
      <c r="E193" s="251"/>
      <c r="F193" s="4">
        <v>0</v>
      </c>
      <c r="G193" s="4">
        <f t="shared" ref="G193:G195" si="12">D193*1.5+F193</f>
        <v>877.53509999999983</v>
      </c>
      <c r="H193" s="4" t="s">
        <v>89</v>
      </c>
      <c r="I193" s="87" t="str">
        <f>A192</f>
        <v>8th Floor (Part Refuge Area)</v>
      </c>
      <c r="J193" s="88"/>
    </row>
    <row r="194" spans="1:10" s="3" customFormat="1" x14ac:dyDescent="0.35">
      <c r="A194" s="85">
        <v>802</v>
      </c>
      <c r="B194" s="86"/>
      <c r="C194" s="4" t="s">
        <v>198</v>
      </c>
      <c r="D194" s="250">
        <f t="shared" ref="D194:D195" si="13">54.35*10.764</f>
        <v>585.02339999999992</v>
      </c>
      <c r="E194" s="251"/>
      <c r="F194" s="4">
        <v>0</v>
      </c>
      <c r="G194" s="4">
        <f t="shared" si="12"/>
        <v>877.53509999999983</v>
      </c>
      <c r="H194" s="4" t="s">
        <v>89</v>
      </c>
      <c r="I194" s="89"/>
      <c r="J194" s="90"/>
    </row>
    <row r="195" spans="1:10" s="3" customFormat="1" x14ac:dyDescent="0.35">
      <c r="A195" s="85">
        <v>803</v>
      </c>
      <c r="B195" s="86"/>
      <c r="C195" s="4" t="s">
        <v>198</v>
      </c>
      <c r="D195" s="250">
        <f t="shared" si="13"/>
        <v>585.02339999999992</v>
      </c>
      <c r="E195" s="251"/>
      <c r="F195" s="4">
        <v>0</v>
      </c>
      <c r="G195" s="4">
        <f t="shared" si="12"/>
        <v>877.53509999999983</v>
      </c>
      <c r="H195" s="4" t="s">
        <v>89</v>
      </c>
      <c r="I195" s="89"/>
      <c r="J195" s="90"/>
    </row>
    <row r="196" spans="1:10" s="3" customFormat="1" ht="15.75" customHeight="1" x14ac:dyDescent="0.35">
      <c r="A196" s="85">
        <v>804</v>
      </c>
      <c r="B196" s="86"/>
      <c r="C196" s="85" t="s">
        <v>187</v>
      </c>
      <c r="D196" s="252"/>
      <c r="E196" s="252"/>
      <c r="F196" s="252"/>
      <c r="G196" s="86"/>
      <c r="H196" s="4" t="s">
        <v>89</v>
      </c>
      <c r="I196" s="91"/>
      <c r="J196" s="92"/>
    </row>
    <row r="197" spans="1:10" s="3" customFormat="1" x14ac:dyDescent="0.35">
      <c r="A197" s="82" t="s">
        <v>208</v>
      </c>
      <c r="B197" s="83"/>
      <c r="C197" s="83"/>
      <c r="D197" s="83"/>
      <c r="E197" s="83"/>
      <c r="F197" s="83"/>
      <c r="G197" s="83"/>
      <c r="H197" s="83"/>
      <c r="I197" s="83"/>
      <c r="J197" s="84"/>
    </row>
    <row r="198" spans="1:10" s="3" customFormat="1" x14ac:dyDescent="0.35">
      <c r="A198" s="85">
        <v>1501</v>
      </c>
      <c r="B198" s="86"/>
      <c r="C198" s="4" t="s">
        <v>198</v>
      </c>
      <c r="D198" s="250">
        <f>54.35*10.764</f>
        <v>585.02339999999992</v>
      </c>
      <c r="E198" s="251"/>
      <c r="F198" s="4">
        <v>0</v>
      </c>
      <c r="G198" s="4">
        <f t="shared" ref="G198:G200" si="14">D198*1.5+F198</f>
        <v>877.53509999999983</v>
      </c>
      <c r="H198" s="4" t="s">
        <v>89</v>
      </c>
      <c r="I198" s="87" t="str">
        <f>A197</f>
        <v>15th Floor (Part Refuge Area)</v>
      </c>
      <c r="J198" s="88"/>
    </row>
    <row r="199" spans="1:10" s="3" customFormat="1" x14ac:dyDescent="0.35">
      <c r="A199" s="85">
        <v>1502</v>
      </c>
      <c r="B199" s="86"/>
      <c r="C199" s="4" t="s">
        <v>198</v>
      </c>
      <c r="D199" s="250">
        <f t="shared" ref="D199:D200" si="15">54.35*10.764</f>
        <v>585.02339999999992</v>
      </c>
      <c r="E199" s="251"/>
      <c r="F199" s="4">
        <v>0</v>
      </c>
      <c r="G199" s="4">
        <f t="shared" si="14"/>
        <v>877.53509999999983</v>
      </c>
      <c r="H199" s="4" t="s">
        <v>89</v>
      </c>
      <c r="I199" s="89"/>
      <c r="J199" s="90"/>
    </row>
    <row r="200" spans="1:10" s="3" customFormat="1" x14ac:dyDescent="0.35">
      <c r="A200" s="85">
        <v>1503</v>
      </c>
      <c r="B200" s="86"/>
      <c r="C200" s="4" t="s">
        <v>198</v>
      </c>
      <c r="D200" s="250">
        <f t="shared" si="15"/>
        <v>585.02339999999992</v>
      </c>
      <c r="E200" s="251"/>
      <c r="F200" s="4">
        <v>0</v>
      </c>
      <c r="G200" s="4">
        <f t="shared" si="14"/>
        <v>877.53509999999983</v>
      </c>
      <c r="H200" s="4" t="s">
        <v>89</v>
      </c>
      <c r="I200" s="89"/>
      <c r="J200" s="90"/>
    </row>
    <row r="201" spans="1:10" s="3" customFormat="1" x14ac:dyDescent="0.35">
      <c r="A201" s="85">
        <v>1504</v>
      </c>
      <c r="B201" s="86"/>
      <c r="C201" s="85" t="s">
        <v>187</v>
      </c>
      <c r="D201" s="252"/>
      <c r="E201" s="252"/>
      <c r="F201" s="252"/>
      <c r="G201" s="86"/>
      <c r="H201" s="4" t="s">
        <v>89</v>
      </c>
      <c r="I201" s="91"/>
      <c r="J201" s="92"/>
    </row>
    <row r="202" spans="1:10" s="3" customFormat="1" x14ac:dyDescent="0.35">
      <c r="A202" s="239" t="s">
        <v>277</v>
      </c>
      <c r="B202" s="239"/>
      <c r="C202" s="239"/>
      <c r="D202" s="239"/>
      <c r="E202" s="239"/>
      <c r="F202" s="239"/>
      <c r="G202" s="239"/>
      <c r="H202" s="239"/>
      <c r="I202" s="239"/>
      <c r="J202" s="239"/>
    </row>
    <row r="203" spans="1:10" s="3" customFormat="1" x14ac:dyDescent="0.35">
      <c r="A203" s="238" t="s">
        <v>278</v>
      </c>
      <c r="B203" s="238" t="s">
        <v>209</v>
      </c>
      <c r="C203" s="4" t="s">
        <v>198</v>
      </c>
      <c r="D203" s="253">
        <f>54.35*10.764</f>
        <v>585.02339999999992</v>
      </c>
      <c r="E203" s="253"/>
      <c r="F203" s="4">
        <v>0</v>
      </c>
      <c r="G203" s="4">
        <f t="shared" ref="G203:G206" si="16">D203*1.5+F203</f>
        <v>877.53509999999983</v>
      </c>
      <c r="H203" s="4" t="s">
        <v>89</v>
      </c>
      <c r="I203" s="238" t="str">
        <f>A202</f>
        <v>18th to 22nd Floor</v>
      </c>
      <c r="J203" s="238"/>
    </row>
    <row r="204" spans="1:10" s="3" customFormat="1" x14ac:dyDescent="0.35">
      <c r="A204" s="238" t="s">
        <v>279</v>
      </c>
      <c r="B204" s="238" t="s">
        <v>210</v>
      </c>
      <c r="C204" s="4" t="s">
        <v>198</v>
      </c>
      <c r="D204" s="253">
        <f t="shared" ref="D204:D205" si="17">54.35*10.764</f>
        <v>585.02339999999992</v>
      </c>
      <c r="E204" s="253"/>
      <c r="F204" s="4">
        <v>0</v>
      </c>
      <c r="G204" s="4">
        <f t="shared" si="16"/>
        <v>877.53509999999983</v>
      </c>
      <c r="H204" s="4" t="s">
        <v>89</v>
      </c>
      <c r="I204" s="238"/>
      <c r="J204" s="238"/>
    </row>
    <row r="205" spans="1:10" s="3" customFormat="1" x14ac:dyDescent="0.35">
      <c r="A205" s="238" t="s">
        <v>280</v>
      </c>
      <c r="B205" s="238" t="s">
        <v>211</v>
      </c>
      <c r="C205" s="4" t="s">
        <v>198</v>
      </c>
      <c r="D205" s="253">
        <f t="shared" si="17"/>
        <v>585.02339999999992</v>
      </c>
      <c r="E205" s="253"/>
      <c r="F205" s="4">
        <v>0</v>
      </c>
      <c r="G205" s="4">
        <f t="shared" si="16"/>
        <v>877.53509999999983</v>
      </c>
      <c r="H205" s="4" t="s">
        <v>89</v>
      </c>
      <c r="I205" s="238"/>
      <c r="J205" s="238"/>
    </row>
    <row r="206" spans="1:10" s="3" customFormat="1" x14ac:dyDescent="0.35">
      <c r="A206" s="238" t="s">
        <v>281</v>
      </c>
      <c r="B206" s="238" t="s">
        <v>212</v>
      </c>
      <c r="C206" s="4" t="s">
        <v>198</v>
      </c>
      <c r="D206" s="253">
        <f>54.38*10.764</f>
        <v>585.34631999999999</v>
      </c>
      <c r="E206" s="253"/>
      <c r="F206" s="4">
        <v>0</v>
      </c>
      <c r="G206" s="4">
        <f t="shared" si="16"/>
        <v>878.01947999999993</v>
      </c>
      <c r="H206" s="4" t="s">
        <v>89</v>
      </c>
      <c r="I206" s="238"/>
      <c r="J206" s="238"/>
    </row>
    <row r="207" spans="1:10" s="3" customFormat="1" ht="15.75" customHeight="1" x14ac:dyDescent="0.35">
      <c r="A207" s="239" t="s">
        <v>218</v>
      </c>
      <c r="B207" s="239"/>
      <c r="C207" s="239"/>
      <c r="D207" s="239"/>
      <c r="E207" s="239"/>
      <c r="F207" s="239"/>
      <c r="G207" s="239"/>
      <c r="H207" s="239"/>
      <c r="I207" s="239"/>
      <c r="J207" s="239"/>
    </row>
    <row r="208" spans="1:10" s="3" customFormat="1" x14ac:dyDescent="0.35">
      <c r="A208" s="239" t="s">
        <v>194</v>
      </c>
      <c r="B208" s="239"/>
      <c r="C208" s="239"/>
      <c r="D208" s="239"/>
      <c r="E208" s="239"/>
      <c r="F208" s="239"/>
      <c r="G208" s="239"/>
      <c r="H208" s="239"/>
      <c r="I208" s="239"/>
      <c r="J208" s="239"/>
    </row>
    <row r="209" spans="1:12" s="3" customFormat="1" x14ac:dyDescent="0.35">
      <c r="A209" s="239" t="s">
        <v>197</v>
      </c>
      <c r="B209" s="239"/>
      <c r="C209" s="239"/>
      <c r="D209" s="239"/>
      <c r="E209" s="239"/>
      <c r="F209" s="239"/>
      <c r="G209" s="239"/>
      <c r="H209" s="239"/>
      <c r="I209" s="239"/>
      <c r="J209" s="239"/>
    </row>
    <row r="210" spans="1:12" s="3" customFormat="1" x14ac:dyDescent="0.35">
      <c r="A210" s="238">
        <v>101</v>
      </c>
      <c r="B210" s="238"/>
      <c r="C210" s="4" t="s">
        <v>186</v>
      </c>
      <c r="D210" s="238">
        <f>35.01*10.764</f>
        <v>376.84763999999996</v>
      </c>
      <c r="E210" s="238"/>
      <c r="F210" s="4">
        <v>0</v>
      </c>
      <c r="G210" s="4">
        <f t="shared" ref="G210:G214" si="18">D210*1.5+F210</f>
        <v>565.27145999999993</v>
      </c>
      <c r="H210" s="4" t="s">
        <v>89</v>
      </c>
      <c r="I210" s="238" t="str">
        <f>A209</f>
        <v>1st Floor for Residential</v>
      </c>
      <c r="J210" s="238"/>
      <c r="L210" s="3">
        <f t="shared" ref="L210:L215" si="19">250*G208</f>
        <v>0</v>
      </c>
    </row>
    <row r="211" spans="1:12" s="3" customFormat="1" x14ac:dyDescent="0.35">
      <c r="A211" s="238">
        <v>102</v>
      </c>
      <c r="B211" s="238"/>
      <c r="C211" s="4" t="s">
        <v>186</v>
      </c>
      <c r="D211" s="238">
        <f>34.83*10.764</f>
        <v>374.91011999999995</v>
      </c>
      <c r="E211" s="238"/>
      <c r="F211" s="4">
        <v>0</v>
      </c>
      <c r="G211" s="4">
        <f t="shared" si="18"/>
        <v>562.3651799999999</v>
      </c>
      <c r="H211" s="4" t="s">
        <v>89</v>
      </c>
      <c r="I211" s="238"/>
      <c r="J211" s="238"/>
      <c r="L211" s="3">
        <f t="shared" si="19"/>
        <v>0</v>
      </c>
    </row>
    <row r="212" spans="1:12" s="3" customFormat="1" x14ac:dyDescent="0.35">
      <c r="A212" s="238">
        <v>103</v>
      </c>
      <c r="B212" s="238"/>
      <c r="C212" s="4" t="s">
        <v>186</v>
      </c>
      <c r="D212" s="238">
        <f>36.56*10.764</f>
        <v>393.53183999999999</v>
      </c>
      <c r="E212" s="238"/>
      <c r="F212" s="4">
        <v>0</v>
      </c>
      <c r="G212" s="4">
        <f t="shared" si="18"/>
        <v>590.29775999999993</v>
      </c>
      <c r="H212" s="4" t="s">
        <v>89</v>
      </c>
      <c r="I212" s="238"/>
      <c r="J212" s="238"/>
      <c r="L212" s="3">
        <f>250*G210</f>
        <v>141317.86499999999</v>
      </c>
    </row>
    <row r="213" spans="1:12" s="3" customFormat="1" x14ac:dyDescent="0.35">
      <c r="A213" s="238">
        <v>104</v>
      </c>
      <c r="B213" s="238"/>
      <c r="C213" s="4" t="s">
        <v>186</v>
      </c>
      <c r="D213" s="238">
        <f>36.56*10.764</f>
        <v>393.53183999999999</v>
      </c>
      <c r="E213" s="238"/>
      <c r="F213" s="4">
        <v>0</v>
      </c>
      <c r="G213" s="4">
        <f t="shared" si="18"/>
        <v>590.29775999999993</v>
      </c>
      <c r="H213" s="4" t="s">
        <v>89</v>
      </c>
      <c r="I213" s="238"/>
      <c r="J213" s="238"/>
      <c r="L213" s="3">
        <f t="shared" si="19"/>
        <v>140591.29499999998</v>
      </c>
    </row>
    <row r="214" spans="1:12" s="3" customFormat="1" ht="15.75" customHeight="1" x14ac:dyDescent="0.35">
      <c r="A214" s="238">
        <v>105</v>
      </c>
      <c r="B214" s="238"/>
      <c r="C214" s="4" t="s">
        <v>186</v>
      </c>
      <c r="D214" s="238">
        <f>36.56*10.764</f>
        <v>393.53183999999999</v>
      </c>
      <c r="E214" s="238"/>
      <c r="F214" s="4">
        <v>0</v>
      </c>
      <c r="G214" s="4">
        <f t="shared" si="18"/>
        <v>590.29775999999993</v>
      </c>
      <c r="H214" s="4" t="s">
        <v>89</v>
      </c>
      <c r="I214" s="238"/>
      <c r="J214" s="238"/>
      <c r="L214" s="3">
        <f t="shared" si="19"/>
        <v>147574.43999999997</v>
      </c>
    </row>
    <row r="215" spans="1:12" s="3" customFormat="1" x14ac:dyDescent="0.35">
      <c r="A215" s="82" t="s">
        <v>202</v>
      </c>
      <c r="B215" s="83"/>
      <c r="C215" s="83"/>
      <c r="D215" s="83"/>
      <c r="E215" s="83"/>
      <c r="F215" s="83"/>
      <c r="G215" s="83"/>
      <c r="H215" s="83"/>
      <c r="I215" s="83"/>
      <c r="J215" s="84"/>
      <c r="L215" s="3">
        <f t="shared" si="19"/>
        <v>147574.43999999997</v>
      </c>
    </row>
    <row r="216" spans="1:12" s="3" customFormat="1" x14ac:dyDescent="0.35">
      <c r="A216" s="85">
        <v>201</v>
      </c>
      <c r="B216" s="86"/>
      <c r="C216" s="4" t="s">
        <v>186</v>
      </c>
      <c r="D216" s="85">
        <f>35.01*10.764</f>
        <v>376.84763999999996</v>
      </c>
      <c r="E216" s="86"/>
      <c r="F216" s="4">
        <v>0</v>
      </c>
      <c r="G216" s="4">
        <f t="shared" ref="G216:G220" si="20">D216*1.5+F216</f>
        <v>565.27145999999993</v>
      </c>
      <c r="H216" s="4" t="s">
        <v>89</v>
      </c>
      <c r="I216" s="87" t="str">
        <f>A215</f>
        <v xml:space="preserve">2nd Floor </v>
      </c>
      <c r="J216" s="88"/>
    </row>
    <row r="217" spans="1:12" s="3" customFormat="1" x14ac:dyDescent="0.35">
      <c r="A217" s="85">
        <v>202</v>
      </c>
      <c r="B217" s="86"/>
      <c r="C217" s="4" t="s">
        <v>186</v>
      </c>
      <c r="D217" s="85">
        <f>34.83*10.764</f>
        <v>374.91011999999995</v>
      </c>
      <c r="E217" s="86"/>
      <c r="F217" s="4">
        <v>0</v>
      </c>
      <c r="G217" s="4">
        <f t="shared" si="20"/>
        <v>562.3651799999999</v>
      </c>
      <c r="H217" s="4" t="s">
        <v>89</v>
      </c>
      <c r="I217" s="89"/>
      <c r="J217" s="90"/>
    </row>
    <row r="218" spans="1:12" s="3" customFormat="1" x14ac:dyDescent="0.35">
      <c r="A218" s="85">
        <v>203</v>
      </c>
      <c r="B218" s="86"/>
      <c r="C218" s="4" t="s">
        <v>186</v>
      </c>
      <c r="D218" s="85">
        <f>36.56*10.764</f>
        <v>393.53183999999999</v>
      </c>
      <c r="E218" s="86"/>
      <c r="F218" s="4">
        <v>0</v>
      </c>
      <c r="G218" s="4">
        <f t="shared" si="20"/>
        <v>590.29775999999993</v>
      </c>
      <c r="H218" s="4" t="s">
        <v>89</v>
      </c>
      <c r="I218" s="89"/>
      <c r="J218" s="90"/>
    </row>
    <row r="219" spans="1:12" s="3" customFormat="1" x14ac:dyDescent="0.35">
      <c r="A219" s="85">
        <v>204</v>
      </c>
      <c r="B219" s="86"/>
      <c r="C219" s="4" t="s">
        <v>186</v>
      </c>
      <c r="D219" s="85">
        <f>36.56*10.764</f>
        <v>393.53183999999999</v>
      </c>
      <c r="E219" s="86"/>
      <c r="F219" s="4">
        <v>0</v>
      </c>
      <c r="G219" s="4">
        <f t="shared" si="20"/>
        <v>590.29775999999993</v>
      </c>
      <c r="H219" s="4" t="s">
        <v>89</v>
      </c>
      <c r="I219" s="89"/>
      <c r="J219" s="90"/>
    </row>
    <row r="220" spans="1:12" s="3" customFormat="1" x14ac:dyDescent="0.35">
      <c r="A220" s="85">
        <v>205</v>
      </c>
      <c r="B220" s="86"/>
      <c r="C220" s="4" t="s">
        <v>186</v>
      </c>
      <c r="D220" s="85">
        <f>36.56*10.764</f>
        <v>393.53183999999999</v>
      </c>
      <c r="E220" s="86"/>
      <c r="F220" s="4">
        <v>0</v>
      </c>
      <c r="G220" s="4">
        <f t="shared" si="20"/>
        <v>590.29775999999993</v>
      </c>
      <c r="H220" s="4" t="s">
        <v>89</v>
      </c>
      <c r="I220" s="91"/>
      <c r="J220" s="92"/>
    </row>
    <row r="221" spans="1:12" s="3" customFormat="1" x14ac:dyDescent="0.35">
      <c r="A221" s="82" t="s">
        <v>276</v>
      </c>
      <c r="B221" s="83"/>
      <c r="C221" s="83"/>
      <c r="D221" s="83"/>
      <c r="E221" s="83"/>
      <c r="F221" s="83"/>
      <c r="G221" s="83"/>
      <c r="H221" s="83"/>
      <c r="I221" s="83"/>
      <c r="J221" s="84"/>
    </row>
    <row r="222" spans="1:12" s="3" customFormat="1" x14ac:dyDescent="0.35">
      <c r="A222" s="85" t="s">
        <v>292</v>
      </c>
      <c r="B222" s="86" t="s">
        <v>209</v>
      </c>
      <c r="C222" s="4" t="s">
        <v>186</v>
      </c>
      <c r="D222" s="85">
        <f>35.01*10.764</f>
        <v>376.84763999999996</v>
      </c>
      <c r="E222" s="86"/>
      <c r="F222" s="4">
        <v>0</v>
      </c>
      <c r="G222" s="4">
        <f t="shared" ref="G222:G226" si="21">D222*1.5+F222</f>
        <v>565.27145999999993</v>
      </c>
      <c r="H222" s="4" t="s">
        <v>89</v>
      </c>
      <c r="I222" s="87" t="str">
        <f>A221</f>
        <v>3rd to 7th, 9th to 14th &amp; 16th to 17th Floor</v>
      </c>
      <c r="J222" s="88"/>
    </row>
    <row r="223" spans="1:12" s="3" customFormat="1" x14ac:dyDescent="0.35">
      <c r="A223" s="85" t="s">
        <v>293</v>
      </c>
      <c r="B223" s="86" t="s">
        <v>210</v>
      </c>
      <c r="C223" s="4" t="s">
        <v>186</v>
      </c>
      <c r="D223" s="85">
        <f>34.83*10.764</f>
        <v>374.91011999999995</v>
      </c>
      <c r="E223" s="86"/>
      <c r="F223" s="4">
        <v>0</v>
      </c>
      <c r="G223" s="4">
        <f t="shared" si="21"/>
        <v>562.3651799999999</v>
      </c>
      <c r="H223" s="4" t="s">
        <v>89</v>
      </c>
      <c r="I223" s="89"/>
      <c r="J223" s="90"/>
    </row>
    <row r="224" spans="1:12" s="3" customFormat="1" x14ac:dyDescent="0.35">
      <c r="A224" s="85" t="s">
        <v>294</v>
      </c>
      <c r="B224" s="86" t="s">
        <v>211</v>
      </c>
      <c r="C224" s="4" t="s">
        <v>186</v>
      </c>
      <c r="D224" s="85">
        <f>36.56*10.764</f>
        <v>393.53183999999999</v>
      </c>
      <c r="E224" s="86"/>
      <c r="F224" s="4">
        <v>0</v>
      </c>
      <c r="G224" s="4">
        <f t="shared" si="21"/>
        <v>590.29775999999993</v>
      </c>
      <c r="H224" s="4" t="s">
        <v>89</v>
      </c>
      <c r="I224" s="89"/>
      <c r="J224" s="90"/>
    </row>
    <row r="225" spans="1:10" s="3" customFormat="1" ht="15.75" customHeight="1" x14ac:dyDescent="0.35">
      <c r="A225" s="85" t="s">
        <v>295</v>
      </c>
      <c r="B225" s="86" t="s">
        <v>212</v>
      </c>
      <c r="C225" s="4" t="s">
        <v>186</v>
      </c>
      <c r="D225" s="85">
        <f>36.56*10.764</f>
        <v>393.53183999999999</v>
      </c>
      <c r="E225" s="86"/>
      <c r="F225" s="4">
        <v>0</v>
      </c>
      <c r="G225" s="4">
        <f t="shared" si="21"/>
        <v>590.29775999999993</v>
      </c>
      <c r="H225" s="4" t="s">
        <v>89</v>
      </c>
      <c r="I225" s="89"/>
      <c r="J225" s="90"/>
    </row>
    <row r="226" spans="1:10" s="3" customFormat="1" x14ac:dyDescent="0.35">
      <c r="A226" s="85" t="s">
        <v>296</v>
      </c>
      <c r="B226" s="86" t="s">
        <v>213</v>
      </c>
      <c r="C226" s="4" t="s">
        <v>186</v>
      </c>
      <c r="D226" s="85">
        <f>36.56*10.764</f>
        <v>393.53183999999999</v>
      </c>
      <c r="E226" s="86"/>
      <c r="F226" s="4">
        <v>0</v>
      </c>
      <c r="G226" s="4">
        <f t="shared" si="21"/>
        <v>590.29775999999993</v>
      </c>
      <c r="H226" s="4" t="s">
        <v>89</v>
      </c>
      <c r="I226" s="91"/>
      <c r="J226" s="92"/>
    </row>
    <row r="227" spans="1:10" s="3" customFormat="1" x14ac:dyDescent="0.35">
      <c r="A227" s="82" t="s">
        <v>206</v>
      </c>
      <c r="B227" s="83"/>
      <c r="C227" s="83"/>
      <c r="D227" s="83"/>
      <c r="E227" s="83"/>
      <c r="F227" s="83"/>
      <c r="G227" s="83"/>
      <c r="H227" s="83"/>
      <c r="I227" s="83"/>
      <c r="J227" s="84"/>
    </row>
    <row r="228" spans="1:10" s="3" customFormat="1" x14ac:dyDescent="0.35">
      <c r="A228" s="85">
        <v>801</v>
      </c>
      <c r="B228" s="86"/>
      <c r="C228" s="4" t="s">
        <v>186</v>
      </c>
      <c r="D228" s="85">
        <f>35.01*10.764</f>
        <v>376.84763999999996</v>
      </c>
      <c r="E228" s="86"/>
      <c r="F228" s="4">
        <v>0</v>
      </c>
      <c r="G228" s="4">
        <f t="shared" ref="G228:G229" si="22">D228*1.5+F228</f>
        <v>565.27145999999993</v>
      </c>
      <c r="H228" s="4" t="s">
        <v>89</v>
      </c>
      <c r="I228" s="87" t="str">
        <f>A227</f>
        <v>8th Floor (Part Refuge Area)</v>
      </c>
      <c r="J228" s="88"/>
    </row>
    <row r="229" spans="1:10" s="3" customFormat="1" x14ac:dyDescent="0.35">
      <c r="A229" s="85">
        <v>802</v>
      </c>
      <c r="B229" s="86"/>
      <c r="C229" s="4" t="s">
        <v>186</v>
      </c>
      <c r="D229" s="85">
        <f>34.83*10.764</f>
        <v>374.91011999999995</v>
      </c>
      <c r="E229" s="86"/>
      <c r="F229" s="4">
        <v>0</v>
      </c>
      <c r="G229" s="4">
        <f t="shared" si="22"/>
        <v>562.3651799999999</v>
      </c>
      <c r="H229" s="4" t="s">
        <v>89</v>
      </c>
      <c r="I229" s="89"/>
      <c r="J229" s="90"/>
    </row>
    <row r="230" spans="1:10" s="3" customFormat="1" x14ac:dyDescent="0.35">
      <c r="A230" s="85">
        <v>803</v>
      </c>
      <c r="B230" s="86"/>
      <c r="C230" s="85" t="s">
        <v>187</v>
      </c>
      <c r="D230" s="252"/>
      <c r="E230" s="252"/>
      <c r="F230" s="252"/>
      <c r="G230" s="86"/>
      <c r="H230" s="4" t="s">
        <v>89</v>
      </c>
      <c r="I230" s="89"/>
      <c r="J230" s="90"/>
    </row>
    <row r="231" spans="1:10" s="3" customFormat="1" x14ac:dyDescent="0.35">
      <c r="A231" s="85">
        <v>804</v>
      </c>
      <c r="B231" s="86"/>
      <c r="C231" s="4" t="s">
        <v>186</v>
      </c>
      <c r="D231" s="85">
        <f>36.56*10.764</f>
        <v>393.53183999999999</v>
      </c>
      <c r="E231" s="86"/>
      <c r="F231" s="4">
        <v>0</v>
      </c>
      <c r="G231" s="4">
        <f t="shared" ref="G231:G232" si="23">D231*1.5+F231</f>
        <v>590.29775999999993</v>
      </c>
      <c r="H231" s="4" t="s">
        <v>89</v>
      </c>
      <c r="I231" s="89"/>
      <c r="J231" s="90"/>
    </row>
    <row r="232" spans="1:10" s="3" customFormat="1" x14ac:dyDescent="0.35">
      <c r="A232" s="85">
        <v>805</v>
      </c>
      <c r="B232" s="86"/>
      <c r="C232" s="4" t="s">
        <v>186</v>
      </c>
      <c r="D232" s="85">
        <f>36.56*10.764</f>
        <v>393.53183999999999</v>
      </c>
      <c r="E232" s="86"/>
      <c r="F232" s="4">
        <v>0</v>
      </c>
      <c r="G232" s="4">
        <f t="shared" si="23"/>
        <v>590.29775999999993</v>
      </c>
      <c r="H232" s="4" t="s">
        <v>89</v>
      </c>
      <c r="I232" s="91"/>
      <c r="J232" s="92"/>
    </row>
    <row r="233" spans="1:10" s="3" customFormat="1" x14ac:dyDescent="0.35">
      <c r="A233" s="82" t="s">
        <v>208</v>
      </c>
      <c r="B233" s="83"/>
      <c r="C233" s="83"/>
      <c r="D233" s="83"/>
      <c r="E233" s="83"/>
      <c r="F233" s="83"/>
      <c r="G233" s="83"/>
      <c r="H233" s="83"/>
      <c r="I233" s="83"/>
      <c r="J233" s="84"/>
    </row>
    <row r="234" spans="1:10" s="3" customFormat="1" x14ac:dyDescent="0.35">
      <c r="A234" s="85">
        <v>1501</v>
      </c>
      <c r="B234" s="86"/>
      <c r="C234" s="4" t="s">
        <v>186</v>
      </c>
      <c r="D234" s="85">
        <f>35.01*10.764</f>
        <v>376.84763999999996</v>
      </c>
      <c r="E234" s="86"/>
      <c r="F234" s="4">
        <v>0</v>
      </c>
      <c r="G234" s="4">
        <f t="shared" ref="G234:G235" si="24">D234*1.5+F234</f>
        <v>565.27145999999993</v>
      </c>
      <c r="H234" s="4" t="s">
        <v>89</v>
      </c>
      <c r="I234" s="87" t="str">
        <f>A233</f>
        <v>15th Floor (Part Refuge Area)</v>
      </c>
      <c r="J234" s="88"/>
    </row>
    <row r="235" spans="1:10" s="3" customFormat="1" x14ac:dyDescent="0.35">
      <c r="A235" s="85">
        <v>1502</v>
      </c>
      <c r="B235" s="86"/>
      <c r="C235" s="4" t="s">
        <v>186</v>
      </c>
      <c r="D235" s="85">
        <f>34.83*10.764</f>
        <v>374.91011999999995</v>
      </c>
      <c r="E235" s="86"/>
      <c r="F235" s="4">
        <v>0</v>
      </c>
      <c r="G235" s="4">
        <f t="shared" si="24"/>
        <v>562.3651799999999</v>
      </c>
      <c r="H235" s="4" t="s">
        <v>89</v>
      </c>
      <c r="I235" s="89"/>
      <c r="J235" s="90"/>
    </row>
    <row r="236" spans="1:10" s="3" customFormat="1" x14ac:dyDescent="0.35">
      <c r="A236" s="85">
        <v>1503</v>
      </c>
      <c r="B236" s="86"/>
      <c r="C236" s="85" t="s">
        <v>287</v>
      </c>
      <c r="D236" s="252"/>
      <c r="E236" s="252"/>
      <c r="F236" s="252"/>
      <c r="G236" s="86"/>
      <c r="H236" s="4" t="s">
        <v>89</v>
      </c>
      <c r="I236" s="89"/>
      <c r="J236" s="90"/>
    </row>
    <row r="237" spans="1:10" s="3" customFormat="1" x14ac:dyDescent="0.35">
      <c r="A237" s="85">
        <v>1504</v>
      </c>
      <c r="B237" s="86"/>
      <c r="C237" s="4" t="s">
        <v>186</v>
      </c>
      <c r="D237" s="85">
        <f>36.56*10.764</f>
        <v>393.53183999999999</v>
      </c>
      <c r="E237" s="86"/>
      <c r="F237" s="4">
        <v>0</v>
      </c>
      <c r="G237" s="4">
        <f t="shared" ref="G237:G238" si="25">D237*1.5+F237</f>
        <v>590.29775999999993</v>
      </c>
      <c r="H237" s="4" t="s">
        <v>89</v>
      </c>
      <c r="I237" s="89"/>
      <c r="J237" s="90"/>
    </row>
    <row r="238" spans="1:10" s="3" customFormat="1" x14ac:dyDescent="0.35">
      <c r="A238" s="85">
        <v>1505</v>
      </c>
      <c r="B238" s="86"/>
      <c r="C238" s="4" t="s">
        <v>186</v>
      </c>
      <c r="D238" s="85">
        <f>36.56*10.764</f>
        <v>393.53183999999999</v>
      </c>
      <c r="E238" s="86"/>
      <c r="F238" s="4">
        <v>0</v>
      </c>
      <c r="G238" s="4">
        <f t="shared" si="25"/>
        <v>590.29775999999993</v>
      </c>
      <c r="H238" s="4" t="s">
        <v>89</v>
      </c>
      <c r="I238" s="91"/>
      <c r="J238" s="92"/>
    </row>
    <row r="239" spans="1:10" s="3" customFormat="1" ht="16.5" customHeight="1" x14ac:dyDescent="0.35">
      <c r="A239" s="82" t="s">
        <v>277</v>
      </c>
      <c r="B239" s="83"/>
      <c r="C239" s="83"/>
      <c r="D239" s="83"/>
      <c r="E239" s="83"/>
      <c r="F239" s="83"/>
      <c r="G239" s="83"/>
      <c r="H239" s="83"/>
      <c r="I239" s="83"/>
      <c r="J239" s="84"/>
    </row>
    <row r="240" spans="1:10" s="3" customFormat="1" ht="15.75" customHeight="1" x14ac:dyDescent="0.35">
      <c r="A240" s="85" t="s">
        <v>278</v>
      </c>
      <c r="B240" s="86" t="s">
        <v>209</v>
      </c>
      <c r="C240" s="4" t="s">
        <v>186</v>
      </c>
      <c r="D240" s="85">
        <f>35.01*10.764</f>
        <v>376.84763999999996</v>
      </c>
      <c r="E240" s="86"/>
      <c r="F240" s="4">
        <v>0</v>
      </c>
      <c r="G240" s="4">
        <f t="shared" ref="G240:G244" si="26">D240*1.5+F240</f>
        <v>565.27145999999993</v>
      </c>
      <c r="H240" s="4" t="s">
        <v>89</v>
      </c>
      <c r="I240" s="87" t="str">
        <f>A239</f>
        <v>18th to 22nd Floor</v>
      </c>
      <c r="J240" s="88"/>
    </row>
    <row r="241" spans="1:10" s="3" customFormat="1" x14ac:dyDescent="0.35">
      <c r="A241" s="85" t="s">
        <v>279</v>
      </c>
      <c r="B241" s="86" t="s">
        <v>210</v>
      </c>
      <c r="C241" s="4" t="s">
        <v>186</v>
      </c>
      <c r="D241" s="85">
        <f>34.83*10.764</f>
        <v>374.91011999999995</v>
      </c>
      <c r="E241" s="86"/>
      <c r="F241" s="4">
        <v>0</v>
      </c>
      <c r="G241" s="4">
        <f t="shared" si="26"/>
        <v>562.3651799999999</v>
      </c>
      <c r="H241" s="4" t="s">
        <v>89</v>
      </c>
      <c r="I241" s="89"/>
      <c r="J241" s="90"/>
    </row>
    <row r="242" spans="1:10" s="3" customFormat="1" x14ac:dyDescent="0.35">
      <c r="A242" s="85" t="s">
        <v>280</v>
      </c>
      <c r="B242" s="86" t="s">
        <v>211</v>
      </c>
      <c r="C242" s="4" t="s">
        <v>186</v>
      </c>
      <c r="D242" s="85">
        <f>36.56*10.764</f>
        <v>393.53183999999999</v>
      </c>
      <c r="E242" s="86"/>
      <c r="F242" s="4">
        <v>0</v>
      </c>
      <c r="G242" s="4">
        <f t="shared" si="26"/>
        <v>590.29775999999993</v>
      </c>
      <c r="H242" s="4" t="s">
        <v>89</v>
      </c>
      <c r="I242" s="89"/>
      <c r="J242" s="90"/>
    </row>
    <row r="243" spans="1:10" s="3" customFormat="1" x14ac:dyDescent="0.35">
      <c r="A243" s="85" t="s">
        <v>281</v>
      </c>
      <c r="B243" s="86" t="s">
        <v>212</v>
      </c>
      <c r="C243" s="4" t="s">
        <v>186</v>
      </c>
      <c r="D243" s="85">
        <f>36.56*10.764</f>
        <v>393.53183999999999</v>
      </c>
      <c r="E243" s="86"/>
      <c r="F243" s="4">
        <v>0</v>
      </c>
      <c r="G243" s="4">
        <f t="shared" si="26"/>
        <v>590.29775999999993</v>
      </c>
      <c r="H243" s="4" t="s">
        <v>89</v>
      </c>
      <c r="I243" s="89"/>
      <c r="J243" s="90"/>
    </row>
    <row r="244" spans="1:10" s="3" customFormat="1" x14ac:dyDescent="0.35">
      <c r="A244" s="85" t="s">
        <v>282</v>
      </c>
      <c r="B244" s="86" t="s">
        <v>213</v>
      </c>
      <c r="C244" s="4" t="s">
        <v>186</v>
      </c>
      <c r="D244" s="85">
        <f>36.56*10.764</f>
        <v>393.53183999999999</v>
      </c>
      <c r="E244" s="86"/>
      <c r="F244" s="4">
        <v>0</v>
      </c>
      <c r="G244" s="4">
        <f t="shared" si="26"/>
        <v>590.29775999999993</v>
      </c>
      <c r="H244" s="4" t="s">
        <v>89</v>
      </c>
      <c r="I244" s="91"/>
      <c r="J244" s="92"/>
    </row>
    <row r="245" spans="1:10" s="3" customFormat="1" x14ac:dyDescent="0.35">
      <c r="A245" s="82" t="s">
        <v>200</v>
      </c>
      <c r="B245" s="83"/>
      <c r="C245" s="83"/>
      <c r="D245" s="83"/>
      <c r="E245" s="83"/>
      <c r="F245" s="83"/>
      <c r="G245" s="83"/>
      <c r="H245" s="83"/>
      <c r="I245" s="83"/>
      <c r="J245" s="84"/>
    </row>
    <row r="246" spans="1:10" s="3" customFormat="1" x14ac:dyDescent="0.35">
      <c r="A246" s="82" t="s">
        <v>273</v>
      </c>
      <c r="B246" s="83"/>
      <c r="C246" s="83"/>
      <c r="D246" s="83"/>
      <c r="E246" s="83"/>
      <c r="F246" s="83"/>
      <c r="G246" s="83"/>
      <c r="H246" s="83"/>
      <c r="I246" s="83"/>
      <c r="J246" s="84"/>
    </row>
    <row r="247" spans="1:10" s="3" customFormat="1" ht="15.75" customHeight="1" x14ac:dyDescent="0.35">
      <c r="A247" s="4">
        <v>1</v>
      </c>
      <c r="B247" s="4" t="s">
        <v>204</v>
      </c>
      <c r="C247" s="4" t="s">
        <v>272</v>
      </c>
      <c r="D247" s="85">
        <f>(2.7*4.7+4.75*2.55+1.1*1.65+1.25*1+1.1*0.35)*10.764</f>
        <v>304.10991000000001</v>
      </c>
      <c r="E247" s="86"/>
      <c r="F247" s="4">
        <v>0</v>
      </c>
      <c r="G247" s="4">
        <f t="shared" ref="G247" si="27">D247*1.5+F247</f>
        <v>456.16486500000002</v>
      </c>
      <c r="H247" s="4" t="s">
        <v>89</v>
      </c>
      <c r="I247" s="85" t="s">
        <v>239</v>
      </c>
      <c r="J247" s="86"/>
    </row>
    <row r="248" spans="1:10" s="3" customFormat="1" x14ac:dyDescent="0.35">
      <c r="A248" s="239" t="s">
        <v>274</v>
      </c>
      <c r="B248" s="239"/>
      <c r="C248" s="239"/>
      <c r="D248" s="239"/>
      <c r="E248" s="239"/>
      <c r="F248" s="239"/>
      <c r="G248" s="239"/>
      <c r="H248" s="239"/>
      <c r="I248" s="239"/>
      <c r="J248" s="239"/>
    </row>
    <row r="249" spans="1:10" s="3" customFormat="1" ht="16.5" customHeight="1" x14ac:dyDescent="0.35">
      <c r="A249" s="239" t="s">
        <v>203</v>
      </c>
      <c r="B249" s="239"/>
      <c r="C249" s="239"/>
      <c r="D249" s="239"/>
      <c r="E249" s="239"/>
      <c r="F249" s="239"/>
      <c r="G249" s="239"/>
      <c r="H249" s="239"/>
      <c r="I249" s="239"/>
      <c r="J249" s="239"/>
    </row>
    <row r="250" spans="1:10" s="3" customFormat="1" x14ac:dyDescent="0.35">
      <c r="A250" s="4">
        <v>201</v>
      </c>
      <c r="B250" s="4" t="s">
        <v>204</v>
      </c>
      <c r="C250" s="4" t="s">
        <v>186</v>
      </c>
      <c r="D250" s="238">
        <f>((27.88)+(2.7+1.95+2.7)*0.6)*10.764</f>
        <v>347.56955999999997</v>
      </c>
      <c r="E250" s="238"/>
      <c r="F250" s="4">
        <v>0</v>
      </c>
      <c r="G250" s="4">
        <f t="shared" ref="G250:G253" si="28">D250*1.5+F250</f>
        <v>521.35433999999998</v>
      </c>
      <c r="H250" s="4" t="s">
        <v>89</v>
      </c>
      <c r="I250" s="238" t="str">
        <f>A249</f>
        <v>2nd Floor</v>
      </c>
      <c r="J250" s="238"/>
    </row>
    <row r="251" spans="1:10" s="3" customFormat="1" ht="15.75" customHeight="1" x14ac:dyDescent="0.35">
      <c r="A251" s="4">
        <v>202</v>
      </c>
      <c r="B251" s="4" t="s">
        <v>204</v>
      </c>
      <c r="C251" s="4" t="s">
        <v>186</v>
      </c>
      <c r="D251" s="238">
        <f>((27.88)+(2.7+1.95+2.7)*0.6)*10.764</f>
        <v>347.56955999999997</v>
      </c>
      <c r="E251" s="238"/>
      <c r="F251" s="4">
        <v>0</v>
      </c>
      <c r="G251" s="4">
        <f t="shared" si="28"/>
        <v>521.35433999999998</v>
      </c>
      <c r="H251" s="4" t="s">
        <v>89</v>
      </c>
      <c r="I251" s="238"/>
      <c r="J251" s="238"/>
    </row>
    <row r="252" spans="1:10" s="3" customFormat="1" ht="15.75" customHeight="1" x14ac:dyDescent="0.35">
      <c r="A252" s="4">
        <v>203</v>
      </c>
      <c r="B252" s="4" t="s">
        <v>204</v>
      </c>
      <c r="C252" s="4" t="s">
        <v>186</v>
      </c>
      <c r="D252" s="238">
        <f>((27.88)+(2.65+2+2.62)*0.6)*10.764</f>
        <v>347.05288799999994</v>
      </c>
      <c r="E252" s="238"/>
      <c r="F252" s="4">
        <v>0</v>
      </c>
      <c r="G252" s="4">
        <f t="shared" si="28"/>
        <v>520.57933199999991</v>
      </c>
      <c r="H252" s="4" t="s">
        <v>89</v>
      </c>
      <c r="I252" s="238"/>
      <c r="J252" s="238"/>
    </row>
    <row r="253" spans="1:10" s="3" customFormat="1" x14ac:dyDescent="0.35">
      <c r="A253" s="4">
        <v>204</v>
      </c>
      <c r="B253" s="4" t="s">
        <v>204</v>
      </c>
      <c r="C253" s="4" t="s">
        <v>186</v>
      </c>
      <c r="D253" s="238">
        <f>((27.88)+(2.62+1.95+2.7)*0.6)*10.764</f>
        <v>347.05288799999994</v>
      </c>
      <c r="E253" s="238"/>
      <c r="F253" s="4">
        <v>0</v>
      </c>
      <c r="G253" s="4">
        <f t="shared" si="28"/>
        <v>520.57933199999991</v>
      </c>
      <c r="H253" s="4" t="s">
        <v>89</v>
      </c>
      <c r="I253" s="238"/>
      <c r="J253" s="238"/>
    </row>
    <row r="254" spans="1:10" s="3" customFormat="1" ht="16.5" customHeight="1" x14ac:dyDescent="0.35">
      <c r="A254" s="239" t="s">
        <v>276</v>
      </c>
      <c r="B254" s="239"/>
      <c r="C254" s="239"/>
      <c r="D254" s="239"/>
      <c r="E254" s="239"/>
      <c r="F254" s="239"/>
      <c r="G254" s="239"/>
      <c r="H254" s="239"/>
      <c r="I254" s="239"/>
      <c r="J254" s="239"/>
    </row>
    <row r="255" spans="1:10" s="3" customFormat="1" x14ac:dyDescent="0.35">
      <c r="A255" s="4" t="s">
        <v>288</v>
      </c>
      <c r="B255" s="4" t="s">
        <v>204</v>
      </c>
      <c r="C255" s="4" t="s">
        <v>186</v>
      </c>
      <c r="D255" s="238">
        <f>((27.88)+(2.7+1.95+2.7)*0.6)*10.764</f>
        <v>347.56955999999997</v>
      </c>
      <c r="E255" s="238"/>
      <c r="F255" s="4">
        <v>0</v>
      </c>
      <c r="G255" s="4">
        <f t="shared" ref="G255:G258" si="29">D255*1.5+F255</f>
        <v>521.35433999999998</v>
      </c>
      <c r="H255" s="4" t="s">
        <v>89</v>
      </c>
      <c r="I255" s="238" t="str">
        <f>A254</f>
        <v>3rd to 7th, 9th to 14th &amp; 16th to 17th Floor</v>
      </c>
      <c r="J255" s="238"/>
    </row>
    <row r="256" spans="1:10" s="3" customFormat="1" x14ac:dyDescent="0.35">
      <c r="A256" s="4" t="s">
        <v>289</v>
      </c>
      <c r="B256" s="4" t="s">
        <v>204</v>
      </c>
      <c r="C256" s="4" t="s">
        <v>186</v>
      </c>
      <c r="D256" s="238">
        <f>((27.88)+(2.7+1.95+2.7)*0.6)*10.764</f>
        <v>347.56955999999997</v>
      </c>
      <c r="E256" s="238"/>
      <c r="F256" s="4">
        <v>0</v>
      </c>
      <c r="G256" s="4">
        <f t="shared" si="29"/>
        <v>521.35433999999998</v>
      </c>
      <c r="H256" s="4" t="s">
        <v>89</v>
      </c>
      <c r="I256" s="238"/>
      <c r="J256" s="238"/>
    </row>
    <row r="257" spans="1:14" s="3" customFormat="1" x14ac:dyDescent="0.35">
      <c r="A257" s="4" t="s">
        <v>290</v>
      </c>
      <c r="B257" s="4" t="s">
        <v>204</v>
      </c>
      <c r="C257" s="4" t="s">
        <v>186</v>
      </c>
      <c r="D257" s="238">
        <f>((27.88)+(2.65+2+2.62)*0.6)*10.764</f>
        <v>347.05288799999994</v>
      </c>
      <c r="E257" s="238"/>
      <c r="F257" s="4">
        <v>0</v>
      </c>
      <c r="G257" s="4">
        <f t="shared" si="29"/>
        <v>520.57933199999991</v>
      </c>
      <c r="H257" s="4" t="s">
        <v>89</v>
      </c>
      <c r="I257" s="238"/>
      <c r="J257" s="238"/>
    </row>
    <row r="258" spans="1:14" s="3" customFormat="1" x14ac:dyDescent="0.35">
      <c r="A258" s="4" t="s">
        <v>291</v>
      </c>
      <c r="B258" s="4" t="s">
        <v>204</v>
      </c>
      <c r="C258" s="4" t="s">
        <v>186</v>
      </c>
      <c r="D258" s="238">
        <f>((27.88)+(2.62+1.95+2.7)*0.6)*10.764</f>
        <v>347.05288799999994</v>
      </c>
      <c r="E258" s="238"/>
      <c r="F258" s="4">
        <v>0</v>
      </c>
      <c r="G258" s="4">
        <f t="shared" si="29"/>
        <v>520.57933199999991</v>
      </c>
      <c r="H258" s="4" t="s">
        <v>89</v>
      </c>
      <c r="I258" s="238"/>
      <c r="J258" s="238"/>
    </row>
    <row r="259" spans="1:14" s="3" customFormat="1" x14ac:dyDescent="0.35">
      <c r="A259" s="239" t="s">
        <v>206</v>
      </c>
      <c r="B259" s="239"/>
      <c r="C259" s="239"/>
      <c r="D259" s="239"/>
      <c r="E259" s="239"/>
      <c r="F259" s="239"/>
      <c r="G259" s="239"/>
      <c r="H259" s="239"/>
      <c r="I259" s="239"/>
      <c r="J259" s="239"/>
      <c r="L259" s="3">
        <f>250*G260</f>
        <v>130338.58499999999</v>
      </c>
    </row>
    <row r="260" spans="1:14" s="1" customFormat="1" x14ac:dyDescent="0.35">
      <c r="A260" s="4">
        <v>801</v>
      </c>
      <c r="B260" s="4" t="s">
        <v>204</v>
      </c>
      <c r="C260" s="4" t="s">
        <v>186</v>
      </c>
      <c r="D260" s="85">
        <f>((27.88)+(2.7+1.95+2.7)*0.6)*10.764</f>
        <v>347.56955999999997</v>
      </c>
      <c r="E260" s="86"/>
      <c r="F260" s="4">
        <v>0</v>
      </c>
      <c r="G260" s="4">
        <f t="shared" ref="G260:G262" si="30">D260*1.5+F260</f>
        <v>521.35433999999998</v>
      </c>
      <c r="H260" s="4" t="s">
        <v>89</v>
      </c>
      <c r="I260" s="87" t="str">
        <f>A259</f>
        <v>8th Floor (Part Refuge Area)</v>
      </c>
      <c r="J260" s="88"/>
      <c r="K260" s="3"/>
      <c r="L260" s="3">
        <f t="shared" ref="L260:L262" si="31">250*G261</f>
        <v>130338.58499999999</v>
      </c>
      <c r="M260" s="3"/>
      <c r="N260" s="3"/>
    </row>
    <row r="261" spans="1:14" s="15" customFormat="1" x14ac:dyDescent="0.35">
      <c r="A261" s="4">
        <v>802</v>
      </c>
      <c r="B261" s="4" t="s">
        <v>204</v>
      </c>
      <c r="C261" s="4" t="s">
        <v>186</v>
      </c>
      <c r="D261" s="85">
        <f>((27.88)+(2.7+1.95+2.7)*0.6)*10.764</f>
        <v>347.56955999999997</v>
      </c>
      <c r="E261" s="86"/>
      <c r="F261" s="4">
        <v>0</v>
      </c>
      <c r="G261" s="4">
        <f t="shared" si="30"/>
        <v>521.35433999999998</v>
      </c>
      <c r="H261" s="4" t="s">
        <v>89</v>
      </c>
      <c r="I261" s="89"/>
      <c r="J261" s="90"/>
      <c r="K261" s="3"/>
      <c r="L261" s="3">
        <f t="shared" si="31"/>
        <v>130144.83299999998</v>
      </c>
      <c r="M261" s="3"/>
      <c r="N261" s="3"/>
    </row>
    <row r="262" spans="1:14" x14ac:dyDescent="0.35">
      <c r="A262" s="4">
        <v>803</v>
      </c>
      <c r="B262" s="4" t="s">
        <v>204</v>
      </c>
      <c r="C262" s="4" t="s">
        <v>186</v>
      </c>
      <c r="D262" s="85">
        <f>((27.88)+(2.65+2+2.62)*0.6)*10.764</f>
        <v>347.05288799999994</v>
      </c>
      <c r="E262" s="86"/>
      <c r="F262" s="4">
        <v>0</v>
      </c>
      <c r="G262" s="4">
        <f t="shared" si="30"/>
        <v>520.57933199999991</v>
      </c>
      <c r="H262" s="4" t="s">
        <v>89</v>
      </c>
      <c r="I262" s="89"/>
      <c r="J262" s="90"/>
      <c r="K262" s="3"/>
      <c r="L262" s="3">
        <f t="shared" si="31"/>
        <v>0</v>
      </c>
      <c r="M262" s="3"/>
      <c r="N262" s="3"/>
    </row>
    <row r="263" spans="1:14" x14ac:dyDescent="0.35">
      <c r="A263" s="4">
        <v>804</v>
      </c>
      <c r="B263" s="4" t="s">
        <v>207</v>
      </c>
      <c r="C263" s="85" t="s">
        <v>205</v>
      </c>
      <c r="D263" s="252"/>
      <c r="E263" s="252"/>
      <c r="F263" s="252"/>
      <c r="G263" s="86"/>
      <c r="H263" s="4" t="s">
        <v>89</v>
      </c>
      <c r="I263" s="91"/>
      <c r="J263" s="92"/>
      <c r="K263" s="3"/>
      <c r="L263" s="3" t="e">
        <f>250*#REF!</f>
        <v>#REF!</v>
      </c>
      <c r="M263" s="3"/>
      <c r="N263" s="3"/>
    </row>
    <row r="264" spans="1:14" ht="15.75" customHeight="1" x14ac:dyDescent="0.35">
      <c r="A264" s="82" t="s">
        <v>208</v>
      </c>
      <c r="B264" s="83"/>
      <c r="C264" s="83"/>
      <c r="D264" s="83"/>
      <c r="E264" s="83"/>
      <c r="F264" s="83"/>
      <c r="G264" s="83"/>
      <c r="H264" s="83"/>
      <c r="I264" s="83"/>
      <c r="J264" s="84"/>
      <c r="K264" s="3"/>
      <c r="L264" s="3"/>
      <c r="M264" s="3"/>
      <c r="N264" s="3"/>
    </row>
    <row r="265" spans="1:14" x14ac:dyDescent="0.35">
      <c r="A265" s="4">
        <v>1501</v>
      </c>
      <c r="B265" s="4" t="s">
        <v>204</v>
      </c>
      <c r="C265" s="4" t="s">
        <v>186</v>
      </c>
      <c r="D265" s="85">
        <f>((27.88)+(2.7+1.95+2.7)*0.6)*10.764</f>
        <v>347.56955999999997</v>
      </c>
      <c r="E265" s="86"/>
      <c r="F265" s="4">
        <v>0</v>
      </c>
      <c r="G265" s="4">
        <f t="shared" ref="G265:G267" si="32">D265*1.5+F265</f>
        <v>521.35433999999998</v>
      </c>
      <c r="H265" s="4" t="s">
        <v>89</v>
      </c>
      <c r="I265" s="87" t="str">
        <f>A264</f>
        <v>15th Floor (Part Refuge Area)</v>
      </c>
      <c r="J265" s="88"/>
      <c r="K265" s="3"/>
      <c r="L265" s="3"/>
      <c r="M265" s="3"/>
      <c r="N265" s="3"/>
    </row>
    <row r="266" spans="1:14" x14ac:dyDescent="0.35">
      <c r="A266" s="4">
        <v>1502</v>
      </c>
      <c r="B266" s="4" t="s">
        <v>204</v>
      </c>
      <c r="C266" s="4" t="s">
        <v>186</v>
      </c>
      <c r="D266" s="85">
        <f>((27.88)+(2.7+1.95+2.7)*0.6)*10.764</f>
        <v>347.56955999999997</v>
      </c>
      <c r="E266" s="86"/>
      <c r="F266" s="4">
        <v>0</v>
      </c>
      <c r="G266" s="4">
        <f t="shared" si="32"/>
        <v>521.35433999999998</v>
      </c>
      <c r="H266" s="4" t="s">
        <v>89</v>
      </c>
      <c r="I266" s="89"/>
      <c r="J266" s="90"/>
      <c r="K266" s="3"/>
      <c r="L266" s="3"/>
      <c r="M266" s="3"/>
      <c r="N266" s="3"/>
    </row>
    <row r="267" spans="1:14" x14ac:dyDescent="0.35">
      <c r="A267" s="4">
        <v>1503</v>
      </c>
      <c r="B267" s="4" t="s">
        <v>204</v>
      </c>
      <c r="C267" s="4" t="s">
        <v>186</v>
      </c>
      <c r="D267" s="85">
        <f>((27.88)+(2.65+2+2.62)*0.6)*10.764</f>
        <v>347.05288799999994</v>
      </c>
      <c r="E267" s="86"/>
      <c r="F267" s="4">
        <v>0</v>
      </c>
      <c r="G267" s="4">
        <f t="shared" si="32"/>
        <v>520.57933199999991</v>
      </c>
      <c r="H267" s="4" t="s">
        <v>89</v>
      </c>
      <c r="I267" s="89"/>
      <c r="J267" s="90"/>
      <c r="K267" s="3"/>
      <c r="L267" s="3"/>
      <c r="M267" s="3"/>
      <c r="N267" s="3"/>
    </row>
    <row r="268" spans="1:14" ht="35.25" hidden="1" customHeight="1" x14ac:dyDescent="0.35">
      <c r="A268" s="4">
        <v>1504</v>
      </c>
      <c r="B268" s="4" t="s">
        <v>207</v>
      </c>
      <c r="C268" s="85" t="s">
        <v>187</v>
      </c>
      <c r="D268" s="252"/>
      <c r="E268" s="252"/>
      <c r="F268" s="252"/>
      <c r="G268" s="86"/>
      <c r="H268" s="4" t="s">
        <v>89</v>
      </c>
      <c r="I268" s="91"/>
      <c r="J268" s="92"/>
      <c r="K268" s="3"/>
      <c r="L268" s="3"/>
      <c r="M268" s="3"/>
      <c r="N268" s="3"/>
    </row>
    <row r="269" spans="1:14" x14ac:dyDescent="0.35">
      <c r="A269" s="82" t="s">
        <v>277</v>
      </c>
      <c r="B269" s="83"/>
      <c r="C269" s="83"/>
      <c r="D269" s="83"/>
      <c r="E269" s="83"/>
      <c r="F269" s="83"/>
      <c r="G269" s="83"/>
      <c r="H269" s="83"/>
      <c r="I269" s="83"/>
      <c r="J269" s="84"/>
      <c r="K269" s="3"/>
      <c r="L269" s="3"/>
      <c r="M269" s="3"/>
      <c r="N269" s="3"/>
    </row>
    <row r="270" spans="1:14" x14ac:dyDescent="0.35">
      <c r="A270" s="46" t="s">
        <v>283</v>
      </c>
      <c r="B270" s="4" t="s">
        <v>204</v>
      </c>
      <c r="C270" s="4" t="s">
        <v>186</v>
      </c>
      <c r="D270" s="85">
        <f>((27.88)+(2.7+1.95+2.7)*0.6)*10.764</f>
        <v>347.56955999999997</v>
      </c>
      <c r="E270" s="86"/>
      <c r="F270" s="4">
        <v>0</v>
      </c>
      <c r="G270" s="4">
        <f t="shared" ref="G270:G273" si="33">D270*1.5+F270</f>
        <v>521.35433999999998</v>
      </c>
      <c r="H270" s="4" t="s">
        <v>89</v>
      </c>
      <c r="I270" s="87" t="str">
        <f>A269</f>
        <v>18th to 22nd Floor</v>
      </c>
      <c r="J270" s="88"/>
      <c r="K270" s="3"/>
      <c r="L270" s="3"/>
      <c r="M270" s="3"/>
      <c r="N270" s="3"/>
    </row>
    <row r="271" spans="1:14" x14ac:dyDescent="0.35">
      <c r="A271" s="46" t="s">
        <v>284</v>
      </c>
      <c r="B271" s="4" t="s">
        <v>204</v>
      </c>
      <c r="C271" s="4" t="s">
        <v>186</v>
      </c>
      <c r="D271" s="85">
        <f>((27.88)+(2.7+1.95+2.7)*0.6)*10.764</f>
        <v>347.56955999999997</v>
      </c>
      <c r="E271" s="86"/>
      <c r="F271" s="4">
        <v>0</v>
      </c>
      <c r="G271" s="4">
        <f t="shared" si="33"/>
        <v>521.35433999999998</v>
      </c>
      <c r="H271" s="4" t="s">
        <v>89</v>
      </c>
      <c r="I271" s="89"/>
      <c r="J271" s="90"/>
      <c r="K271" s="3"/>
      <c r="L271" s="3"/>
      <c r="M271" s="3"/>
      <c r="N271" s="3"/>
    </row>
    <row r="272" spans="1:14" x14ac:dyDescent="0.35">
      <c r="A272" s="46" t="s">
        <v>285</v>
      </c>
      <c r="B272" s="4" t="s">
        <v>204</v>
      </c>
      <c r="C272" s="4" t="s">
        <v>186</v>
      </c>
      <c r="D272" s="85">
        <f>((27.88)+(2.65+2+2.62)*0.6)*10.764</f>
        <v>347.05288799999994</v>
      </c>
      <c r="E272" s="86"/>
      <c r="F272" s="4">
        <v>0</v>
      </c>
      <c r="G272" s="4">
        <f t="shared" si="33"/>
        <v>520.57933199999991</v>
      </c>
      <c r="H272" s="4" t="s">
        <v>89</v>
      </c>
      <c r="I272" s="89"/>
      <c r="J272" s="90"/>
      <c r="K272" s="3"/>
      <c r="L272" s="3"/>
      <c r="M272" s="3"/>
      <c r="N272" s="3"/>
    </row>
    <row r="273" spans="1:14" x14ac:dyDescent="0.35">
      <c r="A273" s="46" t="s">
        <v>286</v>
      </c>
      <c r="B273" s="4" t="s">
        <v>204</v>
      </c>
      <c r="C273" s="4" t="s">
        <v>186</v>
      </c>
      <c r="D273" s="85">
        <f>((27.88)+(2.62+1.95+2.7)*0.6)*10.764</f>
        <v>347.05288799999994</v>
      </c>
      <c r="E273" s="86"/>
      <c r="F273" s="4">
        <v>0</v>
      </c>
      <c r="G273" s="4">
        <f t="shared" si="33"/>
        <v>520.57933199999991</v>
      </c>
      <c r="H273" s="4" t="s">
        <v>89</v>
      </c>
      <c r="I273" s="91"/>
      <c r="J273" s="92"/>
      <c r="K273" s="3"/>
      <c r="L273" s="3"/>
      <c r="M273" s="3"/>
      <c r="N273" s="3"/>
    </row>
    <row r="274" spans="1:14" x14ac:dyDescent="0.35">
      <c r="A274" s="246" t="s">
        <v>99</v>
      </c>
      <c r="B274" s="246"/>
      <c r="C274" s="246"/>
      <c r="D274" s="246"/>
      <c r="E274" s="246"/>
      <c r="F274" s="246"/>
      <c r="G274" s="246"/>
      <c r="H274" s="246"/>
      <c r="I274" s="246"/>
      <c r="J274" s="246"/>
      <c r="K274" s="1"/>
      <c r="L274" s="1"/>
      <c r="M274" s="1"/>
      <c r="N274" s="1"/>
    </row>
    <row r="275" spans="1:14" ht="212.5" customHeight="1" x14ac:dyDescent="0.35">
      <c r="A275" s="247" t="s">
        <v>315</v>
      </c>
      <c r="B275" s="248"/>
      <c r="C275" s="248"/>
      <c r="D275" s="248"/>
      <c r="E275" s="248"/>
      <c r="F275" s="248"/>
      <c r="G275" s="248"/>
      <c r="H275" s="248"/>
      <c r="I275" s="248"/>
      <c r="J275" s="249"/>
      <c r="K275" s="15"/>
      <c r="L275" s="15"/>
      <c r="M275" s="15"/>
      <c r="N275" s="15"/>
    </row>
    <row r="276" spans="1:14" ht="15" customHeight="1" x14ac:dyDescent="0.35">
      <c r="A276" s="243" t="s">
        <v>90</v>
      </c>
      <c r="B276" s="244"/>
      <c r="C276" s="244"/>
      <c r="D276" s="244"/>
      <c r="E276" s="244"/>
      <c r="F276" s="244"/>
      <c r="G276" s="244"/>
      <c r="H276" s="244"/>
      <c r="I276" s="244"/>
      <c r="J276" s="245"/>
    </row>
    <row r="277" spans="1:14" x14ac:dyDescent="0.35">
      <c r="A277" s="139" t="s">
        <v>91</v>
      </c>
      <c r="B277" s="140"/>
      <c r="C277" s="140"/>
      <c r="D277" s="140"/>
      <c r="E277" s="140"/>
      <c r="F277" s="140"/>
      <c r="G277" s="140"/>
      <c r="H277" s="140"/>
      <c r="I277" s="140"/>
      <c r="J277" s="141"/>
    </row>
    <row r="278" spans="1:14" x14ac:dyDescent="0.35">
      <c r="A278" s="243" t="s">
        <v>92</v>
      </c>
      <c r="B278" s="244"/>
      <c r="C278" s="244"/>
      <c r="D278" s="244"/>
      <c r="E278" s="244"/>
      <c r="F278" s="244"/>
      <c r="G278" s="244"/>
      <c r="H278" s="244"/>
      <c r="I278" s="244"/>
      <c r="J278" s="245"/>
    </row>
    <row r="279" spans="1:14" x14ac:dyDescent="0.35">
      <c r="A279" s="139" t="s">
        <v>93</v>
      </c>
      <c r="B279" s="140"/>
      <c r="C279" s="140"/>
      <c r="D279" s="140"/>
      <c r="E279" s="140"/>
      <c r="F279" s="140"/>
      <c r="G279" s="140"/>
      <c r="H279" s="140"/>
      <c r="I279" s="140"/>
      <c r="J279" s="141"/>
    </row>
    <row r="280" spans="1:14" x14ac:dyDescent="0.35">
      <c r="A280" s="139" t="s">
        <v>94</v>
      </c>
      <c r="B280" s="140"/>
      <c r="C280" s="140"/>
      <c r="D280" s="140"/>
      <c r="E280" s="140"/>
      <c r="F280" s="140"/>
      <c r="G280" s="140"/>
      <c r="H280" s="140"/>
      <c r="I280" s="140"/>
      <c r="J280" s="141"/>
    </row>
    <row r="281" spans="1:14" x14ac:dyDescent="0.35">
      <c r="A281" s="139" t="s">
        <v>95</v>
      </c>
      <c r="B281" s="140"/>
      <c r="C281" s="140"/>
      <c r="D281" s="140"/>
      <c r="E281" s="140"/>
      <c r="F281" s="140"/>
      <c r="G281" s="140"/>
      <c r="H281" s="140"/>
      <c r="I281" s="140"/>
      <c r="J281" s="141"/>
    </row>
    <row r="282" spans="1:14" x14ac:dyDescent="0.35">
      <c r="A282" s="145" t="s">
        <v>96</v>
      </c>
      <c r="B282" s="146"/>
      <c r="C282" s="146"/>
      <c r="D282" s="146"/>
      <c r="E282" s="146"/>
      <c r="F282" s="146"/>
      <c r="G282" s="146"/>
      <c r="H282" s="146"/>
      <c r="I282" s="146"/>
      <c r="J282" s="147"/>
    </row>
    <row r="283" spans="1:14" x14ac:dyDescent="0.35">
      <c r="A283" s="240" t="s">
        <v>171</v>
      </c>
      <c r="B283" s="240"/>
      <c r="C283" s="241" t="s">
        <v>316</v>
      </c>
      <c r="D283" s="241"/>
      <c r="E283" s="241" t="s">
        <v>172</v>
      </c>
      <c r="F283" s="241"/>
      <c r="G283" s="241"/>
      <c r="H283" s="241" t="s">
        <v>314</v>
      </c>
      <c r="I283" s="241"/>
      <c r="J283" s="241"/>
    </row>
    <row r="284" spans="1:14" x14ac:dyDescent="0.35">
      <c r="A284" s="242" t="s">
        <v>174</v>
      </c>
      <c r="B284" s="242"/>
      <c r="C284" s="242"/>
      <c r="D284" s="242"/>
      <c r="E284" s="242"/>
      <c r="F284" s="242"/>
      <c r="G284" s="242"/>
      <c r="H284" s="242"/>
      <c r="I284" s="242"/>
      <c r="J284" s="242"/>
    </row>
    <row r="285" spans="1:14" x14ac:dyDescent="0.35">
      <c r="A285" s="242"/>
      <c r="B285" s="242"/>
      <c r="C285" s="242"/>
      <c r="D285" s="242"/>
      <c r="E285" s="242"/>
      <c r="F285" s="242"/>
      <c r="G285" s="242"/>
      <c r="H285" s="242"/>
      <c r="I285" s="242"/>
      <c r="J285" s="242"/>
    </row>
    <row r="286" spans="1:14" x14ac:dyDescent="0.35">
      <c r="A286" s="242"/>
      <c r="B286" s="242"/>
      <c r="C286" s="242"/>
      <c r="D286" s="242"/>
      <c r="E286" s="242"/>
      <c r="F286" s="242"/>
      <c r="G286" s="242"/>
      <c r="H286" s="242"/>
      <c r="I286" s="242"/>
      <c r="J286" s="242"/>
    </row>
    <row r="287" spans="1:14" x14ac:dyDescent="0.35">
      <c r="A287" s="16" t="s">
        <v>97</v>
      </c>
      <c r="B287" s="17"/>
      <c r="C287" s="17"/>
      <c r="D287" s="16" t="str">
        <f>F8</f>
        <v>Shree Krushna Tower</v>
      </c>
      <c r="G287" s="17"/>
      <c r="H287" s="17"/>
      <c r="I287" s="17"/>
      <c r="J287" s="17"/>
    </row>
    <row r="288" spans="1:14" x14ac:dyDescent="0.35">
      <c r="A288" s="17"/>
      <c r="B288" s="17"/>
      <c r="C288" s="17"/>
      <c r="D288" s="17"/>
      <c r="E288" s="17"/>
      <c r="F288" s="17"/>
      <c r="G288" s="17"/>
      <c r="H288" s="17"/>
      <c r="I288" s="17"/>
      <c r="J288" s="17"/>
    </row>
    <row r="289" spans="1:10" x14ac:dyDescent="0.35">
      <c r="A289" s="17"/>
      <c r="B289" s="17"/>
      <c r="C289" s="17"/>
      <c r="D289" s="17"/>
      <c r="E289" s="17"/>
      <c r="F289" s="17"/>
      <c r="G289" s="17"/>
      <c r="H289" s="17"/>
      <c r="I289" s="17"/>
      <c r="J289" s="17"/>
    </row>
    <row r="330" spans="1:13" x14ac:dyDescent="0.35">
      <c r="A330" s="18" t="s">
        <v>98</v>
      </c>
    </row>
    <row r="332" spans="1:13" x14ac:dyDescent="0.35">
      <c r="A332" s="18"/>
    </row>
    <row r="334" spans="1:13" ht="17.5" x14ac:dyDescent="0.35">
      <c r="M334" s="73"/>
    </row>
  </sheetData>
  <mergeCells count="554">
    <mergeCell ref="K10:O10"/>
    <mergeCell ref="D261:E261"/>
    <mergeCell ref="A259:J259"/>
    <mergeCell ref="A243:B243"/>
    <mergeCell ref="D243:E243"/>
    <mergeCell ref="A244:B244"/>
    <mergeCell ref="D244:E244"/>
    <mergeCell ref="D178:E178"/>
    <mergeCell ref="D184:E184"/>
    <mergeCell ref="A185:B185"/>
    <mergeCell ref="D185:E185"/>
    <mergeCell ref="A186:B186"/>
    <mergeCell ref="D186:E186"/>
    <mergeCell ref="D183:E183"/>
    <mergeCell ref="A187:J187"/>
    <mergeCell ref="A188:B188"/>
    <mergeCell ref="A239:J239"/>
    <mergeCell ref="A240:B240"/>
    <mergeCell ref="D240:E240"/>
    <mergeCell ref="I240:J244"/>
    <mergeCell ref="A241:B241"/>
    <mergeCell ref="D241:E241"/>
    <mergeCell ref="A242:B242"/>
    <mergeCell ref="D242:E242"/>
    <mergeCell ref="D231:E231"/>
    <mergeCell ref="D273:E273"/>
    <mergeCell ref="D262:E262"/>
    <mergeCell ref="C263:G263"/>
    <mergeCell ref="A269:J269"/>
    <mergeCell ref="D270:E270"/>
    <mergeCell ref="D271:E271"/>
    <mergeCell ref="D272:E272"/>
    <mergeCell ref="I270:J273"/>
    <mergeCell ref="I265:J268"/>
    <mergeCell ref="A264:J264"/>
    <mergeCell ref="D265:E265"/>
    <mergeCell ref="D266:E266"/>
    <mergeCell ref="D267:E267"/>
    <mergeCell ref="C268:G268"/>
    <mergeCell ref="A190:B190"/>
    <mergeCell ref="D190:E190"/>
    <mergeCell ref="A191:B191"/>
    <mergeCell ref="D191:E191"/>
    <mergeCell ref="A196:B196"/>
    <mergeCell ref="C196:G196"/>
    <mergeCell ref="I250:J253"/>
    <mergeCell ref="I255:J258"/>
    <mergeCell ref="I260:J263"/>
    <mergeCell ref="D260:E260"/>
    <mergeCell ref="A254:J254"/>
    <mergeCell ref="D255:E255"/>
    <mergeCell ref="D256:E256"/>
    <mergeCell ref="D252:E252"/>
    <mergeCell ref="D253:E253"/>
    <mergeCell ref="A246:J246"/>
    <mergeCell ref="A248:J248"/>
    <mergeCell ref="A245:J245"/>
    <mergeCell ref="D247:E247"/>
    <mergeCell ref="I247:J247"/>
    <mergeCell ref="D258:E258"/>
    <mergeCell ref="D257:E257"/>
    <mergeCell ref="D238:E238"/>
    <mergeCell ref="C236:G236"/>
    <mergeCell ref="I198:J201"/>
    <mergeCell ref="A199:B199"/>
    <mergeCell ref="D199:E199"/>
    <mergeCell ref="A249:J249"/>
    <mergeCell ref="D251:E251"/>
    <mergeCell ref="A215:J215"/>
    <mergeCell ref="A216:B216"/>
    <mergeCell ref="D216:E216"/>
    <mergeCell ref="A217:B217"/>
    <mergeCell ref="D217:E217"/>
    <mergeCell ref="A218:B218"/>
    <mergeCell ref="D218:E218"/>
    <mergeCell ref="A219:B219"/>
    <mergeCell ref="D250:E250"/>
    <mergeCell ref="D223:E223"/>
    <mergeCell ref="A224:B224"/>
    <mergeCell ref="D224:E224"/>
    <mergeCell ref="A225:B225"/>
    <mergeCell ref="D235:E235"/>
    <mergeCell ref="A236:B236"/>
    <mergeCell ref="D213:E213"/>
    <mergeCell ref="D200:E200"/>
    <mergeCell ref="A231:B231"/>
    <mergeCell ref="A234:B234"/>
    <mergeCell ref="C201:G201"/>
    <mergeCell ref="A200:B200"/>
    <mergeCell ref="A201:B201"/>
    <mergeCell ref="A214:B214"/>
    <mergeCell ref="D214:E214"/>
    <mergeCell ref="A211:B211"/>
    <mergeCell ref="D211:E211"/>
    <mergeCell ref="A212:B212"/>
    <mergeCell ref="D212:E212"/>
    <mergeCell ref="A213:B213"/>
    <mergeCell ref="A203:B203"/>
    <mergeCell ref="D203:E203"/>
    <mergeCell ref="D210:E210"/>
    <mergeCell ref="A204:B204"/>
    <mergeCell ref="D204:E204"/>
    <mergeCell ref="A205:B205"/>
    <mergeCell ref="D205:E205"/>
    <mergeCell ref="A206:B206"/>
    <mergeCell ref="D206:E206"/>
    <mergeCell ref="D226:E226"/>
    <mergeCell ref="A221:J221"/>
    <mergeCell ref="A222:B222"/>
    <mergeCell ref="D222:E222"/>
    <mergeCell ref="I222:J226"/>
    <mergeCell ref="A223:B223"/>
    <mergeCell ref="C230:G230"/>
    <mergeCell ref="A227:J227"/>
    <mergeCell ref="A228:B228"/>
    <mergeCell ref="A197:J197"/>
    <mergeCell ref="A198:B198"/>
    <mergeCell ref="D188:E188"/>
    <mergeCell ref="D198:E198"/>
    <mergeCell ref="D219:E219"/>
    <mergeCell ref="A220:B220"/>
    <mergeCell ref="D220:E220"/>
    <mergeCell ref="D225:E225"/>
    <mergeCell ref="I234:J238"/>
    <mergeCell ref="A235:B235"/>
    <mergeCell ref="I228:J232"/>
    <mergeCell ref="I216:J220"/>
    <mergeCell ref="A233:J233"/>
    <mergeCell ref="D234:E234"/>
    <mergeCell ref="A237:B237"/>
    <mergeCell ref="D237:E237"/>
    <mergeCell ref="A238:B238"/>
    <mergeCell ref="D228:E228"/>
    <mergeCell ref="A229:B229"/>
    <mergeCell ref="D229:E229"/>
    <mergeCell ref="A230:B230"/>
    <mergeCell ref="A232:B232"/>
    <mergeCell ref="D232:E232"/>
    <mergeCell ref="A226:B226"/>
    <mergeCell ref="I210:J214"/>
    <mergeCell ref="D179:E179"/>
    <mergeCell ref="A202:J202"/>
    <mergeCell ref="A180:B180"/>
    <mergeCell ref="D180:E180"/>
    <mergeCell ref="A181:B181"/>
    <mergeCell ref="D181:E181"/>
    <mergeCell ref="A207:J207"/>
    <mergeCell ref="A182:J182"/>
    <mergeCell ref="A183:B183"/>
    <mergeCell ref="I183:J186"/>
    <mergeCell ref="A184:B184"/>
    <mergeCell ref="A195:B195"/>
    <mergeCell ref="D195:E195"/>
    <mergeCell ref="A194:B194"/>
    <mergeCell ref="D194:E194"/>
    <mergeCell ref="A192:J192"/>
    <mergeCell ref="A193:B193"/>
    <mergeCell ref="D193:E193"/>
    <mergeCell ref="I193:J196"/>
    <mergeCell ref="I188:J191"/>
    <mergeCell ref="A189:B189"/>
    <mergeCell ref="D189:E189"/>
    <mergeCell ref="I203:J206"/>
    <mergeCell ref="A154:J154"/>
    <mergeCell ref="D157:E157"/>
    <mergeCell ref="D158:E158"/>
    <mergeCell ref="A159:B159"/>
    <mergeCell ref="A283:B283"/>
    <mergeCell ref="C283:D283"/>
    <mergeCell ref="E283:G283"/>
    <mergeCell ref="H283:J283"/>
    <mergeCell ref="A284:J286"/>
    <mergeCell ref="A178:B178"/>
    <mergeCell ref="I178:J181"/>
    <mergeCell ref="A179:B179"/>
    <mergeCell ref="A277:J277"/>
    <mergeCell ref="A278:J278"/>
    <mergeCell ref="A279:J279"/>
    <mergeCell ref="A280:J280"/>
    <mergeCell ref="A281:J281"/>
    <mergeCell ref="A282:J282"/>
    <mergeCell ref="A274:J274"/>
    <mergeCell ref="A275:J275"/>
    <mergeCell ref="A276:J276"/>
    <mergeCell ref="A208:J208"/>
    <mergeCell ref="A209:J209"/>
    <mergeCell ref="A210:B210"/>
    <mergeCell ref="A161:J161"/>
    <mergeCell ref="A155:B155"/>
    <mergeCell ref="D155:E155"/>
    <mergeCell ref="A156:B156"/>
    <mergeCell ref="D156:E156"/>
    <mergeCell ref="A157:B157"/>
    <mergeCell ref="A158:B158"/>
    <mergeCell ref="A167:B167"/>
    <mergeCell ref="D167:E167"/>
    <mergeCell ref="A162:B162"/>
    <mergeCell ref="D162:E162"/>
    <mergeCell ref="A163:B163"/>
    <mergeCell ref="D163:E163"/>
    <mergeCell ref="A166:B166"/>
    <mergeCell ref="D159:E159"/>
    <mergeCell ref="I162:J167"/>
    <mergeCell ref="A144:J144"/>
    <mergeCell ref="A145:J145"/>
    <mergeCell ref="D153:E153"/>
    <mergeCell ref="C165:G166"/>
    <mergeCell ref="A165:B165"/>
    <mergeCell ref="A164:B164"/>
    <mergeCell ref="D164:E164"/>
    <mergeCell ref="A152:B152"/>
    <mergeCell ref="D152:E152"/>
    <mergeCell ref="A153:B153"/>
    <mergeCell ref="I155:J160"/>
    <mergeCell ref="A146:J146"/>
    <mergeCell ref="A147:J147"/>
    <mergeCell ref="A148:B148"/>
    <mergeCell ref="D148:E148"/>
    <mergeCell ref="A149:B149"/>
    <mergeCell ref="D149:E149"/>
    <mergeCell ref="A150:B150"/>
    <mergeCell ref="D150:E150"/>
    <mergeCell ref="A151:B151"/>
    <mergeCell ref="A160:B160"/>
    <mergeCell ref="D160:E160"/>
    <mergeCell ref="I148:J153"/>
    <mergeCell ref="D151:E151"/>
    <mergeCell ref="A136:J136"/>
    <mergeCell ref="A137:J137"/>
    <mergeCell ref="A138:J138"/>
    <mergeCell ref="A139:J139"/>
    <mergeCell ref="A132:J132"/>
    <mergeCell ref="A133:J133"/>
    <mergeCell ref="A134:B134"/>
    <mergeCell ref="D134:E134"/>
    <mergeCell ref="I134:J134"/>
    <mergeCell ref="A135:J135"/>
    <mergeCell ref="A128:B128"/>
    <mergeCell ref="D128:F128"/>
    <mergeCell ref="G128:J128"/>
    <mergeCell ref="A131:B131"/>
    <mergeCell ref="D131:F131"/>
    <mergeCell ref="G131:J131"/>
    <mergeCell ref="A130:B130"/>
    <mergeCell ref="D130:F130"/>
    <mergeCell ref="G130:J130"/>
    <mergeCell ref="A129:B129"/>
    <mergeCell ref="D129:F129"/>
    <mergeCell ref="G129:J129"/>
    <mergeCell ref="A127:B127"/>
    <mergeCell ref="D127:F127"/>
    <mergeCell ref="G127:J127"/>
    <mergeCell ref="A122:F122"/>
    <mergeCell ref="G122:J122"/>
    <mergeCell ref="A123:F123"/>
    <mergeCell ref="G123:J123"/>
    <mergeCell ref="A124:J124"/>
    <mergeCell ref="A125:B125"/>
    <mergeCell ref="D125:F125"/>
    <mergeCell ref="G125:J125"/>
    <mergeCell ref="A116:J116"/>
    <mergeCell ref="A117:J117"/>
    <mergeCell ref="A118:B118"/>
    <mergeCell ref="C118:J118"/>
    <mergeCell ref="A119:J119"/>
    <mergeCell ref="A126:B126"/>
    <mergeCell ref="D126:F126"/>
    <mergeCell ref="G126:J126"/>
    <mergeCell ref="A120:F120"/>
    <mergeCell ref="G120:J120"/>
    <mergeCell ref="A121:F121"/>
    <mergeCell ref="G121:J121"/>
    <mergeCell ref="A56:B56"/>
    <mergeCell ref="C56:J56"/>
    <mergeCell ref="F59:G59"/>
    <mergeCell ref="E57:F57"/>
    <mergeCell ref="I57:J57"/>
    <mergeCell ref="A58:B58"/>
    <mergeCell ref="C58:J58"/>
    <mergeCell ref="A59:B59"/>
    <mergeCell ref="D59:E59"/>
    <mergeCell ref="H59:J59"/>
    <mergeCell ref="A53:B53"/>
    <mergeCell ref="A54:C54"/>
    <mergeCell ref="D54:J54"/>
    <mergeCell ref="A55:J55"/>
    <mergeCell ref="A50:C50"/>
    <mergeCell ref="D50:E50"/>
    <mergeCell ref="F50:G50"/>
    <mergeCell ref="H50:J50"/>
    <mergeCell ref="A51:J51"/>
    <mergeCell ref="A52:C52"/>
    <mergeCell ref="D52:E52"/>
    <mergeCell ref="F52:G52"/>
    <mergeCell ref="H52:J52"/>
    <mergeCell ref="C53:J53"/>
    <mergeCell ref="A48:B48"/>
    <mergeCell ref="C48:F48"/>
    <mergeCell ref="A49:B49"/>
    <mergeCell ref="C49:F49"/>
    <mergeCell ref="H49:J49"/>
    <mergeCell ref="A45:J45"/>
    <mergeCell ref="A46:B46"/>
    <mergeCell ref="C46:F46"/>
    <mergeCell ref="H46:J46"/>
    <mergeCell ref="A47:B47"/>
    <mergeCell ref="C47:F47"/>
    <mergeCell ref="H47:J47"/>
    <mergeCell ref="H48:J48"/>
    <mergeCell ref="A42:E42"/>
    <mergeCell ref="F42:J42"/>
    <mergeCell ref="A43:E43"/>
    <mergeCell ref="F43:J43"/>
    <mergeCell ref="A44:E44"/>
    <mergeCell ref="F44:J44"/>
    <mergeCell ref="A39:E39"/>
    <mergeCell ref="F39:J39"/>
    <mergeCell ref="A40:E40"/>
    <mergeCell ref="F40:J40"/>
    <mergeCell ref="A41:E41"/>
    <mergeCell ref="F41:J41"/>
    <mergeCell ref="A35:J35"/>
    <mergeCell ref="A36:E36"/>
    <mergeCell ref="F36:J36"/>
    <mergeCell ref="A37:E37"/>
    <mergeCell ref="F37:J37"/>
    <mergeCell ref="A38:J38"/>
    <mergeCell ref="A31:J31"/>
    <mergeCell ref="A32:J32"/>
    <mergeCell ref="A33:B33"/>
    <mergeCell ref="C33:J33"/>
    <mergeCell ref="A34:B34"/>
    <mergeCell ref="C34:J34"/>
    <mergeCell ref="A29:B29"/>
    <mergeCell ref="C29:D29"/>
    <mergeCell ref="E29:F29"/>
    <mergeCell ref="G29:H29"/>
    <mergeCell ref="I29:J29"/>
    <mergeCell ref="A30:B30"/>
    <mergeCell ref="C30:D30"/>
    <mergeCell ref="E30:F30"/>
    <mergeCell ref="G30:H30"/>
    <mergeCell ref="I30:J30"/>
    <mergeCell ref="A26:E26"/>
    <mergeCell ref="F26:J26"/>
    <mergeCell ref="A27:E27"/>
    <mergeCell ref="F27:J27"/>
    <mergeCell ref="A28:B28"/>
    <mergeCell ref="C28:D28"/>
    <mergeCell ref="E28:F28"/>
    <mergeCell ref="G28:H28"/>
    <mergeCell ref="I28:J28"/>
    <mergeCell ref="A22:E23"/>
    <mergeCell ref="F22:J23"/>
    <mergeCell ref="A24:E24"/>
    <mergeCell ref="F24:J24"/>
    <mergeCell ref="A25:E25"/>
    <mergeCell ref="F25:J25"/>
    <mergeCell ref="A19:B19"/>
    <mergeCell ref="C19:E19"/>
    <mergeCell ref="F19:G19"/>
    <mergeCell ref="H19:J19"/>
    <mergeCell ref="A20:E21"/>
    <mergeCell ref="F20:J21"/>
    <mergeCell ref="A17:B17"/>
    <mergeCell ref="C17:E17"/>
    <mergeCell ref="F17:G17"/>
    <mergeCell ref="H17:J17"/>
    <mergeCell ref="A18:B18"/>
    <mergeCell ref="C18:E18"/>
    <mergeCell ref="F18:G18"/>
    <mergeCell ref="H18:J18"/>
    <mergeCell ref="A15:B15"/>
    <mergeCell ref="C15:J15"/>
    <mergeCell ref="A16:B16"/>
    <mergeCell ref="C16:E16"/>
    <mergeCell ref="F16:G16"/>
    <mergeCell ref="H16:J16"/>
    <mergeCell ref="A12:E12"/>
    <mergeCell ref="F12:J12"/>
    <mergeCell ref="A13:E13"/>
    <mergeCell ref="F13:J13"/>
    <mergeCell ref="A14:B14"/>
    <mergeCell ref="C14:J14"/>
    <mergeCell ref="A8:E8"/>
    <mergeCell ref="F8:J8"/>
    <mergeCell ref="A9:E9"/>
    <mergeCell ref="F9:J9"/>
    <mergeCell ref="A11:E11"/>
    <mergeCell ref="F11:J11"/>
    <mergeCell ref="A10:E10"/>
    <mergeCell ref="F10:J10"/>
    <mergeCell ref="A5:E5"/>
    <mergeCell ref="F5:J5"/>
    <mergeCell ref="A6:E6"/>
    <mergeCell ref="F6:J6"/>
    <mergeCell ref="A7:E7"/>
    <mergeCell ref="F7:J7"/>
    <mergeCell ref="A1:J1"/>
    <mergeCell ref="A2:J2"/>
    <mergeCell ref="A3:E3"/>
    <mergeCell ref="F3:J3"/>
    <mergeCell ref="A4:E4"/>
    <mergeCell ref="F4:J4"/>
    <mergeCell ref="A60:B60"/>
    <mergeCell ref="D60:E60"/>
    <mergeCell ref="F60:G69"/>
    <mergeCell ref="H60:J69"/>
    <mergeCell ref="A61:B61"/>
    <mergeCell ref="D61:E61"/>
    <mergeCell ref="A62:B62"/>
    <mergeCell ref="D62:E62"/>
    <mergeCell ref="A63:B63"/>
    <mergeCell ref="D63:E63"/>
    <mergeCell ref="A64:B64"/>
    <mergeCell ref="D64:E64"/>
    <mergeCell ref="A65:B65"/>
    <mergeCell ref="D65:E65"/>
    <mergeCell ref="A66:B66"/>
    <mergeCell ref="D66:E66"/>
    <mergeCell ref="A67:B67"/>
    <mergeCell ref="D67:E67"/>
    <mergeCell ref="A68:B68"/>
    <mergeCell ref="D68:E68"/>
    <mergeCell ref="A69:B69"/>
    <mergeCell ref="D69:E69"/>
    <mergeCell ref="A70:B70"/>
    <mergeCell ref="C70:J70"/>
    <mergeCell ref="E71:F71"/>
    <mergeCell ref="I71:J71"/>
    <mergeCell ref="A72:B72"/>
    <mergeCell ref="C72:J72"/>
    <mergeCell ref="A75:B75"/>
    <mergeCell ref="D75:E75"/>
    <mergeCell ref="F75:G75"/>
    <mergeCell ref="H75:J75"/>
    <mergeCell ref="A73:B74"/>
    <mergeCell ref="C73:E74"/>
    <mergeCell ref="F73:G74"/>
    <mergeCell ref="H73:J74"/>
    <mergeCell ref="A76:B76"/>
    <mergeCell ref="D76:E76"/>
    <mergeCell ref="F76:G85"/>
    <mergeCell ref="H76:J85"/>
    <mergeCell ref="A77:B77"/>
    <mergeCell ref="D77:E77"/>
    <mergeCell ref="A78:B78"/>
    <mergeCell ref="D78:E78"/>
    <mergeCell ref="A79:B79"/>
    <mergeCell ref="D79:E79"/>
    <mergeCell ref="A80:B80"/>
    <mergeCell ref="D80:E80"/>
    <mergeCell ref="A81:B81"/>
    <mergeCell ref="D81:E81"/>
    <mergeCell ref="A82:B82"/>
    <mergeCell ref="D82:E82"/>
    <mergeCell ref="A83:B83"/>
    <mergeCell ref="D83:E83"/>
    <mergeCell ref="A84:B84"/>
    <mergeCell ref="D84:E84"/>
    <mergeCell ref="A85:B85"/>
    <mergeCell ref="D85:E85"/>
    <mergeCell ref="A86:B86"/>
    <mergeCell ref="C86:J86"/>
    <mergeCell ref="E87:F87"/>
    <mergeCell ref="I87:J87"/>
    <mergeCell ref="A88:B88"/>
    <mergeCell ref="C88:J88"/>
    <mergeCell ref="A89:B89"/>
    <mergeCell ref="D89:E89"/>
    <mergeCell ref="F89:G89"/>
    <mergeCell ref="H89:J89"/>
    <mergeCell ref="A90:B90"/>
    <mergeCell ref="D90:E90"/>
    <mergeCell ref="F90:G99"/>
    <mergeCell ref="H90:J99"/>
    <mergeCell ref="A91:B91"/>
    <mergeCell ref="D91:E91"/>
    <mergeCell ref="A92:B92"/>
    <mergeCell ref="D92:E92"/>
    <mergeCell ref="A93:B93"/>
    <mergeCell ref="D93:E93"/>
    <mergeCell ref="A94:B94"/>
    <mergeCell ref="D94:E94"/>
    <mergeCell ref="A95:B95"/>
    <mergeCell ref="D95:E95"/>
    <mergeCell ref="A96:B96"/>
    <mergeCell ref="D96:E96"/>
    <mergeCell ref="A97:B97"/>
    <mergeCell ref="D97:E97"/>
    <mergeCell ref="A98:B98"/>
    <mergeCell ref="D98:E98"/>
    <mergeCell ref="A99:B99"/>
    <mergeCell ref="D99:E99"/>
    <mergeCell ref="D113:E113"/>
    <mergeCell ref="A114:B114"/>
    <mergeCell ref="D114:E114"/>
    <mergeCell ref="A115:B115"/>
    <mergeCell ref="D115:E115"/>
    <mergeCell ref="A100:B100"/>
    <mergeCell ref="C100:J100"/>
    <mergeCell ref="E101:F101"/>
    <mergeCell ref="I101:J101"/>
    <mergeCell ref="A102:B102"/>
    <mergeCell ref="C102:J102"/>
    <mergeCell ref="A105:B105"/>
    <mergeCell ref="D105:E105"/>
    <mergeCell ref="F105:G105"/>
    <mergeCell ref="H105:J105"/>
    <mergeCell ref="A103:B104"/>
    <mergeCell ref="C103:E104"/>
    <mergeCell ref="F103:G104"/>
    <mergeCell ref="H103:J104"/>
    <mergeCell ref="A141:B141"/>
    <mergeCell ref="D141:E141"/>
    <mergeCell ref="A142:B142"/>
    <mergeCell ref="D142:E142"/>
    <mergeCell ref="A143:J143"/>
    <mergeCell ref="A140:J140"/>
    <mergeCell ref="I141:J142"/>
    <mergeCell ref="A106:B106"/>
    <mergeCell ref="D106:E106"/>
    <mergeCell ref="F106:G115"/>
    <mergeCell ref="H106:J115"/>
    <mergeCell ref="A107:B107"/>
    <mergeCell ref="D107:E107"/>
    <mergeCell ref="A108:B108"/>
    <mergeCell ref="D108:E108"/>
    <mergeCell ref="A109:B109"/>
    <mergeCell ref="D109:E109"/>
    <mergeCell ref="A110:B110"/>
    <mergeCell ref="D110:E110"/>
    <mergeCell ref="A111:B111"/>
    <mergeCell ref="D111:E111"/>
    <mergeCell ref="A112:B112"/>
    <mergeCell ref="D112:E112"/>
    <mergeCell ref="A113:B113"/>
    <mergeCell ref="A175:J175"/>
    <mergeCell ref="A176:J176"/>
    <mergeCell ref="A177:J177"/>
    <mergeCell ref="A168:J168"/>
    <mergeCell ref="A169:B169"/>
    <mergeCell ref="D169:E169"/>
    <mergeCell ref="I169:J174"/>
    <mergeCell ref="A170:B170"/>
    <mergeCell ref="D170:E170"/>
    <mergeCell ref="A171:B171"/>
    <mergeCell ref="D171:E171"/>
    <mergeCell ref="A172:B172"/>
    <mergeCell ref="A173:B173"/>
    <mergeCell ref="A174:B174"/>
    <mergeCell ref="D174:E174"/>
    <mergeCell ref="C172:G172"/>
    <mergeCell ref="D173:E173"/>
  </mergeCells>
  <hyperlinks>
    <hyperlink ref="C34" r:id="rId1"/>
  </hyperlinks>
  <printOptions horizontalCentered="1"/>
  <pageMargins left="0.39370078740157483" right="0.39370078740157483"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4" manualBreakCount="4">
    <brk id="55" max="16383" man="1"/>
    <brk id="99" max="16383" man="1"/>
    <brk id="286" max="16383" man="1"/>
    <brk id="329" max="9"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G31" sqref="G31"/>
    </sheetView>
  </sheetViews>
  <sheetFormatPr defaultColWidth="8.7265625" defaultRowHeight="14.5" x14ac:dyDescent="0.35"/>
  <cols>
    <col min="1" max="1" width="8.7265625" style="35"/>
    <col min="2" max="2" width="22.1796875" style="35" customWidth="1"/>
    <col min="3" max="3" width="37" style="35" customWidth="1"/>
    <col min="4" max="5" width="11.453125" style="35" customWidth="1"/>
    <col min="6" max="6" width="14" style="35" customWidth="1"/>
    <col min="7" max="7" width="20" style="35" customWidth="1"/>
    <col min="8" max="8" width="16.453125" style="35" customWidth="1"/>
    <col min="9" max="16384" width="8.7265625" style="35"/>
  </cols>
  <sheetData>
    <row r="1" spans="1:9" ht="15" customHeight="1" x14ac:dyDescent="0.35"/>
    <row r="2" spans="1:9" ht="15" customHeight="1" x14ac:dyDescent="0.35">
      <c r="A2" s="36"/>
      <c r="B2" s="36"/>
      <c r="C2" s="36"/>
      <c r="D2" s="36"/>
      <c r="E2" s="36"/>
      <c r="F2" s="36"/>
      <c r="G2" s="36"/>
      <c r="H2" s="36"/>
    </row>
    <row r="3" spans="1:9" x14ac:dyDescent="0.35">
      <c r="A3" s="36"/>
      <c r="B3" s="254" t="s">
        <v>219</v>
      </c>
      <c r="C3" s="254"/>
      <c r="D3" s="254"/>
      <c r="E3" s="254"/>
      <c r="F3" s="254"/>
      <c r="G3" s="254"/>
      <c r="H3" s="254"/>
    </row>
    <row r="4" spans="1:9" x14ac:dyDescent="0.35">
      <c r="A4" s="36"/>
      <c r="B4" s="37" t="s">
        <v>220</v>
      </c>
      <c r="C4" s="37" t="s">
        <v>221</v>
      </c>
      <c r="D4" s="37" t="s">
        <v>113</v>
      </c>
      <c r="E4" s="37" t="s">
        <v>222</v>
      </c>
      <c r="F4" s="37" t="s">
        <v>223</v>
      </c>
      <c r="G4" s="37" t="s">
        <v>224</v>
      </c>
      <c r="H4" s="37" t="s">
        <v>225</v>
      </c>
    </row>
    <row r="5" spans="1:9" ht="15" customHeight="1" x14ac:dyDescent="0.35">
      <c r="A5" s="36"/>
      <c r="B5" s="38" t="s">
        <v>226</v>
      </c>
      <c r="C5" s="39" t="s">
        <v>176</v>
      </c>
      <c r="D5" s="38" t="s">
        <v>186</v>
      </c>
      <c r="E5" s="38">
        <v>400</v>
      </c>
      <c r="F5" s="40">
        <v>675</v>
      </c>
      <c r="G5" s="40">
        <f>H5/F5</f>
        <v>10222.222222222223</v>
      </c>
      <c r="H5" s="41">
        <v>6900000</v>
      </c>
    </row>
    <row r="6" spans="1:9" x14ac:dyDescent="0.35">
      <c r="A6" s="36"/>
      <c r="B6" s="38" t="s">
        <v>226</v>
      </c>
      <c r="C6" s="39" t="s">
        <v>176</v>
      </c>
      <c r="D6" s="38" t="s">
        <v>198</v>
      </c>
      <c r="E6" s="38">
        <v>585</v>
      </c>
      <c r="F6" s="40">
        <f t="shared" ref="F6" si="0">E6*1.6</f>
        <v>936</v>
      </c>
      <c r="G6" s="40">
        <f t="shared" ref="G6:G7" si="1">H6/F6</f>
        <v>10683.760683760684</v>
      </c>
      <c r="H6" s="41">
        <v>10000000</v>
      </c>
    </row>
    <row r="7" spans="1:9" ht="15" customHeight="1" x14ac:dyDescent="0.35">
      <c r="A7" s="36"/>
      <c r="B7" s="38" t="s">
        <v>226</v>
      </c>
      <c r="C7" s="39" t="s">
        <v>176</v>
      </c>
      <c r="D7" s="38" t="s">
        <v>186</v>
      </c>
      <c r="E7" s="38">
        <v>375</v>
      </c>
      <c r="F7" s="40">
        <f>E7*1.6</f>
        <v>600</v>
      </c>
      <c r="G7" s="40">
        <f t="shared" si="1"/>
        <v>10783.333333333334</v>
      </c>
      <c r="H7" s="41">
        <v>6470000</v>
      </c>
    </row>
    <row r="8" spans="1:9" ht="15" customHeight="1" x14ac:dyDescent="0.35">
      <c r="A8" s="36"/>
      <c r="B8" s="42" t="s">
        <v>227</v>
      </c>
      <c r="C8" s="38"/>
      <c r="D8" s="38"/>
      <c r="E8" s="38"/>
      <c r="F8" s="38"/>
      <c r="G8" s="43">
        <f>AVERAGE(G5:G7)</f>
        <v>10563.105413105413</v>
      </c>
      <c r="H8" s="38"/>
    </row>
    <row r="9" spans="1:9" ht="15" customHeight="1" x14ac:dyDescent="0.35">
      <c r="B9" s="42" t="s">
        <v>228</v>
      </c>
      <c r="C9" s="38"/>
      <c r="D9" s="38"/>
      <c r="E9" s="38"/>
      <c r="F9" s="44"/>
      <c r="G9" s="42">
        <v>10600</v>
      </c>
      <c r="H9" s="42"/>
      <c r="I9" s="45"/>
    </row>
    <row r="10" spans="1:9" ht="15" customHeight="1" x14ac:dyDescent="0.35"/>
    <row r="11" spans="1:9" ht="15" customHeight="1" x14ac:dyDescent="0.35"/>
    <row r="12" spans="1:9" ht="15" customHeight="1" x14ac:dyDescent="0.35"/>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topLeftCell="A31" zoomScale="130" zoomScaleNormal="130" workbookViewId="0">
      <selection activeCell="C33" sqref="C33:G40"/>
    </sheetView>
  </sheetViews>
  <sheetFormatPr defaultRowHeight="14.5" x14ac:dyDescent="0.35"/>
  <cols>
    <col min="1" max="1" width="13.26953125" customWidth="1"/>
  </cols>
  <sheetData>
    <row r="1" spans="1:6" x14ac:dyDescent="0.35">
      <c r="E1" s="256"/>
      <c r="F1" s="256"/>
    </row>
    <row r="2" spans="1:6" x14ac:dyDescent="0.35">
      <c r="A2" t="s">
        <v>236</v>
      </c>
      <c r="B2" t="s">
        <v>237</v>
      </c>
      <c r="C2" t="s">
        <v>238</v>
      </c>
      <c r="E2" s="256"/>
      <c r="F2" s="256"/>
    </row>
    <row r="3" spans="1:6" x14ac:dyDescent="0.35">
      <c r="E3" s="256"/>
      <c r="F3" s="256"/>
    </row>
    <row r="4" spans="1:6" x14ac:dyDescent="0.35">
      <c r="E4" s="256"/>
      <c r="F4" s="256"/>
    </row>
    <row r="5" spans="1:6" x14ac:dyDescent="0.35">
      <c r="E5" s="256"/>
      <c r="F5" s="256"/>
    </row>
    <row r="6" spans="1:6" x14ac:dyDescent="0.35">
      <c r="E6" s="256"/>
      <c r="F6" s="256"/>
    </row>
    <row r="33" spans="3:7" x14ac:dyDescent="0.35">
      <c r="C33" s="255" t="s">
        <v>270</v>
      </c>
      <c r="D33" s="255"/>
      <c r="E33" s="255"/>
      <c r="F33" s="255"/>
      <c r="G33" s="255"/>
    </row>
    <row r="34" spans="3:7" x14ac:dyDescent="0.35">
      <c r="C34" s="255"/>
      <c r="D34" s="255"/>
      <c r="E34" s="255"/>
      <c r="F34" s="255"/>
      <c r="G34" s="255"/>
    </row>
    <row r="35" spans="3:7" x14ac:dyDescent="0.35">
      <c r="C35" s="255"/>
      <c r="D35" s="255"/>
      <c r="E35" s="255"/>
      <c r="F35" s="255"/>
      <c r="G35" s="255"/>
    </row>
    <row r="36" spans="3:7" x14ac:dyDescent="0.35">
      <c r="C36" s="255"/>
      <c r="D36" s="255"/>
      <c r="E36" s="255"/>
      <c r="F36" s="255"/>
      <c r="G36" s="255"/>
    </row>
    <row r="37" spans="3:7" x14ac:dyDescent="0.35">
      <c r="C37" s="255"/>
      <c r="D37" s="255"/>
      <c r="E37" s="255"/>
      <c r="F37" s="255"/>
      <c r="G37" s="255"/>
    </row>
    <row r="38" spans="3:7" x14ac:dyDescent="0.35">
      <c r="C38" s="255"/>
      <c r="D38" s="255"/>
      <c r="E38" s="255"/>
      <c r="F38" s="255"/>
      <c r="G38" s="255"/>
    </row>
    <row r="39" spans="3:7" x14ac:dyDescent="0.35">
      <c r="C39" s="255"/>
      <c r="D39" s="255"/>
      <c r="E39" s="255"/>
      <c r="F39" s="255"/>
      <c r="G39" s="255"/>
    </row>
    <row r="40" spans="3:7" x14ac:dyDescent="0.35">
      <c r="C40" s="255"/>
      <c r="D40" s="255"/>
      <c r="E40" s="255"/>
      <c r="F40" s="255"/>
      <c r="G40" s="255"/>
    </row>
  </sheetData>
  <mergeCells count="7">
    <mergeCell ref="C33:G40"/>
    <mergeCell ref="E6:F6"/>
    <mergeCell ref="E1:F1"/>
    <mergeCell ref="E2:F2"/>
    <mergeCell ref="E3:F3"/>
    <mergeCell ref="E4:F4"/>
    <mergeCell ref="E5:F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8" sqref="C8"/>
    </sheetView>
  </sheetViews>
  <sheetFormatPr defaultRowHeight="14" x14ac:dyDescent="0.3"/>
  <cols>
    <col min="1" max="1" width="20.54296875" style="19" customWidth="1"/>
    <col min="2" max="2" width="11.7265625" style="19" customWidth="1"/>
    <col min="3" max="4" width="9.1796875" style="19"/>
    <col min="5" max="5" width="10.1796875" style="19" customWidth="1"/>
    <col min="6" max="6" width="10.7265625" style="19" customWidth="1"/>
    <col min="7" max="7" width="9.1796875" style="19"/>
    <col min="8" max="8" width="10.453125" style="19" customWidth="1"/>
    <col min="9" max="9" width="15.453125" style="19" customWidth="1"/>
    <col min="10" max="258" width="9.1796875" style="19"/>
    <col min="259" max="259" width="11.7265625" style="19" customWidth="1"/>
    <col min="260" max="260" width="9.1796875" style="19"/>
    <col min="261" max="261" width="14.7265625" style="19" customWidth="1"/>
    <col min="262" max="262" width="10.7265625" style="19" customWidth="1"/>
    <col min="263" max="514" width="9.1796875" style="19"/>
    <col min="515" max="515" width="11.7265625" style="19" customWidth="1"/>
    <col min="516" max="516" width="9.1796875" style="19"/>
    <col min="517" max="517" width="14.7265625" style="19" customWidth="1"/>
    <col min="518" max="518" width="10.7265625" style="19" customWidth="1"/>
    <col min="519" max="770" width="9.1796875" style="19"/>
    <col min="771" max="771" width="11.7265625" style="19" customWidth="1"/>
    <col min="772" max="772" width="9.1796875" style="19"/>
    <col min="773" max="773" width="14.7265625" style="19" customWidth="1"/>
    <col min="774" max="774" width="10.7265625" style="19" customWidth="1"/>
    <col min="775" max="1026" width="9.1796875" style="19"/>
    <col min="1027" max="1027" width="11.7265625" style="19" customWidth="1"/>
    <col min="1028" max="1028" width="9.1796875" style="19"/>
    <col min="1029" max="1029" width="14.7265625" style="19" customWidth="1"/>
    <col min="1030" max="1030" width="10.7265625" style="19" customWidth="1"/>
    <col min="1031" max="1282" width="9.1796875" style="19"/>
    <col min="1283" max="1283" width="11.7265625" style="19" customWidth="1"/>
    <col min="1284" max="1284" width="9.1796875" style="19"/>
    <col min="1285" max="1285" width="14.7265625" style="19" customWidth="1"/>
    <col min="1286" max="1286" width="10.7265625" style="19" customWidth="1"/>
    <col min="1287" max="1538" width="9.1796875" style="19"/>
    <col min="1539" max="1539" width="11.7265625" style="19" customWidth="1"/>
    <col min="1540" max="1540" width="9.1796875" style="19"/>
    <col min="1541" max="1541" width="14.7265625" style="19" customWidth="1"/>
    <col min="1542" max="1542" width="10.7265625" style="19" customWidth="1"/>
    <col min="1543" max="1794" width="9.1796875" style="19"/>
    <col min="1795" max="1795" width="11.7265625" style="19" customWidth="1"/>
    <col min="1796" max="1796" width="9.1796875" style="19"/>
    <col min="1797" max="1797" width="14.7265625" style="19" customWidth="1"/>
    <col min="1798" max="1798" width="10.7265625" style="19" customWidth="1"/>
    <col min="1799" max="2050" width="9.1796875" style="19"/>
    <col min="2051" max="2051" width="11.7265625" style="19" customWidth="1"/>
    <col min="2052" max="2052" width="9.1796875" style="19"/>
    <col min="2053" max="2053" width="14.7265625" style="19" customWidth="1"/>
    <col min="2054" max="2054" width="10.7265625" style="19" customWidth="1"/>
    <col min="2055" max="2306" width="9.1796875" style="19"/>
    <col min="2307" max="2307" width="11.7265625" style="19" customWidth="1"/>
    <col min="2308" max="2308" width="9.1796875" style="19"/>
    <col min="2309" max="2309" width="14.7265625" style="19" customWidth="1"/>
    <col min="2310" max="2310" width="10.7265625" style="19" customWidth="1"/>
    <col min="2311" max="2562" width="9.1796875" style="19"/>
    <col min="2563" max="2563" width="11.7265625" style="19" customWidth="1"/>
    <col min="2564" max="2564" width="9.1796875" style="19"/>
    <col min="2565" max="2565" width="14.7265625" style="19" customWidth="1"/>
    <col min="2566" max="2566" width="10.7265625" style="19" customWidth="1"/>
    <col min="2567" max="2818" width="9.1796875" style="19"/>
    <col min="2819" max="2819" width="11.7265625" style="19" customWidth="1"/>
    <col min="2820" max="2820" width="9.1796875" style="19"/>
    <col min="2821" max="2821" width="14.7265625" style="19" customWidth="1"/>
    <col min="2822" max="2822" width="10.7265625" style="19" customWidth="1"/>
    <col min="2823" max="3074" width="9.1796875" style="19"/>
    <col min="3075" max="3075" width="11.7265625" style="19" customWidth="1"/>
    <col min="3076" max="3076" width="9.1796875" style="19"/>
    <col min="3077" max="3077" width="14.7265625" style="19" customWidth="1"/>
    <col min="3078" max="3078" width="10.7265625" style="19" customWidth="1"/>
    <col min="3079" max="3330" width="9.1796875" style="19"/>
    <col min="3331" max="3331" width="11.7265625" style="19" customWidth="1"/>
    <col min="3332" max="3332" width="9.1796875" style="19"/>
    <col min="3333" max="3333" width="14.7265625" style="19" customWidth="1"/>
    <col min="3334" max="3334" width="10.7265625" style="19" customWidth="1"/>
    <col min="3335" max="3586" width="9.1796875" style="19"/>
    <col min="3587" max="3587" width="11.7265625" style="19" customWidth="1"/>
    <col min="3588" max="3588" width="9.1796875" style="19"/>
    <col min="3589" max="3589" width="14.7265625" style="19" customWidth="1"/>
    <col min="3590" max="3590" width="10.7265625" style="19" customWidth="1"/>
    <col min="3591" max="3842" width="9.1796875" style="19"/>
    <col min="3843" max="3843" width="11.7265625" style="19" customWidth="1"/>
    <col min="3844" max="3844" width="9.1796875" style="19"/>
    <col min="3845" max="3845" width="14.7265625" style="19" customWidth="1"/>
    <col min="3846" max="3846" width="10.7265625" style="19" customWidth="1"/>
    <col min="3847" max="4098" width="9.1796875" style="19"/>
    <col min="4099" max="4099" width="11.7265625" style="19" customWidth="1"/>
    <col min="4100" max="4100" width="9.1796875" style="19"/>
    <col min="4101" max="4101" width="14.7265625" style="19" customWidth="1"/>
    <col min="4102" max="4102" width="10.7265625" style="19" customWidth="1"/>
    <col min="4103" max="4354" width="9.1796875" style="19"/>
    <col min="4355" max="4355" width="11.7265625" style="19" customWidth="1"/>
    <col min="4356" max="4356" width="9.1796875" style="19"/>
    <col min="4357" max="4357" width="14.7265625" style="19" customWidth="1"/>
    <col min="4358" max="4358" width="10.7265625" style="19" customWidth="1"/>
    <col min="4359" max="4610" width="9.1796875" style="19"/>
    <col min="4611" max="4611" width="11.7265625" style="19" customWidth="1"/>
    <col min="4612" max="4612" width="9.1796875" style="19"/>
    <col min="4613" max="4613" width="14.7265625" style="19" customWidth="1"/>
    <col min="4614" max="4614" width="10.7265625" style="19" customWidth="1"/>
    <col min="4615" max="4866" width="9.1796875" style="19"/>
    <col min="4867" max="4867" width="11.7265625" style="19" customWidth="1"/>
    <col min="4868" max="4868" width="9.1796875" style="19"/>
    <col min="4869" max="4869" width="14.7265625" style="19" customWidth="1"/>
    <col min="4870" max="4870" width="10.7265625" style="19" customWidth="1"/>
    <col min="4871" max="5122" width="9.1796875" style="19"/>
    <col min="5123" max="5123" width="11.7265625" style="19" customWidth="1"/>
    <col min="5124" max="5124" width="9.1796875" style="19"/>
    <col min="5125" max="5125" width="14.7265625" style="19" customWidth="1"/>
    <col min="5126" max="5126" width="10.7265625" style="19" customWidth="1"/>
    <col min="5127" max="5378" width="9.1796875" style="19"/>
    <col min="5379" max="5379" width="11.7265625" style="19" customWidth="1"/>
    <col min="5380" max="5380" width="9.1796875" style="19"/>
    <col min="5381" max="5381" width="14.7265625" style="19" customWidth="1"/>
    <col min="5382" max="5382" width="10.7265625" style="19" customWidth="1"/>
    <col min="5383" max="5634" width="9.1796875" style="19"/>
    <col min="5635" max="5635" width="11.7265625" style="19" customWidth="1"/>
    <col min="5636" max="5636" width="9.1796875" style="19"/>
    <col min="5637" max="5637" width="14.7265625" style="19" customWidth="1"/>
    <col min="5638" max="5638" width="10.7265625" style="19" customWidth="1"/>
    <col min="5639" max="5890" width="9.1796875" style="19"/>
    <col min="5891" max="5891" width="11.7265625" style="19" customWidth="1"/>
    <col min="5892" max="5892" width="9.1796875" style="19"/>
    <col min="5893" max="5893" width="14.7265625" style="19" customWidth="1"/>
    <col min="5894" max="5894" width="10.7265625" style="19" customWidth="1"/>
    <col min="5895" max="6146" width="9.1796875" style="19"/>
    <col min="6147" max="6147" width="11.7265625" style="19" customWidth="1"/>
    <col min="6148" max="6148" width="9.1796875" style="19"/>
    <col min="6149" max="6149" width="14.7265625" style="19" customWidth="1"/>
    <col min="6150" max="6150" width="10.7265625" style="19" customWidth="1"/>
    <col min="6151" max="6402" width="9.1796875" style="19"/>
    <col min="6403" max="6403" width="11.7265625" style="19" customWidth="1"/>
    <col min="6404" max="6404" width="9.1796875" style="19"/>
    <col min="6405" max="6405" width="14.7265625" style="19" customWidth="1"/>
    <col min="6406" max="6406" width="10.7265625" style="19" customWidth="1"/>
    <col min="6407" max="6658" width="9.1796875" style="19"/>
    <col min="6659" max="6659" width="11.7265625" style="19" customWidth="1"/>
    <col min="6660" max="6660" width="9.1796875" style="19"/>
    <col min="6661" max="6661" width="14.7265625" style="19" customWidth="1"/>
    <col min="6662" max="6662" width="10.7265625" style="19" customWidth="1"/>
    <col min="6663" max="6914" width="9.1796875" style="19"/>
    <col min="6915" max="6915" width="11.7265625" style="19" customWidth="1"/>
    <col min="6916" max="6916" width="9.1796875" style="19"/>
    <col min="6917" max="6917" width="14.7265625" style="19" customWidth="1"/>
    <col min="6918" max="6918" width="10.7265625" style="19" customWidth="1"/>
    <col min="6919" max="7170" width="9.1796875" style="19"/>
    <col min="7171" max="7171" width="11.7265625" style="19" customWidth="1"/>
    <col min="7172" max="7172" width="9.1796875" style="19"/>
    <col min="7173" max="7173" width="14.7265625" style="19" customWidth="1"/>
    <col min="7174" max="7174" width="10.7265625" style="19" customWidth="1"/>
    <col min="7175" max="7426" width="9.1796875" style="19"/>
    <col min="7427" max="7427" width="11.7265625" style="19" customWidth="1"/>
    <col min="7428" max="7428" width="9.1796875" style="19"/>
    <col min="7429" max="7429" width="14.7265625" style="19" customWidth="1"/>
    <col min="7430" max="7430" width="10.7265625" style="19" customWidth="1"/>
    <col min="7431" max="7682" width="9.1796875" style="19"/>
    <col min="7683" max="7683" width="11.7265625" style="19" customWidth="1"/>
    <col min="7684" max="7684" width="9.1796875" style="19"/>
    <col min="7685" max="7685" width="14.7265625" style="19" customWidth="1"/>
    <col min="7686" max="7686" width="10.7265625" style="19" customWidth="1"/>
    <col min="7687" max="7938" width="9.1796875" style="19"/>
    <col min="7939" max="7939" width="11.7265625" style="19" customWidth="1"/>
    <col min="7940" max="7940" width="9.1796875" style="19"/>
    <col min="7941" max="7941" width="14.7265625" style="19" customWidth="1"/>
    <col min="7942" max="7942" width="10.7265625" style="19" customWidth="1"/>
    <col min="7943" max="8194" width="9.1796875" style="19"/>
    <col min="8195" max="8195" width="11.7265625" style="19" customWidth="1"/>
    <col min="8196" max="8196" width="9.1796875" style="19"/>
    <col min="8197" max="8197" width="14.7265625" style="19" customWidth="1"/>
    <col min="8198" max="8198" width="10.7265625" style="19" customWidth="1"/>
    <col min="8199" max="8450" width="9.1796875" style="19"/>
    <col min="8451" max="8451" width="11.7265625" style="19" customWidth="1"/>
    <col min="8452" max="8452" width="9.1796875" style="19"/>
    <col min="8453" max="8453" width="14.7265625" style="19" customWidth="1"/>
    <col min="8454" max="8454" width="10.7265625" style="19" customWidth="1"/>
    <col min="8455" max="8706" width="9.1796875" style="19"/>
    <col min="8707" max="8707" width="11.7265625" style="19" customWidth="1"/>
    <col min="8708" max="8708" width="9.1796875" style="19"/>
    <col min="8709" max="8709" width="14.7265625" style="19" customWidth="1"/>
    <col min="8710" max="8710" width="10.7265625" style="19" customWidth="1"/>
    <col min="8711" max="8962" width="9.1796875" style="19"/>
    <col min="8963" max="8963" width="11.7265625" style="19" customWidth="1"/>
    <col min="8964" max="8964" width="9.1796875" style="19"/>
    <col min="8965" max="8965" width="14.7265625" style="19" customWidth="1"/>
    <col min="8966" max="8966" width="10.7265625" style="19" customWidth="1"/>
    <col min="8967" max="9218" width="9.1796875" style="19"/>
    <col min="9219" max="9219" width="11.7265625" style="19" customWidth="1"/>
    <col min="9220" max="9220" width="9.1796875" style="19"/>
    <col min="9221" max="9221" width="14.7265625" style="19" customWidth="1"/>
    <col min="9222" max="9222" width="10.7265625" style="19" customWidth="1"/>
    <col min="9223" max="9474" width="9.1796875" style="19"/>
    <col min="9475" max="9475" width="11.7265625" style="19" customWidth="1"/>
    <col min="9476" max="9476" width="9.1796875" style="19"/>
    <col min="9477" max="9477" width="14.7265625" style="19" customWidth="1"/>
    <col min="9478" max="9478" width="10.7265625" style="19" customWidth="1"/>
    <col min="9479" max="9730" width="9.1796875" style="19"/>
    <col min="9731" max="9731" width="11.7265625" style="19" customWidth="1"/>
    <col min="9732" max="9732" width="9.1796875" style="19"/>
    <col min="9733" max="9733" width="14.7265625" style="19" customWidth="1"/>
    <col min="9734" max="9734" width="10.7265625" style="19" customWidth="1"/>
    <col min="9735" max="9986" width="9.1796875" style="19"/>
    <col min="9987" max="9987" width="11.7265625" style="19" customWidth="1"/>
    <col min="9988" max="9988" width="9.1796875" style="19"/>
    <col min="9989" max="9989" width="14.7265625" style="19" customWidth="1"/>
    <col min="9990" max="9990" width="10.7265625" style="19" customWidth="1"/>
    <col min="9991" max="10242" width="9.1796875" style="19"/>
    <col min="10243" max="10243" width="11.7265625" style="19" customWidth="1"/>
    <col min="10244" max="10244" width="9.1796875" style="19"/>
    <col min="10245" max="10245" width="14.7265625" style="19" customWidth="1"/>
    <col min="10246" max="10246" width="10.7265625" style="19" customWidth="1"/>
    <col min="10247" max="10498" width="9.1796875" style="19"/>
    <col min="10499" max="10499" width="11.7265625" style="19" customWidth="1"/>
    <col min="10500" max="10500" width="9.1796875" style="19"/>
    <col min="10501" max="10501" width="14.7265625" style="19" customWidth="1"/>
    <col min="10502" max="10502" width="10.7265625" style="19" customWidth="1"/>
    <col min="10503" max="10754" width="9.1796875" style="19"/>
    <col min="10755" max="10755" width="11.7265625" style="19" customWidth="1"/>
    <col min="10756" max="10756" width="9.1796875" style="19"/>
    <col min="10757" max="10757" width="14.7265625" style="19" customWidth="1"/>
    <col min="10758" max="10758" width="10.7265625" style="19" customWidth="1"/>
    <col min="10759" max="11010" width="9.1796875" style="19"/>
    <col min="11011" max="11011" width="11.7265625" style="19" customWidth="1"/>
    <col min="11012" max="11012" width="9.1796875" style="19"/>
    <col min="11013" max="11013" width="14.7265625" style="19" customWidth="1"/>
    <col min="11014" max="11014" width="10.7265625" style="19" customWidth="1"/>
    <col min="11015" max="11266" width="9.1796875" style="19"/>
    <col min="11267" max="11267" width="11.7265625" style="19" customWidth="1"/>
    <col min="11268" max="11268" width="9.1796875" style="19"/>
    <col min="11269" max="11269" width="14.7265625" style="19" customWidth="1"/>
    <col min="11270" max="11270" width="10.7265625" style="19" customWidth="1"/>
    <col min="11271" max="11522" width="9.1796875" style="19"/>
    <col min="11523" max="11523" width="11.7265625" style="19" customWidth="1"/>
    <col min="11524" max="11524" width="9.1796875" style="19"/>
    <col min="11525" max="11525" width="14.7265625" style="19" customWidth="1"/>
    <col min="11526" max="11526" width="10.7265625" style="19" customWidth="1"/>
    <col min="11527" max="11778" width="9.1796875" style="19"/>
    <col min="11779" max="11779" width="11.7265625" style="19" customWidth="1"/>
    <col min="11780" max="11780" width="9.1796875" style="19"/>
    <col min="11781" max="11781" width="14.7265625" style="19" customWidth="1"/>
    <col min="11782" max="11782" width="10.7265625" style="19" customWidth="1"/>
    <col min="11783" max="12034" width="9.1796875" style="19"/>
    <col min="12035" max="12035" width="11.7265625" style="19" customWidth="1"/>
    <col min="12036" max="12036" width="9.1796875" style="19"/>
    <col min="12037" max="12037" width="14.7265625" style="19" customWidth="1"/>
    <col min="12038" max="12038" width="10.7265625" style="19" customWidth="1"/>
    <col min="12039" max="12290" width="9.1796875" style="19"/>
    <col min="12291" max="12291" width="11.7265625" style="19" customWidth="1"/>
    <col min="12292" max="12292" width="9.1796875" style="19"/>
    <col min="12293" max="12293" width="14.7265625" style="19" customWidth="1"/>
    <col min="12294" max="12294" width="10.7265625" style="19" customWidth="1"/>
    <col min="12295" max="12546" width="9.1796875" style="19"/>
    <col min="12547" max="12547" width="11.7265625" style="19" customWidth="1"/>
    <col min="12548" max="12548" width="9.1796875" style="19"/>
    <col min="12549" max="12549" width="14.7265625" style="19" customWidth="1"/>
    <col min="12550" max="12550" width="10.7265625" style="19" customWidth="1"/>
    <col min="12551" max="12802" width="9.1796875" style="19"/>
    <col min="12803" max="12803" width="11.7265625" style="19" customWidth="1"/>
    <col min="12804" max="12804" width="9.1796875" style="19"/>
    <col min="12805" max="12805" width="14.7265625" style="19" customWidth="1"/>
    <col min="12806" max="12806" width="10.7265625" style="19" customWidth="1"/>
    <col min="12807" max="13058" width="9.1796875" style="19"/>
    <col min="13059" max="13059" width="11.7265625" style="19" customWidth="1"/>
    <col min="13060" max="13060" width="9.1796875" style="19"/>
    <col min="13061" max="13061" width="14.7265625" style="19" customWidth="1"/>
    <col min="13062" max="13062" width="10.7265625" style="19" customWidth="1"/>
    <col min="13063" max="13314" width="9.1796875" style="19"/>
    <col min="13315" max="13315" width="11.7265625" style="19" customWidth="1"/>
    <col min="13316" max="13316" width="9.1796875" style="19"/>
    <col min="13317" max="13317" width="14.7265625" style="19" customWidth="1"/>
    <col min="13318" max="13318" width="10.7265625" style="19" customWidth="1"/>
    <col min="13319" max="13570" width="9.1796875" style="19"/>
    <col min="13571" max="13571" width="11.7265625" style="19" customWidth="1"/>
    <col min="13572" max="13572" width="9.1796875" style="19"/>
    <col min="13573" max="13573" width="14.7265625" style="19" customWidth="1"/>
    <col min="13574" max="13574" width="10.7265625" style="19" customWidth="1"/>
    <col min="13575" max="13826" width="9.1796875" style="19"/>
    <col min="13827" max="13827" width="11.7265625" style="19" customWidth="1"/>
    <col min="13828" max="13828" width="9.1796875" style="19"/>
    <col min="13829" max="13829" width="14.7265625" style="19" customWidth="1"/>
    <col min="13830" max="13830" width="10.7265625" style="19" customWidth="1"/>
    <col min="13831" max="14082" width="9.1796875" style="19"/>
    <col min="14083" max="14083" width="11.7265625" style="19" customWidth="1"/>
    <col min="14084" max="14084" width="9.1796875" style="19"/>
    <col min="14085" max="14085" width="14.7265625" style="19" customWidth="1"/>
    <col min="14086" max="14086" width="10.7265625" style="19" customWidth="1"/>
    <col min="14087" max="14338" width="9.1796875" style="19"/>
    <col min="14339" max="14339" width="11.7265625" style="19" customWidth="1"/>
    <col min="14340" max="14340" width="9.1796875" style="19"/>
    <col min="14341" max="14341" width="14.7265625" style="19" customWidth="1"/>
    <col min="14342" max="14342" width="10.7265625" style="19" customWidth="1"/>
    <col min="14343" max="14594" width="9.1796875" style="19"/>
    <col min="14595" max="14595" width="11.7265625" style="19" customWidth="1"/>
    <col min="14596" max="14596" width="9.1796875" style="19"/>
    <col min="14597" max="14597" width="14.7265625" style="19" customWidth="1"/>
    <col min="14598" max="14598" width="10.7265625" style="19" customWidth="1"/>
    <col min="14599" max="14850" width="9.1796875" style="19"/>
    <col min="14851" max="14851" width="11.7265625" style="19" customWidth="1"/>
    <col min="14852" max="14852" width="9.1796875" style="19"/>
    <col min="14853" max="14853" width="14.7265625" style="19" customWidth="1"/>
    <col min="14854" max="14854" width="10.7265625" style="19" customWidth="1"/>
    <col min="14855" max="15106" width="9.1796875" style="19"/>
    <col min="15107" max="15107" width="11.7265625" style="19" customWidth="1"/>
    <col min="15108" max="15108" width="9.1796875" style="19"/>
    <col min="15109" max="15109" width="14.7265625" style="19" customWidth="1"/>
    <col min="15110" max="15110" width="10.7265625" style="19" customWidth="1"/>
    <col min="15111" max="15362" width="9.1796875" style="19"/>
    <col min="15363" max="15363" width="11.7265625" style="19" customWidth="1"/>
    <col min="15364" max="15364" width="9.1796875" style="19"/>
    <col min="15365" max="15365" width="14.7265625" style="19" customWidth="1"/>
    <col min="15366" max="15366" width="10.7265625" style="19" customWidth="1"/>
    <col min="15367" max="15618" width="9.1796875" style="19"/>
    <col min="15619" max="15619" width="11.7265625" style="19" customWidth="1"/>
    <col min="15620" max="15620" width="9.1796875" style="19"/>
    <col min="15621" max="15621" width="14.7265625" style="19" customWidth="1"/>
    <col min="15622" max="15622" width="10.7265625" style="19" customWidth="1"/>
    <col min="15623" max="15874" width="9.1796875" style="19"/>
    <col min="15875" max="15875" width="11.7265625" style="19" customWidth="1"/>
    <col min="15876" max="15876" width="9.1796875" style="19"/>
    <col min="15877" max="15877" width="14.7265625" style="19" customWidth="1"/>
    <col min="15878" max="15878" width="10.7265625" style="19" customWidth="1"/>
    <col min="15879" max="16130" width="9.1796875" style="19"/>
    <col min="16131" max="16131" width="11.7265625" style="19" customWidth="1"/>
    <col min="16132" max="16132" width="9.1796875" style="19"/>
    <col min="16133" max="16133" width="14.7265625" style="19" customWidth="1"/>
    <col min="16134" max="16134" width="10.7265625" style="19" customWidth="1"/>
    <col min="16135" max="16384" width="9.1796875" style="19"/>
  </cols>
  <sheetData>
    <row r="2" spans="1:13" x14ac:dyDescent="0.3">
      <c r="A2" s="20" t="s">
        <v>134</v>
      </c>
      <c r="B2" s="20" t="s">
        <v>135</v>
      </c>
      <c r="C2" s="20" t="s">
        <v>136</v>
      </c>
      <c r="D2" s="257" t="s">
        <v>137</v>
      </c>
      <c r="E2" s="257"/>
    </row>
    <row r="3" spans="1:13" x14ac:dyDescent="0.3">
      <c r="A3" s="23">
        <v>0</v>
      </c>
      <c r="B3" s="23">
        <v>0</v>
      </c>
      <c r="C3" s="23">
        <v>1</v>
      </c>
      <c r="D3" s="258">
        <v>22</v>
      </c>
      <c r="E3" s="258"/>
    </row>
    <row r="5" spans="1:13" hidden="1" x14ac:dyDescent="0.3">
      <c r="A5" s="19" t="s">
        <v>100</v>
      </c>
      <c r="B5" s="21" t="s">
        <v>151</v>
      </c>
      <c r="C5" s="21">
        <f>D3</f>
        <v>22</v>
      </c>
      <c r="D5" s="22"/>
    </row>
    <row r="6" spans="1:13" x14ac:dyDescent="0.3">
      <c r="A6" s="19" t="s">
        <v>101</v>
      </c>
      <c r="B6" s="24">
        <v>10</v>
      </c>
      <c r="C6" s="25">
        <v>10</v>
      </c>
      <c r="D6" s="26">
        <f>((100/B6)*C6)/100</f>
        <v>1</v>
      </c>
    </row>
    <row r="7" spans="1:13" x14ac:dyDescent="0.3">
      <c r="A7" s="19" t="s">
        <v>102</v>
      </c>
      <c r="B7" s="24">
        <f>A3+B3+C3+D3</f>
        <v>23</v>
      </c>
      <c r="C7" s="25">
        <v>15</v>
      </c>
      <c r="D7" s="26">
        <f t="shared" ref="D7:D12" si="0">((100/B7)*C7)/100</f>
        <v>0.65217391304347827</v>
      </c>
      <c r="F7" s="260" t="s">
        <v>152</v>
      </c>
      <c r="G7" s="260"/>
      <c r="H7" s="27" t="s">
        <v>153</v>
      </c>
      <c r="J7" s="33"/>
    </row>
    <row r="8" spans="1:13" x14ac:dyDescent="0.3">
      <c r="A8" s="19" t="s">
        <v>107</v>
      </c>
      <c r="B8" s="24">
        <f>C5</f>
        <v>22</v>
      </c>
      <c r="C8" s="25">
        <v>0</v>
      </c>
      <c r="D8" s="26">
        <f t="shared" si="0"/>
        <v>0</v>
      </c>
      <c r="F8" s="259" t="s">
        <v>154</v>
      </c>
      <c r="G8" s="259"/>
      <c r="H8" s="24" t="s">
        <v>155</v>
      </c>
    </row>
    <row r="9" spans="1:13" x14ac:dyDescent="0.3">
      <c r="A9" s="19" t="s">
        <v>109</v>
      </c>
      <c r="B9" s="24">
        <f>C5</f>
        <v>22</v>
      </c>
      <c r="C9" s="25">
        <v>0</v>
      </c>
      <c r="D9" s="26">
        <f t="shared" si="0"/>
        <v>0</v>
      </c>
      <c r="F9" s="259" t="s">
        <v>156</v>
      </c>
      <c r="G9" s="259"/>
      <c r="H9" s="24" t="s">
        <v>157</v>
      </c>
    </row>
    <row r="10" spans="1:13" x14ac:dyDescent="0.3">
      <c r="A10" s="19" t="s">
        <v>70</v>
      </c>
      <c r="B10" s="24">
        <f>C5</f>
        <v>22</v>
      </c>
      <c r="C10" s="25">
        <v>0</v>
      </c>
      <c r="D10" s="26">
        <f t="shared" si="0"/>
        <v>0</v>
      </c>
      <c r="F10" s="259" t="s">
        <v>158</v>
      </c>
      <c r="G10" s="259"/>
      <c r="H10" s="24" t="s">
        <v>159</v>
      </c>
    </row>
    <row r="11" spans="1:13" x14ac:dyDescent="0.3">
      <c r="A11" s="28" t="s">
        <v>105</v>
      </c>
      <c r="B11" s="24">
        <f>C5</f>
        <v>22</v>
      </c>
      <c r="C11" s="25">
        <v>0</v>
      </c>
      <c r="D11" s="26">
        <f t="shared" si="0"/>
        <v>0</v>
      </c>
      <c r="F11" s="259" t="s">
        <v>160</v>
      </c>
      <c r="G11" s="259"/>
      <c r="H11" s="24" t="s">
        <v>161</v>
      </c>
    </row>
    <row r="12" spans="1:13" x14ac:dyDescent="0.3">
      <c r="A12" s="19" t="s">
        <v>71</v>
      </c>
      <c r="B12" s="24">
        <f>C5</f>
        <v>22</v>
      </c>
      <c r="C12" s="25">
        <v>0</v>
      </c>
      <c r="D12" s="26">
        <f t="shared" si="0"/>
        <v>0</v>
      </c>
      <c r="F12" s="259" t="s">
        <v>162</v>
      </c>
      <c r="G12" s="259"/>
      <c r="H12" s="24" t="s">
        <v>163</v>
      </c>
    </row>
    <row r="13" spans="1:13" x14ac:dyDescent="0.3">
      <c r="F13" s="259" t="s">
        <v>164</v>
      </c>
      <c r="G13" s="259"/>
      <c r="H13" s="24" t="s">
        <v>165</v>
      </c>
    </row>
    <row r="14" spans="1:13" hidden="1" x14ac:dyDescent="0.3">
      <c r="A14" s="20"/>
      <c r="B14" s="20" t="s">
        <v>106</v>
      </c>
      <c r="C14" s="20" t="s">
        <v>110</v>
      </c>
      <c r="G14" s="20" t="s">
        <v>101</v>
      </c>
      <c r="H14" s="20" t="s">
        <v>103</v>
      </c>
      <c r="I14" s="20" t="s">
        <v>104</v>
      </c>
      <c r="J14" s="20" t="s">
        <v>69</v>
      </c>
      <c r="K14" s="20" t="s">
        <v>70</v>
      </c>
      <c r="L14" s="20" t="s">
        <v>105</v>
      </c>
      <c r="M14" s="20" t="s">
        <v>71</v>
      </c>
    </row>
    <row r="15" spans="1:13" hidden="1" x14ac:dyDescent="0.3">
      <c r="A15" s="20" t="s">
        <v>67</v>
      </c>
      <c r="B15" s="20">
        <f>G15</f>
        <v>10</v>
      </c>
      <c r="C15" s="20">
        <f>G16</f>
        <v>30</v>
      </c>
      <c r="E15" s="257" t="s">
        <v>106</v>
      </c>
      <c r="F15" s="257"/>
      <c r="G15" s="29">
        <f>C6</f>
        <v>10</v>
      </c>
      <c r="H15" s="29">
        <f>40/B7*C7</f>
        <v>26.086956521739129</v>
      </c>
      <c r="I15" s="29">
        <f>15/B8*C8</f>
        <v>0</v>
      </c>
      <c r="J15" s="29">
        <f>10/B9*C9</f>
        <v>0</v>
      </c>
      <c r="K15" s="29">
        <f>10/B10*C10</f>
        <v>0</v>
      </c>
      <c r="L15" s="29">
        <f>5/B11*C11</f>
        <v>0</v>
      </c>
      <c r="M15" s="29">
        <f>5/B12*C12</f>
        <v>0</v>
      </c>
    </row>
    <row r="16" spans="1:13" hidden="1" x14ac:dyDescent="0.3">
      <c r="A16" s="20" t="s">
        <v>68</v>
      </c>
      <c r="B16" s="20">
        <f>H15</f>
        <v>26.086956521739129</v>
      </c>
      <c r="C16" s="20">
        <f>H16</f>
        <v>19.565217391304348</v>
      </c>
      <c r="E16" s="257" t="s">
        <v>108</v>
      </c>
      <c r="F16" s="257"/>
      <c r="G16" s="20">
        <f>G15+20</f>
        <v>30</v>
      </c>
      <c r="H16" s="20">
        <f>30/B7*C7</f>
        <v>19.565217391304348</v>
      </c>
      <c r="I16" s="20">
        <f>15/B8*C8</f>
        <v>0</v>
      </c>
      <c r="J16" s="20">
        <f>10/B9*C9</f>
        <v>0</v>
      </c>
      <c r="K16" s="20">
        <f>5/B10*C10</f>
        <v>0</v>
      </c>
      <c r="L16" s="20">
        <f>5/B11*C11</f>
        <v>0</v>
      </c>
      <c r="M16" s="20">
        <f>5/B12*C12</f>
        <v>0</v>
      </c>
    </row>
    <row r="17" spans="1:8" hidden="1" x14ac:dyDescent="0.3">
      <c r="A17" s="20" t="s">
        <v>104</v>
      </c>
      <c r="B17" s="20">
        <f>I15</f>
        <v>0</v>
      </c>
      <c r="C17" s="20">
        <f>I16</f>
        <v>0</v>
      </c>
    </row>
    <row r="18" spans="1:8" hidden="1" x14ac:dyDescent="0.3">
      <c r="A18" s="20" t="s">
        <v>69</v>
      </c>
      <c r="B18" s="20">
        <f>J15</f>
        <v>0</v>
      </c>
      <c r="C18" s="20">
        <f>J16</f>
        <v>0</v>
      </c>
    </row>
    <row r="19" spans="1:8" hidden="1" x14ac:dyDescent="0.3">
      <c r="A19" s="20" t="s">
        <v>70</v>
      </c>
      <c r="B19" s="20">
        <f>K15</f>
        <v>0</v>
      </c>
      <c r="C19" s="20">
        <f>K16</f>
        <v>0</v>
      </c>
    </row>
    <row r="20" spans="1:8" hidden="1" x14ac:dyDescent="0.3">
      <c r="A20" s="30" t="s">
        <v>105</v>
      </c>
      <c r="B20" s="20">
        <f>L15</f>
        <v>0</v>
      </c>
      <c r="C20" s="20">
        <f>L16</f>
        <v>0</v>
      </c>
    </row>
    <row r="21" spans="1:8" hidden="1" x14ac:dyDescent="0.3">
      <c r="A21" s="20" t="s">
        <v>71</v>
      </c>
      <c r="B21" s="20">
        <f>M15</f>
        <v>0</v>
      </c>
      <c r="C21" s="20">
        <f>M16</f>
        <v>0</v>
      </c>
    </row>
    <row r="22" spans="1:8" x14ac:dyDescent="0.3">
      <c r="A22" s="20" t="s">
        <v>111</v>
      </c>
      <c r="B22" s="31">
        <f>(B15+B16+B17+B18+B19+B20+B21)/100</f>
        <v>0.36086956521739127</v>
      </c>
      <c r="C22" s="31">
        <f>(C15+C16+C17+C18+C19+C20+C21)/100</f>
        <v>0.49565217391304345</v>
      </c>
      <c r="F22" s="259" t="s">
        <v>166</v>
      </c>
      <c r="G22" s="259"/>
      <c r="H22" s="24" t="s">
        <v>157</v>
      </c>
    </row>
    <row r="23" spans="1:8" x14ac:dyDescent="0.3">
      <c r="F23" s="259" t="s">
        <v>167</v>
      </c>
      <c r="G23" s="259"/>
      <c r="H23" s="24" t="s">
        <v>168</v>
      </c>
    </row>
    <row r="24" spans="1:8" x14ac:dyDescent="0.3">
      <c r="A24" s="19" t="s">
        <v>142</v>
      </c>
      <c r="B24" s="32">
        <v>0.01</v>
      </c>
      <c r="C24" s="32">
        <v>0.02</v>
      </c>
      <c r="F24" s="259" t="s">
        <v>169</v>
      </c>
      <c r="G24" s="259"/>
      <c r="H24" s="24" t="s">
        <v>170</v>
      </c>
    </row>
    <row r="25" spans="1:8" x14ac:dyDescent="0.3">
      <c r="A25" s="19" t="s">
        <v>143</v>
      </c>
      <c r="B25" s="32">
        <v>0.01</v>
      </c>
      <c r="C25" s="32">
        <v>0.03</v>
      </c>
    </row>
    <row r="26" spans="1:8" x14ac:dyDescent="0.3">
      <c r="A26" s="19" t="s">
        <v>144</v>
      </c>
      <c r="B26" s="32">
        <v>0.03</v>
      </c>
      <c r="C26" s="32">
        <v>0.08</v>
      </c>
    </row>
    <row r="27" spans="1:8" x14ac:dyDescent="0.3">
      <c r="A27" s="19" t="s">
        <v>145</v>
      </c>
      <c r="B27" s="32">
        <v>0.05</v>
      </c>
      <c r="C27" s="32">
        <v>0.15</v>
      </c>
    </row>
    <row r="28" spans="1:8" x14ac:dyDescent="0.3">
      <c r="A28" s="19" t="s">
        <v>146</v>
      </c>
      <c r="B28" s="32">
        <v>7.0000000000000007E-2</v>
      </c>
      <c r="C28" s="32">
        <v>0.2</v>
      </c>
    </row>
    <row r="29" spans="1:8" x14ac:dyDescent="0.3">
      <c r="A29" s="19" t="s">
        <v>147</v>
      </c>
      <c r="B29" s="32">
        <v>0.1</v>
      </c>
      <c r="C29" s="32">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4" x14ac:dyDescent="0.3"/>
  <cols>
    <col min="1" max="1" width="20.54296875" style="19" customWidth="1"/>
    <col min="2" max="2" width="11.7265625" style="19" customWidth="1"/>
    <col min="3" max="4" width="9.1796875" style="19"/>
    <col min="5" max="5" width="10.1796875" style="19" customWidth="1"/>
    <col min="6" max="6" width="10.7265625" style="19" customWidth="1"/>
    <col min="7" max="7" width="9.1796875" style="19"/>
    <col min="8" max="8" width="10.453125" style="19" customWidth="1"/>
    <col min="9" max="9" width="15.453125" style="19" customWidth="1"/>
    <col min="10" max="258" width="9.1796875" style="19"/>
    <col min="259" max="259" width="11.7265625" style="19" customWidth="1"/>
    <col min="260" max="260" width="9.1796875" style="19"/>
    <col min="261" max="261" width="14.7265625" style="19" customWidth="1"/>
    <col min="262" max="262" width="10.7265625" style="19" customWidth="1"/>
    <col min="263" max="514" width="9.1796875" style="19"/>
    <col min="515" max="515" width="11.7265625" style="19" customWidth="1"/>
    <col min="516" max="516" width="9.1796875" style="19"/>
    <col min="517" max="517" width="14.7265625" style="19" customWidth="1"/>
    <col min="518" max="518" width="10.7265625" style="19" customWidth="1"/>
    <col min="519" max="770" width="9.1796875" style="19"/>
    <col min="771" max="771" width="11.7265625" style="19" customWidth="1"/>
    <col min="772" max="772" width="9.1796875" style="19"/>
    <col min="773" max="773" width="14.7265625" style="19" customWidth="1"/>
    <col min="774" max="774" width="10.7265625" style="19" customWidth="1"/>
    <col min="775" max="1026" width="9.1796875" style="19"/>
    <col min="1027" max="1027" width="11.7265625" style="19" customWidth="1"/>
    <col min="1028" max="1028" width="9.1796875" style="19"/>
    <col min="1029" max="1029" width="14.7265625" style="19" customWidth="1"/>
    <col min="1030" max="1030" width="10.7265625" style="19" customWidth="1"/>
    <col min="1031" max="1282" width="9.1796875" style="19"/>
    <col min="1283" max="1283" width="11.7265625" style="19" customWidth="1"/>
    <col min="1284" max="1284" width="9.1796875" style="19"/>
    <col min="1285" max="1285" width="14.7265625" style="19" customWidth="1"/>
    <col min="1286" max="1286" width="10.7265625" style="19" customWidth="1"/>
    <col min="1287" max="1538" width="9.1796875" style="19"/>
    <col min="1539" max="1539" width="11.7265625" style="19" customWidth="1"/>
    <col min="1540" max="1540" width="9.1796875" style="19"/>
    <col min="1541" max="1541" width="14.7265625" style="19" customWidth="1"/>
    <col min="1542" max="1542" width="10.7265625" style="19" customWidth="1"/>
    <col min="1543" max="1794" width="9.1796875" style="19"/>
    <col min="1795" max="1795" width="11.7265625" style="19" customWidth="1"/>
    <col min="1796" max="1796" width="9.1796875" style="19"/>
    <col min="1797" max="1797" width="14.7265625" style="19" customWidth="1"/>
    <col min="1798" max="1798" width="10.7265625" style="19" customWidth="1"/>
    <col min="1799" max="2050" width="9.1796875" style="19"/>
    <col min="2051" max="2051" width="11.7265625" style="19" customWidth="1"/>
    <col min="2052" max="2052" width="9.1796875" style="19"/>
    <col min="2053" max="2053" width="14.7265625" style="19" customWidth="1"/>
    <col min="2054" max="2054" width="10.7265625" style="19" customWidth="1"/>
    <col min="2055" max="2306" width="9.1796875" style="19"/>
    <col min="2307" max="2307" width="11.7265625" style="19" customWidth="1"/>
    <col min="2308" max="2308" width="9.1796875" style="19"/>
    <col min="2309" max="2309" width="14.7265625" style="19" customWidth="1"/>
    <col min="2310" max="2310" width="10.7265625" style="19" customWidth="1"/>
    <col min="2311" max="2562" width="9.1796875" style="19"/>
    <col min="2563" max="2563" width="11.7265625" style="19" customWidth="1"/>
    <col min="2564" max="2564" width="9.1796875" style="19"/>
    <col min="2565" max="2565" width="14.7265625" style="19" customWidth="1"/>
    <col min="2566" max="2566" width="10.7265625" style="19" customWidth="1"/>
    <col min="2567" max="2818" width="9.1796875" style="19"/>
    <col min="2819" max="2819" width="11.7265625" style="19" customWidth="1"/>
    <col min="2820" max="2820" width="9.1796875" style="19"/>
    <col min="2821" max="2821" width="14.7265625" style="19" customWidth="1"/>
    <col min="2822" max="2822" width="10.7265625" style="19" customWidth="1"/>
    <col min="2823" max="3074" width="9.1796875" style="19"/>
    <col min="3075" max="3075" width="11.7265625" style="19" customWidth="1"/>
    <col min="3076" max="3076" width="9.1796875" style="19"/>
    <col min="3077" max="3077" width="14.7265625" style="19" customWidth="1"/>
    <col min="3078" max="3078" width="10.7265625" style="19" customWidth="1"/>
    <col min="3079" max="3330" width="9.1796875" style="19"/>
    <col min="3331" max="3331" width="11.7265625" style="19" customWidth="1"/>
    <col min="3332" max="3332" width="9.1796875" style="19"/>
    <col min="3333" max="3333" width="14.7265625" style="19" customWidth="1"/>
    <col min="3334" max="3334" width="10.7265625" style="19" customWidth="1"/>
    <col min="3335" max="3586" width="9.1796875" style="19"/>
    <col min="3587" max="3587" width="11.7265625" style="19" customWidth="1"/>
    <col min="3588" max="3588" width="9.1796875" style="19"/>
    <col min="3589" max="3589" width="14.7265625" style="19" customWidth="1"/>
    <col min="3590" max="3590" width="10.7265625" style="19" customWidth="1"/>
    <col min="3591" max="3842" width="9.1796875" style="19"/>
    <col min="3843" max="3843" width="11.7265625" style="19" customWidth="1"/>
    <col min="3844" max="3844" width="9.1796875" style="19"/>
    <col min="3845" max="3845" width="14.7265625" style="19" customWidth="1"/>
    <col min="3846" max="3846" width="10.7265625" style="19" customWidth="1"/>
    <col min="3847" max="4098" width="9.1796875" style="19"/>
    <col min="4099" max="4099" width="11.7265625" style="19" customWidth="1"/>
    <col min="4100" max="4100" width="9.1796875" style="19"/>
    <col min="4101" max="4101" width="14.7265625" style="19" customWidth="1"/>
    <col min="4102" max="4102" width="10.7265625" style="19" customWidth="1"/>
    <col min="4103" max="4354" width="9.1796875" style="19"/>
    <col min="4355" max="4355" width="11.7265625" style="19" customWidth="1"/>
    <col min="4356" max="4356" width="9.1796875" style="19"/>
    <col min="4357" max="4357" width="14.7265625" style="19" customWidth="1"/>
    <col min="4358" max="4358" width="10.7265625" style="19" customWidth="1"/>
    <col min="4359" max="4610" width="9.1796875" style="19"/>
    <col min="4611" max="4611" width="11.7265625" style="19" customWidth="1"/>
    <col min="4612" max="4612" width="9.1796875" style="19"/>
    <col min="4613" max="4613" width="14.7265625" style="19" customWidth="1"/>
    <col min="4614" max="4614" width="10.7265625" style="19" customWidth="1"/>
    <col min="4615" max="4866" width="9.1796875" style="19"/>
    <col min="4867" max="4867" width="11.7265625" style="19" customWidth="1"/>
    <col min="4868" max="4868" width="9.1796875" style="19"/>
    <col min="4869" max="4869" width="14.7265625" style="19" customWidth="1"/>
    <col min="4870" max="4870" width="10.7265625" style="19" customWidth="1"/>
    <col min="4871" max="5122" width="9.1796875" style="19"/>
    <col min="5123" max="5123" width="11.7265625" style="19" customWidth="1"/>
    <col min="5124" max="5124" width="9.1796875" style="19"/>
    <col min="5125" max="5125" width="14.7265625" style="19" customWidth="1"/>
    <col min="5126" max="5126" width="10.7265625" style="19" customWidth="1"/>
    <col min="5127" max="5378" width="9.1796875" style="19"/>
    <col min="5379" max="5379" width="11.7265625" style="19" customWidth="1"/>
    <col min="5380" max="5380" width="9.1796875" style="19"/>
    <col min="5381" max="5381" width="14.7265625" style="19" customWidth="1"/>
    <col min="5382" max="5382" width="10.7265625" style="19" customWidth="1"/>
    <col min="5383" max="5634" width="9.1796875" style="19"/>
    <col min="5635" max="5635" width="11.7265625" style="19" customWidth="1"/>
    <col min="5636" max="5636" width="9.1796875" style="19"/>
    <col min="5637" max="5637" width="14.7265625" style="19" customWidth="1"/>
    <col min="5638" max="5638" width="10.7265625" style="19" customWidth="1"/>
    <col min="5639" max="5890" width="9.1796875" style="19"/>
    <col min="5891" max="5891" width="11.7265625" style="19" customWidth="1"/>
    <col min="5892" max="5892" width="9.1796875" style="19"/>
    <col min="5893" max="5893" width="14.7265625" style="19" customWidth="1"/>
    <col min="5894" max="5894" width="10.7265625" style="19" customWidth="1"/>
    <col min="5895" max="6146" width="9.1796875" style="19"/>
    <col min="6147" max="6147" width="11.7265625" style="19" customWidth="1"/>
    <col min="6148" max="6148" width="9.1796875" style="19"/>
    <col min="6149" max="6149" width="14.7265625" style="19" customWidth="1"/>
    <col min="6150" max="6150" width="10.7265625" style="19" customWidth="1"/>
    <col min="6151" max="6402" width="9.1796875" style="19"/>
    <col min="6403" max="6403" width="11.7265625" style="19" customWidth="1"/>
    <col min="6404" max="6404" width="9.1796875" style="19"/>
    <col min="6405" max="6405" width="14.7265625" style="19" customWidth="1"/>
    <col min="6406" max="6406" width="10.7265625" style="19" customWidth="1"/>
    <col min="6407" max="6658" width="9.1796875" style="19"/>
    <col min="6659" max="6659" width="11.7265625" style="19" customWidth="1"/>
    <col min="6660" max="6660" width="9.1796875" style="19"/>
    <col min="6661" max="6661" width="14.7265625" style="19" customWidth="1"/>
    <col min="6662" max="6662" width="10.7265625" style="19" customWidth="1"/>
    <col min="6663" max="6914" width="9.1796875" style="19"/>
    <col min="6915" max="6915" width="11.7265625" style="19" customWidth="1"/>
    <col min="6916" max="6916" width="9.1796875" style="19"/>
    <col min="6917" max="6917" width="14.7265625" style="19" customWidth="1"/>
    <col min="6918" max="6918" width="10.7265625" style="19" customWidth="1"/>
    <col min="6919" max="7170" width="9.1796875" style="19"/>
    <col min="7171" max="7171" width="11.7265625" style="19" customWidth="1"/>
    <col min="7172" max="7172" width="9.1796875" style="19"/>
    <col min="7173" max="7173" width="14.7265625" style="19" customWidth="1"/>
    <col min="7174" max="7174" width="10.7265625" style="19" customWidth="1"/>
    <col min="7175" max="7426" width="9.1796875" style="19"/>
    <col min="7427" max="7427" width="11.7265625" style="19" customWidth="1"/>
    <col min="7428" max="7428" width="9.1796875" style="19"/>
    <col min="7429" max="7429" width="14.7265625" style="19" customWidth="1"/>
    <col min="7430" max="7430" width="10.7265625" style="19" customWidth="1"/>
    <col min="7431" max="7682" width="9.1796875" style="19"/>
    <col min="7683" max="7683" width="11.7265625" style="19" customWidth="1"/>
    <col min="7684" max="7684" width="9.1796875" style="19"/>
    <col min="7685" max="7685" width="14.7265625" style="19" customWidth="1"/>
    <col min="7686" max="7686" width="10.7265625" style="19" customWidth="1"/>
    <col min="7687" max="7938" width="9.1796875" style="19"/>
    <col min="7939" max="7939" width="11.7265625" style="19" customWidth="1"/>
    <col min="7940" max="7940" width="9.1796875" style="19"/>
    <col min="7941" max="7941" width="14.7265625" style="19" customWidth="1"/>
    <col min="7942" max="7942" width="10.7265625" style="19" customWidth="1"/>
    <col min="7943" max="8194" width="9.1796875" style="19"/>
    <col min="8195" max="8195" width="11.7265625" style="19" customWidth="1"/>
    <col min="8196" max="8196" width="9.1796875" style="19"/>
    <col min="8197" max="8197" width="14.7265625" style="19" customWidth="1"/>
    <col min="8198" max="8198" width="10.7265625" style="19" customWidth="1"/>
    <col min="8199" max="8450" width="9.1796875" style="19"/>
    <col min="8451" max="8451" width="11.7265625" style="19" customWidth="1"/>
    <col min="8452" max="8452" width="9.1796875" style="19"/>
    <col min="8453" max="8453" width="14.7265625" style="19" customWidth="1"/>
    <col min="8454" max="8454" width="10.7265625" style="19" customWidth="1"/>
    <col min="8455" max="8706" width="9.1796875" style="19"/>
    <col min="8707" max="8707" width="11.7265625" style="19" customWidth="1"/>
    <col min="8708" max="8708" width="9.1796875" style="19"/>
    <col min="8709" max="8709" width="14.7265625" style="19" customWidth="1"/>
    <col min="8710" max="8710" width="10.7265625" style="19" customWidth="1"/>
    <col min="8711" max="8962" width="9.1796875" style="19"/>
    <col min="8963" max="8963" width="11.7265625" style="19" customWidth="1"/>
    <col min="8964" max="8964" width="9.1796875" style="19"/>
    <col min="8965" max="8965" width="14.7265625" style="19" customWidth="1"/>
    <col min="8966" max="8966" width="10.7265625" style="19" customWidth="1"/>
    <col min="8967" max="9218" width="9.1796875" style="19"/>
    <col min="9219" max="9219" width="11.7265625" style="19" customWidth="1"/>
    <col min="9220" max="9220" width="9.1796875" style="19"/>
    <col min="9221" max="9221" width="14.7265625" style="19" customWidth="1"/>
    <col min="9222" max="9222" width="10.7265625" style="19" customWidth="1"/>
    <col min="9223" max="9474" width="9.1796875" style="19"/>
    <col min="9475" max="9475" width="11.7265625" style="19" customWidth="1"/>
    <col min="9476" max="9476" width="9.1796875" style="19"/>
    <col min="9477" max="9477" width="14.7265625" style="19" customWidth="1"/>
    <col min="9478" max="9478" width="10.7265625" style="19" customWidth="1"/>
    <col min="9479" max="9730" width="9.1796875" style="19"/>
    <col min="9731" max="9731" width="11.7265625" style="19" customWidth="1"/>
    <col min="9732" max="9732" width="9.1796875" style="19"/>
    <col min="9733" max="9733" width="14.7265625" style="19" customWidth="1"/>
    <col min="9734" max="9734" width="10.7265625" style="19" customWidth="1"/>
    <col min="9735" max="9986" width="9.1796875" style="19"/>
    <col min="9987" max="9987" width="11.7265625" style="19" customWidth="1"/>
    <col min="9988" max="9988" width="9.1796875" style="19"/>
    <col min="9989" max="9989" width="14.7265625" style="19" customWidth="1"/>
    <col min="9990" max="9990" width="10.7265625" style="19" customWidth="1"/>
    <col min="9991" max="10242" width="9.1796875" style="19"/>
    <col min="10243" max="10243" width="11.7265625" style="19" customWidth="1"/>
    <col min="10244" max="10244" width="9.1796875" style="19"/>
    <col min="10245" max="10245" width="14.7265625" style="19" customWidth="1"/>
    <col min="10246" max="10246" width="10.7265625" style="19" customWidth="1"/>
    <col min="10247" max="10498" width="9.1796875" style="19"/>
    <col min="10499" max="10499" width="11.7265625" style="19" customWidth="1"/>
    <col min="10500" max="10500" width="9.1796875" style="19"/>
    <col min="10501" max="10501" width="14.7265625" style="19" customWidth="1"/>
    <col min="10502" max="10502" width="10.7265625" style="19" customWidth="1"/>
    <col min="10503" max="10754" width="9.1796875" style="19"/>
    <col min="10755" max="10755" width="11.7265625" style="19" customWidth="1"/>
    <col min="10756" max="10756" width="9.1796875" style="19"/>
    <col min="10757" max="10757" width="14.7265625" style="19" customWidth="1"/>
    <col min="10758" max="10758" width="10.7265625" style="19" customWidth="1"/>
    <col min="10759" max="11010" width="9.1796875" style="19"/>
    <col min="11011" max="11011" width="11.7265625" style="19" customWidth="1"/>
    <col min="11012" max="11012" width="9.1796875" style="19"/>
    <col min="11013" max="11013" width="14.7265625" style="19" customWidth="1"/>
    <col min="11014" max="11014" width="10.7265625" style="19" customWidth="1"/>
    <col min="11015" max="11266" width="9.1796875" style="19"/>
    <col min="11267" max="11267" width="11.7265625" style="19" customWidth="1"/>
    <col min="11268" max="11268" width="9.1796875" style="19"/>
    <col min="11269" max="11269" width="14.7265625" style="19" customWidth="1"/>
    <col min="11270" max="11270" width="10.7265625" style="19" customWidth="1"/>
    <col min="11271" max="11522" width="9.1796875" style="19"/>
    <col min="11523" max="11523" width="11.7265625" style="19" customWidth="1"/>
    <col min="11524" max="11524" width="9.1796875" style="19"/>
    <col min="11525" max="11525" width="14.7265625" style="19" customWidth="1"/>
    <col min="11526" max="11526" width="10.7265625" style="19" customWidth="1"/>
    <col min="11527" max="11778" width="9.1796875" style="19"/>
    <col min="11779" max="11779" width="11.7265625" style="19" customWidth="1"/>
    <col min="11780" max="11780" width="9.1796875" style="19"/>
    <col min="11781" max="11781" width="14.7265625" style="19" customWidth="1"/>
    <col min="11782" max="11782" width="10.7265625" style="19" customWidth="1"/>
    <col min="11783" max="12034" width="9.1796875" style="19"/>
    <col min="12035" max="12035" width="11.7265625" style="19" customWidth="1"/>
    <col min="12036" max="12036" width="9.1796875" style="19"/>
    <col min="12037" max="12037" width="14.7265625" style="19" customWidth="1"/>
    <col min="12038" max="12038" width="10.7265625" style="19" customWidth="1"/>
    <col min="12039" max="12290" width="9.1796875" style="19"/>
    <col min="12291" max="12291" width="11.7265625" style="19" customWidth="1"/>
    <col min="12292" max="12292" width="9.1796875" style="19"/>
    <col min="12293" max="12293" width="14.7265625" style="19" customWidth="1"/>
    <col min="12294" max="12294" width="10.7265625" style="19" customWidth="1"/>
    <col min="12295" max="12546" width="9.1796875" style="19"/>
    <col min="12547" max="12547" width="11.7265625" style="19" customWidth="1"/>
    <col min="12548" max="12548" width="9.1796875" style="19"/>
    <col min="12549" max="12549" width="14.7265625" style="19" customWidth="1"/>
    <col min="12550" max="12550" width="10.7265625" style="19" customWidth="1"/>
    <col min="12551" max="12802" width="9.1796875" style="19"/>
    <col min="12803" max="12803" width="11.7265625" style="19" customWidth="1"/>
    <col min="12804" max="12804" width="9.1796875" style="19"/>
    <col min="12805" max="12805" width="14.7265625" style="19" customWidth="1"/>
    <col min="12806" max="12806" width="10.7265625" style="19" customWidth="1"/>
    <col min="12807" max="13058" width="9.1796875" style="19"/>
    <col min="13059" max="13059" width="11.7265625" style="19" customWidth="1"/>
    <col min="13060" max="13060" width="9.1796875" style="19"/>
    <col min="13061" max="13061" width="14.7265625" style="19" customWidth="1"/>
    <col min="13062" max="13062" width="10.7265625" style="19" customWidth="1"/>
    <col min="13063" max="13314" width="9.1796875" style="19"/>
    <col min="13315" max="13315" width="11.7265625" style="19" customWidth="1"/>
    <col min="13316" max="13316" width="9.1796875" style="19"/>
    <col min="13317" max="13317" width="14.7265625" style="19" customWidth="1"/>
    <col min="13318" max="13318" width="10.7265625" style="19" customWidth="1"/>
    <col min="13319" max="13570" width="9.1796875" style="19"/>
    <col min="13571" max="13571" width="11.7265625" style="19" customWidth="1"/>
    <col min="13572" max="13572" width="9.1796875" style="19"/>
    <col min="13573" max="13573" width="14.7265625" style="19" customWidth="1"/>
    <col min="13574" max="13574" width="10.7265625" style="19" customWidth="1"/>
    <col min="13575" max="13826" width="9.1796875" style="19"/>
    <col min="13827" max="13827" width="11.7265625" style="19" customWidth="1"/>
    <col min="13828" max="13828" width="9.1796875" style="19"/>
    <col min="13829" max="13829" width="14.7265625" style="19" customWidth="1"/>
    <col min="13830" max="13830" width="10.7265625" style="19" customWidth="1"/>
    <col min="13831" max="14082" width="9.1796875" style="19"/>
    <col min="14083" max="14083" width="11.7265625" style="19" customWidth="1"/>
    <col min="14084" max="14084" width="9.1796875" style="19"/>
    <col min="14085" max="14085" width="14.7265625" style="19" customWidth="1"/>
    <col min="14086" max="14086" width="10.7265625" style="19" customWidth="1"/>
    <col min="14087" max="14338" width="9.1796875" style="19"/>
    <col min="14339" max="14339" width="11.7265625" style="19" customWidth="1"/>
    <col min="14340" max="14340" width="9.1796875" style="19"/>
    <col min="14341" max="14341" width="14.7265625" style="19" customWidth="1"/>
    <col min="14342" max="14342" width="10.7265625" style="19" customWidth="1"/>
    <col min="14343" max="14594" width="9.1796875" style="19"/>
    <col min="14595" max="14595" width="11.7265625" style="19" customWidth="1"/>
    <col min="14596" max="14596" width="9.1796875" style="19"/>
    <col min="14597" max="14597" width="14.7265625" style="19" customWidth="1"/>
    <col min="14598" max="14598" width="10.7265625" style="19" customWidth="1"/>
    <col min="14599" max="14850" width="9.1796875" style="19"/>
    <col min="14851" max="14851" width="11.7265625" style="19" customWidth="1"/>
    <col min="14852" max="14852" width="9.1796875" style="19"/>
    <col min="14853" max="14853" width="14.7265625" style="19" customWidth="1"/>
    <col min="14854" max="14854" width="10.7265625" style="19" customWidth="1"/>
    <col min="14855" max="15106" width="9.1796875" style="19"/>
    <col min="15107" max="15107" width="11.7265625" style="19" customWidth="1"/>
    <col min="15108" max="15108" width="9.1796875" style="19"/>
    <col min="15109" max="15109" width="14.7265625" style="19" customWidth="1"/>
    <col min="15110" max="15110" width="10.7265625" style="19" customWidth="1"/>
    <col min="15111" max="15362" width="9.1796875" style="19"/>
    <col min="15363" max="15363" width="11.7265625" style="19" customWidth="1"/>
    <col min="15364" max="15364" width="9.1796875" style="19"/>
    <col min="15365" max="15365" width="14.7265625" style="19" customWidth="1"/>
    <col min="15366" max="15366" width="10.7265625" style="19" customWidth="1"/>
    <col min="15367" max="15618" width="9.1796875" style="19"/>
    <col min="15619" max="15619" width="11.7265625" style="19" customWidth="1"/>
    <col min="15620" max="15620" width="9.1796875" style="19"/>
    <col min="15621" max="15621" width="14.7265625" style="19" customWidth="1"/>
    <col min="15622" max="15622" width="10.7265625" style="19" customWidth="1"/>
    <col min="15623" max="15874" width="9.1796875" style="19"/>
    <col min="15875" max="15875" width="11.7265625" style="19" customWidth="1"/>
    <col min="15876" max="15876" width="9.1796875" style="19"/>
    <col min="15877" max="15877" width="14.7265625" style="19" customWidth="1"/>
    <col min="15878" max="15878" width="10.7265625" style="19" customWidth="1"/>
    <col min="15879" max="16130" width="9.1796875" style="19"/>
    <col min="16131" max="16131" width="11.7265625" style="19" customWidth="1"/>
    <col min="16132" max="16132" width="9.1796875" style="19"/>
    <col min="16133" max="16133" width="14.7265625" style="19" customWidth="1"/>
    <col min="16134" max="16134" width="10.7265625" style="19" customWidth="1"/>
    <col min="16135" max="16384" width="9.1796875" style="19"/>
  </cols>
  <sheetData>
    <row r="2" spans="1:13" x14ac:dyDescent="0.3">
      <c r="A2" s="20" t="s">
        <v>134</v>
      </c>
      <c r="B2" s="20" t="s">
        <v>135</v>
      </c>
      <c r="C2" s="20" t="s">
        <v>136</v>
      </c>
      <c r="D2" s="257" t="s">
        <v>137</v>
      </c>
      <c r="E2" s="257"/>
    </row>
    <row r="3" spans="1:13" x14ac:dyDescent="0.3">
      <c r="A3" s="23">
        <v>0</v>
      </c>
      <c r="B3" s="23">
        <v>0</v>
      </c>
      <c r="C3" s="23">
        <v>1</v>
      </c>
      <c r="D3" s="258">
        <v>22</v>
      </c>
      <c r="E3" s="258"/>
    </row>
    <row r="5" spans="1:13" hidden="1" x14ac:dyDescent="0.3">
      <c r="A5" s="19" t="s">
        <v>100</v>
      </c>
      <c r="B5" s="21" t="s">
        <v>151</v>
      </c>
      <c r="C5" s="21">
        <f>D3</f>
        <v>22</v>
      </c>
      <c r="D5" s="22"/>
    </row>
    <row r="6" spans="1:13" x14ac:dyDescent="0.3">
      <c r="A6" s="19" t="s">
        <v>101</v>
      </c>
      <c r="B6" s="24">
        <v>10</v>
      </c>
      <c r="C6" s="25">
        <v>10</v>
      </c>
      <c r="D6" s="26">
        <f>((100/B6)*C6)/100</f>
        <v>1</v>
      </c>
    </row>
    <row r="7" spans="1:13" x14ac:dyDescent="0.3">
      <c r="A7" s="19" t="s">
        <v>102</v>
      </c>
      <c r="B7" s="24">
        <f>A3+B3+C3+D3</f>
        <v>23</v>
      </c>
      <c r="C7" s="25">
        <v>0</v>
      </c>
      <c r="D7" s="26">
        <f t="shared" ref="D7:D12" si="0">((100/B7)*C7)/100</f>
        <v>0</v>
      </c>
      <c r="F7" s="260" t="s">
        <v>152</v>
      </c>
      <c r="G7" s="260"/>
      <c r="H7" s="27" t="s">
        <v>153</v>
      </c>
      <c r="J7" s="33"/>
    </row>
    <row r="8" spans="1:13" x14ac:dyDescent="0.3">
      <c r="A8" s="19" t="s">
        <v>107</v>
      </c>
      <c r="B8" s="24">
        <f>C5</f>
        <v>22</v>
      </c>
      <c r="C8" s="25">
        <v>0</v>
      </c>
      <c r="D8" s="26">
        <f t="shared" si="0"/>
        <v>0</v>
      </c>
      <c r="F8" s="259" t="s">
        <v>154</v>
      </c>
      <c r="G8" s="259"/>
      <c r="H8" s="24" t="s">
        <v>155</v>
      </c>
    </row>
    <row r="9" spans="1:13" x14ac:dyDescent="0.3">
      <c r="A9" s="19" t="s">
        <v>109</v>
      </c>
      <c r="B9" s="24">
        <f>C5</f>
        <v>22</v>
      </c>
      <c r="C9" s="25">
        <v>0</v>
      </c>
      <c r="D9" s="26">
        <f t="shared" si="0"/>
        <v>0</v>
      </c>
      <c r="F9" s="259" t="s">
        <v>156</v>
      </c>
      <c r="G9" s="259"/>
      <c r="H9" s="24" t="s">
        <v>157</v>
      </c>
    </row>
    <row r="10" spans="1:13" x14ac:dyDescent="0.3">
      <c r="A10" s="19" t="s">
        <v>70</v>
      </c>
      <c r="B10" s="24">
        <f>C5</f>
        <v>22</v>
      </c>
      <c r="C10" s="25">
        <v>0</v>
      </c>
      <c r="D10" s="26">
        <f t="shared" si="0"/>
        <v>0</v>
      </c>
      <c r="F10" s="259" t="s">
        <v>158</v>
      </c>
      <c r="G10" s="259"/>
      <c r="H10" s="24" t="s">
        <v>159</v>
      </c>
    </row>
    <row r="11" spans="1:13" x14ac:dyDescent="0.3">
      <c r="A11" s="28" t="s">
        <v>105</v>
      </c>
      <c r="B11" s="24">
        <f>C5</f>
        <v>22</v>
      </c>
      <c r="C11" s="25">
        <v>0</v>
      </c>
      <c r="D11" s="26">
        <f t="shared" si="0"/>
        <v>0</v>
      </c>
      <c r="F11" s="259" t="s">
        <v>160</v>
      </c>
      <c r="G11" s="259"/>
      <c r="H11" s="24" t="s">
        <v>161</v>
      </c>
    </row>
    <row r="12" spans="1:13" x14ac:dyDescent="0.3">
      <c r="A12" s="19" t="s">
        <v>71</v>
      </c>
      <c r="B12" s="24">
        <f>C5</f>
        <v>22</v>
      </c>
      <c r="C12" s="25">
        <v>0</v>
      </c>
      <c r="D12" s="26">
        <f t="shared" si="0"/>
        <v>0</v>
      </c>
      <c r="F12" s="259" t="s">
        <v>162</v>
      </c>
      <c r="G12" s="259"/>
      <c r="H12" s="24" t="s">
        <v>163</v>
      </c>
    </row>
    <row r="13" spans="1:13" x14ac:dyDescent="0.3">
      <c r="F13" s="259" t="s">
        <v>164</v>
      </c>
      <c r="G13" s="259"/>
      <c r="H13" s="24" t="s">
        <v>165</v>
      </c>
    </row>
    <row r="14" spans="1:13" hidden="1" x14ac:dyDescent="0.3">
      <c r="A14" s="20"/>
      <c r="B14" s="20" t="s">
        <v>106</v>
      </c>
      <c r="C14" s="20" t="s">
        <v>110</v>
      </c>
      <c r="G14" s="20" t="s">
        <v>101</v>
      </c>
      <c r="H14" s="20" t="s">
        <v>103</v>
      </c>
      <c r="I14" s="20" t="s">
        <v>104</v>
      </c>
      <c r="J14" s="20" t="s">
        <v>69</v>
      </c>
      <c r="K14" s="20" t="s">
        <v>70</v>
      </c>
      <c r="L14" s="20" t="s">
        <v>105</v>
      </c>
      <c r="M14" s="20" t="s">
        <v>71</v>
      </c>
    </row>
    <row r="15" spans="1:13" hidden="1" x14ac:dyDescent="0.3">
      <c r="A15" s="20" t="s">
        <v>67</v>
      </c>
      <c r="B15" s="20">
        <f>G15</f>
        <v>10</v>
      </c>
      <c r="C15" s="20">
        <f>G16</f>
        <v>30</v>
      </c>
      <c r="E15" s="257" t="s">
        <v>106</v>
      </c>
      <c r="F15" s="257"/>
      <c r="G15" s="29">
        <f>C6</f>
        <v>10</v>
      </c>
      <c r="H15" s="29">
        <f>40/B7*C7</f>
        <v>0</v>
      </c>
      <c r="I15" s="29">
        <f>15/B8*C8</f>
        <v>0</v>
      </c>
      <c r="J15" s="29">
        <f>10/B9*C9</f>
        <v>0</v>
      </c>
      <c r="K15" s="29">
        <f>10/B10*C10</f>
        <v>0</v>
      </c>
      <c r="L15" s="29">
        <f>5/B11*C11</f>
        <v>0</v>
      </c>
      <c r="M15" s="29">
        <f>5/B12*C12</f>
        <v>0</v>
      </c>
    </row>
    <row r="16" spans="1:13" hidden="1" x14ac:dyDescent="0.3">
      <c r="A16" s="20" t="s">
        <v>68</v>
      </c>
      <c r="B16" s="20">
        <f>H15</f>
        <v>0</v>
      </c>
      <c r="C16" s="20">
        <f>H16</f>
        <v>0</v>
      </c>
      <c r="E16" s="257" t="s">
        <v>108</v>
      </c>
      <c r="F16" s="257"/>
      <c r="G16" s="20">
        <f>G15+20</f>
        <v>30</v>
      </c>
      <c r="H16" s="20">
        <f>30/B7*C7</f>
        <v>0</v>
      </c>
      <c r="I16" s="20">
        <f>15/B8*C8</f>
        <v>0</v>
      </c>
      <c r="J16" s="20">
        <f>10/B9*C9</f>
        <v>0</v>
      </c>
      <c r="K16" s="20">
        <f>5/B10*C10</f>
        <v>0</v>
      </c>
      <c r="L16" s="20">
        <f>5/B11*C11</f>
        <v>0</v>
      </c>
      <c r="M16" s="20">
        <f>5/B12*C12</f>
        <v>0</v>
      </c>
    </row>
    <row r="17" spans="1:8" hidden="1" x14ac:dyDescent="0.3">
      <c r="A17" s="20" t="s">
        <v>104</v>
      </c>
      <c r="B17" s="20">
        <f>I15</f>
        <v>0</v>
      </c>
      <c r="C17" s="20">
        <f>I16</f>
        <v>0</v>
      </c>
    </row>
    <row r="18" spans="1:8" hidden="1" x14ac:dyDescent="0.3">
      <c r="A18" s="20" t="s">
        <v>69</v>
      </c>
      <c r="B18" s="20">
        <f>J15</f>
        <v>0</v>
      </c>
      <c r="C18" s="20">
        <f>J16</f>
        <v>0</v>
      </c>
    </row>
    <row r="19" spans="1:8" hidden="1" x14ac:dyDescent="0.3">
      <c r="A19" s="20" t="s">
        <v>70</v>
      </c>
      <c r="B19" s="20">
        <f>K15</f>
        <v>0</v>
      </c>
      <c r="C19" s="20">
        <f>K16</f>
        <v>0</v>
      </c>
    </row>
    <row r="20" spans="1:8" hidden="1" x14ac:dyDescent="0.3">
      <c r="A20" s="30" t="s">
        <v>105</v>
      </c>
      <c r="B20" s="20">
        <f>L15</f>
        <v>0</v>
      </c>
      <c r="C20" s="20">
        <f>L16</f>
        <v>0</v>
      </c>
    </row>
    <row r="21" spans="1:8" hidden="1" x14ac:dyDescent="0.3">
      <c r="A21" s="20" t="s">
        <v>71</v>
      </c>
      <c r="B21" s="20">
        <f>M15</f>
        <v>0</v>
      </c>
      <c r="C21" s="20">
        <f>M16</f>
        <v>0</v>
      </c>
    </row>
    <row r="22" spans="1:8" x14ac:dyDescent="0.3">
      <c r="A22" s="20" t="s">
        <v>111</v>
      </c>
      <c r="B22" s="31">
        <f>(B15+B16+B17+B18+B19+B20+B21)/100</f>
        <v>0.1</v>
      </c>
      <c r="C22" s="31">
        <f>(C15+C16+C17+C18+C19+C20+C21)/100</f>
        <v>0.3</v>
      </c>
      <c r="F22" s="259" t="s">
        <v>166</v>
      </c>
      <c r="G22" s="259"/>
      <c r="H22" s="24" t="s">
        <v>157</v>
      </c>
    </row>
    <row r="23" spans="1:8" x14ac:dyDescent="0.3">
      <c r="F23" s="259" t="s">
        <v>167</v>
      </c>
      <c r="G23" s="259"/>
      <c r="H23" s="24" t="s">
        <v>168</v>
      </c>
    </row>
    <row r="24" spans="1:8" x14ac:dyDescent="0.3">
      <c r="A24" s="19" t="s">
        <v>142</v>
      </c>
      <c r="B24" s="32">
        <v>0.01</v>
      </c>
      <c r="C24" s="32">
        <v>0.02</v>
      </c>
      <c r="F24" s="259" t="s">
        <v>169</v>
      </c>
      <c r="G24" s="259"/>
      <c r="H24" s="24" t="s">
        <v>170</v>
      </c>
    </row>
    <row r="25" spans="1:8" x14ac:dyDescent="0.3">
      <c r="A25" s="19" t="s">
        <v>143</v>
      </c>
      <c r="B25" s="32">
        <v>0.01</v>
      </c>
      <c r="C25" s="32">
        <v>0.03</v>
      </c>
    </row>
    <row r="26" spans="1:8" x14ac:dyDescent="0.3">
      <c r="A26" s="19" t="s">
        <v>144</v>
      </c>
      <c r="B26" s="32">
        <v>0.03</v>
      </c>
      <c r="C26" s="32">
        <v>0.08</v>
      </c>
    </row>
    <row r="27" spans="1:8" x14ac:dyDescent="0.3">
      <c r="A27" s="19" t="s">
        <v>145</v>
      </c>
      <c r="B27" s="32">
        <v>0.05</v>
      </c>
      <c r="C27" s="32">
        <v>0.15</v>
      </c>
    </row>
    <row r="28" spans="1:8" x14ac:dyDescent="0.3">
      <c r="A28" s="19" t="s">
        <v>146</v>
      </c>
      <c r="B28" s="32">
        <v>7.0000000000000007E-2</v>
      </c>
      <c r="C28" s="32">
        <v>0.2</v>
      </c>
    </row>
    <row r="29" spans="1:8" x14ac:dyDescent="0.3">
      <c r="A29" s="19" t="s">
        <v>147</v>
      </c>
      <c r="B29" s="32">
        <v>0.1</v>
      </c>
      <c r="C29" s="32">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6" workbookViewId="0">
      <selection activeCell="C27" sqref="C27"/>
    </sheetView>
  </sheetViews>
  <sheetFormatPr defaultRowHeight="14.5" x14ac:dyDescent="0.35"/>
  <cols>
    <col min="2" max="2" width="12.26953125" customWidth="1"/>
  </cols>
  <sheetData>
    <row r="2" spans="1:12" x14ac:dyDescent="0.35">
      <c r="B2" s="5" t="s">
        <v>112</v>
      </c>
      <c r="C2" s="261"/>
      <c r="D2" s="261"/>
    </row>
    <row r="3" spans="1:12" x14ac:dyDescent="0.35">
      <c r="D3" s="6"/>
      <c r="E3" s="6"/>
      <c r="F3" s="6"/>
      <c r="G3" s="6"/>
      <c r="H3" s="6"/>
      <c r="I3" s="6"/>
    </row>
    <row r="4" spans="1:12" x14ac:dyDescent="0.35">
      <c r="A4" s="5" t="s">
        <v>113</v>
      </c>
      <c r="B4" s="7" t="s">
        <v>114</v>
      </c>
      <c r="C4" s="262" t="s">
        <v>115</v>
      </c>
      <c r="D4" s="262"/>
      <c r="E4" s="262"/>
      <c r="F4" s="8"/>
      <c r="G4" s="262" t="s">
        <v>116</v>
      </c>
      <c r="H4" s="262"/>
      <c r="I4" s="262"/>
      <c r="J4" s="262" t="s">
        <v>117</v>
      </c>
      <c r="K4" s="262"/>
      <c r="L4" s="262"/>
    </row>
    <row r="5" spans="1:12" x14ac:dyDescent="0.35">
      <c r="A5" s="5">
        <v>1</v>
      </c>
      <c r="B5" s="7"/>
      <c r="C5" s="7" t="s">
        <v>118</v>
      </c>
      <c r="D5" s="7" t="s">
        <v>119</v>
      </c>
      <c r="E5" s="7" t="s">
        <v>79</v>
      </c>
      <c r="F5" s="7"/>
      <c r="G5" s="7" t="s">
        <v>118</v>
      </c>
      <c r="H5" s="7" t="s">
        <v>119</v>
      </c>
      <c r="I5" s="7" t="s">
        <v>79</v>
      </c>
      <c r="J5" s="7" t="s">
        <v>118</v>
      </c>
      <c r="K5" s="7" t="s">
        <v>119</v>
      </c>
      <c r="L5" s="7" t="s">
        <v>79</v>
      </c>
    </row>
    <row r="6" spans="1:12" x14ac:dyDescent="0.35">
      <c r="B6" s="9" t="s">
        <v>120</v>
      </c>
      <c r="C6" s="9">
        <v>3.05</v>
      </c>
      <c r="D6" s="9">
        <v>6.05</v>
      </c>
      <c r="E6" s="9">
        <f>C6*D6</f>
        <v>18.452499999999997</v>
      </c>
      <c r="F6" s="9" t="s">
        <v>121</v>
      </c>
      <c r="G6" s="9"/>
      <c r="H6" s="9"/>
      <c r="I6" s="9">
        <f>G6*H6</f>
        <v>0</v>
      </c>
      <c r="J6" s="9"/>
      <c r="K6" s="9"/>
      <c r="L6" s="9">
        <f>J6*K6</f>
        <v>0</v>
      </c>
    </row>
    <row r="7" spans="1:12" x14ac:dyDescent="0.35">
      <c r="B7" s="9"/>
      <c r="C7" s="9"/>
      <c r="D7" s="9"/>
      <c r="E7" s="9">
        <f t="shared" ref="E7:E33" si="0">C7*D7</f>
        <v>0</v>
      </c>
      <c r="F7" s="9" t="s">
        <v>122</v>
      </c>
      <c r="G7" s="9"/>
      <c r="H7" s="9"/>
      <c r="I7" s="9">
        <f t="shared" ref="I7:I29" si="1">G7*H7</f>
        <v>0</v>
      </c>
      <c r="J7" s="9"/>
      <c r="K7" s="9"/>
      <c r="L7" s="9">
        <f t="shared" ref="L7:L29" si="2">J7*K7</f>
        <v>0</v>
      </c>
    </row>
    <row r="8" spans="1:12" x14ac:dyDescent="0.35">
      <c r="B8" s="9"/>
      <c r="C8" s="9"/>
      <c r="D8" s="9"/>
      <c r="E8" s="9">
        <f t="shared" si="0"/>
        <v>0</v>
      </c>
      <c r="F8" s="9"/>
      <c r="G8" s="9"/>
      <c r="H8" s="9"/>
      <c r="I8" s="9">
        <f t="shared" si="1"/>
        <v>0</v>
      </c>
      <c r="J8" s="9"/>
      <c r="K8" s="9"/>
      <c r="L8" s="9">
        <f t="shared" si="2"/>
        <v>0</v>
      </c>
    </row>
    <row r="9" spans="1:12" x14ac:dyDescent="0.35">
      <c r="B9" s="9" t="s">
        <v>123</v>
      </c>
      <c r="C9" s="9">
        <v>2.0499999999999998</v>
      </c>
      <c r="D9" s="9">
        <v>3</v>
      </c>
      <c r="E9" s="9">
        <f t="shared" si="0"/>
        <v>6.1499999999999995</v>
      </c>
      <c r="F9" s="9" t="s">
        <v>121</v>
      </c>
      <c r="G9" s="9"/>
      <c r="H9" s="9"/>
      <c r="I9" s="9">
        <f t="shared" si="1"/>
        <v>0</v>
      </c>
      <c r="J9" s="9"/>
      <c r="K9" s="9"/>
      <c r="L9" s="9">
        <f t="shared" si="2"/>
        <v>0</v>
      </c>
    </row>
    <row r="10" spans="1:12" x14ac:dyDescent="0.35">
      <c r="B10" s="9"/>
      <c r="C10" s="9"/>
      <c r="D10" s="9"/>
      <c r="E10" s="9">
        <f t="shared" si="0"/>
        <v>0</v>
      </c>
      <c r="F10" s="9" t="s">
        <v>122</v>
      </c>
      <c r="G10" s="9"/>
      <c r="H10" s="9"/>
      <c r="I10" s="9">
        <f t="shared" si="1"/>
        <v>0</v>
      </c>
      <c r="J10" s="9"/>
      <c r="K10" s="9"/>
      <c r="L10" s="9">
        <f t="shared" si="2"/>
        <v>0</v>
      </c>
    </row>
    <row r="11" spans="1:12" x14ac:dyDescent="0.35">
      <c r="B11" s="9"/>
      <c r="C11" s="9"/>
      <c r="D11" s="9"/>
      <c r="E11" s="9">
        <f t="shared" si="0"/>
        <v>0</v>
      </c>
      <c r="F11" s="9"/>
      <c r="G11" s="9"/>
      <c r="H11" s="9"/>
      <c r="I11" s="9">
        <f t="shared" si="1"/>
        <v>0</v>
      </c>
      <c r="J11" s="9"/>
      <c r="K11" s="9"/>
      <c r="L11" s="9">
        <f t="shared" si="2"/>
        <v>0</v>
      </c>
    </row>
    <row r="12" spans="1:12" x14ac:dyDescent="0.35">
      <c r="B12" s="9"/>
      <c r="C12" s="9"/>
      <c r="D12" s="9"/>
      <c r="E12" s="9">
        <f t="shared" si="0"/>
        <v>0</v>
      </c>
      <c r="F12" s="9"/>
      <c r="G12" s="9"/>
      <c r="H12" s="9"/>
      <c r="I12" s="9">
        <f t="shared" si="1"/>
        <v>0</v>
      </c>
      <c r="J12" s="9"/>
      <c r="K12" s="9"/>
      <c r="L12" s="9">
        <f t="shared" si="2"/>
        <v>0</v>
      </c>
    </row>
    <row r="13" spans="1:12" x14ac:dyDescent="0.35">
      <c r="B13" s="9" t="s">
        <v>124</v>
      </c>
      <c r="C13" s="9">
        <v>3.05</v>
      </c>
      <c r="D13" s="9">
        <v>2.9</v>
      </c>
      <c r="E13" s="9">
        <f t="shared" si="0"/>
        <v>8.8449999999999989</v>
      </c>
      <c r="F13" s="9" t="s">
        <v>121</v>
      </c>
      <c r="G13" s="9"/>
      <c r="H13" s="9"/>
      <c r="I13" s="9">
        <f t="shared" si="1"/>
        <v>0</v>
      </c>
      <c r="J13" s="9"/>
      <c r="K13" s="9"/>
      <c r="L13" s="9">
        <f t="shared" si="2"/>
        <v>0</v>
      </c>
    </row>
    <row r="14" spans="1:12" x14ac:dyDescent="0.35">
      <c r="B14" s="9"/>
      <c r="C14" s="9"/>
      <c r="D14" s="9"/>
      <c r="E14" s="9">
        <f t="shared" si="0"/>
        <v>0</v>
      </c>
      <c r="F14" s="9" t="s">
        <v>122</v>
      </c>
      <c r="G14" s="9"/>
      <c r="H14" s="9"/>
      <c r="I14" s="9">
        <f t="shared" si="1"/>
        <v>0</v>
      </c>
      <c r="J14" s="9"/>
      <c r="K14" s="9"/>
      <c r="L14" s="9">
        <f t="shared" si="2"/>
        <v>0</v>
      </c>
    </row>
    <row r="15" spans="1:12" x14ac:dyDescent="0.35">
      <c r="B15" s="9"/>
      <c r="C15" s="9"/>
      <c r="D15" s="9"/>
      <c r="E15" s="9">
        <f t="shared" si="0"/>
        <v>0</v>
      </c>
      <c r="F15" s="9"/>
      <c r="G15" s="9"/>
      <c r="H15" s="9"/>
      <c r="I15" s="9">
        <f t="shared" si="1"/>
        <v>0</v>
      </c>
      <c r="J15" s="9"/>
      <c r="K15" s="9"/>
      <c r="L15" s="9">
        <f t="shared" si="2"/>
        <v>0</v>
      </c>
    </row>
    <row r="16" spans="1:12" x14ac:dyDescent="0.35">
      <c r="B16" s="9"/>
      <c r="C16" s="9"/>
      <c r="D16" s="9"/>
      <c r="E16" s="9">
        <f t="shared" si="0"/>
        <v>0</v>
      </c>
      <c r="F16" s="9"/>
      <c r="G16" s="9"/>
      <c r="H16" s="9"/>
      <c r="I16" s="9">
        <f t="shared" si="1"/>
        <v>0</v>
      </c>
      <c r="J16" s="9"/>
      <c r="K16" s="9"/>
      <c r="L16" s="9">
        <f t="shared" si="2"/>
        <v>0</v>
      </c>
    </row>
    <row r="17" spans="2:12" x14ac:dyDescent="0.35">
      <c r="B17" s="9" t="s">
        <v>125</v>
      </c>
      <c r="C17" s="9">
        <v>3.2</v>
      </c>
      <c r="D17" s="9">
        <v>3.05</v>
      </c>
      <c r="E17" s="9">
        <f t="shared" si="0"/>
        <v>9.76</v>
      </c>
      <c r="F17" s="9" t="s">
        <v>121</v>
      </c>
      <c r="G17" s="9"/>
      <c r="H17" s="9"/>
      <c r="I17" s="9">
        <f t="shared" si="1"/>
        <v>0</v>
      </c>
      <c r="J17" s="9"/>
      <c r="K17" s="9"/>
      <c r="L17" s="9">
        <f t="shared" si="2"/>
        <v>0</v>
      </c>
    </row>
    <row r="18" spans="2:12" x14ac:dyDescent="0.35">
      <c r="B18" s="9"/>
      <c r="C18" s="9"/>
      <c r="D18" s="9"/>
      <c r="E18" s="9">
        <f t="shared" si="0"/>
        <v>0</v>
      </c>
      <c r="F18" s="9" t="s">
        <v>122</v>
      </c>
      <c r="G18" s="9"/>
      <c r="H18" s="9"/>
      <c r="I18" s="9">
        <f t="shared" si="1"/>
        <v>0</v>
      </c>
      <c r="J18" s="9"/>
      <c r="K18" s="9"/>
      <c r="L18" s="9">
        <f t="shared" si="2"/>
        <v>0</v>
      </c>
    </row>
    <row r="19" spans="2:12" x14ac:dyDescent="0.35">
      <c r="B19" s="9"/>
      <c r="C19" s="9"/>
      <c r="D19" s="9"/>
      <c r="E19" s="9">
        <f t="shared" si="0"/>
        <v>0</v>
      </c>
      <c r="F19" s="9"/>
      <c r="G19" s="9"/>
      <c r="H19" s="9"/>
      <c r="I19" s="9">
        <f t="shared" si="1"/>
        <v>0</v>
      </c>
      <c r="J19" s="9"/>
      <c r="K19" s="9"/>
      <c r="L19" s="9">
        <f t="shared" si="2"/>
        <v>0</v>
      </c>
    </row>
    <row r="20" spans="2:12" x14ac:dyDescent="0.35">
      <c r="B20" s="9" t="s">
        <v>125</v>
      </c>
      <c r="C20" s="9"/>
      <c r="D20" s="9"/>
      <c r="E20" s="9">
        <f t="shared" si="0"/>
        <v>0</v>
      </c>
      <c r="F20" s="9" t="s">
        <v>121</v>
      </c>
      <c r="G20" s="9"/>
      <c r="H20" s="9"/>
      <c r="I20" s="9">
        <f t="shared" si="1"/>
        <v>0</v>
      </c>
      <c r="J20" s="9"/>
      <c r="K20" s="9"/>
      <c r="L20" s="9">
        <f t="shared" si="2"/>
        <v>0</v>
      </c>
    </row>
    <row r="21" spans="2:12" x14ac:dyDescent="0.35">
      <c r="B21" s="9"/>
      <c r="C21" s="9"/>
      <c r="D21" s="9"/>
      <c r="E21" s="9">
        <f t="shared" si="0"/>
        <v>0</v>
      </c>
      <c r="F21" s="9" t="s">
        <v>122</v>
      </c>
      <c r="G21" s="9"/>
      <c r="H21" s="9"/>
      <c r="I21" s="9">
        <f t="shared" si="1"/>
        <v>0</v>
      </c>
      <c r="J21" s="9"/>
      <c r="K21" s="9"/>
      <c r="L21" s="9">
        <f t="shared" si="2"/>
        <v>0</v>
      </c>
    </row>
    <row r="22" spans="2:12" x14ac:dyDescent="0.35">
      <c r="B22" s="9"/>
      <c r="C22" s="9"/>
      <c r="D22" s="9"/>
      <c r="E22" s="9">
        <f t="shared" si="0"/>
        <v>0</v>
      </c>
      <c r="F22" s="9"/>
      <c r="G22" s="9"/>
      <c r="H22" s="9"/>
      <c r="I22" s="9">
        <f t="shared" si="1"/>
        <v>0</v>
      </c>
      <c r="J22" s="9"/>
      <c r="K22" s="9"/>
      <c r="L22" s="9">
        <f t="shared" si="2"/>
        <v>0</v>
      </c>
    </row>
    <row r="23" spans="2:12" x14ac:dyDescent="0.35">
      <c r="B23" s="9" t="s">
        <v>126</v>
      </c>
      <c r="C23" s="9">
        <v>1.2</v>
      </c>
      <c r="D23" s="9">
        <v>2.0499999999999998</v>
      </c>
      <c r="E23" s="9">
        <f t="shared" si="0"/>
        <v>2.4599999999999995</v>
      </c>
      <c r="F23" s="9" t="s">
        <v>127</v>
      </c>
      <c r="G23" s="9"/>
      <c r="H23" s="9"/>
      <c r="I23" s="9">
        <f t="shared" si="1"/>
        <v>0</v>
      </c>
      <c r="J23" s="9"/>
      <c r="K23" s="9"/>
      <c r="L23" s="9">
        <f t="shared" si="2"/>
        <v>0</v>
      </c>
    </row>
    <row r="24" spans="2:12" x14ac:dyDescent="0.35">
      <c r="B24" s="9" t="s">
        <v>128</v>
      </c>
      <c r="C24" s="9">
        <v>1.2</v>
      </c>
      <c r="D24" s="9">
        <v>1.97</v>
      </c>
      <c r="E24" s="9">
        <f t="shared" si="0"/>
        <v>2.3639999999999999</v>
      </c>
      <c r="F24" s="9" t="s">
        <v>127</v>
      </c>
      <c r="G24" s="9"/>
      <c r="H24" s="9"/>
      <c r="I24" s="9">
        <f t="shared" si="1"/>
        <v>0</v>
      </c>
      <c r="J24" s="9"/>
      <c r="K24" s="9"/>
      <c r="L24" s="9">
        <f t="shared" si="2"/>
        <v>0</v>
      </c>
    </row>
    <row r="25" spans="2:12" x14ac:dyDescent="0.35">
      <c r="B25" s="9" t="s">
        <v>129</v>
      </c>
      <c r="C25" s="9"/>
      <c r="D25" s="9"/>
      <c r="E25" s="9">
        <f t="shared" si="0"/>
        <v>0</v>
      </c>
      <c r="F25" s="9" t="s">
        <v>127</v>
      </c>
      <c r="G25" s="9"/>
      <c r="H25" s="9"/>
      <c r="I25" s="9">
        <f t="shared" si="1"/>
        <v>0</v>
      </c>
      <c r="J25" s="9"/>
      <c r="K25" s="9"/>
      <c r="L25" s="9">
        <f t="shared" si="2"/>
        <v>0</v>
      </c>
    </row>
    <row r="26" spans="2:12" x14ac:dyDescent="0.35">
      <c r="B26" s="9"/>
      <c r="C26" s="9"/>
      <c r="D26" s="9"/>
      <c r="E26" s="9">
        <f t="shared" si="0"/>
        <v>0</v>
      </c>
      <c r="F26" s="9"/>
      <c r="G26" s="9"/>
      <c r="H26" s="9"/>
      <c r="I26" s="9">
        <f t="shared" si="1"/>
        <v>0</v>
      </c>
      <c r="J26" s="9"/>
      <c r="K26" s="9"/>
      <c r="L26" s="9">
        <f t="shared" si="2"/>
        <v>0</v>
      </c>
    </row>
    <row r="27" spans="2:12" x14ac:dyDescent="0.35">
      <c r="B27" s="9" t="s">
        <v>130</v>
      </c>
      <c r="C27" s="9"/>
      <c r="D27" s="9"/>
      <c r="E27" s="9">
        <f t="shared" si="0"/>
        <v>0</v>
      </c>
      <c r="F27" s="9"/>
      <c r="G27" s="9"/>
      <c r="H27" s="9"/>
      <c r="I27" s="9">
        <f t="shared" si="1"/>
        <v>0</v>
      </c>
      <c r="J27" s="9"/>
      <c r="K27" s="9"/>
      <c r="L27" s="9">
        <f t="shared" si="2"/>
        <v>0</v>
      </c>
    </row>
    <row r="28" spans="2:12" x14ac:dyDescent="0.35">
      <c r="B28" s="9" t="s">
        <v>131</v>
      </c>
      <c r="C28" s="9"/>
      <c r="D28" s="9"/>
      <c r="E28" s="9">
        <f t="shared" si="0"/>
        <v>0</v>
      </c>
      <c r="F28" s="9"/>
      <c r="G28" s="9"/>
      <c r="H28" s="9"/>
      <c r="I28" s="9">
        <f t="shared" si="1"/>
        <v>0</v>
      </c>
      <c r="J28" s="9"/>
      <c r="K28" s="9"/>
      <c r="L28" s="9">
        <f t="shared" si="2"/>
        <v>0</v>
      </c>
    </row>
    <row r="29" spans="2:12" x14ac:dyDescent="0.35">
      <c r="B29" s="9" t="s">
        <v>132</v>
      </c>
      <c r="C29" s="9"/>
      <c r="D29" s="9"/>
      <c r="E29" s="9">
        <f t="shared" si="0"/>
        <v>0</v>
      </c>
      <c r="F29" s="9"/>
      <c r="G29" s="9"/>
      <c r="H29" s="9"/>
      <c r="I29" s="9">
        <f t="shared" si="1"/>
        <v>0</v>
      </c>
      <c r="J29" s="9"/>
      <c r="K29" s="9"/>
      <c r="L29" s="9">
        <f t="shared" si="2"/>
        <v>0</v>
      </c>
    </row>
    <row r="30" spans="2:12" x14ac:dyDescent="0.35">
      <c r="B30" s="9" t="s">
        <v>133</v>
      </c>
      <c r="C30" s="9"/>
      <c r="D30" s="9"/>
      <c r="E30" s="9">
        <f t="shared" si="0"/>
        <v>0</v>
      </c>
      <c r="F30" s="9"/>
      <c r="G30" s="9"/>
      <c r="H30" s="9"/>
      <c r="I30" s="9">
        <f>G30*H30</f>
        <v>0</v>
      </c>
      <c r="J30" s="9"/>
      <c r="K30" s="9"/>
      <c r="L30" s="9">
        <f>J30*K30</f>
        <v>0</v>
      </c>
    </row>
    <row r="31" spans="2:12" x14ac:dyDescent="0.35">
      <c r="B31" s="9"/>
      <c r="C31" s="9"/>
      <c r="D31" s="9"/>
      <c r="E31" s="9">
        <f t="shared" si="0"/>
        <v>0</v>
      </c>
      <c r="F31" s="9"/>
      <c r="G31" s="9"/>
      <c r="H31" s="9"/>
      <c r="I31" s="9">
        <f>G31*H31</f>
        <v>0</v>
      </c>
      <c r="J31" s="9"/>
      <c r="K31" s="9"/>
      <c r="L31" s="9">
        <f>J31*K31</f>
        <v>0</v>
      </c>
    </row>
    <row r="32" spans="2:12" x14ac:dyDescent="0.35">
      <c r="B32" s="9"/>
      <c r="C32" s="9"/>
      <c r="D32" s="9"/>
      <c r="E32" s="9">
        <f t="shared" si="0"/>
        <v>0</v>
      </c>
      <c r="F32" s="9"/>
      <c r="G32" s="9"/>
      <c r="H32" s="9"/>
      <c r="I32" s="9">
        <f>G32*H32</f>
        <v>0</v>
      </c>
      <c r="J32" s="9"/>
      <c r="K32" s="9"/>
      <c r="L32" s="9">
        <f>J32*K32</f>
        <v>0</v>
      </c>
    </row>
    <row r="33" spans="2:12" x14ac:dyDescent="0.35">
      <c r="B33" s="9"/>
      <c r="C33" s="9"/>
      <c r="D33" s="9"/>
      <c r="E33" s="9">
        <f t="shared" si="0"/>
        <v>0</v>
      </c>
      <c r="F33" s="9"/>
      <c r="G33" s="9"/>
      <c r="H33" s="9"/>
      <c r="I33" s="9">
        <f>G33*H33</f>
        <v>0</v>
      </c>
      <c r="J33" s="9"/>
      <c r="K33" s="9"/>
      <c r="L33" s="9">
        <f>J33*K33</f>
        <v>0</v>
      </c>
    </row>
    <row r="34" spans="2:12" x14ac:dyDescent="0.35">
      <c r="B34" s="9" t="s">
        <v>80</v>
      </c>
      <c r="C34" s="9"/>
      <c r="D34" s="9">
        <f>E34*10.764</f>
        <v>517.0110659999998</v>
      </c>
      <c r="E34" s="9">
        <f>SUM(E6:E33)</f>
        <v>48.031499999999987</v>
      </c>
      <c r="F34" s="9"/>
      <c r="G34" s="9"/>
      <c r="H34" s="9">
        <f>I34*10.764</f>
        <v>0</v>
      </c>
      <c r="I34" s="9">
        <f>SUM(I6:I33)</f>
        <v>0</v>
      </c>
      <c r="J34" s="9"/>
      <c r="K34" s="9">
        <f>L34*10.764</f>
        <v>0</v>
      </c>
      <c r="L34" s="9">
        <f>SUM(L6:L33)</f>
        <v>0</v>
      </c>
    </row>
    <row r="36" spans="2:12" x14ac:dyDescent="0.35">
      <c r="D36">
        <f>D34+H34</f>
        <v>517.0110659999998</v>
      </c>
      <c r="E36">
        <f>E34+I34</f>
        <v>48.031499999999987</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vt:lpstr>
      <vt:lpstr>VALUATION</vt:lpstr>
      <vt:lpstr>NOTE</vt:lpstr>
      <vt:lpstr>E%</vt:lpstr>
      <vt:lpstr>B,C,D%</vt:lpstr>
      <vt:lpstr>Flat detail</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2025-08-17T15:47:23Z</cp:lastPrinted>
  <dcterms:created xsi:type="dcterms:W3CDTF">2019-07-16T09:29:46Z</dcterms:created>
  <dcterms:modified xsi:type="dcterms:W3CDTF">2025-08-17T15:47:59Z</dcterms:modified>
</cp:coreProperties>
</file>