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6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1" l="1"/>
  <c r="D124" i="1"/>
  <c r="E124" i="1"/>
  <c r="M124" i="1" l="1"/>
  <c r="D168" i="1" l="1"/>
  <c r="F168" i="1" s="1"/>
  <c r="D167" i="1"/>
  <c r="F167" i="1" s="1"/>
  <c r="D166" i="1"/>
  <c r="D165" i="1"/>
  <c r="F165" i="1" s="1"/>
  <c r="D164" i="1"/>
  <c r="F164" i="1" s="1"/>
  <c r="D162" i="1"/>
  <c r="F162" i="1" s="1"/>
  <c r="D161" i="1"/>
  <c r="F161" i="1" s="1"/>
  <c r="D160" i="1"/>
  <c r="F160" i="1" s="1"/>
  <c r="D159" i="1"/>
  <c r="F159" i="1" s="1"/>
  <c r="D158" i="1"/>
  <c r="F158" i="1" s="1"/>
  <c r="D156" i="1"/>
  <c r="F156" i="1" s="1"/>
  <c r="D155" i="1"/>
  <c r="F155" i="1" s="1"/>
  <c r="D153" i="1"/>
  <c r="F153" i="1" s="1"/>
  <c r="D152" i="1"/>
  <c r="F152" i="1" s="1"/>
  <c r="E147" i="1"/>
  <c r="D149" i="1"/>
  <c r="D148" i="1"/>
  <c r="D147" i="1"/>
  <c r="D146" i="1"/>
  <c r="D145" i="1"/>
  <c r="D143" i="1"/>
  <c r="D142" i="1"/>
  <c r="D141" i="1"/>
  <c r="D140" i="1"/>
  <c r="D139" i="1"/>
  <c r="D137" i="1"/>
  <c r="D136" i="1"/>
  <c r="D134" i="1"/>
  <c r="D133" i="1"/>
  <c r="D130" i="1"/>
  <c r="D129" i="1"/>
  <c r="D128" i="1"/>
  <c r="D127" i="1"/>
  <c r="D125" i="1"/>
  <c r="M125" i="1" s="1"/>
  <c r="D123" i="1"/>
  <c r="M123" i="1" s="1"/>
  <c r="D122" i="1"/>
  <c r="M122" i="1" s="1"/>
  <c r="D120" i="1"/>
  <c r="M120" i="1" s="1"/>
  <c r="D119" i="1"/>
  <c r="M119" i="1" s="1"/>
  <c r="D118" i="1"/>
  <c r="D117" i="1"/>
  <c r="M117" i="1" s="1"/>
  <c r="I123" i="1"/>
  <c r="I165" i="1"/>
  <c r="J166" i="1"/>
  <c r="F166" i="1"/>
  <c r="A165" i="1"/>
  <c r="A166" i="1" s="1"/>
  <c r="A167" i="1" s="1"/>
  <c r="A168" i="1" s="1"/>
  <c r="G164" i="1"/>
  <c r="I160" i="1"/>
  <c r="A159" i="1"/>
  <c r="A160" i="1" s="1"/>
  <c r="A161" i="1" s="1"/>
  <c r="A162" i="1" s="1"/>
  <c r="G158" i="1"/>
  <c r="I155" i="1"/>
  <c r="I153" i="1"/>
  <c r="A153" i="1"/>
  <c r="A154" i="1" s="1"/>
  <c r="A155" i="1" s="1"/>
  <c r="A156" i="1" s="1"/>
  <c r="I152" i="1"/>
  <c r="G152" i="1"/>
  <c r="J147" i="1"/>
  <c r="I141" i="1"/>
  <c r="I134" i="1"/>
  <c r="I136" i="1"/>
  <c r="I133" i="1"/>
  <c r="C107" i="1" l="1"/>
  <c r="M118" i="1"/>
  <c r="E108" i="1"/>
  <c r="G109" i="1"/>
  <c r="E107" i="1"/>
  <c r="C108" i="1"/>
  <c r="C109" i="1"/>
  <c r="E109" i="1"/>
  <c r="F140" i="1"/>
  <c r="F143" i="1"/>
  <c r="F149" i="1"/>
  <c r="F137" i="1"/>
  <c r="F133" i="1"/>
  <c r="F148" i="1"/>
  <c r="F147" i="1"/>
  <c r="F146" i="1"/>
  <c r="A146" i="1"/>
  <c r="A147" i="1" s="1"/>
  <c r="A148" i="1" s="1"/>
  <c r="A149" i="1" s="1"/>
  <c r="G145" i="1"/>
  <c r="F145" i="1"/>
  <c r="F142" i="1"/>
  <c r="F141" i="1"/>
  <c r="A140" i="1"/>
  <c r="A141" i="1" s="1"/>
  <c r="A142" i="1" s="1"/>
  <c r="A143" i="1" s="1"/>
  <c r="G139" i="1"/>
  <c r="F139" i="1"/>
  <c r="F136" i="1"/>
  <c r="F134" i="1"/>
  <c r="A134" i="1"/>
  <c r="A135" i="1" s="1"/>
  <c r="A136" i="1" s="1"/>
  <c r="A137" i="1" s="1"/>
  <c r="G133" i="1"/>
  <c r="K119" i="1"/>
  <c r="F123" i="1"/>
  <c r="F125" i="1"/>
  <c r="I119" i="1"/>
  <c r="I117" i="1"/>
  <c r="J118" i="1"/>
  <c r="I118" i="1"/>
  <c r="F130" i="1"/>
  <c r="F129" i="1"/>
  <c r="F128" i="1"/>
  <c r="A128" i="1"/>
  <c r="A129" i="1" s="1"/>
  <c r="A130" i="1" s="1"/>
  <c r="G127" i="1"/>
  <c r="F127" i="1"/>
  <c r="F124" i="1"/>
  <c r="A123" i="1"/>
  <c r="A124" i="1" s="1"/>
  <c r="A125" i="1" s="1"/>
  <c r="G122" i="1"/>
  <c r="F122" i="1"/>
  <c r="C110" i="1" l="1"/>
  <c r="E110" i="1"/>
  <c r="G108" i="1"/>
  <c r="D60" i="1"/>
  <c r="E29" i="1"/>
  <c r="B171" i="1"/>
  <c r="C66" i="1"/>
  <c r="B67" i="1" s="1"/>
  <c r="E24" i="1"/>
  <c r="E26" i="1" l="1"/>
  <c r="C14" i="1"/>
  <c r="E42" i="1" l="1"/>
  <c r="E43" i="1" s="1"/>
  <c r="F118" i="1" l="1"/>
  <c r="F119" i="1"/>
  <c r="F120" i="1"/>
  <c r="F117" i="1"/>
  <c r="A118" i="1"/>
  <c r="A119" i="1" s="1"/>
  <c r="A120" i="1" s="1"/>
  <c r="G117" i="1"/>
  <c r="G107" i="1" l="1"/>
  <c r="G110" i="1" s="1"/>
  <c r="F10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1" i="1"/>
  <c r="C80" i="1"/>
  <c r="B81" i="1" s="1"/>
  <c r="D54" i="1"/>
  <c r="C49" i="1"/>
  <c r="E7" i="1"/>
  <c r="E3" i="1"/>
  <c r="H67" i="1"/>
  <c r="D79" i="1" l="1"/>
  <c r="D77" i="1"/>
  <c r="D76" i="1"/>
  <c r="D75" i="1"/>
  <c r="D73" i="1"/>
  <c r="J66" i="1"/>
  <c r="D78" i="1"/>
  <c r="D74" i="1"/>
  <c r="J70" i="1"/>
  <c r="J71" i="1"/>
  <c r="C70" i="1" s="1"/>
  <c r="J69" i="1"/>
  <c r="J72" i="1"/>
  <c r="H81" i="1"/>
  <c r="J83" i="1" l="1"/>
  <c r="D93" i="1"/>
  <c r="D88" i="1"/>
  <c r="D90" i="1"/>
  <c r="J86" i="1"/>
  <c r="J87" i="1" s="1"/>
  <c r="J92" i="1" s="1"/>
  <c r="J80" i="1"/>
  <c r="J82" i="1" s="1"/>
  <c r="D91" i="1"/>
  <c r="D92" i="1"/>
  <c r="D87" i="1"/>
  <c r="D89" i="1"/>
  <c r="J84" i="1"/>
  <c r="J85" i="1"/>
  <c r="J73" i="1"/>
  <c r="J78" i="1" s="1"/>
  <c r="J88" i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J79" i="1" l="1"/>
  <c r="C71" i="1" s="1"/>
  <c r="J93" i="1"/>
  <c r="J81" i="1" s="1"/>
  <c r="G70" i="1" l="1"/>
  <c r="D64" i="1" s="1"/>
  <c r="J67" i="1"/>
  <c r="E70" i="1"/>
  <c r="E84" i="1"/>
  <c r="G84" i="1"/>
  <c r="D85" i="1"/>
  <c r="I81" i="1" s="1"/>
  <c r="I82" i="1" s="1"/>
  <c r="D65" i="1" l="1"/>
  <c r="F65" i="1"/>
  <c r="D71" i="1"/>
  <c r="I67" i="1" s="1"/>
  <c r="I68" i="1" s="1"/>
  <c r="I66" i="1" s="1"/>
  <c r="C68" i="1" s="1"/>
  <c r="I80" i="1"/>
  <c r="C82" i="1" s="1"/>
</calcChain>
</file>

<file path=xl/sharedStrings.xml><?xml version="1.0" encoding="utf-8"?>
<sst xmlns="http://schemas.openxmlformats.org/spreadsheetml/2006/main" count="338" uniqueCount="225">
  <si>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</si>
  <si>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</si>
  <si>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</si>
  <si>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</si>
  <si>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</si>
  <si>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</si>
  <si>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</si>
  <si>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</si>
  <si>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</si>
  <si>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</si>
  <si>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</si>
  <si>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</si>
  <si>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</si>
  <si>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</si>
  <si>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</si>
  <si>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</si>
  <si>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</si>
  <si>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</si>
  <si>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</si>
  <si>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</si>
  <si>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</si>
  <si>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</si>
  <si>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</si>
  <si>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</si>
  <si>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</si>
  <si>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</si>
  <si>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</si>
  <si>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</si>
  <si>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</si>
  <si>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</si>
  <si>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</si>
  <si>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</si>
  <si>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</si>
  <si>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</si>
  <si>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</si>
  <si>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</si>
  <si>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</si>
  <si>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</si>
  <si>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</si>
  <si>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</si>
  <si>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</si>
  <si>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</si>
  <si>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</si>
  <si>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</si>
  <si>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</si>
  <si>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</si>
  <si>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</si>
  <si>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</si>
  <si>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</si>
  <si>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</si>
  <si>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</si>
  <si>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</si>
  <si>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</si>
  <si>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</si>
  <si>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</si>
  <si>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</si>
  <si>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</si>
  <si>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</si>
  <si>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</si>
  <si>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</si>
  <si>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</si>
  <si>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</si>
  <si>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</si>
  <si>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</si>
  <si>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</si>
  <si>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</si>
  <si>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</si>
  <si>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</si>
  <si>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</si>
  <si>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</si>
  <si>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</si>
  <si>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</si>
  <si>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</si>
  <si>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</si>
  <si>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</si>
  <si>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</si>
  <si>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</si>
  <si>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</si>
  <si>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</si>
  <si>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</si>
  <si>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</si>
  <si>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</si>
  <si>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</si>
  <si>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</si>
  <si>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</si>
  <si>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</si>
  <si>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</si>
  <si>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</si>
  <si>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</si>
  <si>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</si>
  <si>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</si>
  <si>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</si>
  <si>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</si>
  <si>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</si>
  <si>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</si>
  <si>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</si>
  <si>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</si>
  <si>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</si>
  <si>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</si>
  <si>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</si>
  <si>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</si>
  <si>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</si>
  <si>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</si>
  <si>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</si>
  <si>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</si>
  <si>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</si>
  <si>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</si>
  <si>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</si>
  <si>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</si>
  <si>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</si>
  <si>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</si>
  <si>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</si>
  <si>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</si>
  <si>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</si>
  <si>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</si>
  <si>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</si>
  <si>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</si>
  <si>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</si>
  <si>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</si>
  <si>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</si>
  <si>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</si>
  <si>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</si>
  <si>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</si>
  <si>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</si>
  <si>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</si>
  <si>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</si>
  <si>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</si>
  <si>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</si>
  <si>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</si>
  <si>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</si>
  <si>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</si>
  <si>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</si>
  <si>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</si>
  <si>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</si>
  <si>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</si>
  <si>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</si>
  <si>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</si>
  <si>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</si>
  <si>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</si>
  <si>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</si>
  <si>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</si>
  <si>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</si>
  <si>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</si>
  <si>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</si>
  <si>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</si>
  <si>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</si>
  <si>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</si>
  <si>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</si>
  <si>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</si>
  <si>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</si>
  <si>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</si>
  <si>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</si>
  <si>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</si>
  <si>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</si>
  <si>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</si>
  <si>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</si>
  <si>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</si>
  <si>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</si>
  <si>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</si>
  <si>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</si>
  <si>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</si>
  <si>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</si>
  <si>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</si>
  <si>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</si>
  <si>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</si>
  <si>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</si>
  <si>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</si>
  <si>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</si>
  <si>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Sanpada</t>
  </si>
  <si>
    <t>Yamuna</t>
  </si>
  <si>
    <t>P52000049677</t>
  </si>
  <si>
    <t>Survey No</t>
  </si>
  <si>
    <t>Raigad</t>
  </si>
  <si>
    <t>Karjat</t>
  </si>
  <si>
    <t>Mothe Vengaon</t>
  </si>
  <si>
    <t>Dahivali</t>
  </si>
  <si>
    <t>03 Wings</t>
  </si>
  <si>
    <t xml:space="preserve">Collector Of Raigad
</t>
  </si>
  <si>
    <t>MS/LNA/A-1/S.R/117/2022</t>
  </si>
  <si>
    <t>MS/LNA/A-1(B)/T.No.16456/S.R/117/
2022</t>
  </si>
  <si>
    <t>As per RERA - 31/12/2026</t>
  </si>
  <si>
    <t>Wing A</t>
  </si>
  <si>
    <t>Ground Floor For Entrance Lobby, Meter Room, Drivers Room &amp; Residential</t>
  </si>
  <si>
    <t>1BHK</t>
  </si>
  <si>
    <t>1st Floor For Residential</t>
  </si>
  <si>
    <t>2BHK</t>
  </si>
  <si>
    <t>2nd to 7th Floor</t>
  </si>
  <si>
    <t>A to C Wing = G + 1st to 7th Floor</t>
  </si>
  <si>
    <t>We considered Gross carpet area = Net carpet + Balcony.</t>
  </si>
  <si>
    <t>Wing B</t>
  </si>
  <si>
    <t>Wing C</t>
  </si>
  <si>
    <t>Society Office</t>
  </si>
  <si>
    <t>1st, 3rd, 5th &amp; 7th Floor For Residential</t>
  </si>
  <si>
    <t>2nd, 4th &amp; 6th Floor</t>
  </si>
  <si>
    <t>Ground Floor For Lobby, Society Office &amp; Residential</t>
  </si>
  <si>
    <t>Ground Floor For Lobby, Gym &amp; Residential</t>
  </si>
  <si>
    <t>Gym</t>
  </si>
  <si>
    <t>Flats - 110</t>
  </si>
  <si>
    <t>A Wing = G + 1st to 7th Floor</t>
  </si>
  <si>
    <t>B &amp; C Wing = G + 1st to 7th Floor</t>
  </si>
  <si>
    <t>Kids' Play Areas, Power Backup, Indoor Games, Treated Water Supply etc.</t>
  </si>
  <si>
    <t>https://goo.gl/maps/XxvRBWGFbjKu3g4GA?coh=178572&amp;entry=tt</t>
  </si>
  <si>
    <t>Internal Road</t>
  </si>
  <si>
    <t>Open Plot</t>
  </si>
  <si>
    <t>Vengaon Road</t>
  </si>
  <si>
    <t>Please check location</t>
  </si>
  <si>
    <t>5 KM from Karjat Railway Station</t>
  </si>
  <si>
    <t>Sai Baba Temple</t>
  </si>
  <si>
    <t>Wing A, B &amp; C</t>
  </si>
  <si>
    <t>Approved Plans, CC, Cost Sheet</t>
  </si>
  <si>
    <t>20/2/2</t>
  </si>
  <si>
    <t>Mr. Omkar Thange - 9527370692/8575211010</t>
  </si>
  <si>
    <t>Terrace area taken frm builder sheet</t>
  </si>
  <si>
    <t>3600 to 4100</t>
  </si>
  <si>
    <t>Smith</t>
  </si>
  <si>
    <t>Verbal</t>
  </si>
  <si>
    <t>18.908634,73.352607</t>
  </si>
  <si>
    <t>Wing A = Construction work is in process at the time of Visit.
Wing B &amp; C = Work not yet Started.</t>
  </si>
  <si>
    <t>Naynesh Sunil Lovanshi</t>
  </si>
  <si>
    <t>Channel Homes LLP</t>
  </si>
  <si>
    <t>Since Wing B &amp; C have received CC on 13/01/2023, but as of construction work is not
started.</t>
  </si>
  <si>
    <t>Mr. Nitesh : 8983474852</t>
  </si>
  <si>
    <t>Mr. Raja Singh 7021539141</t>
  </si>
  <si>
    <t>Office No. 1031, Wing J, Akshar Business Park, Plot No. 03 Sector 25, Near APMC Market,
Vashi, Navi Mumbai, Maharashtra 400703 TEL: 022-46090378/79/80
E mail : vsjcapf@gmail.com. Web site : www.vsjadon.com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</si>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</sst>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3" xfId="0" applyFont="1" applyFill="1" applyBorder="1"/>
    <xf numFmtId="0" fontId="25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9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center" vertical="center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226632</xdr:colOff>
      <xdr:row>235</xdr:row>
      <xdr:rowOff>8283</xdr:rowOff>
    </xdr:from>
    <xdr:to>
      <xdr:col>5</xdr:col>
      <xdr:colOff>539023</xdr:colOff>
      <xdr:row>250</xdr:row>
      <xdr:rowOff>112200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689217" y="57418481"/>
          <a:ext cx="308565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140804</xdr:colOff>
      <xdr:row>251</xdr:row>
      <xdr:rowOff>64738</xdr:rowOff>
    </xdr:from>
    <xdr:to>
      <xdr:col>5</xdr:col>
      <xdr:colOff>624851</xdr:colOff>
      <xdr:row>265</xdr:row>
      <xdr:rowOff>161781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6217" y="60552629"/>
          <a:ext cx="305165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474455</xdr:colOff>
      <xdr:row>257</xdr:row>
      <xdr:rowOff>28400</xdr:rowOff>
    </xdr:from>
    <xdr:to>
      <xdr:col>3</xdr:col>
      <xdr:colOff>717259</xdr:colOff>
      <xdr:row>258</xdr:row>
      <xdr:rowOff>142786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13059">
          <a:off x="2884694" y="61708987"/>
          <a:ext cx="242804" cy="31316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538370</xdr:colOff>
      <xdr:row>239</xdr:row>
      <xdr:rowOff>57977</xdr:rowOff>
    </xdr:from>
    <xdr:to>
      <xdr:col>4</xdr:col>
      <xdr:colOff>198782</xdr:colOff>
      <xdr:row>240</xdr:row>
      <xdr:rowOff>107674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48609" y="50971173"/>
          <a:ext cx="604630" cy="248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2</xdr:col>
      <xdr:colOff>454402</xdr:colOff>
      <xdr:row>240</xdr:row>
      <xdr:rowOff>86970</xdr:rowOff>
    </xdr:from>
    <xdr:to>
      <xdr:col>2</xdr:col>
      <xdr:colOff>702881</xdr:colOff>
      <xdr:row>243</xdr:row>
      <xdr:rowOff>95252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rot="18000343">
          <a:off x="1841740" y="51377023"/>
          <a:ext cx="604630" cy="248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>
    <xdr:from>
      <xdr:col>3</xdr:col>
      <xdr:colOff>226632</xdr:colOff>
      <xdr:row>247</xdr:row>
      <xdr:rowOff>8281</xdr:rowOff>
    </xdr:from>
    <xdr:to>
      <xdr:col>4</xdr:col>
      <xdr:colOff>115956</xdr:colOff>
      <xdr:row>248</xdr:row>
      <xdr:rowOff>124240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36871" y="52511738"/>
          <a:ext cx="833542" cy="314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C</a:t>
          </a:r>
        </a:p>
      </xdr:txBody>
    </xdr:sp>
    <xdr:clientData/>
  </xdr:twoCellAnchor>
  <xdr:twoCellAnchor editAs="oneCell">
    <xdr:from>
      <xdr:col>1</xdr:col>
      <xdr:colOff>132522</xdr:colOff>
      <xdr:row>279</xdr:row>
      <xdr:rowOff>16565</xdr:rowOff>
    </xdr:from>
    <xdr:to>
      <xdr:col>6</xdr:col>
      <xdr:colOff>602065</xdr:colOff>
      <xdr:row>293</xdr:row>
      <xdr:rowOff>113608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4522" y="59088130"/>
          <a:ext cx="461913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147733</xdr:colOff>
      <xdr:row>294</xdr:row>
      <xdr:rowOff>88922</xdr:rowOff>
    </xdr:from>
    <xdr:to>
      <xdr:col>6</xdr:col>
      <xdr:colOff>586854</xdr:colOff>
      <xdr:row>308</xdr:row>
      <xdr:rowOff>185965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9733" y="62142226"/>
          <a:ext cx="4588708" cy="288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511617</xdr:colOff>
      <xdr:row>301</xdr:row>
      <xdr:rowOff>18423</xdr:rowOff>
    </xdr:from>
    <xdr:to>
      <xdr:col>3</xdr:col>
      <xdr:colOff>842921</xdr:colOff>
      <xdr:row>303</xdr:row>
      <xdr:rowOff>24651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708651">
          <a:off x="2921856" y="63463206"/>
          <a:ext cx="331304" cy="40379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12</xdr:col>
      <xdr:colOff>493852</xdr:colOff>
      <xdr:row>198</xdr:row>
      <xdr:rowOff>99392</xdr:rowOff>
    </xdr:from>
    <xdr:to>
      <xdr:col>13</xdr:col>
      <xdr:colOff>311634</xdr:colOff>
      <xdr:row>199</xdr:row>
      <xdr:rowOff>165653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391569" y="40675892"/>
          <a:ext cx="604630" cy="265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Wing A</a:t>
          </a:r>
        </a:p>
      </xdr:txBody>
    </xdr:sp>
    <xdr:clientData/>
  </xdr:twoCellAnchor>
  <xdr:twoCellAnchor>
    <xdr:from>
      <xdr:col>8</xdr:col>
      <xdr:colOff>320675</xdr:colOff>
      <xdr:row>191</xdr:row>
      <xdr:rowOff>82550</xdr:rowOff>
    </xdr:from>
    <xdr:to>
      <xdr:col>15</xdr:col>
      <xdr:colOff>428288</xdr:colOff>
      <xdr:row>223</xdr:row>
      <xdr:rowOff>23421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165975" y="39122350"/>
          <a:ext cx="6038513" cy="6233721"/>
          <a:chOff x="406400" y="39376350"/>
          <a:chExt cx="6054388" cy="6233721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8802" y="4345007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6400" y="393763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5998" y="4345007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3881" y="393763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2400" y="4345007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171450</xdr:colOff>
      <xdr:row>191</xdr:row>
      <xdr:rowOff>95250</xdr:rowOff>
    </xdr:from>
    <xdr:to>
      <xdr:col>7</xdr:col>
      <xdr:colOff>684721</xdr:colOff>
      <xdr:row>231</xdr:row>
      <xdr:rowOff>114490</xdr:rowOff>
    </xdr:to>
    <xdr:grpSp>
      <xdr:nvGrpSpPr>
        <xdr:cNvPr id="6" name="Group 5"/>
        <xdr:cNvGrpSpPr/>
      </xdr:nvGrpSpPr>
      <xdr:grpSpPr>
        <a:xfrm>
          <a:off x="171450" y="39135050"/>
          <a:ext cx="6488621" cy="7886890"/>
          <a:chOff x="171450" y="39135050"/>
          <a:chExt cx="6488621" cy="7886890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6602" y="4486194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829" y="39135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39135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828" y="4199849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4199849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0208" y="39135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0208" y="4199849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xvRBWGFbjKu3g4G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1.26953125" style="21" bestFit="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2" ht="46.5" customHeight="1" x14ac:dyDescent="0.35">
      <c r="A1" s="146" t="s">
        <v>223</v>
      </c>
      <c r="B1" s="146"/>
      <c r="C1" s="146"/>
      <c r="D1" s="146"/>
      <c r="E1" s="146"/>
      <c r="F1" s="146"/>
      <c r="G1" s="146"/>
      <c r="H1" s="146"/>
    </row>
    <row r="2" spans="1:12" ht="16.5" customHeight="1" x14ac:dyDescent="0.35">
      <c r="A2" s="147" t="s">
        <v>0</v>
      </c>
      <c r="B2" s="147"/>
      <c r="C2" s="147"/>
      <c r="D2" s="147"/>
      <c r="E2" s="147"/>
      <c r="F2" s="147"/>
      <c r="G2" s="147"/>
      <c r="H2" s="147"/>
    </row>
    <row r="3" spans="1:12" x14ac:dyDescent="0.35">
      <c r="A3" s="72" t="s">
        <v>1</v>
      </c>
      <c r="B3" s="72"/>
      <c r="C3" s="72"/>
      <c r="D3" s="72"/>
      <c r="E3" s="72" t="str">
        <f ca="1">TEXT(TODAY(),"DD/MM/YYYY")</f>
        <v>16/08/2025</v>
      </c>
      <c r="F3" s="72"/>
      <c r="G3" s="72"/>
      <c r="H3" s="72"/>
    </row>
    <row r="4" spans="1:12" x14ac:dyDescent="0.35">
      <c r="A4" s="72" t="s">
        <v>2</v>
      </c>
      <c r="B4" s="72"/>
      <c r="C4" s="72"/>
      <c r="D4" s="72"/>
      <c r="E4" s="72" t="s">
        <v>168</v>
      </c>
      <c r="F4" s="72"/>
      <c r="G4" s="72"/>
      <c r="H4" s="72"/>
    </row>
    <row r="5" spans="1:12" x14ac:dyDescent="0.35">
      <c r="A5" s="72" t="s">
        <v>3</v>
      </c>
      <c r="B5" s="72"/>
      <c r="C5" s="72"/>
      <c r="D5" s="72"/>
      <c r="E5" s="149">
        <v>45881</v>
      </c>
      <c r="F5" s="72"/>
      <c r="G5" s="72"/>
      <c r="H5" s="72"/>
    </row>
    <row r="6" spans="1:12" ht="16.5" customHeight="1" x14ac:dyDescent="0.35">
      <c r="A6" s="72" t="s">
        <v>4</v>
      </c>
      <c r="B6" s="72"/>
      <c r="C6" s="72"/>
      <c r="D6" s="72"/>
      <c r="E6" s="72" t="s">
        <v>219</v>
      </c>
      <c r="F6" s="72"/>
      <c r="G6" s="72"/>
      <c r="H6" s="72"/>
    </row>
    <row r="7" spans="1:12" ht="15" customHeight="1" x14ac:dyDescent="0.35">
      <c r="A7" s="72" t="s">
        <v>5</v>
      </c>
      <c r="B7" s="72"/>
      <c r="C7" s="72"/>
      <c r="D7" s="72"/>
      <c r="E7" s="72" t="str">
        <f>E6</f>
        <v>Channel Homes LLP</v>
      </c>
      <c r="F7" s="72"/>
      <c r="G7" s="72"/>
      <c r="H7" s="72"/>
    </row>
    <row r="8" spans="1:12" x14ac:dyDescent="0.35">
      <c r="A8" s="72" t="s">
        <v>6</v>
      </c>
      <c r="B8" s="72"/>
      <c r="C8" s="72"/>
      <c r="D8" s="72"/>
      <c r="E8" s="148" t="s">
        <v>169</v>
      </c>
      <c r="F8" s="83"/>
      <c r="G8" s="83"/>
      <c r="H8" s="84"/>
    </row>
    <row r="9" spans="1:12" x14ac:dyDescent="0.35">
      <c r="A9" s="72" t="s">
        <v>166</v>
      </c>
      <c r="B9" s="72"/>
      <c r="C9" s="72"/>
      <c r="D9" s="72"/>
      <c r="E9" s="72" t="s">
        <v>211</v>
      </c>
      <c r="F9" s="72"/>
      <c r="G9" s="72"/>
      <c r="H9" s="72"/>
    </row>
    <row r="10" spans="1:12" hidden="1" x14ac:dyDescent="0.35">
      <c r="A10" s="72" t="s">
        <v>167</v>
      </c>
      <c r="B10" s="72"/>
      <c r="C10" s="72"/>
      <c r="D10" s="72"/>
      <c r="E10" s="72" t="s">
        <v>222</v>
      </c>
      <c r="F10" s="72"/>
      <c r="G10" s="72"/>
      <c r="H10" s="72"/>
      <c r="I10" s="72" t="s">
        <v>221</v>
      </c>
      <c r="J10" s="72"/>
      <c r="K10" s="72"/>
      <c r="L10" s="72"/>
    </row>
    <row r="11" spans="1:12" x14ac:dyDescent="0.35">
      <c r="A11" s="72" t="s">
        <v>7</v>
      </c>
      <c r="B11" s="72"/>
      <c r="C11" s="72"/>
      <c r="D11" s="72"/>
      <c r="E11" s="72" t="s">
        <v>208</v>
      </c>
      <c r="F11" s="72"/>
      <c r="G11" s="72"/>
      <c r="H11" s="72"/>
    </row>
    <row r="12" spans="1:12" x14ac:dyDescent="0.35">
      <c r="A12" s="77" t="s">
        <v>8</v>
      </c>
      <c r="B12" s="77"/>
      <c r="C12" s="77"/>
      <c r="D12" s="77"/>
      <c r="E12" s="79" t="s">
        <v>209</v>
      </c>
      <c r="F12" s="79"/>
      <c r="G12" s="79"/>
      <c r="H12" s="79"/>
      <c r="I12" s="21" t="s">
        <v>212</v>
      </c>
    </row>
    <row r="13" spans="1:12" x14ac:dyDescent="0.35">
      <c r="A13" s="77" t="s">
        <v>9</v>
      </c>
      <c r="B13" s="77"/>
      <c r="C13" s="77"/>
      <c r="D13" s="77"/>
      <c r="E13" s="79" t="s">
        <v>170</v>
      </c>
      <c r="F13" s="72"/>
      <c r="G13" s="72"/>
      <c r="H13" s="72"/>
    </row>
    <row r="14" spans="1:12" ht="34.5" customHeight="1" x14ac:dyDescent="0.35">
      <c r="A14" s="126" t="s">
        <v>10</v>
      </c>
      <c r="B14" s="126"/>
      <c r="C14" s="12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Yamuna, Survey No.20/2/2, near Sai Baba Temple, Vengaon Road, Dahivali, Mothe Vengaon, Karjat, Karjat, Raigad - 410201.</v>
      </c>
      <c r="D14" s="126"/>
      <c r="E14" s="126"/>
      <c r="F14" s="126"/>
      <c r="G14" s="126"/>
      <c r="H14" s="126"/>
      <c r="I14" s="62" t="s">
        <v>205</v>
      </c>
    </row>
    <row r="15" spans="1:12" x14ac:dyDescent="0.35">
      <c r="A15" s="79" t="s">
        <v>171</v>
      </c>
      <c r="B15" s="79"/>
      <c r="C15" s="144" t="s">
        <v>210</v>
      </c>
      <c r="D15" s="144"/>
      <c r="E15" s="144"/>
      <c r="F15" s="144"/>
      <c r="G15" s="144"/>
      <c r="H15" s="144"/>
    </row>
    <row r="16" spans="1:12" ht="15.75" customHeight="1" x14ac:dyDescent="0.35">
      <c r="A16" s="79" t="s">
        <v>163</v>
      </c>
      <c r="B16" s="79"/>
      <c r="C16" s="79" t="s">
        <v>175</v>
      </c>
      <c r="D16" s="79"/>
      <c r="E16" s="79"/>
      <c r="F16" s="79"/>
      <c r="G16" s="79"/>
      <c r="H16" s="79"/>
    </row>
    <row r="17" spans="1:8" ht="15.75" customHeight="1" x14ac:dyDescent="0.35">
      <c r="A17" s="126" t="s">
        <v>11</v>
      </c>
      <c r="B17" s="126"/>
      <c r="C17" s="72" t="s">
        <v>204</v>
      </c>
      <c r="D17" s="72"/>
      <c r="E17" s="126" t="s">
        <v>75</v>
      </c>
      <c r="F17" s="126"/>
      <c r="G17" s="79" t="s">
        <v>174</v>
      </c>
      <c r="H17" s="79"/>
    </row>
    <row r="18" spans="1:8" x14ac:dyDescent="0.35">
      <c r="A18" s="77" t="s">
        <v>13</v>
      </c>
      <c r="B18" s="77"/>
      <c r="C18" s="79" t="s">
        <v>173</v>
      </c>
      <c r="D18" s="79"/>
      <c r="E18" s="126" t="s">
        <v>12</v>
      </c>
      <c r="F18" s="126"/>
      <c r="G18" s="145" t="s">
        <v>172</v>
      </c>
      <c r="H18" s="145"/>
    </row>
    <row r="19" spans="1:8" x14ac:dyDescent="0.35">
      <c r="A19" s="77" t="s">
        <v>76</v>
      </c>
      <c r="B19" s="77"/>
      <c r="C19" s="79" t="s">
        <v>173</v>
      </c>
      <c r="D19" s="79"/>
      <c r="E19" s="126" t="s">
        <v>14</v>
      </c>
      <c r="F19" s="126"/>
      <c r="G19" s="79">
        <v>410201</v>
      </c>
      <c r="H19" s="79"/>
    </row>
    <row r="20" spans="1:8" ht="32.25" customHeight="1" x14ac:dyDescent="0.35">
      <c r="A20" s="77" t="s">
        <v>124</v>
      </c>
      <c r="B20" s="77"/>
      <c r="C20" s="79" t="s">
        <v>207</v>
      </c>
      <c r="D20" s="79"/>
      <c r="E20" s="126" t="s">
        <v>15</v>
      </c>
      <c r="F20" s="126"/>
      <c r="G20" s="79" t="s">
        <v>206</v>
      </c>
      <c r="H20" s="79"/>
    </row>
    <row r="21" spans="1:8" ht="15" customHeight="1" x14ac:dyDescent="0.35">
      <c r="A21" s="126" t="s">
        <v>78</v>
      </c>
      <c r="B21" s="126"/>
      <c r="C21" s="126"/>
      <c r="D21" s="126"/>
      <c r="E21" s="72" t="s">
        <v>16</v>
      </c>
      <c r="F21" s="72"/>
      <c r="G21" s="72"/>
      <c r="H21" s="72"/>
    </row>
    <row r="22" spans="1:8" ht="18.75" customHeight="1" x14ac:dyDescent="0.35">
      <c r="A22" s="126"/>
      <c r="B22" s="126"/>
      <c r="C22" s="126"/>
      <c r="D22" s="126"/>
      <c r="E22" s="72"/>
      <c r="F22" s="72"/>
      <c r="G22" s="72"/>
      <c r="H22" s="72"/>
    </row>
    <row r="23" spans="1:8" ht="15" customHeight="1" x14ac:dyDescent="0.35">
      <c r="A23" s="126" t="s">
        <v>17</v>
      </c>
      <c r="B23" s="126"/>
      <c r="C23" s="126"/>
      <c r="D23" s="126"/>
      <c r="E23" s="79" t="s">
        <v>18</v>
      </c>
      <c r="F23" s="79"/>
      <c r="G23" s="79"/>
      <c r="H23" s="79"/>
    </row>
    <row r="24" spans="1:8" ht="15" customHeight="1" x14ac:dyDescent="0.35">
      <c r="A24" s="77" t="s">
        <v>19</v>
      </c>
      <c r="B24" s="77"/>
      <c r="C24" s="77"/>
      <c r="D24" s="77"/>
      <c r="E24" s="141" t="str">
        <f>IF(AND(G18="Mumbai"),"Upper Class","Middle Class")</f>
        <v>Middle Class</v>
      </c>
      <c r="F24" s="141"/>
      <c r="G24" s="141"/>
      <c r="H24" s="141"/>
    </row>
    <row r="25" spans="1:8" x14ac:dyDescent="0.35">
      <c r="A25" s="77" t="s">
        <v>20</v>
      </c>
      <c r="B25" s="77"/>
      <c r="C25" s="77"/>
      <c r="D25" s="77"/>
      <c r="E25" s="79" t="s">
        <v>21</v>
      </c>
      <c r="F25" s="79"/>
      <c r="G25" s="79"/>
      <c r="H25" s="79"/>
    </row>
    <row r="26" spans="1:8" ht="15.75" customHeight="1" x14ac:dyDescent="0.35">
      <c r="A26" s="77" t="s">
        <v>22</v>
      </c>
      <c r="B26" s="77"/>
      <c r="C26" s="77"/>
      <c r="D26" s="77"/>
      <c r="E26" s="141" t="str">
        <f>IF(AND(G18="Mumbai"),"Developed","Developing")</f>
        <v>Developing</v>
      </c>
      <c r="F26" s="141"/>
      <c r="G26" s="141"/>
      <c r="H26" s="141"/>
    </row>
    <row r="27" spans="1:8" x14ac:dyDescent="0.35">
      <c r="A27" s="77" t="s">
        <v>23</v>
      </c>
      <c r="B27" s="77"/>
      <c r="C27" s="77"/>
      <c r="D27" s="77"/>
      <c r="E27" s="79" t="s">
        <v>24</v>
      </c>
      <c r="F27" s="79"/>
      <c r="G27" s="79"/>
      <c r="H27" s="79"/>
    </row>
    <row r="28" spans="1:8" ht="15.75" customHeight="1" x14ac:dyDescent="0.35">
      <c r="A28" s="77" t="s">
        <v>83</v>
      </c>
      <c r="B28" s="77"/>
      <c r="C28" s="77"/>
      <c r="D28" s="77"/>
      <c r="E28" s="79" t="s">
        <v>84</v>
      </c>
      <c r="F28" s="79"/>
      <c r="G28" s="79"/>
      <c r="H28" s="79"/>
    </row>
    <row r="29" spans="1:8" ht="15" customHeight="1" x14ac:dyDescent="0.35">
      <c r="A29" s="77" t="s">
        <v>33</v>
      </c>
      <c r="B29" s="77"/>
      <c r="C29" s="77"/>
      <c r="D29" s="77"/>
      <c r="E29" s="14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41"/>
      <c r="G29" s="141"/>
      <c r="H29" s="141"/>
    </row>
    <row r="30" spans="1:8" ht="15.75" customHeight="1" x14ac:dyDescent="0.35">
      <c r="A30" s="77" t="s">
        <v>95</v>
      </c>
      <c r="B30" s="77"/>
      <c r="C30" s="77"/>
      <c r="D30" s="77"/>
      <c r="E30" s="79" t="s">
        <v>34</v>
      </c>
      <c r="F30" s="79"/>
      <c r="G30" s="79"/>
      <c r="H30" s="79"/>
    </row>
    <row r="31" spans="1:8" s="22" customFormat="1" x14ac:dyDescent="0.35">
      <c r="A31" s="143" t="s">
        <v>96</v>
      </c>
      <c r="B31" s="143"/>
      <c r="C31" s="142" t="s">
        <v>29</v>
      </c>
      <c r="D31" s="142"/>
      <c r="E31" s="142"/>
      <c r="F31" s="142" t="s">
        <v>31</v>
      </c>
      <c r="G31" s="142"/>
      <c r="H31" s="142"/>
    </row>
    <row r="32" spans="1:8" s="22" customFormat="1" x14ac:dyDescent="0.35">
      <c r="A32" s="107" t="s">
        <v>25</v>
      </c>
      <c r="B32" s="107" t="s">
        <v>30</v>
      </c>
      <c r="C32" s="108" t="s">
        <v>30</v>
      </c>
      <c r="D32" s="108"/>
      <c r="E32" s="108"/>
      <c r="F32" s="108" t="s">
        <v>202</v>
      </c>
      <c r="G32" s="108"/>
      <c r="H32" s="108"/>
    </row>
    <row r="33" spans="1:8" x14ac:dyDescent="0.35">
      <c r="A33" s="107" t="s">
        <v>26</v>
      </c>
      <c r="B33" s="107" t="s">
        <v>30</v>
      </c>
      <c r="C33" s="108" t="s">
        <v>30</v>
      </c>
      <c r="D33" s="108"/>
      <c r="E33" s="108"/>
      <c r="F33" s="108" t="s">
        <v>203</v>
      </c>
      <c r="G33" s="108"/>
      <c r="H33" s="108"/>
    </row>
    <row r="34" spans="1:8" s="22" customFormat="1" x14ac:dyDescent="0.35">
      <c r="A34" s="107" t="s">
        <v>28</v>
      </c>
      <c r="B34" s="107" t="s">
        <v>30</v>
      </c>
      <c r="C34" s="108" t="s">
        <v>30</v>
      </c>
      <c r="D34" s="108"/>
      <c r="E34" s="108"/>
      <c r="F34" s="108" t="s">
        <v>204</v>
      </c>
      <c r="G34" s="108"/>
      <c r="H34" s="108"/>
    </row>
    <row r="35" spans="1:8" x14ac:dyDescent="0.35">
      <c r="A35" s="107" t="s">
        <v>27</v>
      </c>
      <c r="B35" s="107" t="s">
        <v>30</v>
      </c>
      <c r="C35" s="108" t="s">
        <v>30</v>
      </c>
      <c r="D35" s="108"/>
      <c r="E35" s="108"/>
      <c r="F35" s="108" t="s">
        <v>203</v>
      </c>
      <c r="G35" s="108"/>
      <c r="H35" s="108"/>
    </row>
    <row r="36" spans="1:8" x14ac:dyDescent="0.35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5">
      <c r="A37" s="77" t="s">
        <v>165</v>
      </c>
      <c r="B37" s="77"/>
      <c r="C37" s="110" t="s">
        <v>216</v>
      </c>
      <c r="D37" s="110"/>
      <c r="E37" s="110"/>
      <c r="F37" s="110"/>
      <c r="G37" s="110"/>
      <c r="H37" s="110"/>
    </row>
    <row r="38" spans="1:8" x14ac:dyDescent="0.35">
      <c r="A38" s="77" t="s">
        <v>162</v>
      </c>
      <c r="B38" s="77"/>
      <c r="C38" s="78" t="s">
        <v>201</v>
      </c>
      <c r="D38" s="79"/>
      <c r="E38" s="79"/>
      <c r="F38" s="79"/>
      <c r="G38" s="79"/>
      <c r="H38" s="79"/>
    </row>
    <row r="39" spans="1:8" x14ac:dyDescent="0.35">
      <c r="A39" s="110" t="s">
        <v>35</v>
      </c>
      <c r="B39" s="110"/>
      <c r="C39" s="110"/>
      <c r="D39" s="110"/>
      <c r="E39" s="110"/>
      <c r="F39" s="110"/>
      <c r="G39" s="110"/>
      <c r="H39" s="110"/>
    </row>
    <row r="40" spans="1:8" x14ac:dyDescent="0.35">
      <c r="A40" s="77" t="s">
        <v>36</v>
      </c>
      <c r="B40" s="77"/>
      <c r="C40" s="77"/>
      <c r="D40" s="77"/>
      <c r="E40" s="109">
        <v>2000</v>
      </c>
      <c r="F40" s="109"/>
      <c r="G40" s="109"/>
      <c r="H40" s="109"/>
    </row>
    <row r="41" spans="1:8" x14ac:dyDescent="0.35">
      <c r="A41" s="77" t="s">
        <v>37</v>
      </c>
      <c r="B41" s="77"/>
      <c r="C41" s="77"/>
      <c r="D41" s="77"/>
      <c r="E41" s="130">
        <v>1</v>
      </c>
      <c r="F41" s="130"/>
      <c r="G41" s="130"/>
      <c r="H41" s="130"/>
    </row>
    <row r="42" spans="1:8" x14ac:dyDescent="0.35">
      <c r="A42" s="77" t="s">
        <v>38</v>
      </c>
      <c r="B42" s="77"/>
      <c r="C42" s="77"/>
      <c r="D42" s="77"/>
      <c r="E42" s="130">
        <f>E44/E40-E41</f>
        <v>1.23828</v>
      </c>
      <c r="F42" s="130"/>
      <c r="G42" s="130"/>
      <c r="H42" s="130"/>
    </row>
    <row r="43" spans="1:8" x14ac:dyDescent="0.35">
      <c r="A43" s="77" t="s">
        <v>39</v>
      </c>
      <c r="B43" s="77"/>
      <c r="C43" s="77"/>
      <c r="D43" s="77"/>
      <c r="E43" s="130">
        <f>E41+E42</f>
        <v>2.23828</v>
      </c>
      <c r="F43" s="130"/>
      <c r="G43" s="130"/>
      <c r="H43" s="130"/>
    </row>
    <row r="44" spans="1:8" x14ac:dyDescent="0.35">
      <c r="A44" s="77" t="s">
        <v>94</v>
      </c>
      <c r="B44" s="77"/>
      <c r="C44" s="77"/>
      <c r="D44" s="77"/>
      <c r="E44" s="131">
        <v>4476.5600000000004</v>
      </c>
      <c r="F44" s="131"/>
      <c r="G44" s="131"/>
      <c r="H44" s="131"/>
    </row>
    <row r="45" spans="1:8" x14ac:dyDescent="0.35">
      <c r="A45" s="72" t="s">
        <v>40</v>
      </c>
      <c r="B45" s="72"/>
      <c r="C45" s="72"/>
      <c r="D45" s="72"/>
      <c r="E45" s="72" t="s">
        <v>176</v>
      </c>
      <c r="F45" s="72"/>
      <c r="G45" s="72"/>
      <c r="H45" s="72"/>
    </row>
    <row r="46" spans="1:8" x14ac:dyDescent="0.35">
      <c r="A46" s="110" t="s">
        <v>41</v>
      </c>
      <c r="B46" s="110"/>
      <c r="C46" s="110"/>
      <c r="D46" s="110"/>
      <c r="E46" s="110"/>
      <c r="F46" s="110"/>
      <c r="G46" s="110"/>
      <c r="H46" s="110"/>
    </row>
    <row r="47" spans="1:8" ht="33.75" customHeight="1" x14ac:dyDescent="0.35">
      <c r="A47" s="80" t="s">
        <v>153</v>
      </c>
      <c r="B47" s="81"/>
      <c r="C47" s="82" t="s">
        <v>177</v>
      </c>
      <c r="D47" s="83"/>
      <c r="E47" s="83"/>
      <c r="F47" s="83"/>
      <c r="G47" s="83"/>
      <c r="H47" s="84"/>
    </row>
    <row r="48" spans="1:8" ht="15.75" customHeight="1" x14ac:dyDescent="0.35">
      <c r="A48" s="80" t="s">
        <v>42</v>
      </c>
      <c r="B48" s="81"/>
      <c r="C48" s="80" t="s">
        <v>178</v>
      </c>
      <c r="D48" s="111"/>
      <c r="E48" s="81"/>
      <c r="F48" s="18" t="s">
        <v>43</v>
      </c>
      <c r="G48" s="135">
        <v>44939</v>
      </c>
      <c r="H48" s="81"/>
    </row>
    <row r="49" spans="1:14" x14ac:dyDescent="0.35">
      <c r="A49" s="80" t="s">
        <v>44</v>
      </c>
      <c r="B49" s="81"/>
      <c r="C49" s="80" t="str">
        <f>C48</f>
        <v>MS/LNA/A-1/S.R/117/2022</v>
      </c>
      <c r="D49" s="111"/>
      <c r="E49" s="81"/>
      <c r="F49" s="18" t="s">
        <v>43</v>
      </c>
      <c r="G49" s="135">
        <v>44939</v>
      </c>
      <c r="H49" s="81"/>
    </row>
    <row r="50" spans="1:14" s="23" customFormat="1" ht="32.25" customHeight="1" x14ac:dyDescent="0.35">
      <c r="A50" s="136" t="s">
        <v>157</v>
      </c>
      <c r="B50" s="137"/>
      <c r="C50" s="80" t="s">
        <v>179</v>
      </c>
      <c r="D50" s="111"/>
      <c r="E50" s="81"/>
      <c r="F50" s="18" t="s">
        <v>43</v>
      </c>
      <c r="G50" s="135">
        <v>44939</v>
      </c>
      <c r="H50" s="81"/>
    </row>
    <row r="51" spans="1:14" s="23" customFormat="1" x14ac:dyDescent="0.35">
      <c r="A51" s="138"/>
      <c r="B51" s="139"/>
      <c r="C51" s="80" t="s">
        <v>187</v>
      </c>
      <c r="D51" s="111"/>
      <c r="E51" s="111"/>
      <c r="F51" s="111"/>
      <c r="G51" s="111"/>
      <c r="H51" s="81"/>
    </row>
    <row r="52" spans="1:14" x14ac:dyDescent="0.35">
      <c r="A52" s="122" t="s">
        <v>45</v>
      </c>
      <c r="B52" s="123"/>
      <c r="C52" s="122" t="s">
        <v>108</v>
      </c>
      <c r="D52" s="124"/>
      <c r="E52" s="123"/>
      <c r="F52" s="45" t="s">
        <v>43</v>
      </c>
      <c r="G52" s="173" t="s">
        <v>30</v>
      </c>
      <c r="H52" s="174"/>
    </row>
    <row r="53" spans="1:14" x14ac:dyDescent="0.35">
      <c r="A53" s="125" t="s">
        <v>47</v>
      </c>
      <c r="B53" s="125"/>
      <c r="C53" s="125"/>
      <c r="D53" s="125"/>
      <c r="E53" s="125"/>
      <c r="F53" s="125"/>
      <c r="G53" s="125"/>
      <c r="H53" s="125"/>
    </row>
    <row r="54" spans="1:14" x14ac:dyDescent="0.35">
      <c r="A54" s="126" t="s">
        <v>93</v>
      </c>
      <c r="B54" s="126"/>
      <c r="C54" s="126"/>
      <c r="D54" s="77">
        <f>E44</f>
        <v>4476.5600000000004</v>
      </c>
      <c r="E54" s="77"/>
      <c r="F54" s="77"/>
      <c r="G54" s="77"/>
      <c r="H54" s="77"/>
    </row>
    <row r="55" spans="1:14" x14ac:dyDescent="0.35">
      <c r="A55" s="79" t="s">
        <v>48</v>
      </c>
      <c r="B55" s="72"/>
      <c r="C55" s="72"/>
      <c r="D55" s="72" t="s">
        <v>197</v>
      </c>
      <c r="E55" s="72"/>
      <c r="F55" s="72"/>
      <c r="G55" s="72"/>
      <c r="H55" s="72"/>
      <c r="I55" s="24"/>
    </row>
    <row r="56" spans="1:14" x14ac:dyDescent="0.35">
      <c r="A56" s="112" t="s">
        <v>49</v>
      </c>
      <c r="B56" s="113"/>
      <c r="C56" s="134"/>
      <c r="D56" s="132" t="s">
        <v>187</v>
      </c>
      <c r="E56" s="133"/>
      <c r="F56" s="133"/>
      <c r="G56" s="133"/>
      <c r="H56" s="133"/>
    </row>
    <row r="57" spans="1:14" ht="15.75" customHeight="1" x14ac:dyDescent="0.35">
      <c r="A57" s="112" t="s">
        <v>91</v>
      </c>
      <c r="B57" s="113"/>
      <c r="C57" s="113"/>
      <c r="D57" s="116" t="s">
        <v>198</v>
      </c>
      <c r="E57" s="117"/>
      <c r="F57" s="117"/>
      <c r="G57" s="117"/>
      <c r="H57" s="118"/>
    </row>
    <row r="58" spans="1:14" ht="15.75" customHeight="1" x14ac:dyDescent="0.35">
      <c r="A58" s="114"/>
      <c r="B58" s="115"/>
      <c r="C58" s="115"/>
      <c r="D58" s="119" t="s">
        <v>199</v>
      </c>
      <c r="E58" s="120"/>
      <c r="F58" s="120"/>
      <c r="G58" s="120"/>
      <c r="H58" s="121"/>
    </row>
    <row r="59" spans="1:14" ht="15.75" customHeight="1" x14ac:dyDescent="0.35">
      <c r="A59" s="77" t="s">
        <v>46</v>
      </c>
      <c r="B59" s="77"/>
      <c r="C59" s="77"/>
      <c r="D59" s="127" t="s">
        <v>180</v>
      </c>
      <c r="E59" s="127"/>
      <c r="F59" s="127"/>
      <c r="G59" s="127"/>
      <c r="H59" s="127"/>
      <c r="J59" s="25"/>
      <c r="K59" s="24"/>
      <c r="N59" s="24"/>
    </row>
    <row r="60" spans="1:14" ht="15.75" customHeight="1" x14ac:dyDescent="0.35">
      <c r="A60" s="77" t="s">
        <v>89</v>
      </c>
      <c r="B60" s="77"/>
      <c r="C60" s="77"/>
      <c r="D60" s="129" t="str">
        <f>(IF(G52="NA","60 Years After Completion",IF(G52&lt;&gt;"NA",""&amp;60-ROUNDDOWN((E3-G52)/360,0)&amp;" Years"," ")))</f>
        <v>60 Years After Completion</v>
      </c>
      <c r="E60" s="129"/>
      <c r="F60" s="129"/>
      <c r="G60" s="129"/>
      <c r="H60" s="129"/>
      <c r="N60" s="24"/>
    </row>
    <row r="61" spans="1:14" ht="15.75" customHeight="1" x14ac:dyDescent="0.35">
      <c r="A61" s="77" t="s">
        <v>90</v>
      </c>
      <c r="B61" s="77"/>
      <c r="C61" s="77"/>
      <c r="D61" s="126" t="s">
        <v>24</v>
      </c>
      <c r="E61" s="126"/>
      <c r="F61" s="126"/>
      <c r="G61" s="126"/>
      <c r="H61" s="126"/>
      <c r="J61" s="26"/>
      <c r="K61" s="26"/>
    </row>
    <row r="62" spans="1:14" ht="32.25" customHeight="1" x14ac:dyDescent="0.35">
      <c r="A62" s="77" t="s">
        <v>77</v>
      </c>
      <c r="B62" s="77"/>
      <c r="C62" s="77"/>
      <c r="D62" s="79" t="s">
        <v>200</v>
      </c>
      <c r="E62" s="126"/>
      <c r="F62" s="126"/>
      <c r="G62" s="126"/>
      <c r="H62" s="126"/>
    </row>
    <row r="63" spans="1:14" x14ac:dyDescent="0.35">
      <c r="A63" s="126" t="s">
        <v>150</v>
      </c>
      <c r="B63" s="126"/>
      <c r="C63" s="126"/>
      <c r="D63" s="126" t="s">
        <v>30</v>
      </c>
      <c r="E63" s="126"/>
      <c r="F63" s="126"/>
      <c r="G63" s="126"/>
      <c r="H63" s="126"/>
      <c r="I63" s="27"/>
      <c r="J63" s="27"/>
      <c r="K63" s="27"/>
      <c r="L63" s="27"/>
      <c r="M63" s="27"/>
      <c r="N63" s="27"/>
    </row>
    <row r="64" spans="1:14" ht="15.75" customHeight="1" x14ac:dyDescent="0.35">
      <c r="A64" s="151" t="s">
        <v>88</v>
      </c>
      <c r="B64" s="151"/>
      <c r="C64" s="151"/>
      <c r="D64" s="132" t="str">
        <f ca="1">(IF(G70&gt;95%,"Nothing",IF(G70&gt;0%,"Cement, Aggregate, Steel, etc",IF(G70=0%,"Work not yet Started"))))</f>
        <v>Cement, Aggregate, Steel, etc</v>
      </c>
      <c r="E64" s="132"/>
      <c r="F64" s="132"/>
      <c r="G64" s="132"/>
      <c r="H64" s="132"/>
      <c r="J64" s="26"/>
    </row>
    <row r="65" spans="1:10" ht="33.75" customHeight="1" thickBot="1" x14ac:dyDescent="0.4">
      <c r="A65" s="150" t="s">
        <v>121</v>
      </c>
      <c r="B65" s="150"/>
      <c r="C65" s="150"/>
      <c r="D65" s="132" t="str">
        <f ca="1">(IF(D64="Nothing","Yes",IF(D64="Cement, Aggregate, Steel, etc","Under Construction",IF(D64="Work not yet Started","Work not yet Started"))))</f>
        <v>Under Construction</v>
      </c>
      <c r="E65" s="132"/>
      <c r="F65" s="132" t="str">
        <f ca="1">(IF(D64="Nothing","Yes",IF(D64="Cement, Aggregate, Steel, etc","Under Construction",IF(D64="Work not yet Started","Work not yet Started"))))</f>
        <v>Under Construction</v>
      </c>
      <c r="G65" s="132"/>
      <c r="H65" s="132"/>
    </row>
    <row r="66" spans="1:10" ht="15.75" customHeight="1" x14ac:dyDescent="0.35">
      <c r="A66" s="140" t="s">
        <v>142</v>
      </c>
      <c r="B66" s="140"/>
      <c r="C66" s="140" t="str">
        <f>D57</f>
        <v>A Wing = G + 1st to 7th Floor</v>
      </c>
      <c r="D66" s="140"/>
      <c r="E66" s="140"/>
      <c r="F66" s="140"/>
      <c r="G66" s="140"/>
      <c r="H66" s="140"/>
      <c r="I66" s="66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6 Floor, Painting upto 5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6 Floor, Painting upto 5 Floor</v>
      </c>
    </row>
    <row r="67" spans="1:10" x14ac:dyDescent="0.35">
      <c r="A67" s="71" t="s">
        <v>144</v>
      </c>
      <c r="B67" s="71">
        <f>IF(AND(ISNUMBER(SEARCH("1B",C66))),1,IF(AND(ISNUMBER(SEARCH("2B",C66))),2,IF(AND(ISNUMBER(SEARCH("3B",C66))),3,IF(AND(ISNUMBER(SEARCH("4B",C66))),4,IF(ISNUMBER(SEARCH("5B",C66)),5,0)))))</f>
        <v>0</v>
      </c>
      <c r="C67" s="71" t="s">
        <v>74</v>
      </c>
      <c r="D67" s="71">
        <v>1</v>
      </c>
      <c r="E67" s="71" t="s">
        <v>73</v>
      </c>
      <c r="F67" s="71">
        <v>0</v>
      </c>
      <c r="G67" s="48" t="s">
        <v>82</v>
      </c>
      <c r="H67" s="71">
        <f ca="1">--TRIM(RIGHT(SUBSTITUTE(LEFT(C66,_xlfn.AGGREGATE(16,6,FIND({0,1,2,3,4,5,6,7,8,9},C66,ROW(INDIRECT("1:"&amp;LEN(C66)))),1))," ",REPT(" ",LEN(C66))),LEN(C66)))</f>
        <v>7</v>
      </c>
      <c r="I67" s="67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" customHeight="1" x14ac:dyDescent="0.35">
      <c r="A68" s="101" t="s">
        <v>92</v>
      </c>
      <c r="B68" s="101"/>
      <c r="C68" s="102" t="str">
        <f ca="1">I66</f>
        <v>Excavation, Plinth, RCC Slab, Brickwork, Internal Plaster, External Plaster Completed, Flooring upto 6 Floor, Painting upto 5 Floor Completed</v>
      </c>
      <c r="D68" s="102"/>
      <c r="E68" s="102"/>
      <c r="F68" s="102"/>
      <c r="G68" s="102"/>
      <c r="H68" s="102"/>
      <c r="I68" s="67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35">
      <c r="A69" s="92" t="s">
        <v>50</v>
      </c>
      <c r="B69" s="92"/>
      <c r="C69" s="69" t="s">
        <v>141</v>
      </c>
      <c r="D69" s="69" t="s">
        <v>85</v>
      </c>
      <c r="E69" s="92" t="s">
        <v>87</v>
      </c>
      <c r="F69" s="92"/>
      <c r="G69" s="92" t="s">
        <v>86</v>
      </c>
      <c r="H69" s="92"/>
      <c r="I69" s="14" t="s">
        <v>143</v>
      </c>
      <c r="J69" s="28">
        <f ca="1">H67*25%</f>
        <v>1.75</v>
      </c>
    </row>
    <row r="70" spans="1:10" x14ac:dyDescent="0.35">
      <c r="A70" s="92" t="s">
        <v>130</v>
      </c>
      <c r="B70" s="92"/>
      <c r="C70" s="54">
        <f ca="1">J71</f>
        <v>7</v>
      </c>
      <c r="D70" s="19">
        <f ca="1">((100/H67)*C70)/100</f>
        <v>1</v>
      </c>
      <c r="E70" s="128">
        <f ca="1">(((C71/H67*10)+(40/(D67+F67+H67)*C72)+(7.5/(H67)*C73)+(7.5/(H67)*C74)+(10/H67*C75)+(10/H67*C76)+(5/H67*C77)+(5/H67*C78)+(5/H67*C79))/100)</f>
        <v>0.87142857142857144</v>
      </c>
      <c r="F70" s="128"/>
      <c r="G70" s="128">
        <f ca="1">((((C70/H67)*20)+((C71/H67)*25)+(30/(H67+F67+D67)*C72)+(5/H67*C73)+(5/H67*C74)+(5/H67*C75)+(5/H67*C76)+(0/H67*C77)+(0/H67*C78)+(5/H67*C79))/100)</f>
        <v>0.94285714285714295</v>
      </c>
      <c r="H70" s="128"/>
      <c r="I70" s="14" t="s">
        <v>103</v>
      </c>
      <c r="J70" s="29">
        <f ca="1">H67*50%</f>
        <v>3.5</v>
      </c>
    </row>
    <row r="71" spans="1:10" x14ac:dyDescent="0.35">
      <c r="A71" s="92" t="s">
        <v>51</v>
      </c>
      <c r="B71" s="92"/>
      <c r="C71" s="54">
        <f ca="1">J79</f>
        <v>7</v>
      </c>
      <c r="D71" s="19">
        <f ca="1">((100/H67)*C71)/100</f>
        <v>1</v>
      </c>
      <c r="E71" s="128"/>
      <c r="F71" s="128"/>
      <c r="G71" s="128"/>
      <c r="H71" s="128"/>
      <c r="I71" s="14" t="s">
        <v>104</v>
      </c>
      <c r="J71" s="29">
        <f ca="1">H67</f>
        <v>7</v>
      </c>
    </row>
    <row r="72" spans="1:10" ht="15.75" customHeight="1" x14ac:dyDescent="0.35">
      <c r="A72" s="92" t="s">
        <v>131</v>
      </c>
      <c r="B72" s="92"/>
      <c r="C72" s="69">
        <v>8</v>
      </c>
      <c r="D72" s="19">
        <f ca="1">((100/(D67+F67+H67))*C72)/100</f>
        <v>1</v>
      </c>
      <c r="E72" s="128"/>
      <c r="F72" s="128"/>
      <c r="G72" s="128"/>
      <c r="H72" s="128"/>
      <c r="I72" s="14" t="s">
        <v>105</v>
      </c>
      <c r="J72" s="30">
        <f ca="1">(IF(B67&gt;1,(H67/(B67+2)),H67/4))</f>
        <v>1.75</v>
      </c>
    </row>
    <row r="73" spans="1:10" ht="15.75" customHeight="1" x14ac:dyDescent="0.35">
      <c r="A73" s="92" t="s">
        <v>138</v>
      </c>
      <c r="B73" s="92" t="s">
        <v>132</v>
      </c>
      <c r="C73" s="69">
        <v>7</v>
      </c>
      <c r="D73" s="19">
        <f ca="1">((100/H67)*C73)/100</f>
        <v>1</v>
      </c>
      <c r="E73" s="128"/>
      <c r="F73" s="128"/>
      <c r="G73" s="128"/>
      <c r="H73" s="128"/>
      <c r="I73" s="14" t="s">
        <v>106</v>
      </c>
      <c r="J73" s="30">
        <f ca="1">(IF(B67&gt;1,(H67/(B67+2)+J72),H67/4+J72))</f>
        <v>3.5</v>
      </c>
    </row>
    <row r="74" spans="1:10" ht="15.75" customHeight="1" x14ac:dyDescent="0.35">
      <c r="A74" s="92" t="s">
        <v>139</v>
      </c>
      <c r="B74" s="92" t="s">
        <v>132</v>
      </c>
      <c r="C74" s="69">
        <v>7</v>
      </c>
      <c r="D74" s="19">
        <f ca="1">((100/H67)*C74)/100</f>
        <v>1</v>
      </c>
      <c r="E74" s="128"/>
      <c r="F74" s="128"/>
      <c r="G74" s="128"/>
      <c r="H74" s="128"/>
      <c r="I74" s="14" t="s">
        <v>148</v>
      </c>
      <c r="J74" s="30">
        <f>(IF(B67&gt;1,(H67/(B67+2)+J73),0))</f>
        <v>0</v>
      </c>
    </row>
    <row r="75" spans="1:10" ht="15" customHeight="1" x14ac:dyDescent="0.35">
      <c r="A75" s="92" t="s">
        <v>137</v>
      </c>
      <c r="B75" s="92" t="s">
        <v>134</v>
      </c>
      <c r="C75" s="69">
        <v>7</v>
      </c>
      <c r="D75" s="19">
        <f ca="1">((100/(H67))*C75)/100</f>
        <v>1</v>
      </c>
      <c r="E75" s="128"/>
      <c r="F75" s="128"/>
      <c r="G75" s="128"/>
      <c r="H75" s="128"/>
      <c r="I75" s="14" t="s">
        <v>145</v>
      </c>
      <c r="J75" s="30">
        <f>(IF(B67&gt;2,(H67/(B67+2)+J74),0))</f>
        <v>0</v>
      </c>
    </row>
    <row r="76" spans="1:10" ht="15.75" customHeight="1" x14ac:dyDescent="0.35">
      <c r="A76" s="92" t="s">
        <v>133</v>
      </c>
      <c r="B76" s="92" t="s">
        <v>133</v>
      </c>
      <c r="C76" s="69">
        <v>6</v>
      </c>
      <c r="D76" s="19">
        <f ca="1">((100/H67)*C76)/100</f>
        <v>0.85714285714285721</v>
      </c>
      <c r="E76" s="128"/>
      <c r="F76" s="128"/>
      <c r="G76" s="128"/>
      <c r="H76" s="128"/>
      <c r="I76" s="14" t="s">
        <v>146</v>
      </c>
      <c r="J76" s="31">
        <f>(IF(B67&gt;3,(H67/(B67+2)+J75),0))</f>
        <v>0</v>
      </c>
    </row>
    <row r="77" spans="1:10" ht="15.75" customHeight="1" x14ac:dyDescent="0.35">
      <c r="A77" s="92" t="s">
        <v>140</v>
      </c>
      <c r="B77" s="92"/>
      <c r="C77" s="69">
        <v>5</v>
      </c>
      <c r="D77" s="19">
        <f ca="1">((100/H67)*C77)/100</f>
        <v>0.7142857142857143</v>
      </c>
      <c r="E77" s="128"/>
      <c r="F77" s="128"/>
      <c r="G77" s="128"/>
      <c r="H77" s="128"/>
      <c r="I77" s="14" t="s">
        <v>147</v>
      </c>
      <c r="J77" s="30">
        <f>(IF(B67&gt;4,(H67/(B67+2)+J76),0))</f>
        <v>0</v>
      </c>
    </row>
    <row r="78" spans="1:10" ht="15.75" customHeight="1" x14ac:dyDescent="0.35">
      <c r="A78" s="92" t="s">
        <v>135</v>
      </c>
      <c r="B78" s="92" t="s">
        <v>135</v>
      </c>
      <c r="C78" s="69">
        <v>0</v>
      </c>
      <c r="D78" s="19">
        <f ca="1">((100/(H67))*C78)/100</f>
        <v>0</v>
      </c>
      <c r="E78" s="128"/>
      <c r="F78" s="128"/>
      <c r="G78" s="128"/>
      <c r="H78" s="128"/>
      <c r="I78" s="14" t="s">
        <v>149</v>
      </c>
      <c r="J78" s="30">
        <f ca="1">(IF(B67=1,(H67/(B67+3)+J73),IF(B67=0,(H67/4+J73),IF(B67&gt;1,0))))</f>
        <v>5.25</v>
      </c>
    </row>
    <row r="79" spans="1:10" ht="16" thickBot="1" x14ac:dyDescent="0.4">
      <c r="A79" s="92" t="s">
        <v>136</v>
      </c>
      <c r="B79" s="92"/>
      <c r="C79" s="69">
        <v>0</v>
      </c>
      <c r="D79" s="19">
        <f ca="1">((100/(H67))*C79)/100</f>
        <v>0</v>
      </c>
      <c r="E79" s="128"/>
      <c r="F79" s="128"/>
      <c r="G79" s="128"/>
      <c r="H79" s="128"/>
      <c r="I79" s="15" t="s">
        <v>107</v>
      </c>
      <c r="J79" s="32">
        <f ca="1">(IF(B67&gt;1.5,(H67/(B67+2)+J73+MAX(0,J74-J73)+MAX(0,J75-J74)+MAX(0,J76-J75)+MAX(0,J77-J76)+MAX(0,J78-J77)),IF(B67=1,(H67/(B67+3)+J78),IF(B67=0,H67/4+J78))))</f>
        <v>7</v>
      </c>
    </row>
    <row r="80" spans="1:10" ht="15.75" customHeight="1" x14ac:dyDescent="0.35">
      <c r="A80" s="183" t="s">
        <v>142</v>
      </c>
      <c r="B80" s="184"/>
      <c r="C80" s="185" t="str">
        <f>D58</f>
        <v>B &amp; C Wing = G + 1st to 7th Floor</v>
      </c>
      <c r="D80" s="186"/>
      <c r="E80" s="186"/>
      <c r="F80" s="186"/>
      <c r="G80" s="186"/>
      <c r="H80" s="187"/>
      <c r="I80" s="49" t="str">
        <f ca="1">IF(D93=100%,"All work Completed. Possession granted to the Building.",IF(D92=100%,"All work Completed, Waiting for OC",I81&amp;""&amp;I82&amp;""&amp;J81&amp;""&amp;J80&amp;" "&amp;J82))</f>
        <v xml:space="preserve">Work not yet Started. </v>
      </c>
      <c r="J80" s="50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2" x14ac:dyDescent="0.35">
      <c r="A81" s="16" t="s">
        <v>144</v>
      </c>
      <c r="B81" s="53">
        <f>IF(AND(ISNUMBER(SEARCH("1B",C80))),1,IF(AND(ISNUMBER(SEARCH("2B",C80))),2,IF(AND(ISNUMBER(SEARCH("3B",C80))),3,IF(AND(ISNUMBER(SEARCH("4B",C80))),4,IF(ISNUMBER(SEARCH("5B",C80)),5,0)))))</f>
        <v>0</v>
      </c>
      <c r="C81" s="47" t="s">
        <v>74</v>
      </c>
      <c r="D81" s="47">
        <v>1</v>
      </c>
      <c r="E81" s="47" t="s">
        <v>73</v>
      </c>
      <c r="F81" s="56">
        <v>0</v>
      </c>
      <c r="G81" s="48" t="s">
        <v>82</v>
      </c>
      <c r="H81" s="17">
        <f ca="1">--TRIM(RIGHT(SUBSTITUTE(LEFT(C80,_xlfn.AGGREGATE(16,6,FIND({0,1,2,3,4,5,6,7,8,9},C80,ROW(INDIRECT("1:"&amp;LEN(C80)))),1))," ",REPT(" ",LEN(C80))),LEN(C80)))</f>
        <v>7</v>
      </c>
      <c r="I81" s="51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/>
      </c>
      <c r="J81" s="52" t="str">
        <f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Work not yet Started.</v>
      </c>
    </row>
    <row r="82" spans="1:12" x14ac:dyDescent="0.35">
      <c r="A82" s="100" t="s">
        <v>92</v>
      </c>
      <c r="B82" s="101"/>
      <c r="C82" s="102" t="str">
        <f ca="1">(IF($G$52="NA",I80,"All work Completed. OC Received."))</f>
        <v xml:space="preserve">Work not yet Started. </v>
      </c>
      <c r="D82" s="102"/>
      <c r="E82" s="102"/>
      <c r="F82" s="102"/>
      <c r="G82" s="102"/>
      <c r="H82" s="103"/>
      <c r="I82" s="51" t="str">
        <f ca="1">IF(I81&lt;&gt;""," Completed","")</f>
        <v/>
      </c>
      <c r="J82" s="52" t="str">
        <f ca="1">IF(J80&lt;&gt;"","Completed","")</f>
        <v/>
      </c>
    </row>
    <row r="83" spans="1:12" ht="15.75" customHeight="1" x14ac:dyDescent="0.35">
      <c r="A83" s="91" t="s">
        <v>50</v>
      </c>
      <c r="B83" s="92"/>
      <c r="C83" s="43" t="s">
        <v>141</v>
      </c>
      <c r="D83" s="43" t="s">
        <v>85</v>
      </c>
      <c r="E83" s="92" t="s">
        <v>87</v>
      </c>
      <c r="F83" s="92"/>
      <c r="G83" s="92" t="s">
        <v>86</v>
      </c>
      <c r="H83" s="104"/>
      <c r="I83" s="14" t="s">
        <v>143</v>
      </c>
      <c r="J83" s="28">
        <f ca="1">H81*25%</f>
        <v>1.75</v>
      </c>
    </row>
    <row r="84" spans="1:12" x14ac:dyDescent="0.35">
      <c r="A84" s="91" t="s">
        <v>130</v>
      </c>
      <c r="B84" s="92"/>
      <c r="C84" s="43">
        <v>0</v>
      </c>
      <c r="D84" s="19">
        <f ca="1">((100/H81)*C84)/100</f>
        <v>0</v>
      </c>
      <c r="E84" s="85">
        <f ca="1">(((C85/H81*10)+(40/(D81+F81+H81)*C86)+(7.5/(H81)*C87)+(7.5/(H81)*C88)+(10/H81*C89)+(10/H81*C90)+(5/H81*C91)+(5/H81*C92)+(5/H81*C93))/100)</f>
        <v>0</v>
      </c>
      <c r="F84" s="96"/>
      <c r="G84" s="85">
        <f ca="1">((((C84/H81)*20)+((C85/H81)*25)+(30/(H81+F81+D81)*C86)+(5/H81*C87)+(5/H81*C88)+(5/H81*C89)+(5/H81*C90)+(0/H81*C91)+(0/H81*C92)+(5/H81*C93))/100)</f>
        <v>0</v>
      </c>
      <c r="H84" s="86"/>
      <c r="I84" s="14" t="s">
        <v>103</v>
      </c>
      <c r="J84" s="29">
        <f ca="1">H81*50%</f>
        <v>3.5</v>
      </c>
    </row>
    <row r="85" spans="1:12" x14ac:dyDescent="0.35">
      <c r="A85" s="91" t="s">
        <v>51</v>
      </c>
      <c r="B85" s="92"/>
      <c r="C85" s="54">
        <v>0</v>
      </c>
      <c r="D85" s="19">
        <f ca="1">((100/H81)*C85)/100</f>
        <v>0</v>
      </c>
      <c r="E85" s="87"/>
      <c r="F85" s="97"/>
      <c r="G85" s="87"/>
      <c r="H85" s="88"/>
      <c r="I85" s="14" t="s">
        <v>104</v>
      </c>
      <c r="J85" s="29">
        <f ca="1">H81</f>
        <v>7</v>
      </c>
    </row>
    <row r="86" spans="1:12" ht="15.75" customHeight="1" x14ac:dyDescent="0.35">
      <c r="A86" s="91" t="s">
        <v>131</v>
      </c>
      <c r="B86" s="92"/>
      <c r="C86" s="43">
        <v>0</v>
      </c>
      <c r="D86" s="19">
        <f ca="1">((100/(D81+F81+H81))*C86)/100</f>
        <v>0</v>
      </c>
      <c r="E86" s="87"/>
      <c r="F86" s="97"/>
      <c r="G86" s="87"/>
      <c r="H86" s="88"/>
      <c r="I86" s="14" t="s">
        <v>105</v>
      </c>
      <c r="J86" s="30">
        <f ca="1">(IF(B81&gt;1,(H81/(B81+2)),H81/4))</f>
        <v>1.75</v>
      </c>
    </row>
    <row r="87" spans="1:12" ht="15.75" customHeight="1" x14ac:dyDescent="0.35">
      <c r="A87" s="91" t="s">
        <v>138</v>
      </c>
      <c r="B87" s="92" t="s">
        <v>132</v>
      </c>
      <c r="C87" s="43">
        <v>0</v>
      </c>
      <c r="D87" s="19">
        <f ca="1">((100/H81)*C87)/100</f>
        <v>0</v>
      </c>
      <c r="E87" s="87"/>
      <c r="F87" s="97"/>
      <c r="G87" s="87"/>
      <c r="H87" s="88"/>
      <c r="I87" s="14" t="s">
        <v>106</v>
      </c>
      <c r="J87" s="30">
        <f ca="1">(IF(B81&gt;1,(H81/(B81+2)+J86),H81/4+J86))</f>
        <v>3.5</v>
      </c>
    </row>
    <row r="88" spans="1:12" ht="15.75" customHeight="1" x14ac:dyDescent="0.35">
      <c r="A88" s="91" t="s">
        <v>139</v>
      </c>
      <c r="B88" s="92" t="s">
        <v>132</v>
      </c>
      <c r="C88" s="43">
        <v>0</v>
      </c>
      <c r="D88" s="19">
        <f ca="1">((100/H81)*C88)/100</f>
        <v>0</v>
      </c>
      <c r="E88" s="87"/>
      <c r="F88" s="97"/>
      <c r="G88" s="87"/>
      <c r="H88" s="88"/>
      <c r="I88" s="14" t="s">
        <v>148</v>
      </c>
      <c r="J88" s="30">
        <f>(IF(B81&gt;1,(H81/(B81+2)+J87),0))</f>
        <v>0</v>
      </c>
    </row>
    <row r="89" spans="1:12" ht="15" customHeight="1" x14ac:dyDescent="0.35">
      <c r="A89" s="91" t="s">
        <v>137</v>
      </c>
      <c r="B89" s="92" t="s">
        <v>134</v>
      </c>
      <c r="C89" s="43">
        <v>0</v>
      </c>
      <c r="D89" s="19">
        <f ca="1">((100/(H81))*C89)/100</f>
        <v>0</v>
      </c>
      <c r="E89" s="87"/>
      <c r="F89" s="97"/>
      <c r="G89" s="87"/>
      <c r="H89" s="88"/>
      <c r="I89" s="14" t="s">
        <v>145</v>
      </c>
      <c r="J89" s="30">
        <f>(IF(B81&gt;2,(H81/(B81+2)+J88),0))</f>
        <v>0</v>
      </c>
    </row>
    <row r="90" spans="1:12" ht="15.75" customHeight="1" x14ac:dyDescent="0.35">
      <c r="A90" s="91" t="s">
        <v>133</v>
      </c>
      <c r="B90" s="92" t="s">
        <v>133</v>
      </c>
      <c r="C90" s="43">
        <v>0</v>
      </c>
      <c r="D90" s="19">
        <f ca="1">((100/H81)*C90)/100</f>
        <v>0</v>
      </c>
      <c r="E90" s="87"/>
      <c r="F90" s="97"/>
      <c r="G90" s="87"/>
      <c r="H90" s="88"/>
      <c r="I90" s="14" t="s">
        <v>146</v>
      </c>
      <c r="J90" s="31">
        <f>(IF(B81&gt;3,(H81/(B81+2)+J89),0))</f>
        <v>0</v>
      </c>
    </row>
    <row r="91" spans="1:12" ht="15.75" customHeight="1" x14ac:dyDescent="0.35">
      <c r="A91" s="91" t="s">
        <v>140</v>
      </c>
      <c r="B91" s="92"/>
      <c r="C91" s="43">
        <v>0</v>
      </c>
      <c r="D91" s="19">
        <f ca="1">((100/H81)*C91)/100</f>
        <v>0</v>
      </c>
      <c r="E91" s="87"/>
      <c r="F91" s="97"/>
      <c r="G91" s="87"/>
      <c r="H91" s="88"/>
      <c r="I91" s="14" t="s">
        <v>147</v>
      </c>
      <c r="J91" s="30">
        <f>(IF(B81&gt;4,(H81/(B81+2)+J90),0))</f>
        <v>0</v>
      </c>
    </row>
    <row r="92" spans="1:12" ht="15.75" customHeight="1" x14ac:dyDescent="0.35">
      <c r="A92" s="91" t="s">
        <v>135</v>
      </c>
      <c r="B92" s="92" t="s">
        <v>135</v>
      </c>
      <c r="C92" s="43">
        <v>0</v>
      </c>
      <c r="D92" s="19">
        <f ca="1">((100/(H81))*C92)/100</f>
        <v>0</v>
      </c>
      <c r="E92" s="87"/>
      <c r="F92" s="97"/>
      <c r="G92" s="87"/>
      <c r="H92" s="88"/>
      <c r="I92" s="14" t="s">
        <v>149</v>
      </c>
      <c r="J92" s="30">
        <f ca="1">(IF(B81=1,(H81/(B81+3)+J87),IF(B81=0,(H81/4+J87),IF(B81&gt;1,0))))</f>
        <v>5.25</v>
      </c>
    </row>
    <row r="93" spans="1:12" ht="16" thickBot="1" x14ac:dyDescent="0.4">
      <c r="A93" s="105" t="s">
        <v>136</v>
      </c>
      <c r="B93" s="106"/>
      <c r="C93" s="44">
        <v>0</v>
      </c>
      <c r="D93" s="20">
        <f ca="1">((100/(H81))*C93)/100</f>
        <v>0</v>
      </c>
      <c r="E93" s="89"/>
      <c r="F93" s="98"/>
      <c r="G93" s="89"/>
      <c r="H93" s="90"/>
      <c r="I93" s="15" t="s">
        <v>107</v>
      </c>
      <c r="J93" s="32">
        <f ca="1">(IF(B81&gt;1.5,(H81/(B81+2)+J87+MAX(0,J88-J87)+MAX(0,J89-J88)+MAX(0,J90-J89)+MAX(0,J91-J90)+MAX(0,J92-J91)),IF(B81=1,(H81/(B81+3)+J92),IF(B81=0,H81/4+J92))))</f>
        <v>7</v>
      </c>
    </row>
    <row r="94" spans="1:12" x14ac:dyDescent="0.35">
      <c r="A94" s="177" t="s">
        <v>158</v>
      </c>
      <c r="B94" s="177"/>
      <c r="C94" s="177"/>
      <c r="D94" s="177"/>
      <c r="E94" s="177"/>
      <c r="F94" s="99" t="s">
        <v>160</v>
      </c>
      <c r="G94" s="99"/>
      <c r="H94" s="99"/>
    </row>
    <row r="95" spans="1:12" x14ac:dyDescent="0.35">
      <c r="A95" s="77" t="s">
        <v>159</v>
      </c>
      <c r="B95" s="77"/>
      <c r="C95" s="77"/>
      <c r="D95" s="77"/>
      <c r="E95" s="77"/>
      <c r="F95" s="95">
        <v>4100</v>
      </c>
      <c r="G95" s="95"/>
      <c r="H95" s="95"/>
      <c r="I95" s="63" t="s">
        <v>213</v>
      </c>
      <c r="J95" s="63" t="s">
        <v>214</v>
      </c>
      <c r="K95" s="63" t="s">
        <v>215</v>
      </c>
      <c r="L95" s="64">
        <v>45171</v>
      </c>
    </row>
    <row r="96" spans="1:12" s="33" customFormat="1" hidden="1" x14ac:dyDescent="0.3">
      <c r="A96" s="77" t="s">
        <v>97</v>
      </c>
      <c r="B96" s="77"/>
      <c r="C96" s="77"/>
      <c r="D96" s="77"/>
      <c r="E96" s="77"/>
      <c r="F96" s="95"/>
      <c r="G96" s="95"/>
      <c r="H96" s="95"/>
    </row>
    <row r="97" spans="1:8" s="33" customFormat="1" hidden="1" x14ac:dyDescent="0.3">
      <c r="A97" s="77" t="s">
        <v>98</v>
      </c>
      <c r="B97" s="77"/>
      <c r="C97" s="77"/>
      <c r="D97" s="77"/>
      <c r="E97" s="77"/>
      <c r="F97" s="95"/>
      <c r="G97" s="95"/>
      <c r="H97" s="95"/>
    </row>
    <row r="98" spans="1:8" s="33" customFormat="1" hidden="1" x14ac:dyDescent="0.3">
      <c r="A98" s="77" t="s">
        <v>161</v>
      </c>
      <c r="B98" s="77"/>
      <c r="C98" s="77"/>
      <c r="D98" s="77"/>
      <c r="E98" s="77"/>
      <c r="F98" s="95"/>
      <c r="G98" s="95"/>
      <c r="H98" s="95"/>
    </row>
    <row r="99" spans="1:8" s="33" customFormat="1" hidden="1" x14ac:dyDescent="0.3">
      <c r="A99" s="77" t="s">
        <v>99</v>
      </c>
      <c r="B99" s="77"/>
      <c r="C99" s="77"/>
      <c r="D99" s="77"/>
      <c r="E99" s="77"/>
      <c r="F99" s="95"/>
      <c r="G99" s="95"/>
      <c r="H99" s="95"/>
    </row>
    <row r="100" spans="1:8" s="33" customFormat="1" hidden="1" x14ac:dyDescent="0.3">
      <c r="A100" s="77" t="s">
        <v>100</v>
      </c>
      <c r="B100" s="77"/>
      <c r="C100" s="77"/>
      <c r="D100" s="77"/>
      <c r="E100" s="77"/>
      <c r="F100" s="95"/>
      <c r="G100" s="95"/>
      <c r="H100" s="95"/>
    </row>
    <row r="101" spans="1:8" s="33" customFormat="1" hidden="1" x14ac:dyDescent="0.3">
      <c r="A101" s="77" t="s">
        <v>101</v>
      </c>
      <c r="B101" s="77"/>
      <c r="C101" s="77"/>
      <c r="D101" s="77"/>
      <c r="E101" s="77"/>
      <c r="F101" s="95"/>
      <c r="G101" s="95"/>
      <c r="H101" s="95"/>
    </row>
    <row r="102" spans="1:8" s="33" customFormat="1" hidden="1" x14ac:dyDescent="0.3">
      <c r="A102" s="77" t="s">
        <v>102</v>
      </c>
      <c r="B102" s="77"/>
      <c r="C102" s="77"/>
      <c r="D102" s="77"/>
      <c r="E102" s="77"/>
      <c r="F102" s="95"/>
      <c r="G102" s="95"/>
      <c r="H102" s="95"/>
    </row>
    <row r="103" spans="1:8" x14ac:dyDescent="0.35">
      <c r="A103" s="77" t="s">
        <v>52</v>
      </c>
      <c r="B103" s="77"/>
      <c r="C103" s="77"/>
      <c r="D103" s="77"/>
      <c r="E103" s="77"/>
      <c r="F103" s="95">
        <v>100000</v>
      </c>
      <c r="G103" s="95"/>
      <c r="H103" s="95"/>
    </row>
    <row r="104" spans="1:8" s="34" customFormat="1" x14ac:dyDescent="0.35">
      <c r="A104" s="110" t="s">
        <v>53</v>
      </c>
      <c r="B104" s="110"/>
      <c r="C104" s="110"/>
      <c r="D104" s="110"/>
      <c r="E104" s="110"/>
      <c r="F104" s="95">
        <f>F95*0.8</f>
        <v>3280</v>
      </c>
      <c r="G104" s="95"/>
      <c r="H104" s="95"/>
    </row>
    <row r="105" spans="1:8" s="35" customFormat="1" x14ac:dyDescent="0.35">
      <c r="A105" s="76" t="s">
        <v>72</v>
      </c>
      <c r="B105" s="76"/>
      <c r="C105" s="76"/>
      <c r="D105" s="76"/>
      <c r="E105" s="76"/>
      <c r="F105" s="76"/>
      <c r="G105" s="76"/>
      <c r="H105" s="76"/>
    </row>
    <row r="106" spans="1:8" s="35" customFormat="1" ht="15.75" customHeight="1" x14ac:dyDescent="0.35">
      <c r="A106" s="157" t="s">
        <v>54</v>
      </c>
      <c r="B106" s="157"/>
      <c r="C106" s="156" t="s">
        <v>80</v>
      </c>
      <c r="D106" s="156"/>
      <c r="E106" s="162" t="s">
        <v>55</v>
      </c>
      <c r="F106" s="162"/>
      <c r="G106" s="157" t="s">
        <v>56</v>
      </c>
      <c r="H106" s="157"/>
    </row>
    <row r="107" spans="1:8" s="35" customFormat="1" x14ac:dyDescent="0.35">
      <c r="A107" s="155" t="s">
        <v>181</v>
      </c>
      <c r="B107" s="155"/>
      <c r="C107" s="93">
        <f>COUNT(D117:D120)+COUNT(D122:D125)+COUNT(D127:D130)*6</f>
        <v>32</v>
      </c>
      <c r="D107" s="93"/>
      <c r="E107" s="94">
        <f>SUM(D117:D120)+SUM(D122:D125)+SUM(D127:D130)*6</f>
        <v>10659.696840000001</v>
      </c>
      <c r="F107" s="94"/>
      <c r="G107" s="94">
        <f>SUM(F117:F120)+SUM(F122:F125)+SUM(F127:F130)*6</f>
        <v>15521.897897999999</v>
      </c>
      <c r="H107" s="94"/>
    </row>
    <row r="108" spans="1:8" s="35" customFormat="1" x14ac:dyDescent="0.35">
      <c r="A108" s="155" t="s">
        <v>189</v>
      </c>
      <c r="B108" s="155"/>
      <c r="C108" s="93">
        <f>COUNT(D133:D134,D136:D137)+COUNT(D139:D143)*4+COUNT(D145:D149)*3</f>
        <v>39</v>
      </c>
      <c r="D108" s="93"/>
      <c r="E108" s="94">
        <f>SUM(D133:D134,D136:D137)+SUM(D139:D143)*4+SUM(D145:D149)*3</f>
        <v>12495.066479999998</v>
      </c>
      <c r="F108" s="94"/>
      <c r="G108" s="94">
        <f>SUM(F133:F134,F136:F137)+SUM(F139:F143)*4+SUM(F145:F149)*3</f>
        <v>18298.54726128</v>
      </c>
      <c r="H108" s="94"/>
    </row>
    <row r="109" spans="1:8" s="35" customFormat="1" x14ac:dyDescent="0.35">
      <c r="A109" s="155" t="s">
        <v>190</v>
      </c>
      <c r="B109" s="155"/>
      <c r="C109" s="93">
        <f>COUNT(D152:D153,D155:D156)+COUNT(D158:D162)*4+COUNT(D164:D168)*3</f>
        <v>39</v>
      </c>
      <c r="D109" s="93"/>
      <c r="E109" s="94">
        <f>SUM(D152:D153,D155:D156)+SUM(D158:D162)*4+SUM(D164:D168)*3</f>
        <v>12487.53168</v>
      </c>
      <c r="F109" s="94"/>
      <c r="G109" s="94">
        <f>SUM(F152:F153,F155:F156)+SUM(F158:F162)*4+SUM(F164:F168)*3</f>
        <v>18262.245455999997</v>
      </c>
      <c r="H109" s="94"/>
    </row>
    <row r="110" spans="1:8" s="35" customFormat="1" x14ac:dyDescent="0.35">
      <c r="A110" s="76" t="s">
        <v>152</v>
      </c>
      <c r="B110" s="76"/>
      <c r="C110" s="161">
        <f>SUM(C107:C109)</f>
        <v>110</v>
      </c>
      <c r="D110" s="156"/>
      <c r="E110" s="161">
        <f t="shared" ref="E110" si="0">SUM(E107:E109)</f>
        <v>35642.294999999998</v>
      </c>
      <c r="F110" s="156"/>
      <c r="G110" s="161">
        <f t="shared" ref="G110" si="1">SUM(G107:G109)</f>
        <v>52082.69061528</v>
      </c>
      <c r="H110" s="156"/>
    </row>
    <row r="111" spans="1:8" s="34" customFormat="1" x14ac:dyDescent="0.35">
      <c r="A111" s="99" t="s">
        <v>57</v>
      </c>
      <c r="B111" s="99"/>
      <c r="C111" s="99"/>
      <c r="D111" s="99"/>
      <c r="E111" s="99"/>
      <c r="F111" s="99"/>
      <c r="G111" s="99"/>
      <c r="H111" s="99"/>
    </row>
    <row r="112" spans="1:8" x14ac:dyDescent="0.35">
      <c r="A112" s="147" t="s">
        <v>58</v>
      </c>
      <c r="B112" s="147"/>
      <c r="C112" s="147"/>
      <c r="D112" s="147"/>
      <c r="E112" s="147"/>
      <c r="F112" s="147"/>
      <c r="G112" s="147"/>
      <c r="H112" s="147"/>
    </row>
    <row r="113" spans="1:14" ht="47.25" customHeight="1" x14ac:dyDescent="0.35">
      <c r="A113" s="158" t="s">
        <v>122</v>
      </c>
      <c r="B113" s="158" t="s">
        <v>123</v>
      </c>
      <c r="C113" s="175" t="s">
        <v>59</v>
      </c>
      <c r="D113" s="175" t="s">
        <v>60</v>
      </c>
      <c r="E113" s="179" t="s">
        <v>61</v>
      </c>
      <c r="F113" s="42" t="s">
        <v>151</v>
      </c>
      <c r="G113" s="158" t="s">
        <v>62</v>
      </c>
      <c r="H113" s="181"/>
      <c r="I113" s="36"/>
    </row>
    <row r="114" spans="1:14" s="37" customFormat="1" x14ac:dyDescent="0.35">
      <c r="A114" s="159"/>
      <c r="B114" s="159"/>
      <c r="C114" s="176"/>
      <c r="D114" s="176"/>
      <c r="E114" s="180"/>
      <c r="F114" s="13">
        <v>0.45</v>
      </c>
      <c r="G114" s="159"/>
      <c r="H114" s="182"/>
      <c r="I114" s="36"/>
    </row>
    <row r="115" spans="1:14" s="57" customFormat="1" x14ac:dyDescent="0.35">
      <c r="A115" s="154" t="s">
        <v>181</v>
      </c>
      <c r="B115" s="154"/>
      <c r="C115" s="154"/>
      <c r="D115" s="154"/>
      <c r="E115" s="154"/>
      <c r="F115" s="154"/>
      <c r="G115" s="154"/>
      <c r="H115" s="154"/>
      <c r="J115" s="36"/>
    </row>
    <row r="116" spans="1:14" s="37" customFormat="1" x14ac:dyDescent="0.35">
      <c r="A116" s="154" t="s">
        <v>182</v>
      </c>
      <c r="B116" s="154"/>
      <c r="C116" s="154"/>
      <c r="D116" s="154"/>
      <c r="E116" s="154"/>
      <c r="F116" s="154"/>
      <c r="G116" s="154"/>
      <c r="H116" s="154"/>
      <c r="J116" s="36"/>
    </row>
    <row r="117" spans="1:14" s="37" customFormat="1" ht="15.75" customHeight="1" x14ac:dyDescent="0.35">
      <c r="A117" s="160">
        <v>1</v>
      </c>
      <c r="B117" s="160"/>
      <c r="C117" s="55" t="s">
        <v>183</v>
      </c>
      <c r="D117" s="60">
        <f>(25.33+2.75)*(10.764)</f>
        <v>302.25311999999997</v>
      </c>
      <c r="E117" s="55">
        <v>0</v>
      </c>
      <c r="F117" s="55">
        <f>D117*(($F$114)+1)+(IF(E117&lt;101,E117,IF(E117&lt;201,E117/2,IF(E117&lt;=301,E117/3,E117/4))))</f>
        <v>438.26702399999994</v>
      </c>
      <c r="G117" s="160" t="str">
        <f>A116</f>
        <v>Ground Floor For Entrance Lobby, Meter Room, Drivers Room &amp; Residential</v>
      </c>
      <c r="H117" s="160"/>
      <c r="I117" s="36">
        <f>2.75*3.2+1.865*1.82+2.75*2.835+1.5*0.9+1*1.69+1.98*0.9</f>
        <v>24.812550000000005</v>
      </c>
      <c r="L117" s="61">
        <v>462</v>
      </c>
      <c r="M117" s="61">
        <f>L117/D117</f>
        <v>1.5285202018758319</v>
      </c>
      <c r="N117" s="36"/>
    </row>
    <row r="118" spans="1:14" s="37" customFormat="1" ht="15.75" customHeight="1" x14ac:dyDescent="0.35">
      <c r="A118" s="160">
        <f t="shared" ref="A118:A120" si="2">A117+1</f>
        <v>2</v>
      </c>
      <c r="B118" s="160"/>
      <c r="C118" s="55" t="s">
        <v>183</v>
      </c>
      <c r="D118" s="60">
        <f>(26.1+2.75)*(10.764)</f>
        <v>310.54140000000001</v>
      </c>
      <c r="E118" s="55">
        <v>0</v>
      </c>
      <c r="F118" s="55">
        <f>D118*(($F$114)+1)+(IF(E118&lt;101,E118,IF(E118&lt;201,E118/2,IF(E118&lt;=301,E118/3,E118/4))))</f>
        <v>450.28503000000001</v>
      </c>
      <c r="G118" s="160"/>
      <c r="H118" s="160"/>
      <c r="I118" s="36">
        <f>2.75*3.48+1.865*1.82+2.75*2.83+1.5*0.9+1*1.69+1.98*0.9</f>
        <v>25.568800000000003</v>
      </c>
      <c r="J118" s="37">
        <f>1*2.75</f>
        <v>2.75</v>
      </c>
      <c r="L118" s="61">
        <v>475</v>
      </c>
      <c r="M118" s="61">
        <f t="shared" ref="M118:M125" si="3">L118/D118</f>
        <v>1.5295867153300655</v>
      </c>
      <c r="N118" s="36"/>
    </row>
    <row r="119" spans="1:14" s="37" customFormat="1" ht="15.75" customHeight="1" x14ac:dyDescent="0.35">
      <c r="A119" s="160">
        <f t="shared" si="2"/>
        <v>3</v>
      </c>
      <c r="B119" s="160"/>
      <c r="C119" s="55" t="s">
        <v>183</v>
      </c>
      <c r="D119" s="60">
        <f>(26.99+2.75)*(10.764)</f>
        <v>320.12135999999998</v>
      </c>
      <c r="E119" s="55">
        <v>0</v>
      </c>
      <c r="F119" s="55">
        <f>D119*(($F$114)+1)+(IF(E119&lt;101,E119,IF(E119&lt;201,E119/2,IF(E119&lt;=301,E119/3,E119/4))))</f>
        <v>464.17597199999994</v>
      </c>
      <c r="G119" s="160"/>
      <c r="H119" s="160"/>
      <c r="I119" s="36">
        <f>2.75*3.2+2.165*1.82+3.05*2.8+1.5*0.9+1*1.69+1.98*0.9</f>
        <v>26.102300000000003</v>
      </c>
      <c r="K119" s="37">
        <f>1.07*3.1+1*2.75</f>
        <v>6.0670000000000002</v>
      </c>
      <c r="L119" s="61">
        <v>489</v>
      </c>
      <c r="M119" s="61">
        <f t="shared" si="3"/>
        <v>1.5275456783015042</v>
      </c>
      <c r="N119" s="36"/>
    </row>
    <row r="120" spans="1:14" s="37" customFormat="1" ht="15.75" customHeight="1" x14ac:dyDescent="0.35">
      <c r="A120" s="160">
        <f t="shared" si="2"/>
        <v>4</v>
      </c>
      <c r="B120" s="160"/>
      <c r="C120" s="55" t="s">
        <v>183</v>
      </c>
      <c r="D120" s="60">
        <f>(25.33+2.75)*(10.764)</f>
        <v>302.25311999999997</v>
      </c>
      <c r="E120" s="55">
        <v>0</v>
      </c>
      <c r="F120" s="55">
        <f>D120*(($F$114)+1)+(IF(E120&lt;101,E120,IF(E120&lt;201,E120/2,IF(E120&lt;=301,E120/3,E120/4))))</f>
        <v>438.26702399999994</v>
      </c>
      <c r="G120" s="160"/>
      <c r="H120" s="160"/>
      <c r="I120" s="36"/>
      <c r="L120" s="61">
        <v>462</v>
      </c>
      <c r="M120" s="61">
        <f t="shared" si="3"/>
        <v>1.5285202018758319</v>
      </c>
      <c r="N120" s="36"/>
    </row>
    <row r="121" spans="1:14" s="57" customFormat="1" x14ac:dyDescent="0.35">
      <c r="A121" s="154" t="s">
        <v>184</v>
      </c>
      <c r="B121" s="154"/>
      <c r="C121" s="154"/>
      <c r="D121" s="154"/>
      <c r="E121" s="154"/>
      <c r="F121" s="154"/>
      <c r="G121" s="154"/>
      <c r="H121" s="154"/>
      <c r="J121" s="36"/>
      <c r="L121" s="61"/>
      <c r="M121" s="61"/>
    </row>
    <row r="122" spans="1:14" s="57" customFormat="1" ht="15.75" customHeight="1" x14ac:dyDescent="0.35">
      <c r="A122" s="160">
        <v>1</v>
      </c>
      <c r="B122" s="160"/>
      <c r="C122" s="68" t="s">
        <v>183</v>
      </c>
      <c r="D122" s="60">
        <f>(25.33+2.75)*(10.764)</f>
        <v>302.25311999999997</v>
      </c>
      <c r="E122" s="68">
        <v>0</v>
      </c>
      <c r="F122" s="68">
        <f>D122*(($F$114)+1)+(IF(E122&lt;101,E122,IF(E122&lt;201,E122/2,IF(E122&lt;=301,E122/3,E122/4))))</f>
        <v>438.26702399999994</v>
      </c>
      <c r="G122" s="160" t="str">
        <f>A121</f>
        <v>1st Floor For Residential</v>
      </c>
      <c r="H122" s="160"/>
      <c r="I122" s="36"/>
      <c r="L122" s="61">
        <v>462</v>
      </c>
      <c r="M122" s="61">
        <f t="shared" si="3"/>
        <v>1.5285202018758319</v>
      </c>
      <c r="N122" s="36"/>
    </row>
    <row r="123" spans="1:14" s="57" customFormat="1" ht="15.75" customHeight="1" x14ac:dyDescent="0.35">
      <c r="A123" s="160">
        <f t="shared" ref="A123:A125" si="4">A122+1</f>
        <v>2</v>
      </c>
      <c r="B123" s="160"/>
      <c r="C123" s="68" t="s">
        <v>185</v>
      </c>
      <c r="D123" s="60">
        <f>(36.43+2.75)*(10.764)</f>
        <v>421.73352</v>
      </c>
      <c r="E123" s="68">
        <v>0</v>
      </c>
      <c r="F123" s="68">
        <f>D123*(($F$114)+1)+(IF(E123&lt;101,E123,IF(E123&lt;201,E123/2,IF(E123&lt;=301,E123/3,E123/4))))</f>
        <v>611.51360399999999</v>
      </c>
      <c r="G123" s="160"/>
      <c r="H123" s="160"/>
      <c r="I123" s="60">
        <f>10.764</f>
        <v>10.763999999999999</v>
      </c>
      <c r="L123" s="61">
        <v>645</v>
      </c>
      <c r="M123" s="61">
        <f t="shared" si="3"/>
        <v>1.5294017890728724</v>
      </c>
      <c r="N123" s="36"/>
    </row>
    <row r="124" spans="1:14" s="57" customFormat="1" ht="15.75" customHeight="1" x14ac:dyDescent="0.35">
      <c r="A124" s="160">
        <f t="shared" si="4"/>
        <v>3</v>
      </c>
      <c r="B124" s="160"/>
      <c r="C124" s="68" t="s">
        <v>183</v>
      </c>
      <c r="D124" s="60">
        <f>(26.99+2.75)*(10.764)</f>
        <v>320.12135999999998</v>
      </c>
      <c r="E124" s="60">
        <f>(6.07)*(10.764)</f>
        <v>65.337479999999999</v>
      </c>
      <c r="F124" s="68">
        <f>D124*(($F$114)+1)+(IF(E124&lt;101,E124,IF(E124&lt;201,E124/2,IF(E124&lt;=301,E124/3,E124/4))))</f>
        <v>529.51345199999992</v>
      </c>
      <c r="G124" s="160"/>
      <c r="H124" s="160"/>
      <c r="I124" s="36"/>
      <c r="L124" s="61">
        <v>522</v>
      </c>
      <c r="M124" s="61">
        <f t="shared" si="3"/>
        <v>1.6306315829721578</v>
      </c>
      <c r="N124" s="36"/>
    </row>
    <row r="125" spans="1:14" s="57" customFormat="1" ht="15.75" customHeight="1" x14ac:dyDescent="0.35">
      <c r="A125" s="160">
        <f t="shared" si="4"/>
        <v>4</v>
      </c>
      <c r="B125" s="160"/>
      <c r="C125" s="68" t="s">
        <v>183</v>
      </c>
      <c r="D125" s="60">
        <f>(25.33+2.75)*(10.764)</f>
        <v>302.25311999999997</v>
      </c>
      <c r="E125" s="68">
        <v>0</v>
      </c>
      <c r="F125" s="68">
        <f>D125*(($F$114)+1)+(IF(E125&lt;101,E125,IF(E125&lt;201,E125/2,IF(E125&lt;=301,E125/3,E125/4))))</f>
        <v>438.26702399999994</v>
      </c>
      <c r="G125" s="160"/>
      <c r="H125" s="160"/>
      <c r="I125" s="36"/>
      <c r="L125" s="61">
        <v>462</v>
      </c>
      <c r="M125" s="61">
        <f t="shared" si="3"/>
        <v>1.5285202018758319</v>
      </c>
      <c r="N125" s="36"/>
    </row>
    <row r="126" spans="1:14" s="57" customFormat="1" x14ac:dyDescent="0.35">
      <c r="A126" s="154" t="s">
        <v>186</v>
      </c>
      <c r="B126" s="154"/>
      <c r="C126" s="154"/>
      <c r="D126" s="154"/>
      <c r="E126" s="154"/>
      <c r="F126" s="154"/>
      <c r="G126" s="154"/>
      <c r="H126" s="154"/>
      <c r="J126" s="36"/>
      <c r="L126" s="61"/>
      <c r="M126" s="61"/>
    </row>
    <row r="127" spans="1:14" s="57" customFormat="1" ht="15.75" customHeight="1" x14ac:dyDescent="0.35">
      <c r="A127" s="160">
        <v>1</v>
      </c>
      <c r="B127" s="160"/>
      <c r="C127" s="68" t="s">
        <v>183</v>
      </c>
      <c r="D127" s="60">
        <f>(25.33+2.75)*(10.764)</f>
        <v>302.25311999999997</v>
      </c>
      <c r="E127" s="68">
        <v>0</v>
      </c>
      <c r="F127" s="68">
        <f>D127*(($F$114)+1)+(IF(E127&lt;101,E127,IF(E127&lt;201,E127/2,IF(E127&lt;=301,E127/3,E127/4))))</f>
        <v>438.26702399999994</v>
      </c>
      <c r="G127" s="160" t="str">
        <f>A126</f>
        <v>2nd to 7th Floor</v>
      </c>
      <c r="H127" s="160"/>
      <c r="I127" s="36"/>
      <c r="L127" s="61"/>
      <c r="M127" s="61"/>
      <c r="N127" s="36"/>
    </row>
    <row r="128" spans="1:14" s="57" customFormat="1" ht="15.75" customHeight="1" x14ac:dyDescent="0.35">
      <c r="A128" s="160">
        <f t="shared" ref="A128:A130" si="5">A127+1</f>
        <v>2</v>
      </c>
      <c r="B128" s="160"/>
      <c r="C128" s="68" t="s">
        <v>185</v>
      </c>
      <c r="D128" s="60">
        <f>(36.43+2.75)*(10.764)</f>
        <v>421.73352</v>
      </c>
      <c r="E128" s="68">
        <v>0</v>
      </c>
      <c r="F128" s="68">
        <f>D128*(($F$114)+1)+(IF(E128&lt;101,E128,IF(E128&lt;201,E128/2,IF(E128&lt;=301,E128/3,E128/4))))</f>
        <v>611.51360399999999</v>
      </c>
      <c r="G128" s="160"/>
      <c r="H128" s="160"/>
      <c r="I128" s="36"/>
      <c r="L128" s="61"/>
      <c r="M128" s="61"/>
      <c r="N128" s="36"/>
    </row>
    <row r="129" spans="1:14" s="57" customFormat="1" ht="15.75" customHeight="1" x14ac:dyDescent="0.35">
      <c r="A129" s="160">
        <f t="shared" si="5"/>
        <v>3</v>
      </c>
      <c r="B129" s="160"/>
      <c r="C129" s="68" t="s">
        <v>183</v>
      </c>
      <c r="D129" s="60">
        <f>(26.99+2.75)*(10.764)</f>
        <v>320.12135999999998</v>
      </c>
      <c r="E129" s="68">
        <v>0</v>
      </c>
      <c r="F129" s="68">
        <f>D129*(($F$114)+1)+(IF(E129&lt;101,E129,IF(E129&lt;201,E129/2,IF(E129&lt;=301,E129/3,E129/4))))</f>
        <v>464.17597199999994</v>
      </c>
      <c r="G129" s="160"/>
      <c r="H129" s="160"/>
      <c r="I129" s="36"/>
      <c r="L129" s="61"/>
      <c r="M129" s="61"/>
      <c r="N129" s="36"/>
    </row>
    <row r="130" spans="1:14" s="57" customFormat="1" ht="15.75" customHeight="1" x14ac:dyDescent="0.35">
      <c r="A130" s="160">
        <f t="shared" si="5"/>
        <v>4</v>
      </c>
      <c r="B130" s="160"/>
      <c r="C130" s="68" t="s">
        <v>183</v>
      </c>
      <c r="D130" s="60">
        <f>(25.33+2.75)*(10.764)</f>
        <v>302.25311999999997</v>
      </c>
      <c r="E130" s="68">
        <v>0</v>
      </c>
      <c r="F130" s="68">
        <f>D130*(($F$114)+1)+(IF(E130&lt;101,E130,IF(E130&lt;201,E130/2,IF(E130&lt;=301,E130/3,E130/4))))</f>
        <v>438.26702399999994</v>
      </c>
      <c r="G130" s="160"/>
      <c r="H130" s="160"/>
      <c r="I130" s="36"/>
      <c r="L130" s="61"/>
      <c r="M130" s="61"/>
      <c r="N130" s="36"/>
    </row>
    <row r="131" spans="1:14" s="57" customFormat="1" x14ac:dyDescent="0.35">
      <c r="A131" s="154" t="s">
        <v>189</v>
      </c>
      <c r="B131" s="154"/>
      <c r="C131" s="154"/>
      <c r="D131" s="154"/>
      <c r="E131" s="154"/>
      <c r="F131" s="154"/>
      <c r="G131" s="154"/>
      <c r="H131" s="154"/>
      <c r="I131" s="36"/>
      <c r="L131" s="61"/>
      <c r="M131" s="61"/>
    </row>
    <row r="132" spans="1:14" s="57" customFormat="1" x14ac:dyDescent="0.35">
      <c r="A132" s="191" t="s">
        <v>194</v>
      </c>
      <c r="B132" s="192"/>
      <c r="C132" s="192"/>
      <c r="D132" s="192"/>
      <c r="E132" s="192"/>
      <c r="F132" s="192"/>
      <c r="G132" s="192"/>
      <c r="H132" s="193"/>
      <c r="J132" s="36"/>
      <c r="L132" s="61"/>
      <c r="M132" s="61"/>
    </row>
    <row r="133" spans="1:14" s="57" customFormat="1" ht="15.75" customHeight="1" x14ac:dyDescent="0.35">
      <c r="A133" s="171">
        <v>1</v>
      </c>
      <c r="B133" s="172"/>
      <c r="C133" s="55" t="s">
        <v>183</v>
      </c>
      <c r="D133" s="60">
        <f>(26.7+2.75)*(10.764)</f>
        <v>316.99979999999999</v>
      </c>
      <c r="E133" s="55">
        <v>0</v>
      </c>
      <c r="F133" s="55">
        <f>D133*(($F$114)+1)+(IF(E133&lt;101,E133,IF(E133&lt;201,E133/2,IF(E133&lt;=301,E133/3,E133/4))))</f>
        <v>459.64970999999997</v>
      </c>
      <c r="G133" s="165" t="str">
        <f>A132</f>
        <v>Ground Floor For Lobby, Society Office &amp; Residential</v>
      </c>
      <c r="H133" s="166"/>
      <c r="I133" s="36">
        <f>2.75*3.2+1.86*2.1+2.75*2.83+1.5*0.9+1*1.69+1.98*0.9</f>
        <v>25.310500000000005</v>
      </c>
      <c r="L133" s="194"/>
      <c r="M133" s="194"/>
      <c r="N133" s="36"/>
    </row>
    <row r="134" spans="1:14" s="57" customFormat="1" ht="15.75" customHeight="1" x14ac:dyDescent="0.35">
      <c r="A134" s="171">
        <f t="shared" ref="A134:A137" si="6">A133+1</f>
        <v>2</v>
      </c>
      <c r="B134" s="172"/>
      <c r="C134" s="55" t="s">
        <v>183</v>
      </c>
      <c r="D134" s="60">
        <f>(28.61+2.75)*(10.764)</f>
        <v>337.55903999999998</v>
      </c>
      <c r="E134" s="55">
        <v>0</v>
      </c>
      <c r="F134" s="55">
        <f>D134*(($F$114)+1)+(IF(E134&lt;101,E134,IF(E134&lt;201,E134/2,IF(E134&lt;=301,E134/3,E134/4))))</f>
        <v>489.46060799999998</v>
      </c>
      <c r="G134" s="167"/>
      <c r="H134" s="168"/>
      <c r="I134" s="36">
        <f>1.5*1.2+2.75*3.2+1.86*2.1+2.75*2.83+1.5*0.9+1*1.69+1.98*0.9</f>
        <v>27.110500000000005</v>
      </c>
      <c r="L134" s="194"/>
      <c r="M134" s="194"/>
      <c r="N134" s="36"/>
    </row>
    <row r="135" spans="1:14" s="57" customFormat="1" ht="15.75" customHeight="1" x14ac:dyDescent="0.35">
      <c r="A135" s="171">
        <f t="shared" si="6"/>
        <v>3</v>
      </c>
      <c r="B135" s="172"/>
      <c r="C135" s="171" t="s">
        <v>191</v>
      </c>
      <c r="D135" s="197"/>
      <c r="E135" s="197"/>
      <c r="F135" s="172"/>
      <c r="G135" s="167"/>
      <c r="H135" s="168"/>
      <c r="I135" s="36"/>
      <c r="L135" s="194"/>
      <c r="M135" s="194"/>
      <c r="N135" s="36"/>
    </row>
    <row r="136" spans="1:14" s="57" customFormat="1" ht="15.75" customHeight="1" x14ac:dyDescent="0.35">
      <c r="A136" s="171">
        <f t="shared" si="6"/>
        <v>4</v>
      </c>
      <c r="B136" s="172"/>
      <c r="C136" s="55" t="s">
        <v>183</v>
      </c>
      <c r="D136" s="60">
        <f>(26.7+2.75)*(10.764)</f>
        <v>316.99979999999999</v>
      </c>
      <c r="E136" s="55">
        <v>0</v>
      </c>
      <c r="F136" s="55">
        <f>D136*(($F$114)+1)+(IF(E136&lt;101,E136,IF(E136&lt;201,E136/2,IF(E136&lt;=301,E136/3,E136/4))))</f>
        <v>459.64970999999997</v>
      </c>
      <c r="G136" s="167"/>
      <c r="H136" s="168"/>
      <c r="I136" s="36">
        <f>2.75*3.2+1.86*2.1+2.75*2.83+1.5*0.9+1*1.69+1.98*0.9</f>
        <v>25.310500000000005</v>
      </c>
      <c r="L136" s="194"/>
      <c r="M136" s="194"/>
      <c r="N136" s="36"/>
    </row>
    <row r="137" spans="1:14" s="57" customFormat="1" ht="15.75" customHeight="1" x14ac:dyDescent="0.35">
      <c r="A137" s="171">
        <f t="shared" si="6"/>
        <v>5</v>
      </c>
      <c r="B137" s="172"/>
      <c r="C137" s="55" t="s">
        <v>183</v>
      </c>
      <c r="D137" s="60">
        <f>(26.7+2.75)*(10.764)</f>
        <v>316.99979999999999</v>
      </c>
      <c r="E137" s="55">
        <v>0</v>
      </c>
      <c r="F137" s="55">
        <f>D137*(($F$114)+1)+(IF(E137&lt;101,E137,IF(E137&lt;201,E137/2,IF(E137&lt;=301,E137/3,E137/4))))</f>
        <v>459.64970999999997</v>
      </c>
      <c r="G137" s="169"/>
      <c r="H137" s="170"/>
      <c r="I137" s="36"/>
      <c r="L137" s="194"/>
      <c r="M137" s="194"/>
      <c r="N137" s="36"/>
    </row>
    <row r="138" spans="1:14" s="57" customFormat="1" x14ac:dyDescent="0.35">
      <c r="A138" s="188" t="s">
        <v>192</v>
      </c>
      <c r="B138" s="189"/>
      <c r="C138" s="189"/>
      <c r="D138" s="189"/>
      <c r="E138" s="189"/>
      <c r="F138" s="189"/>
      <c r="G138" s="189"/>
      <c r="H138" s="190"/>
      <c r="J138" s="36"/>
    </row>
    <row r="139" spans="1:14" s="57" customFormat="1" ht="15.75" customHeight="1" x14ac:dyDescent="0.35">
      <c r="A139" s="171">
        <v>1</v>
      </c>
      <c r="B139" s="172"/>
      <c r="C139" s="55" t="s">
        <v>183</v>
      </c>
      <c r="D139" s="60">
        <f>(26.7+2.75)*(10.764)</f>
        <v>316.99979999999999</v>
      </c>
      <c r="E139" s="55">
        <v>0</v>
      </c>
      <c r="F139" s="55">
        <f>D139*(($F$114)+1)+(IF(E139&lt;101,E139,IF(E139&lt;201,E139/2,IF(E139&lt;=301,E139/3,E139/4))))</f>
        <v>459.64970999999997</v>
      </c>
      <c r="G139" s="165" t="str">
        <f>A138</f>
        <v>1st, 3rd, 5th &amp; 7th Floor For Residential</v>
      </c>
      <c r="H139" s="166"/>
      <c r="I139" s="36"/>
      <c r="L139" s="194"/>
      <c r="M139" s="194"/>
      <c r="N139" s="36"/>
    </row>
    <row r="140" spans="1:14" s="57" customFormat="1" ht="15.75" customHeight="1" x14ac:dyDescent="0.35">
      <c r="A140" s="171">
        <f t="shared" ref="A140:A143" si="7">A139+1</f>
        <v>2</v>
      </c>
      <c r="B140" s="172"/>
      <c r="C140" s="55" t="s">
        <v>183</v>
      </c>
      <c r="D140" s="60">
        <f>(28.61+2.75)*(10.764)</f>
        <v>337.55903999999998</v>
      </c>
      <c r="E140" s="55">
        <v>0</v>
      </c>
      <c r="F140" s="55">
        <f>D140*(($F$114)+1)+(IF(E140&lt;101,E140,IF(E140&lt;201,E140/2,IF(E140&lt;=301,E140/3,E140/4))))</f>
        <v>489.46060799999998</v>
      </c>
      <c r="G140" s="167"/>
      <c r="H140" s="168"/>
      <c r="I140" s="36"/>
      <c r="L140" s="194"/>
      <c r="M140" s="194"/>
      <c r="N140" s="36"/>
    </row>
    <row r="141" spans="1:14" s="57" customFormat="1" ht="15.75" customHeight="1" x14ac:dyDescent="0.35">
      <c r="A141" s="171">
        <f t="shared" si="7"/>
        <v>3</v>
      </c>
      <c r="B141" s="172"/>
      <c r="C141" s="55" t="s">
        <v>183</v>
      </c>
      <c r="D141" s="60">
        <f>(29.02)*(10.764)</f>
        <v>312.37127999999996</v>
      </c>
      <c r="E141" s="60">
        <v>0</v>
      </c>
      <c r="F141" s="55">
        <f>D141*(($F$114)+1)+(IF(E141&lt;101,E141,IF(E141&lt;201,E141/2,IF(E141&lt;=301,E141/3,E141/4))))</f>
        <v>452.93835599999994</v>
      </c>
      <c r="G141" s="167"/>
      <c r="H141" s="168"/>
      <c r="I141" s="36">
        <f>2.75*4.19+1.86*1.95+2.75*2.97+1.98*0.9+1.45*1.83</f>
        <v>27.752500000000001</v>
      </c>
      <c r="L141" s="194"/>
      <c r="M141" s="194"/>
      <c r="N141" s="36"/>
    </row>
    <row r="142" spans="1:14" s="57" customFormat="1" ht="15.75" customHeight="1" x14ac:dyDescent="0.35">
      <c r="A142" s="171">
        <f t="shared" si="7"/>
        <v>4</v>
      </c>
      <c r="B142" s="172"/>
      <c r="C142" s="55" t="s">
        <v>183</v>
      </c>
      <c r="D142" s="60">
        <f>(26.7+2.75)*(10.764)</f>
        <v>316.99979999999999</v>
      </c>
      <c r="E142" s="55">
        <v>0</v>
      </c>
      <c r="F142" s="55">
        <f>D142*(($F$114)+1)+(IF(E142&lt;101,E142,IF(E142&lt;201,E142/2,IF(E142&lt;=301,E142/3,E142/4))))</f>
        <v>459.64970999999997</v>
      </c>
      <c r="G142" s="167"/>
      <c r="H142" s="168"/>
      <c r="I142" s="36"/>
      <c r="L142" s="194"/>
      <c r="M142" s="194"/>
      <c r="N142" s="36"/>
    </row>
    <row r="143" spans="1:14" s="57" customFormat="1" ht="15.75" customHeight="1" x14ac:dyDescent="0.35">
      <c r="A143" s="171">
        <f t="shared" si="7"/>
        <v>5</v>
      </c>
      <c r="B143" s="172"/>
      <c r="C143" s="55" t="s">
        <v>183</v>
      </c>
      <c r="D143" s="60">
        <f>(26.7+2.75)*(10.764)</f>
        <v>316.99979999999999</v>
      </c>
      <c r="E143" s="55">
        <v>0</v>
      </c>
      <c r="F143" s="55">
        <f>D143*(($F$114)+1)+(IF(E143&lt;101,E143,IF(E143&lt;201,E143/2,IF(E143&lt;=301,E143/3,E143/4))))</f>
        <v>459.64970999999997</v>
      </c>
      <c r="G143" s="169"/>
      <c r="H143" s="170"/>
      <c r="I143" s="36"/>
      <c r="L143" s="194"/>
      <c r="M143" s="194"/>
      <c r="N143" s="36"/>
    </row>
    <row r="144" spans="1:14" s="57" customFormat="1" x14ac:dyDescent="0.35">
      <c r="A144" s="188" t="s">
        <v>193</v>
      </c>
      <c r="B144" s="189"/>
      <c r="C144" s="189"/>
      <c r="D144" s="189"/>
      <c r="E144" s="189"/>
      <c r="F144" s="189"/>
      <c r="G144" s="189"/>
      <c r="H144" s="190"/>
      <c r="J144" s="36"/>
    </row>
    <row r="145" spans="1:14" s="57" customFormat="1" ht="15.75" customHeight="1" x14ac:dyDescent="0.35">
      <c r="A145" s="171">
        <v>1</v>
      </c>
      <c r="B145" s="172"/>
      <c r="C145" s="55" t="s">
        <v>183</v>
      </c>
      <c r="D145" s="60">
        <f>(26.7+2.75)*(10.764)</f>
        <v>316.99979999999999</v>
      </c>
      <c r="E145" s="55">
        <v>0</v>
      </c>
      <c r="F145" s="55">
        <f>D145*(($F$114)+1)+(IF(E145&lt;101,E145,IF(E145&lt;201,E145/2,IF(E145&lt;=301,E145/3,E145/4))))</f>
        <v>459.64970999999997</v>
      </c>
      <c r="G145" s="165" t="str">
        <f>A144</f>
        <v>2nd, 4th &amp; 6th Floor</v>
      </c>
      <c r="H145" s="166"/>
      <c r="I145" s="36"/>
      <c r="L145" s="194"/>
      <c r="M145" s="194"/>
      <c r="N145" s="36"/>
    </row>
    <row r="146" spans="1:14" s="57" customFormat="1" ht="15.75" customHeight="1" x14ac:dyDescent="0.35">
      <c r="A146" s="171">
        <f t="shared" ref="A146:A149" si="8">A145+1</f>
        <v>2</v>
      </c>
      <c r="B146" s="172"/>
      <c r="C146" s="55" t="s">
        <v>183</v>
      </c>
      <c r="D146" s="60">
        <f>(28.61+2.75)*(10.764)</f>
        <v>337.55903999999998</v>
      </c>
      <c r="E146" s="55">
        <v>0</v>
      </c>
      <c r="F146" s="55">
        <f>D146*(($F$114)+1)+(IF(E146&lt;101,E146,IF(E146&lt;201,E146/2,IF(E146&lt;=301,E146/3,E146/4))))</f>
        <v>489.46060799999998</v>
      </c>
      <c r="G146" s="167"/>
      <c r="H146" s="168"/>
      <c r="I146" s="36"/>
      <c r="L146" s="194"/>
      <c r="M146" s="194"/>
      <c r="N146" s="36"/>
    </row>
    <row r="147" spans="1:14" s="57" customFormat="1" ht="15.75" customHeight="1" x14ac:dyDescent="0.35">
      <c r="A147" s="171">
        <f t="shared" si="8"/>
        <v>3</v>
      </c>
      <c r="B147" s="172"/>
      <c r="C147" s="55" t="s">
        <v>183</v>
      </c>
      <c r="D147" s="60">
        <f>(29.02)*(10.764)</f>
        <v>312.37127999999996</v>
      </c>
      <c r="E147" s="60">
        <f>(3.015*1.856)*(10.764)</f>
        <v>60.233621760000005</v>
      </c>
      <c r="F147" s="55">
        <f>D147*(($F$114)+1)+(IF(E147&lt;101,E147,IF(E147&lt;201,E147/2,IF(E147&lt;=301,E147/3,E147/4))))</f>
        <v>513.17197775999989</v>
      </c>
      <c r="G147" s="167"/>
      <c r="H147" s="168"/>
      <c r="I147" s="36"/>
      <c r="J147" s="57">
        <f>3.015*1.5</f>
        <v>4.5225</v>
      </c>
      <c r="L147" s="194"/>
      <c r="M147" s="194"/>
      <c r="N147" s="36"/>
    </row>
    <row r="148" spans="1:14" s="57" customFormat="1" ht="15.75" customHeight="1" x14ac:dyDescent="0.35">
      <c r="A148" s="171">
        <f t="shared" si="8"/>
        <v>4</v>
      </c>
      <c r="B148" s="172"/>
      <c r="C148" s="55" t="s">
        <v>183</v>
      </c>
      <c r="D148" s="60">
        <f>(26.7+2.75)*(10.764)</f>
        <v>316.99979999999999</v>
      </c>
      <c r="E148" s="55">
        <v>0</v>
      </c>
      <c r="F148" s="55">
        <f>D148*(($F$114)+1)+(IF(E148&lt;101,E148,IF(E148&lt;201,E148/2,IF(E148&lt;=301,E148/3,E148/4))))</f>
        <v>459.64970999999997</v>
      </c>
      <c r="G148" s="167"/>
      <c r="H148" s="168"/>
      <c r="I148" s="36"/>
      <c r="L148" s="194"/>
      <c r="M148" s="194"/>
      <c r="N148" s="36"/>
    </row>
    <row r="149" spans="1:14" s="57" customFormat="1" ht="15.75" customHeight="1" x14ac:dyDescent="0.35">
      <c r="A149" s="171">
        <f t="shared" si="8"/>
        <v>5</v>
      </c>
      <c r="B149" s="172"/>
      <c r="C149" s="55" t="s">
        <v>183</v>
      </c>
      <c r="D149" s="60">
        <f>(26.7+2.75)*(10.764)</f>
        <v>316.99979999999999</v>
      </c>
      <c r="E149" s="55">
        <v>0</v>
      </c>
      <c r="F149" s="55">
        <f>D149*(($F$114)+1)+(IF(E149&lt;101,E149,IF(E149&lt;201,E149/2,IF(E149&lt;=301,E149/3,E149/4))))</f>
        <v>459.64970999999997</v>
      </c>
      <c r="G149" s="169"/>
      <c r="H149" s="170"/>
      <c r="I149" s="36"/>
      <c r="L149" s="194"/>
      <c r="M149" s="194"/>
      <c r="N149" s="36"/>
    </row>
    <row r="150" spans="1:14" s="59" customFormat="1" x14ac:dyDescent="0.35">
      <c r="A150" s="195" t="s">
        <v>190</v>
      </c>
      <c r="B150" s="195"/>
      <c r="C150" s="195"/>
      <c r="D150" s="195"/>
      <c r="E150" s="195"/>
      <c r="F150" s="195"/>
      <c r="G150" s="195"/>
      <c r="H150" s="195"/>
      <c r="I150" s="58"/>
      <c r="L150" s="196"/>
      <c r="M150" s="196"/>
    </row>
    <row r="151" spans="1:14" s="57" customFormat="1" x14ac:dyDescent="0.35">
      <c r="A151" s="191" t="s">
        <v>195</v>
      </c>
      <c r="B151" s="192"/>
      <c r="C151" s="192"/>
      <c r="D151" s="192"/>
      <c r="E151" s="192"/>
      <c r="F151" s="192"/>
      <c r="G151" s="192"/>
      <c r="H151" s="193"/>
      <c r="J151" s="36"/>
    </row>
    <row r="152" spans="1:14" s="57" customFormat="1" ht="15.75" customHeight="1" x14ac:dyDescent="0.35">
      <c r="A152" s="171">
        <v>1</v>
      </c>
      <c r="B152" s="172"/>
      <c r="C152" s="55" t="s">
        <v>183</v>
      </c>
      <c r="D152" s="60">
        <f>(26.7+2.75)*(10.764)</f>
        <v>316.99979999999999</v>
      </c>
      <c r="E152" s="55">
        <v>0</v>
      </c>
      <c r="F152" s="55">
        <f>D152*(($F$114)+1)+(IF(E152&lt;101,E152,IF(E152&lt;201,E152/2,IF(E152&lt;=301,E152/3,E152/4))))</f>
        <v>459.64970999999997</v>
      </c>
      <c r="G152" s="165" t="str">
        <f>A151</f>
        <v>Ground Floor For Lobby, Gym &amp; Residential</v>
      </c>
      <c r="H152" s="166"/>
      <c r="I152" s="36">
        <f>2.75*3.2+1.86*2.1+2.75*2.83+1.5*0.9+1*1.69+1.98*0.9</f>
        <v>25.310500000000005</v>
      </c>
      <c r="L152" s="194"/>
      <c r="M152" s="194"/>
      <c r="N152" s="36"/>
    </row>
    <row r="153" spans="1:14" s="57" customFormat="1" ht="15.75" customHeight="1" x14ac:dyDescent="0.35">
      <c r="A153" s="171">
        <f t="shared" ref="A153:A156" si="9">A152+1</f>
        <v>2</v>
      </c>
      <c r="B153" s="172"/>
      <c r="C153" s="55" t="s">
        <v>183</v>
      </c>
      <c r="D153" s="60">
        <f>(28.61+2.75)*(10.764)</f>
        <v>337.55903999999998</v>
      </c>
      <c r="E153" s="55">
        <v>0</v>
      </c>
      <c r="F153" s="55">
        <f>D153*(($F$114)+1)+(IF(E153&lt;101,E153,IF(E153&lt;201,E153/2,IF(E153&lt;=301,E153/3,E153/4))))</f>
        <v>489.46060799999998</v>
      </c>
      <c r="G153" s="167"/>
      <c r="H153" s="168"/>
      <c r="I153" s="36">
        <f>1.5*1.2+2.75*3.2+1.86*2.1+2.75*2.83+1.5*0.9+1*1.69+1.98*0.9</f>
        <v>27.110500000000005</v>
      </c>
      <c r="L153" s="194"/>
      <c r="M153" s="194"/>
      <c r="N153" s="36"/>
    </row>
    <row r="154" spans="1:14" s="57" customFormat="1" ht="15.75" customHeight="1" x14ac:dyDescent="0.35">
      <c r="A154" s="171">
        <f t="shared" si="9"/>
        <v>3</v>
      </c>
      <c r="B154" s="172"/>
      <c r="C154" s="171" t="s">
        <v>196</v>
      </c>
      <c r="D154" s="197"/>
      <c r="E154" s="197"/>
      <c r="F154" s="172"/>
      <c r="G154" s="167"/>
      <c r="H154" s="168"/>
      <c r="I154" s="36"/>
      <c r="L154" s="194"/>
      <c r="M154" s="194"/>
      <c r="N154" s="36"/>
    </row>
    <row r="155" spans="1:14" s="57" customFormat="1" ht="15.75" customHeight="1" x14ac:dyDescent="0.35">
      <c r="A155" s="171">
        <f t="shared" si="9"/>
        <v>4</v>
      </c>
      <c r="B155" s="172"/>
      <c r="C155" s="55" t="s">
        <v>183</v>
      </c>
      <c r="D155" s="60">
        <f>(26.7+2.75)*(10.764)</f>
        <v>316.99979999999999</v>
      </c>
      <c r="E155" s="55">
        <v>0</v>
      </c>
      <c r="F155" s="55">
        <f>D155*(($F$114)+1)+(IF(E155&lt;101,E155,IF(E155&lt;201,E155/2,IF(E155&lt;=301,E155/3,E155/4))))</f>
        <v>459.64970999999997</v>
      </c>
      <c r="G155" s="167"/>
      <c r="H155" s="168"/>
      <c r="I155" s="36">
        <f>2.75*3.2+1.86*2.1+2.75*2.83+1.5*0.9+1*1.69+1.98*0.9</f>
        <v>25.310500000000005</v>
      </c>
      <c r="L155" s="194"/>
      <c r="M155" s="194"/>
      <c r="N155" s="36"/>
    </row>
    <row r="156" spans="1:14" s="57" customFormat="1" ht="15.75" customHeight="1" x14ac:dyDescent="0.35">
      <c r="A156" s="171">
        <f t="shared" si="9"/>
        <v>5</v>
      </c>
      <c r="B156" s="172"/>
      <c r="C156" s="55" t="s">
        <v>183</v>
      </c>
      <c r="D156" s="60">
        <f>(26.7+2.75)*(10.764)</f>
        <v>316.99979999999999</v>
      </c>
      <c r="E156" s="55">
        <v>0</v>
      </c>
      <c r="F156" s="55">
        <f>D156*(($F$114)+1)+(IF(E156&lt;101,E156,IF(E156&lt;201,E156/2,IF(E156&lt;=301,E156/3,E156/4))))</f>
        <v>459.64970999999997</v>
      </c>
      <c r="G156" s="169"/>
      <c r="H156" s="170"/>
      <c r="I156" s="36"/>
      <c r="L156" s="194"/>
      <c r="M156" s="194"/>
      <c r="N156" s="36"/>
    </row>
    <row r="157" spans="1:14" s="57" customFormat="1" x14ac:dyDescent="0.35">
      <c r="A157" s="188" t="s">
        <v>192</v>
      </c>
      <c r="B157" s="189"/>
      <c r="C157" s="189"/>
      <c r="D157" s="189"/>
      <c r="E157" s="189"/>
      <c r="F157" s="189"/>
      <c r="G157" s="189"/>
      <c r="H157" s="190"/>
      <c r="J157" s="36"/>
    </row>
    <row r="158" spans="1:14" s="57" customFormat="1" ht="15.75" customHeight="1" x14ac:dyDescent="0.35">
      <c r="A158" s="171">
        <v>1</v>
      </c>
      <c r="B158" s="172"/>
      <c r="C158" s="55" t="s">
        <v>183</v>
      </c>
      <c r="D158" s="60">
        <f>(26.7+2.75)*(10.764)</f>
        <v>316.99979999999999</v>
      </c>
      <c r="E158" s="55">
        <v>0</v>
      </c>
      <c r="F158" s="55">
        <f>D158*(($F$114)+1)+(IF(E158&lt;101,E158,IF(E158&lt;201,E158/2,IF(E158&lt;=301,E158/3,E158/4))))</f>
        <v>459.64970999999997</v>
      </c>
      <c r="G158" s="165" t="str">
        <f>A157</f>
        <v>1st, 3rd, 5th &amp; 7th Floor For Residential</v>
      </c>
      <c r="H158" s="166"/>
      <c r="I158" s="36"/>
      <c r="L158" s="194"/>
      <c r="M158" s="194"/>
      <c r="N158" s="36"/>
    </row>
    <row r="159" spans="1:14" s="57" customFormat="1" ht="15.75" customHeight="1" x14ac:dyDescent="0.35">
      <c r="A159" s="171">
        <f t="shared" ref="A159:A162" si="10">A158+1</f>
        <v>2</v>
      </c>
      <c r="B159" s="172"/>
      <c r="C159" s="55" t="s">
        <v>183</v>
      </c>
      <c r="D159" s="60">
        <f>(28.61+2.75)*(10.764)</f>
        <v>337.55903999999998</v>
      </c>
      <c r="E159" s="55">
        <v>0</v>
      </c>
      <c r="F159" s="55">
        <f>D159*(($F$114)+1)+(IF(E159&lt;101,E159,IF(E159&lt;201,E159/2,IF(E159&lt;=301,E159/3,E159/4))))</f>
        <v>489.46060799999998</v>
      </c>
      <c r="G159" s="167"/>
      <c r="H159" s="168"/>
      <c r="I159" s="36"/>
      <c r="L159" s="194"/>
      <c r="M159" s="194"/>
      <c r="N159" s="36"/>
    </row>
    <row r="160" spans="1:14" s="57" customFormat="1" ht="15.75" customHeight="1" x14ac:dyDescent="0.35">
      <c r="A160" s="171">
        <f t="shared" si="10"/>
        <v>3</v>
      </c>
      <c r="B160" s="172"/>
      <c r="C160" s="55" t="s">
        <v>183</v>
      </c>
      <c r="D160" s="60">
        <f>(26.17+2.75)*(10.764)</f>
        <v>311.29487999999998</v>
      </c>
      <c r="E160" s="55">
        <v>0</v>
      </c>
      <c r="F160" s="55">
        <f>D160*(($F$114)+1)+(IF(E160&lt;101,E160,IF(E160&lt;201,E160/2,IF(E160&lt;=301,E160/3,E160/4))))</f>
        <v>451.37757599999998</v>
      </c>
      <c r="G160" s="167"/>
      <c r="H160" s="168"/>
      <c r="I160" s="36">
        <f>2.75*4.19+1.86*1.95+2.75*2.97+1.98*0.9+1.45*1.83</f>
        <v>27.752500000000001</v>
      </c>
      <c r="L160" s="194"/>
      <c r="M160" s="194"/>
      <c r="N160" s="36"/>
    </row>
    <row r="161" spans="1:14" s="57" customFormat="1" ht="15.75" customHeight="1" x14ac:dyDescent="0.35">
      <c r="A161" s="171">
        <f t="shared" si="10"/>
        <v>4</v>
      </c>
      <c r="B161" s="172"/>
      <c r="C161" s="55" t="s">
        <v>183</v>
      </c>
      <c r="D161" s="60">
        <f>(26.7+2.75)*(10.764)</f>
        <v>316.99979999999999</v>
      </c>
      <c r="E161" s="55">
        <v>0</v>
      </c>
      <c r="F161" s="55">
        <f>D161*(($F$114)+1)+(IF(E161&lt;101,E161,IF(E161&lt;201,E161/2,IF(E161&lt;=301,E161/3,E161/4))))</f>
        <v>459.64970999999997</v>
      </c>
      <c r="G161" s="167"/>
      <c r="H161" s="168"/>
      <c r="I161" s="36"/>
      <c r="L161" s="194"/>
      <c r="M161" s="194"/>
      <c r="N161" s="36"/>
    </row>
    <row r="162" spans="1:14" s="57" customFormat="1" ht="15.75" customHeight="1" x14ac:dyDescent="0.35">
      <c r="A162" s="171">
        <f t="shared" si="10"/>
        <v>5</v>
      </c>
      <c r="B162" s="172"/>
      <c r="C162" s="55" t="s">
        <v>183</v>
      </c>
      <c r="D162" s="60">
        <f>(26.7+2.75)*(10.764)</f>
        <v>316.99979999999999</v>
      </c>
      <c r="E162" s="55">
        <v>0</v>
      </c>
      <c r="F162" s="55">
        <f>D162*(($F$114)+1)+(IF(E162&lt;101,E162,IF(E162&lt;201,E162/2,IF(E162&lt;=301,E162/3,E162/4))))</f>
        <v>459.64970999999997</v>
      </c>
      <c r="G162" s="169"/>
      <c r="H162" s="170"/>
      <c r="I162" s="36"/>
      <c r="L162" s="194"/>
      <c r="M162" s="194"/>
      <c r="N162" s="36"/>
    </row>
    <row r="163" spans="1:14" s="57" customFormat="1" x14ac:dyDescent="0.35">
      <c r="A163" s="154" t="s">
        <v>193</v>
      </c>
      <c r="B163" s="154"/>
      <c r="C163" s="154"/>
      <c r="D163" s="154"/>
      <c r="E163" s="154"/>
      <c r="F163" s="154"/>
      <c r="G163" s="154"/>
      <c r="H163" s="154"/>
      <c r="J163" s="36"/>
    </row>
    <row r="164" spans="1:14" s="57" customFormat="1" ht="15.75" customHeight="1" x14ac:dyDescent="0.35">
      <c r="A164" s="160">
        <v>1</v>
      </c>
      <c r="B164" s="160"/>
      <c r="C164" s="68" t="s">
        <v>183</v>
      </c>
      <c r="D164" s="60">
        <f>(26.7+2.75)*(10.764)</f>
        <v>316.99979999999999</v>
      </c>
      <c r="E164" s="68">
        <v>0</v>
      </c>
      <c r="F164" s="68">
        <f>D164*(($F$114)+1)+(IF(E164&lt;101,E164,IF(E164&lt;201,E164/2,IF(E164&lt;=301,E164/3,E164/4))))</f>
        <v>459.64970999999997</v>
      </c>
      <c r="G164" s="160" t="str">
        <f>A163</f>
        <v>2nd, 4th &amp; 6th Floor</v>
      </c>
      <c r="H164" s="160"/>
      <c r="I164" s="36"/>
      <c r="L164" s="194"/>
      <c r="M164" s="194"/>
      <c r="N164" s="36"/>
    </row>
    <row r="165" spans="1:14" s="57" customFormat="1" ht="15.75" customHeight="1" x14ac:dyDescent="0.35">
      <c r="A165" s="160">
        <f t="shared" ref="A165:A168" si="11">A164+1</f>
        <v>2</v>
      </c>
      <c r="B165" s="160"/>
      <c r="C165" s="68" t="s">
        <v>183</v>
      </c>
      <c r="D165" s="60">
        <f>(28.61+2.75)*(10.764)</f>
        <v>337.55903999999998</v>
      </c>
      <c r="E165" s="60">
        <f>(4.81)*(10.764)</f>
        <v>51.77483999999999</v>
      </c>
      <c r="F165" s="68">
        <f>D165*(($F$114)+1)+(IF(E165&lt;101,E165,IF(E165&lt;201,E165/2,IF(E165&lt;=301,E165/3,E165/4))))</f>
        <v>541.23544800000002</v>
      </c>
      <c r="G165" s="160"/>
      <c r="H165" s="160"/>
      <c r="I165" s="36">
        <f>3*2</f>
        <v>6</v>
      </c>
      <c r="L165" s="194"/>
      <c r="M165" s="194"/>
      <c r="N165" s="36"/>
    </row>
    <row r="166" spans="1:14" s="57" customFormat="1" ht="15.75" customHeight="1" x14ac:dyDescent="0.35">
      <c r="A166" s="160">
        <f t="shared" si="11"/>
        <v>3</v>
      </c>
      <c r="B166" s="160"/>
      <c r="C166" s="68" t="s">
        <v>183</v>
      </c>
      <c r="D166" s="60">
        <f>(26.17+2.75)*(10.764)</f>
        <v>311.29487999999998</v>
      </c>
      <c r="E166" s="68">
        <v>0</v>
      </c>
      <c r="F166" s="68">
        <f>D166*(($F$114)+1)+(IF(E166&lt;101,E166,IF(E166&lt;201,E166/2,IF(E166&lt;=301,E166/3,E166/4))))</f>
        <v>451.37757599999998</v>
      </c>
      <c r="G166" s="160"/>
      <c r="H166" s="160"/>
      <c r="I166" s="36"/>
      <c r="J166" s="57">
        <f>3.015*1.5</f>
        <v>4.5225</v>
      </c>
      <c r="L166" s="194"/>
      <c r="M166" s="194"/>
      <c r="N166" s="36"/>
    </row>
    <row r="167" spans="1:14" s="57" customFormat="1" ht="15.75" customHeight="1" x14ac:dyDescent="0.35">
      <c r="A167" s="160">
        <f t="shared" si="11"/>
        <v>4</v>
      </c>
      <c r="B167" s="160"/>
      <c r="C167" s="68" t="s">
        <v>183</v>
      </c>
      <c r="D167" s="60">
        <f>(26.7+2.75)*(10.764)</f>
        <v>316.99979999999999</v>
      </c>
      <c r="E167" s="68">
        <v>0</v>
      </c>
      <c r="F167" s="68">
        <f>D167*(($F$114)+1)+(IF(E167&lt;101,E167,IF(E167&lt;201,E167/2,IF(E167&lt;=301,E167/3,E167/4))))</f>
        <v>459.64970999999997</v>
      </c>
      <c r="G167" s="160"/>
      <c r="H167" s="160"/>
      <c r="I167" s="36"/>
      <c r="L167" s="194"/>
      <c r="M167" s="194"/>
      <c r="N167" s="36"/>
    </row>
    <row r="168" spans="1:14" s="57" customFormat="1" ht="15.75" customHeight="1" x14ac:dyDescent="0.35">
      <c r="A168" s="160">
        <f t="shared" si="11"/>
        <v>5</v>
      </c>
      <c r="B168" s="160"/>
      <c r="C168" s="68" t="s">
        <v>183</v>
      </c>
      <c r="D168" s="60">
        <f>(26.7+2.75)*(10.764)</f>
        <v>316.99979999999999</v>
      </c>
      <c r="E168" s="68">
        <v>0</v>
      </c>
      <c r="F168" s="68">
        <f>D168*(($F$114)+1)+(IF(E168&lt;101,E168,IF(E168&lt;201,E168/2,IF(E168&lt;=301,E168/3,E168/4))))</f>
        <v>459.64970999999997</v>
      </c>
      <c r="G168" s="160"/>
      <c r="H168" s="160"/>
      <c r="I168" s="36"/>
      <c r="L168" s="194"/>
      <c r="M168" s="194"/>
      <c r="N168" s="36"/>
    </row>
    <row r="169" spans="1:14" s="35" customFormat="1" x14ac:dyDescent="0.35">
      <c r="A169" s="164" t="s">
        <v>70</v>
      </c>
      <c r="B169" s="164"/>
      <c r="C169" s="164"/>
      <c r="D169" s="164"/>
      <c r="E169" s="164"/>
      <c r="F169" s="164"/>
      <c r="G169" s="164"/>
      <c r="H169" s="164"/>
    </row>
    <row r="170" spans="1:14" s="35" customFormat="1" ht="33" customHeight="1" x14ac:dyDescent="0.35">
      <c r="A170" s="70" t="s">
        <v>155</v>
      </c>
      <c r="B170" s="163" t="s">
        <v>217</v>
      </c>
      <c r="C170" s="163"/>
      <c r="D170" s="163"/>
      <c r="E170" s="163"/>
      <c r="F170" s="163"/>
      <c r="G170" s="163"/>
      <c r="H170" s="163"/>
    </row>
    <row r="171" spans="1:14" s="35" customFormat="1" x14ac:dyDescent="0.35">
      <c r="A171" s="70" t="s">
        <v>155</v>
      </c>
      <c r="B171" s="163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71" s="163"/>
      <c r="D171" s="163"/>
      <c r="E171" s="163"/>
      <c r="F171" s="163"/>
      <c r="G171" s="163"/>
      <c r="H171" s="163"/>
    </row>
    <row r="172" spans="1:14" s="35" customFormat="1" x14ac:dyDescent="0.35">
      <c r="A172" s="70" t="s">
        <v>155</v>
      </c>
      <c r="B172" s="199" t="s">
        <v>125</v>
      </c>
      <c r="C172" s="199"/>
      <c r="D172" s="199"/>
      <c r="E172" s="199"/>
      <c r="F172" s="199"/>
      <c r="G172" s="199"/>
      <c r="H172" s="199"/>
    </row>
    <row r="173" spans="1:14" s="35" customFormat="1" x14ac:dyDescent="0.35">
      <c r="A173" s="46" t="s">
        <v>155</v>
      </c>
      <c r="B173" s="73" t="s">
        <v>188</v>
      </c>
      <c r="C173" s="74"/>
      <c r="D173" s="74"/>
      <c r="E173" s="74"/>
      <c r="F173" s="74"/>
      <c r="G173" s="74"/>
      <c r="H173" s="75"/>
    </row>
    <row r="174" spans="1:14" s="35" customFormat="1" x14ac:dyDescent="0.35">
      <c r="A174" s="46" t="s">
        <v>155</v>
      </c>
      <c r="B174" s="73" t="s">
        <v>154</v>
      </c>
      <c r="C174" s="74"/>
      <c r="D174" s="74"/>
      <c r="E174" s="74"/>
      <c r="F174" s="74"/>
      <c r="G174" s="74"/>
      <c r="H174" s="75"/>
    </row>
    <row r="175" spans="1:14" s="35" customFormat="1" x14ac:dyDescent="0.35">
      <c r="A175" s="46" t="s">
        <v>155</v>
      </c>
      <c r="B175" s="73" t="s">
        <v>126</v>
      </c>
      <c r="C175" s="74"/>
      <c r="D175" s="74"/>
      <c r="E175" s="74"/>
      <c r="F175" s="74"/>
      <c r="G175" s="74"/>
      <c r="H175" s="75"/>
    </row>
    <row r="176" spans="1:14" s="35" customFormat="1" ht="34.5" customHeight="1" x14ac:dyDescent="0.35">
      <c r="A176" s="46" t="s">
        <v>155</v>
      </c>
      <c r="B176" s="73" t="s">
        <v>156</v>
      </c>
      <c r="C176" s="74"/>
      <c r="D176" s="74"/>
      <c r="E176" s="74"/>
      <c r="F176" s="74"/>
      <c r="G176" s="74"/>
      <c r="H176" s="75"/>
    </row>
    <row r="177" spans="1:8" s="35" customFormat="1" x14ac:dyDescent="0.35">
      <c r="A177" s="46" t="s">
        <v>155</v>
      </c>
      <c r="B177" s="73" t="s">
        <v>127</v>
      </c>
      <c r="C177" s="74"/>
      <c r="D177" s="74"/>
      <c r="E177" s="74"/>
      <c r="F177" s="74"/>
      <c r="G177" s="74"/>
      <c r="H177" s="75"/>
    </row>
    <row r="178" spans="1:8" s="35" customFormat="1" ht="31.5" customHeight="1" x14ac:dyDescent="0.35">
      <c r="A178" s="65" t="s">
        <v>155</v>
      </c>
      <c r="B178" s="73" t="s">
        <v>220</v>
      </c>
      <c r="C178" s="74"/>
      <c r="D178" s="74"/>
      <c r="E178" s="74"/>
      <c r="F178" s="74"/>
      <c r="G178" s="74"/>
      <c r="H178" s="75"/>
    </row>
    <row r="179" spans="1:8" x14ac:dyDescent="0.35">
      <c r="A179" s="125" t="s">
        <v>63</v>
      </c>
      <c r="B179" s="125"/>
      <c r="C179" s="125"/>
      <c r="D179" s="125"/>
      <c r="E179" s="125"/>
      <c r="F179" s="125"/>
      <c r="G179" s="125"/>
      <c r="H179" s="125"/>
    </row>
    <row r="180" spans="1:8" x14ac:dyDescent="0.35">
      <c r="A180" s="77" t="s">
        <v>64</v>
      </c>
      <c r="B180" s="77"/>
      <c r="C180" s="77"/>
      <c r="D180" s="77"/>
      <c r="E180" s="77"/>
      <c r="F180" s="77"/>
      <c r="G180" s="77"/>
      <c r="H180" s="77"/>
    </row>
    <row r="181" spans="1:8" ht="15.75" customHeight="1" x14ac:dyDescent="0.35">
      <c r="A181" s="178" t="s">
        <v>65</v>
      </c>
      <c r="B181" s="178"/>
      <c r="C181" s="178"/>
      <c r="D181" s="178"/>
      <c r="E181" s="178"/>
      <c r="F181" s="178"/>
      <c r="G181" s="178"/>
      <c r="H181" s="178"/>
    </row>
    <row r="182" spans="1:8" x14ac:dyDescent="0.35">
      <c r="A182" s="77" t="s">
        <v>66</v>
      </c>
      <c r="B182" s="77"/>
      <c r="C182" s="77"/>
      <c r="D182" s="77"/>
      <c r="E182" s="77"/>
      <c r="F182" s="77"/>
      <c r="G182" s="77"/>
      <c r="H182" s="77"/>
    </row>
    <row r="183" spans="1:8" x14ac:dyDescent="0.35">
      <c r="A183" s="77" t="s">
        <v>67</v>
      </c>
      <c r="B183" s="77"/>
      <c r="C183" s="77"/>
      <c r="D183" s="77"/>
      <c r="E183" s="77"/>
      <c r="F183" s="77"/>
      <c r="G183" s="77"/>
      <c r="H183" s="77"/>
    </row>
    <row r="184" spans="1:8" x14ac:dyDescent="0.35">
      <c r="A184" s="77" t="s">
        <v>128</v>
      </c>
      <c r="B184" s="77"/>
      <c r="C184" s="77"/>
      <c r="D184" s="77"/>
      <c r="E184" s="77"/>
      <c r="F184" s="77"/>
      <c r="G184" s="77"/>
      <c r="H184" s="77"/>
    </row>
    <row r="185" spans="1:8" x14ac:dyDescent="0.35">
      <c r="A185" s="126" t="s">
        <v>129</v>
      </c>
      <c r="B185" s="126"/>
      <c r="C185" s="126"/>
      <c r="D185" s="126"/>
      <c r="E185" s="126"/>
      <c r="F185" s="126"/>
      <c r="G185" s="126"/>
      <c r="H185" s="126"/>
    </row>
    <row r="186" spans="1:8" x14ac:dyDescent="0.35">
      <c r="A186" s="153" t="s">
        <v>79</v>
      </c>
      <c r="B186" s="153"/>
      <c r="C186" s="153" t="s">
        <v>218</v>
      </c>
      <c r="D186" s="153"/>
      <c r="E186" s="153" t="s">
        <v>109</v>
      </c>
      <c r="F186" s="153"/>
      <c r="G186" s="153" t="s">
        <v>224</v>
      </c>
      <c r="H186" s="153"/>
    </row>
    <row r="187" spans="1:8" x14ac:dyDescent="0.35">
      <c r="A187" s="152" t="s">
        <v>81</v>
      </c>
      <c r="B187" s="152"/>
      <c r="C187" s="152"/>
      <c r="D187" s="152"/>
      <c r="E187" s="152"/>
      <c r="F187" s="152"/>
      <c r="G187" s="152"/>
      <c r="H187" s="152"/>
    </row>
    <row r="188" spans="1:8" x14ac:dyDescent="0.35">
      <c r="A188" s="152"/>
      <c r="B188" s="152"/>
      <c r="C188" s="152"/>
      <c r="D188" s="152"/>
      <c r="E188" s="152"/>
      <c r="F188" s="152"/>
      <c r="G188" s="152"/>
      <c r="H188" s="152"/>
    </row>
    <row r="189" spans="1:8" x14ac:dyDescent="0.35">
      <c r="A189" s="152"/>
      <c r="B189" s="152"/>
      <c r="C189" s="152"/>
      <c r="D189" s="152"/>
      <c r="E189" s="152"/>
      <c r="F189" s="152"/>
      <c r="G189" s="152"/>
      <c r="H189" s="152"/>
    </row>
    <row r="190" spans="1:8" x14ac:dyDescent="0.35">
      <c r="A190" s="152"/>
      <c r="B190" s="152"/>
      <c r="C190" s="152"/>
      <c r="D190" s="152"/>
      <c r="E190" s="152"/>
      <c r="F190" s="152"/>
      <c r="G190" s="152"/>
      <c r="H190" s="152"/>
    </row>
    <row r="191" spans="1:8" x14ac:dyDescent="0.35">
      <c r="A191" s="38" t="s">
        <v>68</v>
      </c>
      <c r="B191" s="39"/>
      <c r="C191" s="39"/>
      <c r="D191" s="38" t="str">
        <f>E8</f>
        <v>Yamuna</v>
      </c>
      <c r="F191" s="39"/>
      <c r="G191" s="39"/>
      <c r="H191" s="39"/>
    </row>
    <row r="192" spans="1:8" x14ac:dyDescent="0.35">
      <c r="A192" s="39"/>
      <c r="B192" s="39"/>
      <c r="C192" s="39"/>
      <c r="D192" s="39"/>
      <c r="E192" s="39"/>
      <c r="F192" s="39"/>
      <c r="G192" s="39"/>
      <c r="H192" s="39"/>
    </row>
    <row r="193" spans="1:8" x14ac:dyDescent="0.35">
      <c r="A193" s="39"/>
      <c r="B193" s="39"/>
      <c r="C193" s="39"/>
      <c r="D193" s="39"/>
      <c r="E193" s="39"/>
      <c r="F193" s="39"/>
      <c r="G193" s="39"/>
      <c r="H193" s="39"/>
    </row>
    <row r="194" spans="1:8" ht="15" customHeight="1" x14ac:dyDescent="0.35"/>
    <row r="234" spans="1:1" x14ac:dyDescent="0.35">
      <c r="A234" s="41" t="s">
        <v>164</v>
      </c>
    </row>
    <row r="271" hidden="1" x14ac:dyDescent="0.35"/>
    <row r="272" hidden="1" x14ac:dyDescent="0.35"/>
    <row r="273" spans="1:1" hidden="1" x14ac:dyDescent="0.35"/>
    <row r="274" spans="1:1" hidden="1" x14ac:dyDescent="0.35"/>
    <row r="275" spans="1:1" hidden="1" x14ac:dyDescent="0.35"/>
    <row r="276" spans="1:1" hidden="1" x14ac:dyDescent="0.35"/>
    <row r="277" spans="1:1" hidden="1" x14ac:dyDescent="0.35"/>
    <row r="278" spans="1:1" x14ac:dyDescent="0.35">
      <c r="A278" s="41" t="s">
        <v>69</v>
      </c>
    </row>
  </sheetData>
  <mergeCells count="345">
    <mergeCell ref="A143:B143"/>
    <mergeCell ref="L143:M143"/>
    <mergeCell ref="G139:H143"/>
    <mergeCell ref="A135:B135"/>
    <mergeCell ref="L135:M135"/>
    <mergeCell ref="C135:F135"/>
    <mergeCell ref="A138:H138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A164:B164"/>
    <mergeCell ref="L164:M164"/>
    <mergeCell ref="A165:B165"/>
    <mergeCell ref="L165:M165"/>
    <mergeCell ref="G158:H162"/>
    <mergeCell ref="A161:B161"/>
    <mergeCell ref="L161:M161"/>
    <mergeCell ref="G164:H168"/>
    <mergeCell ref="L166:M166"/>
    <mergeCell ref="L167:M167"/>
    <mergeCell ref="L168:M168"/>
    <mergeCell ref="A158:B158"/>
    <mergeCell ref="L158:M158"/>
    <mergeCell ref="A159:B159"/>
    <mergeCell ref="L159:M159"/>
    <mergeCell ref="A160:B160"/>
    <mergeCell ref="L160:M160"/>
    <mergeCell ref="A167:B167"/>
    <mergeCell ref="G152:H156"/>
    <mergeCell ref="L152:M152"/>
    <mergeCell ref="A153:B153"/>
    <mergeCell ref="L153:M153"/>
    <mergeCell ref="A154:B154"/>
    <mergeCell ref="C154:F154"/>
    <mergeCell ref="L154:M154"/>
    <mergeCell ref="A162:B162"/>
    <mergeCell ref="L162:M162"/>
    <mergeCell ref="A155:B155"/>
    <mergeCell ref="L155:M155"/>
    <mergeCell ref="A156:B156"/>
    <mergeCell ref="L156:M156"/>
    <mergeCell ref="L133:M133"/>
    <mergeCell ref="A134:B134"/>
    <mergeCell ref="L134:M134"/>
    <mergeCell ref="A136:B136"/>
    <mergeCell ref="L136:M136"/>
    <mergeCell ref="A137:B137"/>
    <mergeCell ref="L137:M137"/>
    <mergeCell ref="A157:H157"/>
    <mergeCell ref="A150:H150"/>
    <mergeCell ref="L150:M150"/>
    <mergeCell ref="A144:H144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G145:H149"/>
    <mergeCell ref="A151:H151"/>
    <mergeCell ref="A152:B152"/>
    <mergeCell ref="A130:B130"/>
    <mergeCell ref="A121:H121"/>
    <mergeCell ref="A122:B122"/>
    <mergeCell ref="G122:H125"/>
    <mergeCell ref="A123:B123"/>
    <mergeCell ref="A124:B124"/>
    <mergeCell ref="A131:H131"/>
    <mergeCell ref="A132:H132"/>
    <mergeCell ref="A133:B133"/>
    <mergeCell ref="G133:H137"/>
    <mergeCell ref="E41:H41"/>
    <mergeCell ref="A41:D41"/>
    <mergeCell ref="A184:H184"/>
    <mergeCell ref="A181:H181"/>
    <mergeCell ref="A106:B106"/>
    <mergeCell ref="D113:D114"/>
    <mergeCell ref="E113:E114"/>
    <mergeCell ref="G113:H114"/>
    <mergeCell ref="A88:B88"/>
    <mergeCell ref="A89:B89"/>
    <mergeCell ref="A90:B90"/>
    <mergeCell ref="A80:B80"/>
    <mergeCell ref="C80:H80"/>
    <mergeCell ref="A75:B75"/>
    <mergeCell ref="F95:H95"/>
    <mergeCell ref="G107:H107"/>
    <mergeCell ref="A48:B48"/>
    <mergeCell ref="C48:E48"/>
    <mergeCell ref="G48:H48"/>
    <mergeCell ref="G50:H50"/>
    <mergeCell ref="A120:B120"/>
    <mergeCell ref="A117:B117"/>
    <mergeCell ref="A126:H126"/>
    <mergeCell ref="A127:B127"/>
    <mergeCell ref="D55:H55"/>
    <mergeCell ref="G52:H52"/>
    <mergeCell ref="C51:H51"/>
    <mergeCell ref="F102:H102"/>
    <mergeCell ref="F100:H100"/>
    <mergeCell ref="A112:H112"/>
    <mergeCell ref="A101:E101"/>
    <mergeCell ref="C113:C114"/>
    <mergeCell ref="C110:D110"/>
    <mergeCell ref="E109:F109"/>
    <mergeCell ref="G109:H109"/>
    <mergeCell ref="C108:D108"/>
    <mergeCell ref="E108:F108"/>
    <mergeCell ref="A99:E99"/>
    <mergeCell ref="A94:E94"/>
    <mergeCell ref="F99:H99"/>
    <mergeCell ref="C66:H66"/>
    <mergeCell ref="A74:B74"/>
    <mergeCell ref="A61:C61"/>
    <mergeCell ref="D61:H61"/>
    <mergeCell ref="C68:H68"/>
    <mergeCell ref="A71:B71"/>
    <mergeCell ref="A73:B73"/>
    <mergeCell ref="E69:F69"/>
    <mergeCell ref="A116:H116"/>
    <mergeCell ref="F101:H101"/>
    <mergeCell ref="A108:B108"/>
    <mergeCell ref="E110:F110"/>
    <mergeCell ref="G110:H110"/>
    <mergeCell ref="A180:H180"/>
    <mergeCell ref="E106:F106"/>
    <mergeCell ref="B177:H177"/>
    <mergeCell ref="B175:H175"/>
    <mergeCell ref="A111:H111"/>
    <mergeCell ref="B170:H170"/>
    <mergeCell ref="B171:H171"/>
    <mergeCell ref="A118:B118"/>
    <mergeCell ref="A119:B119"/>
    <mergeCell ref="B172:H172"/>
    <mergeCell ref="B173:H173"/>
    <mergeCell ref="A169:H169"/>
    <mergeCell ref="B113:B114"/>
    <mergeCell ref="A115:H115"/>
    <mergeCell ref="G117:H120"/>
    <mergeCell ref="A125:B125"/>
    <mergeCell ref="G127:H130"/>
    <mergeCell ref="A128:B128"/>
    <mergeCell ref="A129:B129"/>
    <mergeCell ref="A187:H190"/>
    <mergeCell ref="A186:B186"/>
    <mergeCell ref="E186:F186"/>
    <mergeCell ref="C186:D186"/>
    <mergeCell ref="G186:H186"/>
    <mergeCell ref="A103:E103"/>
    <mergeCell ref="F103:H103"/>
    <mergeCell ref="A104:E104"/>
    <mergeCell ref="F104:H104"/>
    <mergeCell ref="A163:H163"/>
    <mergeCell ref="A107:B107"/>
    <mergeCell ref="A182:H182"/>
    <mergeCell ref="A105:H105"/>
    <mergeCell ref="A185:H185"/>
    <mergeCell ref="A183:H183"/>
    <mergeCell ref="A179:H179"/>
    <mergeCell ref="C106:D106"/>
    <mergeCell ref="G106:H106"/>
    <mergeCell ref="A113:A114"/>
    <mergeCell ref="A168:B168"/>
    <mergeCell ref="A166:B166"/>
    <mergeCell ref="G108:H108"/>
    <mergeCell ref="A109:B109"/>
    <mergeCell ref="C109:D10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A50:B51"/>
    <mergeCell ref="A76:B76"/>
    <mergeCell ref="A69:B69"/>
    <mergeCell ref="A72:B72"/>
    <mergeCell ref="A68:B68"/>
    <mergeCell ref="A66:B66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A37:B37"/>
    <mergeCell ref="C37:H37"/>
    <mergeCell ref="F35:H35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A92:B92"/>
    <mergeCell ref="F94:H94"/>
    <mergeCell ref="F96:H96"/>
    <mergeCell ref="A102:E102"/>
    <mergeCell ref="A82:B82"/>
    <mergeCell ref="C82:H82"/>
    <mergeCell ref="A83:B83"/>
    <mergeCell ref="E83:F83"/>
    <mergeCell ref="G83:H83"/>
    <mergeCell ref="A97:E97"/>
    <mergeCell ref="F97:H97"/>
    <mergeCell ref="A93:B93"/>
    <mergeCell ref="A96:E96"/>
    <mergeCell ref="I10:L10"/>
    <mergeCell ref="B178:H178"/>
    <mergeCell ref="A110:B110"/>
    <mergeCell ref="A38:B38"/>
    <mergeCell ref="C38:H38"/>
    <mergeCell ref="B176:H176"/>
    <mergeCell ref="A47:B47"/>
    <mergeCell ref="C47:H47"/>
    <mergeCell ref="B174:H174"/>
    <mergeCell ref="G84:H93"/>
    <mergeCell ref="A85:B85"/>
    <mergeCell ref="A86:B86"/>
    <mergeCell ref="A87:B87"/>
    <mergeCell ref="A98:E98"/>
    <mergeCell ref="A100:E100"/>
    <mergeCell ref="A44:D44"/>
    <mergeCell ref="A77:B77"/>
    <mergeCell ref="C107:D107"/>
    <mergeCell ref="E107:F107"/>
    <mergeCell ref="F98:H98"/>
    <mergeCell ref="A95:E95"/>
    <mergeCell ref="A84:B84"/>
    <mergeCell ref="E84:F93"/>
    <mergeCell ref="A91:B9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0" max="16383" man="1"/>
    <brk id="233" max="16383" man="1"/>
    <brk id="27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8" t="s">
        <v>110</v>
      </c>
      <c r="C3" s="198"/>
      <c r="D3" s="198"/>
      <c r="E3" s="198"/>
      <c r="F3" s="198"/>
      <c r="G3" s="198"/>
      <c r="H3" s="198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2025-05-20T09:08:31Z</cp:lastPrinted>
  <dcterms:created xsi:type="dcterms:W3CDTF">2019-07-16T09:29:46Z</dcterms:created>
  <dcterms:modified xsi:type="dcterms:W3CDTF">2025-08-16T06:41:07Z</dcterms:modified>
</cp:coreProperties>
</file>