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6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M146" i="1" l="1"/>
  <c r="K151" i="1"/>
  <c r="E138" i="1" l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D164" i="1"/>
  <c r="D163" i="1"/>
  <c r="D158" i="1"/>
  <c r="D157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G153" i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D124" i="1"/>
  <c r="F124" i="1" s="1"/>
  <c r="D123" i="1"/>
  <c r="F123" i="1" s="1"/>
  <c r="D122" i="1"/>
  <c r="F122" i="1" s="1"/>
  <c r="D121" i="1"/>
  <c r="F121" i="1" s="1"/>
  <c r="J121" i="1" s="1"/>
  <c r="D120" i="1"/>
  <c r="F120" i="1" s="1"/>
  <c r="D119" i="1"/>
  <c r="F119" i="1" s="1"/>
  <c r="J114" i="1" s="1"/>
  <c r="D118" i="1"/>
  <c r="F118" i="1" s="1"/>
  <c r="D117" i="1"/>
  <c r="F117" i="1" s="1"/>
  <c r="D116" i="1"/>
  <c r="F116" i="1" s="1"/>
  <c r="D115" i="1"/>
  <c r="F115" i="1" s="1"/>
  <c r="D114" i="1"/>
  <c r="F114" i="1" s="1"/>
  <c r="D113" i="1"/>
  <c r="F113" i="1" s="1"/>
  <c r="J113" i="1" s="1"/>
  <c r="D112" i="1"/>
  <c r="F112" i="1" s="1"/>
  <c r="D111" i="1"/>
  <c r="F111" i="1" s="1"/>
  <c r="D110" i="1"/>
  <c r="F110" i="1" s="1"/>
  <c r="D109" i="1"/>
  <c r="F109" i="1" s="1"/>
  <c r="D108" i="1"/>
  <c r="D107" i="1"/>
  <c r="D106" i="1"/>
  <c r="D105" i="1"/>
  <c r="L150" i="1" l="1"/>
  <c r="K150" i="1"/>
  <c r="L147" i="1"/>
  <c r="K147" i="1"/>
  <c r="C99" i="1"/>
  <c r="K144" i="1"/>
  <c r="L144" i="1"/>
  <c r="K148" i="1"/>
  <c r="L148" i="1"/>
  <c r="K145" i="1"/>
  <c r="L145" i="1"/>
  <c r="K149" i="1"/>
  <c r="L149" i="1"/>
  <c r="C96" i="1"/>
  <c r="L146" i="1"/>
  <c r="K146" i="1"/>
  <c r="E96" i="1"/>
  <c r="E99" i="1"/>
  <c r="C14" i="1"/>
  <c r="E29" i="1" l="1"/>
  <c r="F93" i="1" l="1"/>
  <c r="F106" i="1" l="1"/>
  <c r="F107" i="1"/>
  <c r="F108" i="1"/>
  <c r="F105" i="1"/>
  <c r="G96" i="1" l="1"/>
  <c r="B167" i="1"/>
  <c r="A140" i="1"/>
  <c r="L130" i="1" l="1"/>
  <c r="K140" i="1" l="1"/>
  <c r="L140" i="1"/>
  <c r="K141" i="1"/>
  <c r="L141" i="1"/>
  <c r="K139" i="1"/>
  <c r="L139" i="1"/>
  <c r="K143" i="1"/>
  <c r="L143" i="1"/>
  <c r="L142" i="1"/>
  <c r="K142" i="1"/>
  <c r="G99" i="1"/>
  <c r="B16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9" i="1"/>
  <c r="G140" i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29" i="1"/>
  <c r="G130" i="1" s="1"/>
  <c r="G131" i="1" s="1"/>
  <c r="G132" i="1" s="1"/>
  <c r="G133" i="1" s="1"/>
  <c r="G134" i="1" s="1"/>
  <c r="G135" i="1" s="1"/>
  <c r="G136" i="1" s="1"/>
  <c r="G137" i="1" s="1"/>
  <c r="G138" i="1" s="1"/>
  <c r="G105" i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J76" i="1"/>
  <c r="J75" i="1"/>
  <c r="J74" i="1"/>
  <c r="J73" i="1"/>
  <c r="C65" i="1"/>
  <c r="D54" i="1"/>
  <c r="G49" i="1"/>
  <c r="C49" i="1"/>
  <c r="E42" i="1"/>
  <c r="E43" i="1" s="1"/>
  <c r="E26" i="1"/>
  <c r="E24" i="1"/>
  <c r="E7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D71" i="1" l="1"/>
  <c r="J67" i="1"/>
  <c r="E69" i="1"/>
  <c r="D70" i="1"/>
  <c r="G69" i="1"/>
  <c r="D63" i="1" s="1"/>
  <c r="D64" i="1" s="1"/>
  <c r="D69" i="1"/>
  <c r="I66" i="1" l="1"/>
  <c r="J66" i="1"/>
  <c r="F64" i="1"/>
  <c r="I67" i="1" l="1"/>
  <c r="I65" i="1" l="1"/>
  <c r="C67" i="1" s="1"/>
</calcChain>
</file>

<file path=xl/sharedStrings.xml><?xml version="1.0" encoding="utf-8"?>
<sst xmlns="http://schemas.openxmlformats.org/spreadsheetml/2006/main" count="323" uniqueCount="234">
  <si>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</si>
  <si>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</si>
  <si>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</si>
  <si>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</si>
  <si>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</si>
  <si>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</si>
  <si>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</si>
  <si>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</si>
  <si>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</si>
  <si>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</si>
  <si>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</si>
  <si>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</si>
  <si>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</si>
  <si>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</si>
  <si>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</si>
  <si>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</si>
  <si>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</si>
  <si>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</si>
  <si>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</si>
  <si>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</si>
  <si>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</si>
  <si>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</si>
  <si>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</si>
  <si>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</si>
  <si>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</si>
  <si>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</si>
  <si>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</si>
  <si>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</si>
  <si>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</si>
  <si>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</si>
  <si>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</si>
  <si>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</si>
  <si>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</si>
  <si>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</si>
  <si>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</si>
  <si>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</si>
  <si>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</si>
  <si>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</si>
  <si>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</si>
  <si>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</si>
  <si>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</si>
  <si>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</si>
  <si>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</si>
  <si>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</si>
  <si>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</si>
  <si>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</si>
  <si>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</si>
  <si>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</si>
  <si>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</si>
  <si>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</si>
  <si>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</si>
  <si>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</si>
  <si>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</si>
  <si>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</si>
  <si>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</si>
  <si>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</si>
  <si>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</si>
  <si>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</si>
  <si>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</si>
  <si>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</si>
  <si>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</si>
  <si>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</si>
  <si>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</si>
  <si>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</si>
  <si>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</si>
  <si>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</si>
  <si>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</si>
  <si>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</si>
  <si>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</si>
  <si>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</si>
  <si>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</si>
  <si>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</si>
  <si>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</si>
  <si>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</si>
  <si>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</si>
  <si>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</si>
  <si>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</si>
  <si>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</si>
  <si>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</si>
  <si>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</si>
  <si>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</si>
  <si>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</si>
  <si>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</si>
  <si>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</si>
  <si>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</si>
  <si>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</si>
  <si>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</si>
  <si>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</si>
  <si>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</si>
  <si>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</si>
  <si>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</si>
  <si>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</si>
  <si>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</si>
  <si>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</si>
  <si>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</si>
  <si>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</si>
  <si>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</si>
  <si>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</si>
  <si>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</si>
  <si>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</si>
  <si>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</si>
  <si>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</si>
  <si>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</si>
  <si>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</si>
  <si>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</si>
  <si>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</si>
  <si>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</si>
  <si>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</si>
  <si>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</si>
  <si>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</si>
  <si>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</si>
  <si>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</si>
  <si>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</si>
  <si>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</si>
  <si>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</si>
  <si>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</si>
  <si>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</si>
  <si>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</si>
  <si>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</si>
  <si>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</si>
  <si>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</si>
  <si>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</si>
  <si>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</si>
  <si>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</si>
  <si>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</si>
  <si>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</si>
  <si>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</si>
  <si>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</si>
  <si>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</si>
  <si>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</si>
  <si>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</si>
  <si>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</si>
  <si>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</si>
  <si>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</si>
  <si>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</si>
  <si>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</si>
  <si>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</si>
  <si>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</si>
  <si>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</si>
  <si>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</si>
  <si>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</si>
  <si>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</si>
  <si>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</si>
  <si>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</si>
  <si>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</si>
  <si>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</si>
  <si>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</si>
  <si>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</si>
  <si>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</si>
  <si>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</si>
  <si>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</si>
  <si>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</si>
  <si>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</si>
  <si>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</si>
  <si>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</si>
  <si>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</si>
  <si>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</si>
  <si>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</si>
  <si>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</si>
  <si>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</si>
  <si>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</si>
  <si>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</si>
  <si>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</si>
  <si>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</si>
  <si>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</si>
  <si>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</si>
  <si>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</si>
  <si>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</si>
  <si>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</si>
  <si>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</si>
  <si>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</si>
  <si>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</si>
  <si>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Layout :</t>
  </si>
  <si>
    <t>Axis Sanpada</t>
  </si>
  <si>
    <t>Zenisha Infra</t>
  </si>
  <si>
    <t>Zenisha Luxuria</t>
  </si>
  <si>
    <t>P52000046964</t>
  </si>
  <si>
    <t>Plot No</t>
  </si>
  <si>
    <t>01, Sector - 07</t>
  </si>
  <si>
    <t>Pushpak Nagar</t>
  </si>
  <si>
    <t>Dapoli</t>
  </si>
  <si>
    <t>Raigarh</t>
  </si>
  <si>
    <t>Panvel</t>
  </si>
  <si>
    <t>Internal Road</t>
  </si>
  <si>
    <t>Majestic Krishna</t>
  </si>
  <si>
    <t>7.2KM from Khandeshwar Railway Station</t>
  </si>
  <si>
    <t xml:space="preserve">Khandeshwar </t>
  </si>
  <si>
    <t>Open Plot</t>
  </si>
  <si>
    <t>`</t>
  </si>
  <si>
    <t>https://goo.gl/maps/5Wt8SA23AREaqsky7</t>
  </si>
  <si>
    <t>City and Industrial Development Corporation of Maharashtra (CIDCO)</t>
  </si>
  <si>
    <t>CIDCO/BP-17933/TPO(NM &amp; K)/2021/9728</t>
  </si>
  <si>
    <t>Gr + 1st to 10th Floor</t>
  </si>
  <si>
    <t>As per RERA - 31/12/2027</t>
  </si>
  <si>
    <t>Shop</t>
  </si>
  <si>
    <t>3rd Floor for Residential</t>
  </si>
  <si>
    <t>1st &amp; 2nd Podium Floor for Parking</t>
  </si>
  <si>
    <t>4th to 11th Floor</t>
  </si>
  <si>
    <t>402 to 1102</t>
  </si>
  <si>
    <t>403 to 1103</t>
  </si>
  <si>
    <t>404 to 1104</t>
  </si>
  <si>
    <t>405 to 1105</t>
  </si>
  <si>
    <t>406 to 1106</t>
  </si>
  <si>
    <t>407 to 1107</t>
  </si>
  <si>
    <t>408 to 1108</t>
  </si>
  <si>
    <t>409 to 1109</t>
  </si>
  <si>
    <t>410 to 1110</t>
  </si>
  <si>
    <t>411 to 1111</t>
  </si>
  <si>
    <t>412 to 1112</t>
  </si>
  <si>
    <t>2BHK</t>
  </si>
  <si>
    <t>1BHK</t>
  </si>
  <si>
    <t>Terrace Area</t>
  </si>
  <si>
    <t>12th Floor (Part Terrace Area)</t>
  </si>
  <si>
    <t>Shops</t>
  </si>
  <si>
    <t>Flats</t>
  </si>
  <si>
    <t>We considered Gross carpet area = Net carpet + Chajja</t>
  </si>
  <si>
    <t>Flats - 110, Shops - 20</t>
  </si>
  <si>
    <t>Ground Floor for Commercial</t>
  </si>
  <si>
    <t>Approved Plans, CC, Cost Sheet, Sale Plan</t>
  </si>
  <si>
    <t>Online</t>
  </si>
  <si>
    <t>Builder
Saleable area</t>
  </si>
  <si>
    <t xml:space="preserve">Office No. 1031, Wing J, Akshar Business Park, Plot No. 03 Sector 25, Near APMC Market, Vashi, Navi Mumbai, Maharashtra 400703 TEL: 022-46090378/79/80
Email : vsjcapf@gmail.com. Web site : www.vsjadon.com
</t>
  </si>
  <si>
    <t xml:space="preserve">Site Person - Contact Details( Name &amp; Contact No.)
</t>
  </si>
  <si>
    <t>Latitude,Longitude</t>
  </si>
  <si>
    <t>18.9664481,73.0726093</t>
  </si>
  <si>
    <t>Recommended Rates/Other Charges of the Property have been revised on 31/08/2024.</t>
  </si>
  <si>
    <t>Mr. Ankit : 9313323513</t>
  </si>
  <si>
    <t>Vitrified tiles flooring, Kitchen Platform, Decorative Entrance</t>
  </si>
  <si>
    <t>Rate 6100 by smith Verbal  on 31/08/2024</t>
  </si>
  <si>
    <t>Gr + 1st to 13th Floor</t>
  </si>
  <si>
    <t>Construction work is in process at the time of visit.</t>
  </si>
  <si>
    <t>Pooja</t>
  </si>
  <si>
    <t>Mayur Ranvare</t>
  </si>
  <si>
    <t>Please provide revised approved floor plans &amp; 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</si>
</sst>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3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7" fillId="0" borderId="9" xfId="0" applyFont="1" applyFill="1" applyBorder="1" applyProtection="1"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8" xfId="1" applyFont="1" applyFill="1" applyBorder="1"/>
    <xf numFmtId="0" fontId="17" fillId="0" borderId="8" xfId="0" applyNumberFormat="1" applyFont="1" applyFill="1" applyBorder="1" applyProtection="1">
      <protection hidden="1"/>
    </xf>
    <xf numFmtId="1" fontId="0" fillId="0" borderId="8" xfId="0" applyNumberFormat="1" applyFill="1" applyBorder="1"/>
    <xf numFmtId="1" fontId="0" fillId="0" borderId="8" xfId="0" applyNumberFormat="1" applyFill="1" applyBorder="1" applyAlignment="1">
      <alignment horizontal="right"/>
    </xf>
    <xf numFmtId="1" fontId="0" fillId="0" borderId="10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24" fillId="2" borderId="26" xfId="0" applyFont="1" applyFill="1" applyBorder="1"/>
    <xf numFmtId="0" fontId="25" fillId="0" borderId="27" xfId="0" applyFont="1" applyFill="1" applyBorder="1"/>
    <xf numFmtId="0" fontId="25" fillId="0" borderId="1" xfId="0" applyFont="1" applyFill="1" applyBorder="1"/>
    <xf numFmtId="0" fontId="25" fillId="0" borderId="5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5" fillId="2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/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9" fontId="12" fillId="0" borderId="3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1" fontId="8" fillId="0" borderId="19" xfId="0" applyNumberFormat="1" applyFont="1" applyFill="1" applyBorder="1" applyAlignment="1" applyProtection="1">
      <alignment vertical="top" wrapText="1"/>
      <protection locked="0"/>
    </xf>
    <xf numFmtId="1" fontId="8" fillId="0" borderId="7" xfId="0" applyNumberFormat="1" applyFont="1" applyFill="1" applyBorder="1" applyAlignment="1" applyProtection="1">
      <alignment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left" vertical="top" wrapText="1"/>
      <protection locked="0"/>
    </xf>
    <xf numFmtId="0" fontId="12" fillId="0" borderId="7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4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13" fillId="0" borderId="6" xfId="0" applyNumberFormat="1" applyFont="1" applyFill="1" applyBorder="1" applyAlignment="1" applyProtection="1">
      <alignment vertical="top" wrapText="1"/>
      <protection locked="0"/>
    </xf>
    <xf numFmtId="1" fontId="13" fillId="0" borderId="19" xfId="0" applyNumberFormat="1" applyFont="1" applyFill="1" applyBorder="1" applyAlignment="1" applyProtection="1">
      <alignment vertical="top" wrapText="1"/>
      <protection locked="0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12" fillId="0" borderId="22" xfId="1" applyFont="1" applyFill="1" applyBorder="1" applyAlignment="1" applyProtection="1">
      <alignment horizontal="left" vertical="top" wrapText="1"/>
      <protection locked="0"/>
    </xf>
    <xf numFmtId="0" fontId="12" fillId="0" borderId="6" xfId="1" applyFont="1" applyFill="1" applyBorder="1" applyAlignment="1" applyProtection="1">
      <alignment horizontal="left" vertical="top"/>
      <protection locked="0"/>
    </xf>
    <xf numFmtId="0" fontId="12" fillId="0" borderId="19" xfId="1" applyFont="1" applyFill="1" applyBorder="1" applyAlignment="1" applyProtection="1">
      <alignment horizontal="left" vertical="top"/>
      <protection locked="0"/>
    </xf>
    <xf numFmtId="0" fontId="12" fillId="0" borderId="7" xfId="1" applyFont="1" applyFill="1" applyBorder="1" applyAlignment="1" applyProtection="1">
      <alignment horizontal="left" vertical="top"/>
      <protection locked="0"/>
    </xf>
    <xf numFmtId="0" fontId="8" fillId="0" borderId="6" xfId="1" applyFont="1" applyFill="1" applyBorder="1" applyAlignment="1" applyProtection="1">
      <alignment horizontal="left" vertical="top" wrapText="1"/>
      <protection locked="0"/>
    </xf>
    <xf numFmtId="0" fontId="8" fillId="0" borderId="7" xfId="1" applyFont="1" applyFill="1" applyBorder="1" applyAlignment="1" applyProtection="1">
      <alignment horizontal="left" vertical="top" wrapText="1"/>
      <protection locked="0"/>
    </xf>
    <xf numFmtId="0" fontId="8" fillId="0" borderId="19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8" fillId="0" borderId="6" xfId="1" applyFont="1" applyFill="1" applyBorder="1" applyAlignment="1" applyProtection="1">
      <alignment horizontal="left" vertical="top"/>
      <protection locked="0"/>
    </xf>
    <xf numFmtId="0" fontId="8" fillId="0" borderId="7" xfId="1" applyFont="1" applyFill="1" applyBorder="1" applyAlignment="1" applyProtection="1">
      <alignment horizontal="left" vertical="top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2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14" fontId="12" fillId="0" borderId="6" xfId="1" applyNumberFormat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20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11" xfId="1" applyFont="1" applyFill="1" applyBorder="1" applyAlignment="1" applyProtection="1">
      <alignment horizontal="left" vertical="top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 wrapText="1"/>
      <protection locked="0"/>
    </xf>
    <xf numFmtId="0" fontId="6" fillId="0" borderId="14" xfId="1" applyFont="1" applyFill="1" applyBorder="1" applyAlignment="1" applyProtection="1">
      <alignment horizontal="left" vertical="top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8" xfId="8" applyFont="1" applyFill="1" applyBorder="1" applyAlignment="1" applyProtection="1">
      <alignment horizontal="center" vertical="center" wrapText="1"/>
      <protection locked="0"/>
    </xf>
    <xf numFmtId="0" fontId="12" fillId="0" borderId="28" xfId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4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10" fillId="0" borderId="1" xfId="1" applyFont="1" applyFill="1" applyBorder="1" applyAlignment="1" applyProtection="1">
      <alignment horizontal="left"/>
      <protection locked="0"/>
    </xf>
    <xf numFmtId="0" fontId="7" fillId="0" borderId="0" xfId="1" applyFont="1" applyFill="1" applyBorder="1" applyProtection="1"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501162</xdr:colOff>
      <xdr:row>278</xdr:row>
      <xdr:rowOff>19050</xdr:rowOff>
    </xdr:from>
    <xdr:to>
      <xdr:col>7</xdr:col>
      <xdr:colOff>403168</xdr:colOff>
      <xdr:row>295</xdr:row>
      <xdr:rowOff>38627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162" y="61569600"/>
          <a:ext cx="6025715" cy="34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495300</xdr:colOff>
      <xdr:row>296</xdr:row>
      <xdr:rowOff>0</xdr:rowOff>
    </xdr:from>
    <xdr:to>
      <xdr:col>7</xdr:col>
      <xdr:colOff>397306</xdr:colOff>
      <xdr:row>313</xdr:row>
      <xdr:rowOff>19575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0" y="65151000"/>
          <a:ext cx="6025715" cy="34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762000</xdr:colOff>
      <xdr:row>232</xdr:row>
      <xdr:rowOff>138546</xdr:rowOff>
    </xdr:from>
    <xdr:to>
      <xdr:col>6</xdr:col>
      <xdr:colOff>119922</xdr:colOff>
      <xdr:row>251</xdr:row>
      <xdr:rowOff>154525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0" y="49443410"/>
          <a:ext cx="3514286" cy="380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484910</xdr:colOff>
      <xdr:row>252</xdr:row>
      <xdr:rowOff>173183</xdr:rowOff>
    </xdr:from>
    <xdr:to>
      <xdr:col>7</xdr:col>
      <xdr:colOff>331361</xdr:colOff>
      <xdr:row>270</xdr:row>
      <xdr:rowOff>188318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4910" y="53461228"/>
          <a:ext cx="5544133" cy="360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10</xdr:col>
      <xdr:colOff>31750</xdr:colOff>
      <xdr:row>65</xdr:row>
      <xdr:rowOff>1</xdr:rowOff>
    </xdr:from>
    <xdr:to>
      <xdr:col>13</xdr:col>
      <xdr:colOff>613050</xdr:colOff>
      <xdr:row>79</xdr:row>
      <xdr:rowOff>38452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10700" y="14605001"/>
          <a:ext cx="2880000" cy="29975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330200</xdr:colOff>
      <xdr:row>189</xdr:row>
      <xdr:rowOff>171450</xdr:rowOff>
    </xdr:from>
    <xdr:to>
      <xdr:col>7</xdr:col>
      <xdr:colOff>837655</xdr:colOff>
      <xdr:row>226</xdr:row>
      <xdr:rowOff>144288</xdr:rowOff>
    </xdr:to>
    <xdr:grpSp>
      <xdr:nvGrpSpPr>
        <xdr:cNvPr id="2" name="Group 1"/>
        <xdr:cNvGrpSpPr/>
      </xdr:nvGrpSpPr>
      <xdr:grpSpPr>
        <a:xfrm>
          <a:off x="330200" y="38265100"/>
          <a:ext cx="6489155" cy="7249938"/>
          <a:chOff x="330200" y="38265100"/>
          <a:chExt cx="6489155" cy="7249938"/>
        </a:xfrm>
      </xdr:grpSpPr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8462" y="43355038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7778" y="41098069"/>
            <a:ext cx="2866716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51505" y="41098069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0942" y="3826510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0200" y="3826510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0468" y="41098069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54175" y="4335503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5571" y="3826510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22412</xdr:rowOff>
    </xdr:from>
    <xdr:to>
      <xdr:col>9</xdr:col>
      <xdr:colOff>137686</xdr:colOff>
      <xdr:row>21</xdr:row>
      <xdr:rowOff>50793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0118"/>
          <a:ext cx="10133333" cy="1552381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0</xdr:row>
      <xdr:rowOff>100853</xdr:rowOff>
    </xdr:from>
    <xdr:to>
      <xdr:col>14</xdr:col>
      <xdr:colOff>125631</xdr:colOff>
      <xdr:row>10</xdr:row>
      <xdr:rowOff>13218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58617" y="100853"/>
          <a:ext cx="3476190" cy="18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549088</xdr:colOff>
      <xdr:row>11</xdr:row>
      <xdr:rowOff>78441</xdr:rowOff>
    </xdr:from>
    <xdr:to>
      <xdr:col>15</xdr:col>
      <xdr:colOff>536814</xdr:colOff>
      <xdr:row>23</xdr:row>
      <xdr:rowOff>135298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62029" y="2185147"/>
          <a:ext cx="4066667" cy="23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5Wt8SA23AREaqsky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77"/>
  <sheetViews>
    <sheetView tabSelected="1" view="pageBreakPreview" topLeftCell="A160" zoomScaleNormal="100" zoomScaleSheetLayoutView="100" workbookViewId="0">
      <selection activeCell="A177" sqref="A177:H177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26953125" style="40" customWidth="1"/>
    <col min="5" max="7" width="11.7265625" style="40" customWidth="1"/>
    <col min="8" max="8" width="19.7265625" style="40" customWidth="1"/>
    <col min="9" max="9" width="17.453125" style="20" customWidth="1"/>
    <col min="10" max="10" width="11.453125" style="20" customWidth="1"/>
    <col min="11" max="11" width="10.54296875" style="20" bestFit="1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8" ht="46.5" customHeight="1" x14ac:dyDescent="0.35">
      <c r="A1" s="132" t="s">
        <v>221</v>
      </c>
      <c r="B1" s="132"/>
      <c r="C1" s="132"/>
      <c r="D1" s="132"/>
      <c r="E1" s="132"/>
      <c r="F1" s="132"/>
      <c r="G1" s="132"/>
      <c r="H1" s="132"/>
    </row>
    <row r="2" spans="1:8" ht="16.5" customHeight="1" x14ac:dyDescent="0.35">
      <c r="A2" s="102" t="s">
        <v>0</v>
      </c>
      <c r="B2" s="102"/>
      <c r="C2" s="102"/>
      <c r="D2" s="102"/>
      <c r="E2" s="102"/>
      <c r="F2" s="102"/>
      <c r="G2" s="102"/>
      <c r="H2" s="102"/>
    </row>
    <row r="3" spans="1:8" x14ac:dyDescent="0.35">
      <c r="A3" s="77" t="s">
        <v>1</v>
      </c>
      <c r="B3" s="77"/>
      <c r="C3" s="77"/>
      <c r="D3" s="77"/>
      <c r="E3" s="133" t="str">
        <f ca="1">TEXT(TODAY(),"DD/MM/YYYY")</f>
        <v>16/08/2025</v>
      </c>
      <c r="F3" s="77"/>
      <c r="G3" s="77"/>
      <c r="H3" s="77"/>
    </row>
    <row r="4" spans="1:8" ht="15" customHeight="1" x14ac:dyDescent="0.35">
      <c r="A4" s="77" t="s">
        <v>2</v>
      </c>
      <c r="B4" s="77"/>
      <c r="C4" s="77"/>
      <c r="D4" s="77"/>
      <c r="E4" s="77" t="s">
        <v>173</v>
      </c>
      <c r="F4" s="77"/>
      <c r="G4" s="77"/>
      <c r="H4" s="77"/>
    </row>
    <row r="5" spans="1:8" x14ac:dyDescent="0.35">
      <c r="A5" s="77" t="s">
        <v>3</v>
      </c>
      <c r="B5" s="77"/>
      <c r="C5" s="77"/>
      <c r="D5" s="77"/>
      <c r="E5" s="133">
        <v>45880</v>
      </c>
      <c r="F5" s="77"/>
      <c r="G5" s="77"/>
      <c r="H5" s="77"/>
    </row>
    <row r="6" spans="1:8" ht="16.5" customHeight="1" x14ac:dyDescent="0.35">
      <c r="A6" s="77" t="s">
        <v>4</v>
      </c>
      <c r="B6" s="77"/>
      <c r="C6" s="77"/>
      <c r="D6" s="77"/>
      <c r="E6" s="77" t="s">
        <v>174</v>
      </c>
      <c r="F6" s="77"/>
      <c r="G6" s="77"/>
      <c r="H6" s="77"/>
    </row>
    <row r="7" spans="1:8" ht="15" customHeight="1" x14ac:dyDescent="0.35">
      <c r="A7" s="77" t="s">
        <v>5</v>
      </c>
      <c r="B7" s="77"/>
      <c r="C7" s="77"/>
      <c r="D7" s="77"/>
      <c r="E7" s="77" t="str">
        <f>E6</f>
        <v>Zenisha Infra</v>
      </c>
      <c r="F7" s="77"/>
      <c r="G7" s="77"/>
      <c r="H7" s="77"/>
    </row>
    <row r="8" spans="1:8" x14ac:dyDescent="0.35">
      <c r="A8" s="77" t="s">
        <v>6</v>
      </c>
      <c r="B8" s="77"/>
      <c r="C8" s="77"/>
      <c r="D8" s="77"/>
      <c r="E8" s="134" t="s">
        <v>175</v>
      </c>
      <c r="F8" s="134"/>
      <c r="G8" s="134"/>
      <c r="H8" s="134"/>
    </row>
    <row r="9" spans="1:8" x14ac:dyDescent="0.35">
      <c r="A9" s="77" t="s">
        <v>171</v>
      </c>
      <c r="B9" s="77"/>
      <c r="C9" s="77"/>
      <c r="D9" s="77"/>
      <c r="E9" s="77">
        <v>8369586210</v>
      </c>
      <c r="F9" s="77"/>
      <c r="G9" s="77"/>
      <c r="H9" s="77"/>
    </row>
    <row r="10" spans="1:8" hidden="1" x14ac:dyDescent="0.35">
      <c r="A10" s="75" t="s">
        <v>222</v>
      </c>
      <c r="B10" s="77"/>
      <c r="C10" s="77"/>
      <c r="D10" s="77"/>
      <c r="E10" s="77" t="s">
        <v>226</v>
      </c>
      <c r="F10" s="77"/>
      <c r="G10" s="77"/>
      <c r="H10" s="77"/>
    </row>
    <row r="11" spans="1:8" x14ac:dyDescent="0.35">
      <c r="A11" s="77" t="s">
        <v>7</v>
      </c>
      <c r="B11" s="77"/>
      <c r="C11" s="77"/>
      <c r="D11" s="77"/>
      <c r="E11" s="77" t="s">
        <v>127</v>
      </c>
      <c r="F11" s="77"/>
      <c r="G11" s="77"/>
      <c r="H11" s="77"/>
    </row>
    <row r="12" spans="1:8" x14ac:dyDescent="0.35">
      <c r="A12" s="78" t="s">
        <v>8</v>
      </c>
      <c r="B12" s="78"/>
      <c r="C12" s="78"/>
      <c r="D12" s="78"/>
      <c r="E12" s="75" t="s">
        <v>218</v>
      </c>
      <c r="F12" s="75"/>
      <c r="G12" s="75"/>
      <c r="H12" s="75"/>
    </row>
    <row r="13" spans="1:8" x14ac:dyDescent="0.35">
      <c r="A13" s="78" t="s">
        <v>9</v>
      </c>
      <c r="B13" s="78"/>
      <c r="C13" s="78"/>
      <c r="D13" s="78"/>
      <c r="E13" s="75" t="s">
        <v>176</v>
      </c>
      <c r="F13" s="77"/>
      <c r="G13" s="77"/>
      <c r="H13" s="77"/>
    </row>
    <row r="14" spans="1:8" ht="35.25" customHeight="1" x14ac:dyDescent="0.35">
      <c r="A14" s="75" t="s">
        <v>10</v>
      </c>
      <c r="B14" s="75"/>
      <c r="C14" s="7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Zenisha Luxuria, Plot No.01, Sector - 07, near Majestic Krishna, Internal Road, Pushpak Nagar, Dapoli, Khandeshwar , Panvel, Raigarh - 410206.</v>
      </c>
      <c r="D14" s="75"/>
      <c r="E14" s="75"/>
      <c r="F14" s="75"/>
      <c r="G14" s="75"/>
      <c r="H14" s="75"/>
    </row>
    <row r="15" spans="1:8" x14ac:dyDescent="0.35">
      <c r="A15" s="75" t="s">
        <v>177</v>
      </c>
      <c r="B15" s="75"/>
      <c r="C15" s="75" t="s">
        <v>178</v>
      </c>
      <c r="D15" s="75"/>
      <c r="E15" s="75"/>
      <c r="F15" s="75"/>
      <c r="G15" s="75"/>
      <c r="H15" s="75"/>
    </row>
    <row r="16" spans="1:8" ht="15.75" customHeight="1" x14ac:dyDescent="0.35">
      <c r="A16" s="75" t="s">
        <v>170</v>
      </c>
      <c r="B16" s="75"/>
      <c r="C16" s="75" t="s">
        <v>179</v>
      </c>
      <c r="D16" s="75"/>
      <c r="E16" s="75"/>
      <c r="F16" s="75"/>
      <c r="G16" s="75"/>
      <c r="H16" s="75"/>
    </row>
    <row r="17" spans="1:8" ht="15.75" customHeight="1" x14ac:dyDescent="0.35">
      <c r="A17" s="75" t="s">
        <v>11</v>
      </c>
      <c r="B17" s="75"/>
      <c r="C17" s="77" t="s">
        <v>183</v>
      </c>
      <c r="D17" s="77"/>
      <c r="E17" s="75" t="s">
        <v>75</v>
      </c>
      <c r="F17" s="75"/>
      <c r="G17" s="75" t="s">
        <v>180</v>
      </c>
      <c r="H17" s="75"/>
    </row>
    <row r="18" spans="1:8" x14ac:dyDescent="0.35">
      <c r="A18" s="77" t="s">
        <v>13</v>
      </c>
      <c r="B18" s="77"/>
      <c r="C18" s="75" t="s">
        <v>186</v>
      </c>
      <c r="D18" s="75"/>
      <c r="E18" s="75" t="s">
        <v>12</v>
      </c>
      <c r="F18" s="75"/>
      <c r="G18" s="135" t="s">
        <v>181</v>
      </c>
      <c r="H18" s="135"/>
    </row>
    <row r="19" spans="1:8" x14ac:dyDescent="0.35">
      <c r="A19" s="77" t="s">
        <v>76</v>
      </c>
      <c r="B19" s="77"/>
      <c r="C19" s="75" t="s">
        <v>182</v>
      </c>
      <c r="D19" s="75"/>
      <c r="E19" s="75" t="s">
        <v>14</v>
      </c>
      <c r="F19" s="75"/>
      <c r="G19" s="75">
        <v>410206</v>
      </c>
      <c r="H19" s="75"/>
    </row>
    <row r="20" spans="1:8" ht="32.25" customHeight="1" x14ac:dyDescent="0.35">
      <c r="A20" s="77" t="s">
        <v>128</v>
      </c>
      <c r="B20" s="77"/>
      <c r="C20" s="75" t="s">
        <v>184</v>
      </c>
      <c r="D20" s="75"/>
      <c r="E20" s="75" t="s">
        <v>15</v>
      </c>
      <c r="F20" s="75"/>
      <c r="G20" s="75" t="s">
        <v>185</v>
      </c>
      <c r="H20" s="75"/>
    </row>
    <row r="21" spans="1:8" ht="15" customHeight="1" x14ac:dyDescent="0.35">
      <c r="A21" s="121" t="s">
        <v>79</v>
      </c>
      <c r="B21" s="121"/>
      <c r="C21" s="121"/>
      <c r="D21" s="121"/>
      <c r="E21" s="77" t="s">
        <v>16</v>
      </c>
      <c r="F21" s="77"/>
      <c r="G21" s="77"/>
      <c r="H21" s="77"/>
    </row>
    <row r="22" spans="1:8" ht="18.75" customHeight="1" x14ac:dyDescent="0.35">
      <c r="A22" s="121"/>
      <c r="B22" s="121"/>
      <c r="C22" s="121"/>
      <c r="D22" s="121"/>
      <c r="E22" s="77"/>
      <c r="F22" s="77"/>
      <c r="G22" s="77"/>
      <c r="H22" s="77"/>
    </row>
    <row r="23" spans="1:8" ht="15" customHeight="1" x14ac:dyDescent="0.35">
      <c r="A23" s="121" t="s">
        <v>17</v>
      </c>
      <c r="B23" s="121"/>
      <c r="C23" s="121"/>
      <c r="D23" s="121"/>
      <c r="E23" s="75" t="s">
        <v>18</v>
      </c>
      <c r="F23" s="75"/>
      <c r="G23" s="75"/>
      <c r="H23" s="75"/>
    </row>
    <row r="24" spans="1:8" ht="15" customHeight="1" x14ac:dyDescent="0.35">
      <c r="A24" s="78" t="s">
        <v>19</v>
      </c>
      <c r="B24" s="78"/>
      <c r="C24" s="78"/>
      <c r="D24" s="78"/>
      <c r="E24" s="75" t="str">
        <f>IF(AND(G18="Mumbai"),"Upper Class","Middle Class")</f>
        <v>Middle Class</v>
      </c>
      <c r="F24" s="75"/>
      <c r="G24" s="75"/>
      <c r="H24" s="75"/>
    </row>
    <row r="25" spans="1:8" x14ac:dyDescent="0.35">
      <c r="A25" s="78" t="s">
        <v>20</v>
      </c>
      <c r="B25" s="78"/>
      <c r="C25" s="78"/>
      <c r="D25" s="78"/>
      <c r="E25" s="75" t="s">
        <v>21</v>
      </c>
      <c r="F25" s="75"/>
      <c r="G25" s="75"/>
      <c r="H25" s="75"/>
    </row>
    <row r="26" spans="1:8" ht="15.75" customHeight="1" x14ac:dyDescent="0.35">
      <c r="A26" s="78" t="s">
        <v>22</v>
      </c>
      <c r="B26" s="78"/>
      <c r="C26" s="78"/>
      <c r="D26" s="78"/>
      <c r="E26" s="75" t="str">
        <f>IF(AND(G18="Mumbai"),"Developed","Developing")</f>
        <v>Developing</v>
      </c>
      <c r="F26" s="75"/>
      <c r="G26" s="75"/>
      <c r="H26" s="75"/>
    </row>
    <row r="27" spans="1:8" x14ac:dyDescent="0.35">
      <c r="A27" s="78" t="s">
        <v>23</v>
      </c>
      <c r="B27" s="78"/>
      <c r="C27" s="78"/>
      <c r="D27" s="78"/>
      <c r="E27" s="75" t="s">
        <v>24</v>
      </c>
      <c r="F27" s="75"/>
      <c r="G27" s="75"/>
      <c r="H27" s="75"/>
    </row>
    <row r="28" spans="1:8" ht="15.75" customHeight="1" x14ac:dyDescent="0.35">
      <c r="A28" s="78" t="s">
        <v>84</v>
      </c>
      <c r="B28" s="78"/>
      <c r="C28" s="78"/>
      <c r="D28" s="78"/>
      <c r="E28" s="75" t="s">
        <v>85</v>
      </c>
      <c r="F28" s="75"/>
      <c r="G28" s="75"/>
      <c r="H28" s="75"/>
    </row>
    <row r="29" spans="1:8" ht="15" customHeight="1" x14ac:dyDescent="0.35">
      <c r="A29" s="78" t="s">
        <v>33</v>
      </c>
      <c r="B29" s="78"/>
      <c r="C29" s="78"/>
      <c r="D29" s="78"/>
      <c r="E29" s="75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75"/>
      <c r="G29" s="75"/>
      <c r="H29" s="75"/>
    </row>
    <row r="30" spans="1:8" ht="15.75" customHeight="1" x14ac:dyDescent="0.35">
      <c r="A30" s="78" t="s">
        <v>96</v>
      </c>
      <c r="B30" s="78"/>
      <c r="C30" s="78"/>
      <c r="D30" s="78"/>
      <c r="E30" s="75" t="s">
        <v>34</v>
      </c>
      <c r="F30" s="75"/>
      <c r="G30" s="75"/>
      <c r="H30" s="75"/>
    </row>
    <row r="31" spans="1:8" s="21" customFormat="1" x14ac:dyDescent="0.35">
      <c r="A31" s="139" t="s">
        <v>97</v>
      </c>
      <c r="B31" s="139"/>
      <c r="C31" s="138" t="s">
        <v>29</v>
      </c>
      <c r="D31" s="138"/>
      <c r="E31" s="138"/>
      <c r="F31" s="138" t="s">
        <v>31</v>
      </c>
      <c r="G31" s="138"/>
      <c r="H31" s="138"/>
    </row>
    <row r="32" spans="1:8" s="21" customFormat="1" x14ac:dyDescent="0.35">
      <c r="A32" s="136" t="s">
        <v>25</v>
      </c>
      <c r="B32" s="136" t="s">
        <v>30</v>
      </c>
      <c r="C32" s="137" t="s">
        <v>30</v>
      </c>
      <c r="D32" s="137"/>
      <c r="E32" s="137"/>
      <c r="F32" s="137" t="s">
        <v>183</v>
      </c>
      <c r="G32" s="137"/>
      <c r="H32" s="137"/>
    </row>
    <row r="33" spans="1:9" x14ac:dyDescent="0.35">
      <c r="A33" s="136" t="s">
        <v>26</v>
      </c>
      <c r="B33" s="136" t="s">
        <v>30</v>
      </c>
      <c r="C33" s="137" t="s">
        <v>30</v>
      </c>
      <c r="D33" s="137"/>
      <c r="E33" s="137"/>
      <c r="F33" s="137" t="s">
        <v>183</v>
      </c>
      <c r="G33" s="137"/>
      <c r="H33" s="137"/>
    </row>
    <row r="34" spans="1:9" s="21" customFormat="1" x14ac:dyDescent="0.35">
      <c r="A34" s="136" t="s">
        <v>28</v>
      </c>
      <c r="B34" s="136" t="s">
        <v>30</v>
      </c>
      <c r="C34" s="137" t="s">
        <v>30</v>
      </c>
      <c r="D34" s="137"/>
      <c r="E34" s="137"/>
      <c r="F34" s="137" t="s">
        <v>187</v>
      </c>
      <c r="G34" s="137"/>
      <c r="H34" s="137"/>
    </row>
    <row r="35" spans="1:9" x14ac:dyDescent="0.35">
      <c r="A35" s="136" t="s">
        <v>27</v>
      </c>
      <c r="B35" s="136" t="s">
        <v>30</v>
      </c>
      <c r="C35" s="137" t="s">
        <v>30</v>
      </c>
      <c r="D35" s="137"/>
      <c r="E35" s="137"/>
      <c r="F35" s="137" t="s">
        <v>187</v>
      </c>
      <c r="G35" s="137"/>
      <c r="H35" s="137"/>
    </row>
    <row r="36" spans="1:9" x14ac:dyDescent="0.35">
      <c r="A36" s="78" t="s">
        <v>32</v>
      </c>
      <c r="B36" s="78"/>
      <c r="C36" s="78"/>
      <c r="D36" s="78"/>
      <c r="E36" s="78"/>
      <c r="F36" s="78"/>
      <c r="G36" s="78"/>
      <c r="H36" s="78"/>
      <c r="I36" s="20" t="s">
        <v>188</v>
      </c>
    </row>
    <row r="37" spans="1:9" ht="15.75" customHeight="1" x14ac:dyDescent="0.35">
      <c r="A37" s="78" t="s">
        <v>223</v>
      </c>
      <c r="B37" s="78"/>
      <c r="C37" s="181" t="s">
        <v>224</v>
      </c>
      <c r="D37" s="181"/>
      <c r="E37" s="181"/>
      <c r="F37" s="181"/>
      <c r="G37" s="181"/>
      <c r="H37" s="181"/>
    </row>
    <row r="38" spans="1:9" x14ac:dyDescent="0.35">
      <c r="A38" s="78" t="s">
        <v>169</v>
      </c>
      <c r="B38" s="78"/>
      <c r="C38" s="141" t="s">
        <v>189</v>
      </c>
      <c r="D38" s="75"/>
      <c r="E38" s="75"/>
      <c r="F38" s="75"/>
      <c r="G38" s="75"/>
      <c r="H38" s="75"/>
    </row>
    <row r="39" spans="1:9" x14ac:dyDescent="0.35">
      <c r="A39" s="130" t="s">
        <v>35</v>
      </c>
      <c r="B39" s="130"/>
      <c r="C39" s="130"/>
      <c r="D39" s="130"/>
      <c r="E39" s="130"/>
      <c r="F39" s="130"/>
      <c r="G39" s="130"/>
      <c r="H39" s="130"/>
    </row>
    <row r="40" spans="1:9" x14ac:dyDescent="0.35">
      <c r="A40" s="77" t="s">
        <v>36</v>
      </c>
      <c r="B40" s="77"/>
      <c r="C40" s="77"/>
      <c r="D40" s="77"/>
      <c r="E40" s="140">
        <v>2379.5500000000002</v>
      </c>
      <c r="F40" s="140"/>
      <c r="G40" s="140"/>
      <c r="H40" s="140"/>
    </row>
    <row r="41" spans="1:9" x14ac:dyDescent="0.35">
      <c r="A41" s="77" t="s">
        <v>37</v>
      </c>
      <c r="B41" s="77"/>
      <c r="C41" s="77"/>
      <c r="D41" s="77"/>
      <c r="E41" s="76">
        <v>1.6</v>
      </c>
      <c r="F41" s="76"/>
      <c r="G41" s="76"/>
      <c r="H41" s="76"/>
    </row>
    <row r="42" spans="1:9" x14ac:dyDescent="0.35">
      <c r="A42" s="77" t="s">
        <v>38</v>
      </c>
      <c r="B42" s="77"/>
      <c r="C42" s="77"/>
      <c r="D42" s="77"/>
      <c r="E42" s="76">
        <f>E44/E40-E41</f>
        <v>1.620663570843226</v>
      </c>
      <c r="F42" s="76"/>
      <c r="G42" s="76"/>
      <c r="H42" s="76"/>
    </row>
    <row r="43" spans="1:9" x14ac:dyDescent="0.35">
      <c r="A43" s="77" t="s">
        <v>39</v>
      </c>
      <c r="B43" s="77"/>
      <c r="C43" s="77"/>
      <c r="D43" s="77"/>
      <c r="E43" s="76">
        <f>E41+E42</f>
        <v>3.2206635708432261</v>
      </c>
      <c r="F43" s="76"/>
      <c r="G43" s="76"/>
      <c r="H43" s="76"/>
    </row>
    <row r="44" spans="1:9" x14ac:dyDescent="0.35">
      <c r="A44" s="77" t="s">
        <v>95</v>
      </c>
      <c r="B44" s="77"/>
      <c r="C44" s="77"/>
      <c r="D44" s="77"/>
      <c r="E44" s="148">
        <v>7663.73</v>
      </c>
      <c r="F44" s="148"/>
      <c r="G44" s="148"/>
      <c r="H44" s="148"/>
    </row>
    <row r="45" spans="1:9" x14ac:dyDescent="0.35">
      <c r="A45" s="77" t="s">
        <v>40</v>
      </c>
      <c r="B45" s="77"/>
      <c r="C45" s="77"/>
      <c r="D45" s="77"/>
      <c r="E45" s="77" t="s">
        <v>127</v>
      </c>
      <c r="F45" s="77"/>
      <c r="G45" s="77"/>
      <c r="H45" s="77"/>
    </row>
    <row r="46" spans="1:9" x14ac:dyDescent="0.35">
      <c r="A46" s="130" t="s">
        <v>41</v>
      </c>
      <c r="B46" s="130"/>
      <c r="C46" s="130"/>
      <c r="D46" s="130"/>
      <c r="E46" s="130"/>
      <c r="F46" s="130"/>
      <c r="G46" s="130"/>
      <c r="H46" s="130"/>
    </row>
    <row r="47" spans="1:9" ht="33.75" customHeight="1" x14ac:dyDescent="0.35">
      <c r="A47" s="75" t="s">
        <v>156</v>
      </c>
      <c r="B47" s="75"/>
      <c r="C47" s="134" t="s">
        <v>190</v>
      </c>
      <c r="D47" s="134"/>
      <c r="E47" s="134"/>
      <c r="F47" s="134"/>
      <c r="G47" s="134"/>
      <c r="H47" s="134"/>
    </row>
    <row r="48" spans="1:9" ht="33" customHeight="1" x14ac:dyDescent="0.35">
      <c r="A48" s="91" t="s">
        <v>42</v>
      </c>
      <c r="B48" s="92"/>
      <c r="C48" s="91" t="s">
        <v>191</v>
      </c>
      <c r="D48" s="93"/>
      <c r="E48" s="92"/>
      <c r="F48" s="59" t="s">
        <v>43</v>
      </c>
      <c r="G48" s="145">
        <v>44806</v>
      </c>
      <c r="H48" s="92"/>
    </row>
    <row r="49" spans="1:14" ht="33" customHeight="1" x14ac:dyDescent="0.35">
      <c r="A49" s="91" t="s">
        <v>44</v>
      </c>
      <c r="B49" s="92"/>
      <c r="C49" s="91" t="str">
        <f>C48</f>
        <v>CIDCO/BP-17933/TPO(NM &amp; K)/2021/9728</v>
      </c>
      <c r="D49" s="93"/>
      <c r="E49" s="92"/>
      <c r="F49" s="59" t="s">
        <v>43</v>
      </c>
      <c r="G49" s="145">
        <f>G48</f>
        <v>44806</v>
      </c>
      <c r="H49" s="92"/>
    </row>
    <row r="50" spans="1:14" s="22" customFormat="1" ht="33.75" customHeight="1" x14ac:dyDescent="0.35">
      <c r="A50" s="112" t="s">
        <v>160</v>
      </c>
      <c r="B50" s="144"/>
      <c r="C50" s="91" t="s">
        <v>191</v>
      </c>
      <c r="D50" s="93"/>
      <c r="E50" s="92"/>
      <c r="F50" s="59" t="s">
        <v>43</v>
      </c>
      <c r="G50" s="145">
        <v>44806</v>
      </c>
      <c r="H50" s="92"/>
    </row>
    <row r="51" spans="1:14" s="22" customFormat="1" x14ac:dyDescent="0.35">
      <c r="A51" s="146"/>
      <c r="B51" s="147"/>
      <c r="C51" s="91" t="s">
        <v>192</v>
      </c>
      <c r="D51" s="93"/>
      <c r="E51" s="93"/>
      <c r="F51" s="93"/>
      <c r="G51" s="93"/>
      <c r="H51" s="92"/>
    </row>
    <row r="52" spans="1:14" x14ac:dyDescent="0.35">
      <c r="A52" s="117" t="s">
        <v>45</v>
      </c>
      <c r="B52" s="118"/>
      <c r="C52" s="117" t="s">
        <v>109</v>
      </c>
      <c r="D52" s="119"/>
      <c r="E52" s="118"/>
      <c r="F52" s="44" t="s">
        <v>43</v>
      </c>
      <c r="G52" s="122" t="s">
        <v>30</v>
      </c>
      <c r="H52" s="123"/>
    </row>
    <row r="53" spans="1:14" x14ac:dyDescent="0.35">
      <c r="A53" s="120" t="s">
        <v>47</v>
      </c>
      <c r="B53" s="120"/>
      <c r="C53" s="120"/>
      <c r="D53" s="120"/>
      <c r="E53" s="120"/>
      <c r="F53" s="120"/>
      <c r="G53" s="120"/>
      <c r="H53" s="120"/>
    </row>
    <row r="54" spans="1:14" x14ac:dyDescent="0.35">
      <c r="A54" s="121" t="s">
        <v>94</v>
      </c>
      <c r="B54" s="121"/>
      <c r="C54" s="121"/>
      <c r="D54" s="78">
        <f>E44</f>
        <v>7663.73</v>
      </c>
      <c r="E54" s="78"/>
      <c r="F54" s="78"/>
      <c r="G54" s="78"/>
      <c r="H54" s="78"/>
    </row>
    <row r="55" spans="1:14" x14ac:dyDescent="0.35">
      <c r="A55" s="75" t="s">
        <v>48</v>
      </c>
      <c r="B55" s="77"/>
      <c r="C55" s="77"/>
      <c r="D55" s="77" t="s">
        <v>216</v>
      </c>
      <c r="E55" s="77"/>
      <c r="F55" s="77"/>
      <c r="G55" s="77"/>
      <c r="H55" s="77"/>
      <c r="I55" s="23"/>
    </row>
    <row r="56" spans="1:14" x14ac:dyDescent="0.35">
      <c r="A56" s="112" t="s">
        <v>49</v>
      </c>
      <c r="B56" s="113"/>
      <c r="C56" s="144"/>
      <c r="D56" s="142" t="s">
        <v>192</v>
      </c>
      <c r="E56" s="143"/>
      <c r="F56" s="143"/>
      <c r="G56" s="143"/>
      <c r="H56" s="143"/>
      <c r="I56" s="24"/>
    </row>
    <row r="57" spans="1:14" ht="15.75" customHeight="1" x14ac:dyDescent="0.35">
      <c r="A57" s="112" t="s">
        <v>92</v>
      </c>
      <c r="B57" s="113"/>
      <c r="C57" s="113"/>
      <c r="D57" s="114" t="s">
        <v>229</v>
      </c>
      <c r="E57" s="115"/>
      <c r="F57" s="115"/>
      <c r="G57" s="115"/>
      <c r="H57" s="116"/>
      <c r="I57" s="24"/>
    </row>
    <row r="58" spans="1:14" ht="15.75" customHeight="1" x14ac:dyDescent="0.35">
      <c r="A58" s="78" t="s">
        <v>46</v>
      </c>
      <c r="B58" s="78"/>
      <c r="C58" s="78"/>
      <c r="D58" s="158" t="s">
        <v>193</v>
      </c>
      <c r="E58" s="158"/>
      <c r="F58" s="158"/>
      <c r="G58" s="158"/>
      <c r="H58" s="158"/>
      <c r="J58" s="25"/>
      <c r="K58" s="23"/>
      <c r="N58" s="23"/>
    </row>
    <row r="59" spans="1:14" ht="15.75" customHeight="1" x14ac:dyDescent="0.35">
      <c r="A59" s="78" t="s">
        <v>90</v>
      </c>
      <c r="B59" s="78"/>
      <c r="C59" s="78"/>
      <c r="D59" s="167" t="str">
        <f>(IF(G52="NA","60 Years After Completion",IF(G52&lt;&gt;"NA",""&amp;60-ROUNDDOWN((E3-G52)/360,0)&amp;" Years"," ")))</f>
        <v>60 Years After Completion</v>
      </c>
      <c r="E59" s="167"/>
      <c r="F59" s="167"/>
      <c r="G59" s="167"/>
      <c r="H59" s="167"/>
      <c r="N59" s="23"/>
    </row>
    <row r="60" spans="1:14" ht="15.75" customHeight="1" x14ac:dyDescent="0.35">
      <c r="A60" s="78" t="s">
        <v>91</v>
      </c>
      <c r="B60" s="78"/>
      <c r="C60" s="78"/>
      <c r="D60" s="121" t="s">
        <v>24</v>
      </c>
      <c r="E60" s="121"/>
      <c r="F60" s="121"/>
      <c r="G60" s="121"/>
      <c r="H60" s="121"/>
      <c r="J60" s="26"/>
      <c r="K60" s="26"/>
    </row>
    <row r="61" spans="1:14" x14ac:dyDescent="0.35">
      <c r="A61" s="78" t="s">
        <v>77</v>
      </c>
      <c r="B61" s="78"/>
      <c r="C61" s="78"/>
      <c r="D61" s="75" t="s">
        <v>227</v>
      </c>
      <c r="E61" s="121"/>
      <c r="F61" s="121"/>
      <c r="G61" s="121"/>
      <c r="H61" s="121"/>
    </row>
    <row r="62" spans="1:14" x14ac:dyDescent="0.35">
      <c r="A62" s="121" t="s">
        <v>154</v>
      </c>
      <c r="B62" s="121"/>
      <c r="C62" s="121"/>
      <c r="D62" s="121" t="s">
        <v>30</v>
      </c>
      <c r="E62" s="121"/>
      <c r="F62" s="121"/>
      <c r="G62" s="121"/>
      <c r="H62" s="121"/>
      <c r="I62" s="27"/>
      <c r="J62" s="27"/>
      <c r="K62" s="27"/>
      <c r="L62" s="27"/>
      <c r="M62" s="27"/>
      <c r="N62" s="27"/>
    </row>
    <row r="63" spans="1:14" ht="15.75" customHeight="1" x14ac:dyDescent="0.35">
      <c r="A63" s="168" t="s">
        <v>89</v>
      </c>
      <c r="B63" s="168"/>
      <c r="C63" s="168"/>
      <c r="D63" s="142" t="str">
        <f ca="1">(IF(G69&gt;95%,"Nothing",IF(G69&gt;0%,"Cement, Aggregate, Steel, etc",IF(G69=0%,"Work not yet Started"))))</f>
        <v>Cement, Aggregate, Steel, etc</v>
      </c>
      <c r="E63" s="142"/>
      <c r="F63" s="142"/>
      <c r="G63" s="142"/>
      <c r="H63" s="142"/>
      <c r="J63" s="26"/>
    </row>
    <row r="64" spans="1:14" ht="33.75" customHeight="1" thickBot="1" x14ac:dyDescent="0.4">
      <c r="A64" s="157" t="s">
        <v>122</v>
      </c>
      <c r="B64" s="157"/>
      <c r="C64" s="157"/>
      <c r="D64" s="142" t="str">
        <f ca="1">(IF(D63="Nothing","Yes",IF(D63="Cement, Aggregate, Steel, etc","Under Construction",IF(D63="Work not yet Started","Work not yet Started"))))</f>
        <v>Under Construction</v>
      </c>
      <c r="E64" s="142"/>
      <c r="F64" s="142" t="str">
        <f ca="1">(IF(D63="Nothing","Yes",IF(D63="Cement, Aggregate, Steel, etc","Under Construction",IF(D63="Work not yet Started","Work not yet Started"))))</f>
        <v>Under Construction</v>
      </c>
      <c r="G64" s="142"/>
      <c r="H64" s="142"/>
    </row>
    <row r="65" spans="1:12" ht="15.75" customHeight="1" x14ac:dyDescent="0.35">
      <c r="A65" s="150" t="s">
        <v>146</v>
      </c>
      <c r="B65" s="151"/>
      <c r="C65" s="152" t="str">
        <f>D57</f>
        <v>Gr + 1st to 13th Floor</v>
      </c>
      <c r="D65" s="153"/>
      <c r="E65" s="153"/>
      <c r="F65" s="153"/>
      <c r="G65" s="153"/>
      <c r="H65" s="154"/>
      <c r="I65" s="47" t="str">
        <f ca="1">IF(D78=100%,"All work Completed. Possession granted to the Building.",IF(D77=100%,"All work Completed, Waiting for OC",I66&amp;""&amp;I67&amp;""&amp;J66&amp;""&amp;J65&amp;" "&amp;J67))</f>
        <v>Excavation, Plinth Completed, RCC upto 12 Slab, Brickwork upto 9 Floor, Internal Plaster upto 6 Floor Completed</v>
      </c>
      <c r="J65" s="48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12 Slab, Brickwork upto 9 Floor, Internal Plaster upto 6 Floor</v>
      </c>
    </row>
    <row r="66" spans="1:12" x14ac:dyDescent="0.35">
      <c r="A66" s="18" t="s">
        <v>148</v>
      </c>
      <c r="B66" s="53">
        <v>0</v>
      </c>
      <c r="C66" s="53" t="s">
        <v>74</v>
      </c>
      <c r="D66" s="53">
        <v>1</v>
      </c>
      <c r="E66" s="53" t="s">
        <v>73</v>
      </c>
      <c r="F66" s="53">
        <v>0</v>
      </c>
      <c r="G66" s="53" t="s">
        <v>83</v>
      </c>
      <c r="H66" s="19">
        <f ca="1">--TRIM(RIGHT(SUBSTITUTE(LEFT(C65,_xlfn.AGGREGATE(16,6,FIND({0,1,2,3,4,5,6,7,8,9},C65,ROW(INDIRECT("1:"&amp;LEN(C65)))),1))," ",REPT(" ",LEN(C65))),LEN(C65)))</f>
        <v>13</v>
      </c>
      <c r="I66" s="49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50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2" ht="31.5" customHeight="1" x14ac:dyDescent="0.35">
      <c r="A67" s="149" t="s">
        <v>93</v>
      </c>
      <c r="B67" s="134"/>
      <c r="C67" s="155" t="str">
        <f ca="1">I65</f>
        <v>Excavation, Plinth Completed, RCC upto 12 Slab, Brickwork upto 9 Floor, Internal Plaster upto 6 Floor Completed</v>
      </c>
      <c r="D67" s="155"/>
      <c r="E67" s="155"/>
      <c r="F67" s="155"/>
      <c r="G67" s="155"/>
      <c r="H67" s="156"/>
      <c r="I67" s="49" t="str">
        <f ca="1">IF(I66&lt;&gt;""," Completed","")</f>
        <v xml:space="preserve"> Completed</v>
      </c>
      <c r="J67" s="50" t="str">
        <f ca="1">IF(J65&lt;&gt;"","Completed","")</f>
        <v>Completed</v>
      </c>
    </row>
    <row r="68" spans="1:12" ht="15.75" customHeight="1" x14ac:dyDescent="0.35">
      <c r="A68" s="86" t="s">
        <v>50</v>
      </c>
      <c r="B68" s="87"/>
      <c r="C68" s="60" t="s">
        <v>145</v>
      </c>
      <c r="D68" s="60" t="s">
        <v>86</v>
      </c>
      <c r="E68" s="87" t="s">
        <v>88</v>
      </c>
      <c r="F68" s="87"/>
      <c r="G68" s="87" t="s">
        <v>87</v>
      </c>
      <c r="H68" s="169"/>
      <c r="I68" s="16" t="s">
        <v>147</v>
      </c>
      <c r="J68" s="28">
        <f ca="1">H66*25%</f>
        <v>3.25</v>
      </c>
    </row>
    <row r="69" spans="1:12" x14ac:dyDescent="0.35">
      <c r="A69" s="86" t="s">
        <v>134</v>
      </c>
      <c r="B69" s="87"/>
      <c r="C69" s="60">
        <f ca="1">J70</f>
        <v>13</v>
      </c>
      <c r="D69" s="62">
        <f ca="1">((100/H66)*C69)/100</f>
        <v>1</v>
      </c>
      <c r="E69" s="159">
        <f ca="1">(((C70/H66*10)+(40/(D66+F66+H66)*C71)+(7.5/(H66)*C72)+(7.5/(H66)*C73)+(10/H66*C74)+(10/H66*C75)+(5/H66*C76)+(5/H66*C77)+(5/H66*C78))/100)</f>
        <v>0.5293956043956044</v>
      </c>
      <c r="F69" s="160"/>
      <c r="G69" s="159">
        <f ca="1">((((C69/H66)*20)+((C70/H66)*25)+(30/(H66+F66+D66)*C71)+(5/H66*C72)+(5/H66*C73)+(5/H66*C74)+(5/H66*C75)+(0/H66*C76)+(0/H66*C77)+(5/H66*C78))/100)</f>
        <v>0.764835164835165</v>
      </c>
      <c r="H69" s="163"/>
      <c r="I69" s="16" t="s">
        <v>104</v>
      </c>
      <c r="J69" s="29">
        <f ca="1">H66*50%</f>
        <v>6.5</v>
      </c>
    </row>
    <row r="70" spans="1:12" x14ac:dyDescent="0.35">
      <c r="A70" s="86" t="s">
        <v>51</v>
      </c>
      <c r="B70" s="87"/>
      <c r="C70" s="65">
        <f ca="1">J78</f>
        <v>13</v>
      </c>
      <c r="D70" s="62">
        <f ca="1">((100/H66)*C70)/100</f>
        <v>1</v>
      </c>
      <c r="E70" s="161"/>
      <c r="F70" s="162"/>
      <c r="G70" s="161"/>
      <c r="H70" s="164"/>
      <c r="I70" s="16" t="s">
        <v>105</v>
      </c>
      <c r="J70" s="29">
        <f ca="1">H66</f>
        <v>13</v>
      </c>
    </row>
    <row r="71" spans="1:12" ht="15.75" customHeight="1" x14ac:dyDescent="0.35">
      <c r="A71" s="86" t="s">
        <v>135</v>
      </c>
      <c r="B71" s="87"/>
      <c r="C71" s="60">
        <v>12</v>
      </c>
      <c r="D71" s="62">
        <f ca="1">((100/(D66+F66+H66))*C71)/100</f>
        <v>0.85714285714285721</v>
      </c>
      <c r="E71" s="161"/>
      <c r="F71" s="162"/>
      <c r="G71" s="161"/>
      <c r="H71" s="164"/>
      <c r="I71" s="16" t="s">
        <v>106</v>
      </c>
      <c r="J71" s="30">
        <f ca="1">(IF(B66&gt;1,(H66/(B66+2)),H66/4))</f>
        <v>3.25</v>
      </c>
    </row>
    <row r="72" spans="1:12" ht="15.75" customHeight="1" x14ac:dyDescent="0.35">
      <c r="A72" s="86" t="s">
        <v>142</v>
      </c>
      <c r="B72" s="87" t="s">
        <v>136</v>
      </c>
      <c r="C72" s="60">
        <v>9</v>
      </c>
      <c r="D72" s="62">
        <f ca="1">((100/H66)*C72)/100</f>
        <v>0.69230769230769229</v>
      </c>
      <c r="E72" s="161"/>
      <c r="F72" s="162"/>
      <c r="G72" s="161"/>
      <c r="H72" s="164"/>
      <c r="I72" s="16" t="s">
        <v>107</v>
      </c>
      <c r="J72" s="30">
        <f ca="1">(IF(B66&gt;1,(H66/(B66+2)+J71),H66/4+J71))</f>
        <v>6.5</v>
      </c>
    </row>
    <row r="73" spans="1:12" ht="15.75" customHeight="1" x14ac:dyDescent="0.35">
      <c r="A73" s="86" t="s">
        <v>143</v>
      </c>
      <c r="B73" s="87" t="s">
        <v>136</v>
      </c>
      <c r="C73" s="60">
        <v>6</v>
      </c>
      <c r="D73" s="62">
        <f ca="1">((100/H66)*C73)/100</f>
        <v>0.46153846153846151</v>
      </c>
      <c r="E73" s="161"/>
      <c r="F73" s="162"/>
      <c r="G73" s="161"/>
      <c r="H73" s="164"/>
      <c r="I73" s="16" t="s">
        <v>152</v>
      </c>
      <c r="J73" s="30">
        <f>(IF(B66&gt;1,(H66/(B66+2)+J72),0))</f>
        <v>0</v>
      </c>
    </row>
    <row r="74" spans="1:12" ht="15" customHeight="1" x14ac:dyDescent="0.35">
      <c r="A74" s="86" t="s">
        <v>141</v>
      </c>
      <c r="B74" s="87" t="s">
        <v>138</v>
      </c>
      <c r="C74" s="60">
        <v>0</v>
      </c>
      <c r="D74" s="62">
        <f ca="1">((100/(H66))*C74)/100</f>
        <v>0</v>
      </c>
      <c r="E74" s="161"/>
      <c r="F74" s="162"/>
      <c r="G74" s="161"/>
      <c r="H74" s="164"/>
      <c r="I74" s="16" t="s">
        <v>149</v>
      </c>
      <c r="J74" s="30">
        <f>(IF(B66&gt;2,(H66/(B66+2)+J73),0))</f>
        <v>0</v>
      </c>
    </row>
    <row r="75" spans="1:12" ht="15.75" customHeight="1" x14ac:dyDescent="0.35">
      <c r="A75" s="86" t="s">
        <v>137</v>
      </c>
      <c r="B75" s="87" t="s">
        <v>137</v>
      </c>
      <c r="C75" s="60">
        <v>0</v>
      </c>
      <c r="D75" s="62">
        <f ca="1">((100/H66)*C75)/100</f>
        <v>0</v>
      </c>
      <c r="E75" s="161"/>
      <c r="F75" s="162"/>
      <c r="G75" s="161"/>
      <c r="H75" s="164"/>
      <c r="I75" s="16" t="s">
        <v>150</v>
      </c>
      <c r="J75" s="31">
        <f>(IF(B66&gt;3,(H66/(B66+2)+J74),0))</f>
        <v>0</v>
      </c>
    </row>
    <row r="76" spans="1:12" ht="15.75" customHeight="1" x14ac:dyDescent="0.35">
      <c r="A76" s="86" t="s">
        <v>144</v>
      </c>
      <c r="B76" s="87"/>
      <c r="C76" s="60">
        <v>0</v>
      </c>
      <c r="D76" s="62">
        <f ca="1">((100/H66)*C76)/100</f>
        <v>0</v>
      </c>
      <c r="E76" s="161"/>
      <c r="F76" s="162"/>
      <c r="G76" s="161"/>
      <c r="H76" s="164"/>
      <c r="I76" s="16" t="s">
        <v>151</v>
      </c>
      <c r="J76" s="30">
        <f>(IF(B66&gt;4,(H66/(B66+2)+J75),0))</f>
        <v>0</v>
      </c>
    </row>
    <row r="77" spans="1:12" ht="15.75" customHeight="1" x14ac:dyDescent="0.35">
      <c r="A77" s="86" t="s">
        <v>139</v>
      </c>
      <c r="B77" s="87" t="s">
        <v>139</v>
      </c>
      <c r="C77" s="60">
        <v>0</v>
      </c>
      <c r="D77" s="62">
        <f ca="1">((100/(H66))*C77)/100</f>
        <v>0</v>
      </c>
      <c r="E77" s="161"/>
      <c r="F77" s="162"/>
      <c r="G77" s="161"/>
      <c r="H77" s="164"/>
      <c r="I77" s="16" t="s">
        <v>153</v>
      </c>
      <c r="J77" s="30">
        <f ca="1">(IF(B66=1,(H66/(B66+3)+J72),IF(B66=0,(H66/4+J72),IF(B66&gt;1,0))))</f>
        <v>9.75</v>
      </c>
    </row>
    <row r="78" spans="1:12" ht="16" thickBot="1" x14ac:dyDescent="0.4">
      <c r="A78" s="165" t="s">
        <v>140</v>
      </c>
      <c r="B78" s="166"/>
      <c r="C78" s="69">
        <v>0</v>
      </c>
      <c r="D78" s="70">
        <f ca="1">((100/(H66))*C78)/100</f>
        <v>0</v>
      </c>
      <c r="E78" s="161"/>
      <c r="F78" s="162"/>
      <c r="G78" s="161"/>
      <c r="H78" s="164"/>
      <c r="I78" s="17" t="s">
        <v>108</v>
      </c>
      <c r="J78" s="32">
        <f ca="1">(IF(B66&gt;1.5,(H66/(B66+2)+J72+MAX(0,J73-J72)+MAX(0,J74-J73)+MAX(0,J75-J74)+MAX(0,J76-J75)+MAX(0,J77-J76)),IF(B66=1,(H66/(B66+3)+J77),IF(B66=0,H66/4+J77))))</f>
        <v>13</v>
      </c>
    </row>
    <row r="79" spans="1:12" x14ac:dyDescent="0.35">
      <c r="A79" s="130" t="s">
        <v>162</v>
      </c>
      <c r="B79" s="130"/>
      <c r="C79" s="130"/>
      <c r="D79" s="130"/>
      <c r="E79" s="130"/>
      <c r="F79" s="102" t="s">
        <v>167</v>
      </c>
      <c r="G79" s="102"/>
      <c r="H79" s="102"/>
    </row>
    <row r="80" spans="1:12" x14ac:dyDescent="0.35">
      <c r="A80" s="78" t="s">
        <v>165</v>
      </c>
      <c r="B80" s="78"/>
      <c r="C80" s="78"/>
      <c r="D80" s="78"/>
      <c r="E80" s="78"/>
      <c r="F80" s="88">
        <v>6100</v>
      </c>
      <c r="G80" s="88"/>
      <c r="H80" s="88"/>
      <c r="J80" s="67" t="s">
        <v>228</v>
      </c>
      <c r="K80" s="67"/>
      <c r="L80" s="67"/>
    </row>
    <row r="81" spans="1:8" x14ac:dyDescent="0.35">
      <c r="A81" s="78" t="s">
        <v>164</v>
      </c>
      <c r="B81" s="78"/>
      <c r="C81" s="78"/>
      <c r="D81" s="78"/>
      <c r="E81" s="78"/>
      <c r="F81" s="94">
        <v>11500</v>
      </c>
      <c r="G81" s="94"/>
      <c r="H81" s="94"/>
    </row>
    <row r="82" spans="1:8" hidden="1" x14ac:dyDescent="0.35">
      <c r="A82" s="78" t="s">
        <v>166</v>
      </c>
      <c r="B82" s="78"/>
      <c r="C82" s="78"/>
      <c r="D82" s="78"/>
      <c r="E82" s="78"/>
      <c r="F82" s="94"/>
      <c r="G82" s="94"/>
      <c r="H82" s="94"/>
    </row>
    <row r="83" spans="1:8" s="33" customFormat="1" hidden="1" x14ac:dyDescent="0.3">
      <c r="A83" s="78" t="s">
        <v>163</v>
      </c>
      <c r="B83" s="78"/>
      <c r="C83" s="78"/>
      <c r="D83" s="78"/>
      <c r="E83" s="78"/>
      <c r="F83" s="94"/>
      <c r="G83" s="94"/>
      <c r="H83" s="94"/>
    </row>
    <row r="84" spans="1:8" s="33" customFormat="1" hidden="1" x14ac:dyDescent="0.3">
      <c r="A84" s="78" t="s">
        <v>98</v>
      </c>
      <c r="B84" s="78"/>
      <c r="C84" s="78"/>
      <c r="D84" s="78"/>
      <c r="E84" s="78"/>
      <c r="F84" s="94"/>
      <c r="G84" s="94"/>
      <c r="H84" s="94"/>
    </row>
    <row r="85" spans="1:8" s="33" customFormat="1" hidden="1" x14ac:dyDescent="0.3">
      <c r="A85" s="78" t="s">
        <v>99</v>
      </c>
      <c r="B85" s="78"/>
      <c r="C85" s="78"/>
      <c r="D85" s="78"/>
      <c r="E85" s="78"/>
      <c r="F85" s="94"/>
      <c r="G85" s="94"/>
      <c r="H85" s="94"/>
    </row>
    <row r="86" spans="1:8" s="33" customFormat="1" hidden="1" x14ac:dyDescent="0.3">
      <c r="A86" s="78" t="s">
        <v>168</v>
      </c>
      <c r="B86" s="78"/>
      <c r="C86" s="78"/>
      <c r="D86" s="78"/>
      <c r="E86" s="78"/>
      <c r="F86" s="94">
        <v>25</v>
      </c>
      <c r="G86" s="94"/>
      <c r="H86" s="94"/>
    </row>
    <row r="87" spans="1:8" s="33" customFormat="1" hidden="1" x14ac:dyDescent="0.3">
      <c r="A87" s="78" t="s">
        <v>100</v>
      </c>
      <c r="B87" s="78"/>
      <c r="C87" s="78"/>
      <c r="D87" s="78"/>
      <c r="E87" s="78"/>
      <c r="F87" s="94"/>
      <c r="G87" s="94"/>
      <c r="H87" s="94"/>
    </row>
    <row r="88" spans="1:8" s="33" customFormat="1" hidden="1" x14ac:dyDescent="0.3">
      <c r="A88" s="78" t="s">
        <v>101</v>
      </c>
      <c r="B88" s="78"/>
      <c r="C88" s="78"/>
      <c r="D88" s="78"/>
      <c r="E88" s="78"/>
      <c r="F88" s="94"/>
      <c r="G88" s="94"/>
      <c r="H88" s="94"/>
    </row>
    <row r="89" spans="1:8" s="33" customFormat="1" hidden="1" x14ac:dyDescent="0.3">
      <c r="A89" s="78" t="s">
        <v>102</v>
      </c>
      <c r="B89" s="78"/>
      <c r="C89" s="78"/>
      <c r="D89" s="78"/>
      <c r="E89" s="78"/>
      <c r="F89" s="94"/>
      <c r="G89" s="94"/>
      <c r="H89" s="94"/>
    </row>
    <row r="90" spans="1:8" s="33" customFormat="1" hidden="1" x14ac:dyDescent="0.3">
      <c r="A90" s="78" t="s">
        <v>103</v>
      </c>
      <c r="B90" s="78"/>
      <c r="C90" s="78"/>
      <c r="D90" s="78"/>
      <c r="E90" s="78"/>
      <c r="F90" s="94"/>
      <c r="G90" s="94"/>
      <c r="H90" s="94"/>
    </row>
    <row r="91" spans="1:8" x14ac:dyDescent="0.35">
      <c r="A91" s="78" t="s">
        <v>102</v>
      </c>
      <c r="B91" s="78"/>
      <c r="C91" s="78"/>
      <c r="D91" s="78"/>
      <c r="E91" s="78"/>
      <c r="F91" s="94">
        <v>125000</v>
      </c>
      <c r="G91" s="94"/>
      <c r="H91" s="94"/>
    </row>
    <row r="92" spans="1:8" x14ac:dyDescent="0.35">
      <c r="A92" s="78" t="s">
        <v>52</v>
      </c>
      <c r="B92" s="78"/>
      <c r="C92" s="78"/>
      <c r="D92" s="78"/>
      <c r="E92" s="78"/>
      <c r="F92" s="94">
        <v>250000</v>
      </c>
      <c r="G92" s="94"/>
      <c r="H92" s="94"/>
    </row>
    <row r="93" spans="1:8" s="34" customFormat="1" x14ac:dyDescent="0.35">
      <c r="A93" s="130" t="s">
        <v>53</v>
      </c>
      <c r="B93" s="130"/>
      <c r="C93" s="130"/>
      <c r="D93" s="130"/>
      <c r="E93" s="130"/>
      <c r="F93" s="94">
        <f>F80*0.8</f>
        <v>4880</v>
      </c>
      <c r="G93" s="94"/>
      <c r="H93" s="94"/>
    </row>
    <row r="94" spans="1:8" s="35" customFormat="1" ht="15.75" customHeight="1" x14ac:dyDescent="0.35">
      <c r="A94" s="129" t="s">
        <v>78</v>
      </c>
      <c r="B94" s="129"/>
      <c r="C94" s="129"/>
      <c r="D94" s="129"/>
      <c r="E94" s="129"/>
      <c r="F94" s="129"/>
      <c r="G94" s="129"/>
      <c r="H94" s="129"/>
    </row>
    <row r="95" spans="1:8" s="35" customFormat="1" ht="15.75" customHeight="1" x14ac:dyDescent="0.35">
      <c r="A95" s="83" t="s">
        <v>54</v>
      </c>
      <c r="B95" s="83"/>
      <c r="C95" s="176" t="s">
        <v>81</v>
      </c>
      <c r="D95" s="176"/>
      <c r="E95" s="98" t="s">
        <v>55</v>
      </c>
      <c r="F95" s="98"/>
      <c r="G95" s="83" t="s">
        <v>56</v>
      </c>
      <c r="H95" s="83"/>
    </row>
    <row r="96" spans="1:8" s="35" customFormat="1" x14ac:dyDescent="0.35">
      <c r="A96" s="131" t="s">
        <v>213</v>
      </c>
      <c r="B96" s="131"/>
      <c r="C96" s="177">
        <f>COUNT(D105:D124)</f>
        <v>20</v>
      </c>
      <c r="D96" s="171"/>
      <c r="E96" s="89">
        <f>SUM(D105:D124)</f>
        <v>8906.4457559999992</v>
      </c>
      <c r="F96" s="90"/>
      <c r="G96" s="89">
        <f>SUM(F105:F124)</f>
        <v>13804.990921799998</v>
      </c>
      <c r="H96" s="90"/>
    </row>
    <row r="97" spans="1:14" s="35" customFormat="1" x14ac:dyDescent="0.35">
      <c r="A97" s="129" t="s">
        <v>72</v>
      </c>
      <c r="B97" s="129"/>
      <c r="C97" s="129"/>
      <c r="D97" s="129"/>
      <c r="E97" s="129"/>
      <c r="F97" s="129"/>
      <c r="G97" s="129"/>
      <c r="H97" s="129"/>
    </row>
    <row r="98" spans="1:14" s="35" customFormat="1" ht="15.75" customHeight="1" x14ac:dyDescent="0.35">
      <c r="A98" s="83" t="s">
        <v>54</v>
      </c>
      <c r="B98" s="83"/>
      <c r="C98" s="176" t="s">
        <v>81</v>
      </c>
      <c r="D98" s="176"/>
      <c r="E98" s="98" t="s">
        <v>55</v>
      </c>
      <c r="F98" s="98"/>
      <c r="G98" s="83" t="s">
        <v>56</v>
      </c>
      <c r="H98" s="83"/>
    </row>
    <row r="99" spans="1:14" s="35" customFormat="1" x14ac:dyDescent="0.35">
      <c r="A99" s="131" t="s">
        <v>214</v>
      </c>
      <c r="B99" s="131"/>
      <c r="C99" s="171">
        <f>COUNT(D129:D138)+COUNT(D140:D151)*8+COUNT(D157:D158,D163:D164)</f>
        <v>110</v>
      </c>
      <c r="D99" s="171"/>
      <c r="E99" s="89">
        <f>SUM(D129:D138)+SUM(D140:D151)*8+SUM(D157:D158,D163:D164)</f>
        <v>60505.272827999994</v>
      </c>
      <c r="F99" s="89"/>
      <c r="G99" s="89">
        <f>SUM(F129:F138)+SUM(F140:F151)*8+SUM(F157:F158,F163:F164)</f>
        <v>103880</v>
      </c>
      <c r="H99" s="89"/>
    </row>
    <row r="100" spans="1:14" s="34" customFormat="1" x14ac:dyDescent="0.35">
      <c r="A100" s="102" t="s">
        <v>57</v>
      </c>
      <c r="B100" s="102"/>
      <c r="C100" s="102"/>
      <c r="D100" s="102"/>
      <c r="E100" s="102"/>
      <c r="F100" s="102"/>
      <c r="G100" s="102"/>
      <c r="H100" s="102"/>
    </row>
    <row r="101" spans="1:14" x14ac:dyDescent="0.35">
      <c r="A101" s="102" t="s">
        <v>58</v>
      </c>
      <c r="B101" s="102"/>
      <c r="C101" s="102"/>
      <c r="D101" s="102"/>
      <c r="E101" s="102"/>
      <c r="F101" s="102"/>
      <c r="G101" s="102"/>
      <c r="H101" s="102"/>
    </row>
    <row r="102" spans="1:14" ht="47.25" customHeight="1" x14ac:dyDescent="0.35">
      <c r="A102" s="95" t="s">
        <v>124</v>
      </c>
      <c r="B102" s="95" t="s">
        <v>123</v>
      </c>
      <c r="C102" s="95" t="s">
        <v>59</v>
      </c>
      <c r="D102" s="95" t="s">
        <v>60</v>
      </c>
      <c r="E102" s="172" t="s">
        <v>161</v>
      </c>
      <c r="F102" s="43" t="s">
        <v>155</v>
      </c>
      <c r="G102" s="84" t="s">
        <v>62</v>
      </c>
      <c r="H102" s="85"/>
    </row>
    <row r="103" spans="1:14" s="46" customFormat="1" x14ac:dyDescent="0.35">
      <c r="A103" s="96"/>
      <c r="B103" s="96"/>
      <c r="C103" s="96"/>
      <c r="D103" s="96"/>
      <c r="E103" s="173"/>
      <c r="F103" s="15">
        <v>0.55000000000000004</v>
      </c>
      <c r="G103" s="174"/>
      <c r="H103" s="175"/>
    </row>
    <row r="104" spans="1:14" s="46" customFormat="1" x14ac:dyDescent="0.35">
      <c r="A104" s="124" t="s">
        <v>217</v>
      </c>
      <c r="B104" s="125"/>
      <c r="C104" s="125"/>
      <c r="D104" s="125"/>
      <c r="E104" s="125"/>
      <c r="F104" s="125"/>
      <c r="G104" s="125"/>
      <c r="H104" s="126"/>
      <c r="J104" s="36"/>
    </row>
    <row r="105" spans="1:14" s="46" customFormat="1" x14ac:dyDescent="0.35">
      <c r="A105" s="80">
        <v>1</v>
      </c>
      <c r="B105" s="81"/>
      <c r="C105" s="42" t="s">
        <v>194</v>
      </c>
      <c r="D105" s="61">
        <f>(45.959)*10.764</f>
        <v>494.702676</v>
      </c>
      <c r="E105" s="42">
        <v>0</v>
      </c>
      <c r="F105" s="42">
        <f>(D105+E105)*(($F$103)+1)</f>
        <v>766.78914780000002</v>
      </c>
      <c r="G105" s="80" t="str">
        <f>A104</f>
        <v>Ground Floor for Commercial</v>
      </c>
      <c r="H105" s="81"/>
      <c r="I105" s="36"/>
      <c r="L105" s="170"/>
      <c r="M105" s="170"/>
      <c r="N105" s="36"/>
    </row>
    <row r="106" spans="1:14" s="46" customFormat="1" x14ac:dyDescent="0.35">
      <c r="A106" s="80">
        <v>2</v>
      </c>
      <c r="B106" s="81"/>
      <c r="C106" s="51" t="s">
        <v>194</v>
      </c>
      <c r="D106" s="61">
        <f>(49.803)*10.764</f>
        <v>536.07949199999996</v>
      </c>
      <c r="E106" s="42">
        <v>0</v>
      </c>
      <c r="F106" s="42">
        <f t="shared" ref="F106:F108" si="0">(D106+E106)*(($F$103)+1)</f>
        <v>830.92321259999994</v>
      </c>
      <c r="G106" s="80" t="str">
        <f t="shared" ref="G106:G124" si="1">G105</f>
        <v>Ground Floor for Commercial</v>
      </c>
      <c r="H106" s="81"/>
      <c r="I106" s="36"/>
      <c r="K106" s="170"/>
      <c r="L106" s="170"/>
      <c r="M106" s="36"/>
    </row>
    <row r="107" spans="1:14" s="46" customFormat="1" x14ac:dyDescent="0.35">
      <c r="A107" s="80">
        <v>3</v>
      </c>
      <c r="B107" s="81"/>
      <c r="C107" s="51" t="s">
        <v>194</v>
      </c>
      <c r="D107" s="61">
        <f>(39.819)*10.764</f>
        <v>428.611716</v>
      </c>
      <c r="E107" s="42">
        <v>0</v>
      </c>
      <c r="F107" s="42">
        <f t="shared" si="0"/>
        <v>664.34815980000008</v>
      </c>
      <c r="G107" s="80" t="str">
        <f t="shared" si="1"/>
        <v>Ground Floor for Commercial</v>
      </c>
      <c r="H107" s="81"/>
      <c r="I107" s="36"/>
      <c r="L107" s="170"/>
      <c r="M107" s="170"/>
      <c r="N107" s="36"/>
    </row>
    <row r="108" spans="1:14" s="46" customFormat="1" x14ac:dyDescent="0.35">
      <c r="A108" s="80">
        <v>4</v>
      </c>
      <c r="B108" s="81"/>
      <c r="C108" s="51" t="s">
        <v>194</v>
      </c>
      <c r="D108" s="61">
        <f>(39.404)*10.764</f>
        <v>424.144656</v>
      </c>
      <c r="E108" s="42">
        <v>0</v>
      </c>
      <c r="F108" s="42">
        <f t="shared" si="0"/>
        <v>657.42421680000007</v>
      </c>
      <c r="G108" s="80" t="str">
        <f t="shared" si="1"/>
        <v>Ground Floor for Commercial</v>
      </c>
      <c r="H108" s="81"/>
      <c r="I108" s="36"/>
      <c r="L108" s="170"/>
      <c r="M108" s="170"/>
      <c r="N108" s="36"/>
    </row>
    <row r="109" spans="1:14" s="52" customFormat="1" x14ac:dyDescent="0.35">
      <c r="A109" s="80">
        <v>5</v>
      </c>
      <c r="B109" s="81"/>
      <c r="C109" s="51" t="s">
        <v>194</v>
      </c>
      <c r="D109" s="61">
        <f>(48.145)*10.764</f>
        <v>518.23278000000005</v>
      </c>
      <c r="E109" s="51">
        <v>0</v>
      </c>
      <c r="F109" s="51">
        <f>(D109+E109)*(($F$103)+1)</f>
        <v>803.26080900000011</v>
      </c>
      <c r="G109" s="80" t="str">
        <f t="shared" si="1"/>
        <v>Ground Floor for Commercial</v>
      </c>
      <c r="H109" s="81"/>
      <c r="I109" s="36"/>
      <c r="L109" s="170"/>
      <c r="M109" s="170"/>
      <c r="N109" s="36"/>
    </row>
    <row r="110" spans="1:14" s="52" customFormat="1" x14ac:dyDescent="0.35">
      <c r="A110" s="80">
        <v>6</v>
      </c>
      <c r="B110" s="81"/>
      <c r="C110" s="51" t="s">
        <v>194</v>
      </c>
      <c r="D110" s="61">
        <f>(43.347)*10.764</f>
        <v>466.587108</v>
      </c>
      <c r="E110" s="51">
        <v>0</v>
      </c>
      <c r="F110" s="51">
        <f t="shared" ref="F110:F114" si="2">(D110+E110)*(($F$103)+1)</f>
        <v>723.21001739999997</v>
      </c>
      <c r="G110" s="80" t="str">
        <f t="shared" si="1"/>
        <v>Ground Floor for Commercial</v>
      </c>
      <c r="H110" s="81"/>
      <c r="I110" s="36"/>
      <c r="L110" s="170"/>
      <c r="M110" s="170"/>
      <c r="N110" s="36"/>
    </row>
    <row r="111" spans="1:14" s="52" customFormat="1" x14ac:dyDescent="0.35">
      <c r="A111" s="80">
        <v>7</v>
      </c>
      <c r="B111" s="81"/>
      <c r="C111" s="51" t="s">
        <v>194</v>
      </c>
      <c r="D111" s="61">
        <f>(44.537)*10.764</f>
        <v>479.39626799999996</v>
      </c>
      <c r="E111" s="51">
        <v>0</v>
      </c>
      <c r="F111" s="51">
        <f t="shared" si="2"/>
        <v>743.06421539999997</v>
      </c>
      <c r="G111" s="80" t="str">
        <f t="shared" si="1"/>
        <v>Ground Floor for Commercial</v>
      </c>
      <c r="H111" s="81"/>
      <c r="I111" s="36"/>
      <c r="L111" s="170"/>
      <c r="M111" s="170"/>
      <c r="N111" s="36"/>
    </row>
    <row r="112" spans="1:14" s="52" customFormat="1" x14ac:dyDescent="0.35">
      <c r="A112" s="80">
        <v>8</v>
      </c>
      <c r="B112" s="81"/>
      <c r="C112" s="51" t="s">
        <v>194</v>
      </c>
      <c r="D112" s="61">
        <f>(44.784)*10.764</f>
        <v>482.05497599999995</v>
      </c>
      <c r="E112" s="51">
        <v>0</v>
      </c>
      <c r="F112" s="51">
        <f t="shared" si="2"/>
        <v>747.18521279999993</v>
      </c>
      <c r="G112" s="80" t="str">
        <f t="shared" si="1"/>
        <v>Ground Floor for Commercial</v>
      </c>
      <c r="H112" s="81"/>
      <c r="I112" s="36"/>
      <c r="J112" s="63" t="s">
        <v>219</v>
      </c>
      <c r="L112" s="170"/>
      <c r="M112" s="170"/>
      <c r="N112" s="36"/>
    </row>
    <row r="113" spans="1:14" s="52" customFormat="1" x14ac:dyDescent="0.35">
      <c r="A113" s="80">
        <v>9</v>
      </c>
      <c r="B113" s="81"/>
      <c r="C113" s="51" t="s">
        <v>194</v>
      </c>
      <c r="D113" s="61">
        <f>(45.044)*10.764</f>
        <v>484.85361599999993</v>
      </c>
      <c r="E113" s="51">
        <v>0</v>
      </c>
      <c r="F113" s="51">
        <f t="shared" si="2"/>
        <v>751.52310479999994</v>
      </c>
      <c r="G113" s="80" t="str">
        <f t="shared" si="1"/>
        <v>Ground Floor for Commercial</v>
      </c>
      <c r="H113" s="81"/>
      <c r="I113" s="36"/>
      <c r="J113" s="36">
        <f>6500000/F113</f>
        <v>8649.102014940474</v>
      </c>
      <c r="L113" s="170"/>
      <c r="M113" s="170"/>
      <c r="N113" s="36"/>
    </row>
    <row r="114" spans="1:14" s="52" customFormat="1" x14ac:dyDescent="0.35">
      <c r="A114" s="80">
        <v>10</v>
      </c>
      <c r="B114" s="81"/>
      <c r="C114" s="51" t="s">
        <v>194</v>
      </c>
      <c r="D114" s="61">
        <f>(42.827)*10.764</f>
        <v>460.98982799999993</v>
      </c>
      <c r="E114" s="51">
        <v>0</v>
      </c>
      <c r="F114" s="51">
        <f t="shared" si="2"/>
        <v>714.53423339999995</v>
      </c>
      <c r="G114" s="80" t="str">
        <f t="shared" si="1"/>
        <v>Ground Floor for Commercial</v>
      </c>
      <c r="H114" s="81"/>
      <c r="I114" s="36"/>
      <c r="J114" s="36">
        <f>5500000/F119</f>
        <v>9843.62640952314</v>
      </c>
      <c r="L114" s="170"/>
      <c r="M114" s="170"/>
      <c r="N114" s="36"/>
    </row>
    <row r="115" spans="1:14" s="52" customFormat="1" x14ac:dyDescent="0.35">
      <c r="A115" s="80">
        <v>11</v>
      </c>
      <c r="B115" s="81"/>
      <c r="C115" s="51" t="s">
        <v>194</v>
      </c>
      <c r="D115" s="61">
        <f>(40.635)*10.764</f>
        <v>437.39513999999997</v>
      </c>
      <c r="E115" s="51">
        <v>0</v>
      </c>
      <c r="F115" s="51">
        <f>(D115+E115)*(($F$103)+1)</f>
        <v>677.96246699999995</v>
      </c>
      <c r="G115" s="80" t="str">
        <f t="shared" si="1"/>
        <v>Ground Floor for Commercial</v>
      </c>
      <c r="H115" s="81"/>
      <c r="I115" s="36"/>
      <c r="L115" s="170"/>
      <c r="M115" s="170"/>
      <c r="N115" s="36"/>
    </row>
    <row r="116" spans="1:14" s="52" customFormat="1" x14ac:dyDescent="0.35">
      <c r="A116" s="80">
        <v>12</v>
      </c>
      <c r="B116" s="81"/>
      <c r="C116" s="51" t="s">
        <v>194</v>
      </c>
      <c r="D116" s="61">
        <f>(43.964)*10.764</f>
        <v>473.22849599999995</v>
      </c>
      <c r="E116" s="51">
        <v>0</v>
      </c>
      <c r="F116" s="51">
        <f t="shared" ref="F116:F121" si="3">(D116+E116)*(($F$103)+1)</f>
        <v>733.50416879999989</v>
      </c>
      <c r="G116" s="80" t="str">
        <f t="shared" si="1"/>
        <v>Ground Floor for Commercial</v>
      </c>
      <c r="H116" s="81"/>
      <c r="I116" s="36"/>
      <c r="L116" s="170"/>
      <c r="M116" s="170"/>
      <c r="N116" s="36"/>
    </row>
    <row r="117" spans="1:14" s="52" customFormat="1" x14ac:dyDescent="0.35">
      <c r="A117" s="80">
        <v>13</v>
      </c>
      <c r="B117" s="81"/>
      <c r="C117" s="51" t="s">
        <v>194</v>
      </c>
      <c r="D117" s="61">
        <f>(35.097)*10.764</f>
        <v>377.784108</v>
      </c>
      <c r="E117" s="51">
        <v>0</v>
      </c>
      <c r="F117" s="51">
        <f t="shared" si="3"/>
        <v>585.56536740000001</v>
      </c>
      <c r="G117" s="80" t="str">
        <f t="shared" si="1"/>
        <v>Ground Floor for Commercial</v>
      </c>
      <c r="H117" s="81"/>
      <c r="I117" s="36"/>
      <c r="L117" s="170"/>
      <c r="M117" s="170"/>
      <c r="N117" s="36"/>
    </row>
    <row r="118" spans="1:14" s="52" customFormat="1" x14ac:dyDescent="0.35">
      <c r="A118" s="80">
        <v>14</v>
      </c>
      <c r="B118" s="81"/>
      <c r="C118" s="51" t="s">
        <v>194</v>
      </c>
      <c r="D118" s="61">
        <f>(63.936)*10.764</f>
        <v>688.20710399999996</v>
      </c>
      <c r="E118" s="51">
        <v>0</v>
      </c>
      <c r="F118" s="51">
        <f t="shared" si="3"/>
        <v>1066.7210112</v>
      </c>
      <c r="G118" s="80" t="str">
        <f t="shared" si="1"/>
        <v>Ground Floor for Commercial</v>
      </c>
      <c r="H118" s="81"/>
      <c r="I118" s="36"/>
      <c r="L118" s="170"/>
      <c r="M118" s="170"/>
      <c r="N118" s="36"/>
    </row>
    <row r="119" spans="1:14" s="52" customFormat="1" x14ac:dyDescent="0.35">
      <c r="A119" s="80">
        <v>15</v>
      </c>
      <c r="B119" s="81"/>
      <c r="C119" s="51" t="s">
        <v>194</v>
      </c>
      <c r="D119" s="61">
        <f>(33.489)*10.764</f>
        <v>360.47559599999994</v>
      </c>
      <c r="E119" s="51">
        <v>0</v>
      </c>
      <c r="F119" s="51">
        <f t="shared" si="3"/>
        <v>558.73717379999994</v>
      </c>
      <c r="G119" s="80" t="str">
        <f t="shared" si="1"/>
        <v>Ground Floor for Commercial</v>
      </c>
      <c r="H119" s="81"/>
      <c r="I119" s="36"/>
      <c r="L119" s="170"/>
      <c r="M119" s="170"/>
      <c r="N119" s="36"/>
    </row>
    <row r="120" spans="1:14" s="52" customFormat="1" x14ac:dyDescent="0.35">
      <c r="A120" s="80">
        <v>16</v>
      </c>
      <c r="B120" s="81"/>
      <c r="C120" s="51" t="s">
        <v>194</v>
      </c>
      <c r="D120" s="61">
        <f>(33.321)*10.764</f>
        <v>358.66724399999998</v>
      </c>
      <c r="E120" s="51">
        <v>0</v>
      </c>
      <c r="F120" s="51">
        <f t="shared" si="3"/>
        <v>555.93422820000001</v>
      </c>
      <c r="G120" s="80" t="str">
        <f t="shared" si="1"/>
        <v>Ground Floor for Commercial</v>
      </c>
      <c r="H120" s="81"/>
      <c r="I120" s="36"/>
      <c r="L120" s="170"/>
      <c r="M120" s="170"/>
      <c r="N120" s="36"/>
    </row>
    <row r="121" spans="1:14" s="52" customFormat="1" x14ac:dyDescent="0.35">
      <c r="A121" s="80">
        <v>17</v>
      </c>
      <c r="B121" s="81"/>
      <c r="C121" s="51" t="s">
        <v>194</v>
      </c>
      <c r="D121" s="61">
        <f>(29.535)*10.764</f>
        <v>317.91473999999999</v>
      </c>
      <c r="E121" s="51">
        <v>0</v>
      </c>
      <c r="F121" s="51">
        <f t="shared" si="3"/>
        <v>492.76784700000002</v>
      </c>
      <c r="G121" s="80" t="str">
        <f t="shared" si="1"/>
        <v>Ground Floor for Commercial</v>
      </c>
      <c r="H121" s="81"/>
      <c r="I121" s="36"/>
      <c r="J121" s="36">
        <f>6000000/F121</f>
        <v>12176.119112739107</v>
      </c>
      <c r="L121" s="170"/>
      <c r="M121" s="170"/>
      <c r="N121" s="36"/>
    </row>
    <row r="122" spans="1:14" s="52" customFormat="1" x14ac:dyDescent="0.35">
      <c r="A122" s="80">
        <v>18</v>
      </c>
      <c r="B122" s="81"/>
      <c r="C122" s="51" t="s">
        <v>194</v>
      </c>
      <c r="D122" s="61">
        <f>(32.3)*10.764</f>
        <v>347.67719999999997</v>
      </c>
      <c r="E122" s="51">
        <v>0</v>
      </c>
      <c r="F122" s="51">
        <f>(D122+E122)*(($F$103)+1)</f>
        <v>538.89965999999993</v>
      </c>
      <c r="G122" s="80" t="str">
        <f t="shared" si="1"/>
        <v>Ground Floor for Commercial</v>
      </c>
      <c r="H122" s="81"/>
      <c r="I122" s="36"/>
      <c r="L122" s="170"/>
      <c r="M122" s="170"/>
      <c r="N122" s="36"/>
    </row>
    <row r="123" spans="1:14" s="52" customFormat="1" x14ac:dyDescent="0.35">
      <c r="A123" s="80">
        <v>19</v>
      </c>
      <c r="B123" s="81"/>
      <c r="C123" s="51" t="s">
        <v>194</v>
      </c>
      <c r="D123" s="61">
        <f>(36.006)*10.764</f>
        <v>387.56858399999999</v>
      </c>
      <c r="E123" s="51">
        <v>0</v>
      </c>
      <c r="F123" s="51">
        <f t="shared" ref="F123:F124" si="4">(D123+E123)*(($F$103)+1)</f>
        <v>600.73130519999995</v>
      </c>
      <c r="G123" s="80" t="str">
        <f t="shared" si="1"/>
        <v>Ground Floor for Commercial</v>
      </c>
      <c r="H123" s="81"/>
      <c r="I123" s="36"/>
      <c r="L123" s="170"/>
      <c r="M123" s="170"/>
      <c r="N123" s="36"/>
    </row>
    <row r="124" spans="1:14" s="52" customFormat="1" x14ac:dyDescent="0.35">
      <c r="A124" s="80">
        <v>20</v>
      </c>
      <c r="B124" s="81"/>
      <c r="C124" s="51" t="s">
        <v>194</v>
      </c>
      <c r="D124" s="61">
        <f>(35.477)*10.764</f>
        <v>381.87442799999997</v>
      </c>
      <c r="E124" s="51">
        <v>0</v>
      </c>
      <c r="F124" s="51">
        <f t="shared" si="4"/>
        <v>591.90536339999994</v>
      </c>
      <c r="G124" s="80" t="str">
        <f t="shared" si="1"/>
        <v>Ground Floor for Commercial</v>
      </c>
      <c r="H124" s="81"/>
      <c r="I124" s="36"/>
      <c r="L124" s="170"/>
      <c r="M124" s="170"/>
      <c r="N124" s="36"/>
    </row>
    <row r="125" spans="1:14" s="46" customFormat="1" x14ac:dyDescent="0.35">
      <c r="A125" s="80"/>
      <c r="B125" s="178"/>
      <c r="C125" s="178"/>
      <c r="D125" s="178"/>
      <c r="E125" s="178"/>
      <c r="F125" s="178"/>
      <c r="G125" s="178"/>
      <c r="H125" s="81"/>
      <c r="I125" s="36"/>
      <c r="N125" s="36"/>
    </row>
    <row r="126" spans="1:14" ht="47.25" customHeight="1" x14ac:dyDescent="0.35">
      <c r="A126" s="57" t="s">
        <v>125</v>
      </c>
      <c r="B126" s="57" t="s">
        <v>126</v>
      </c>
      <c r="C126" s="55" t="s">
        <v>59</v>
      </c>
      <c r="D126" s="55" t="s">
        <v>60</v>
      </c>
      <c r="E126" s="56" t="s">
        <v>61</v>
      </c>
      <c r="F126" s="43" t="s">
        <v>220</v>
      </c>
      <c r="G126" s="84" t="s">
        <v>62</v>
      </c>
      <c r="H126" s="85"/>
      <c r="I126" s="36"/>
    </row>
    <row r="127" spans="1:14" s="52" customFormat="1" x14ac:dyDescent="0.35">
      <c r="A127" s="97" t="s">
        <v>196</v>
      </c>
      <c r="B127" s="97"/>
      <c r="C127" s="97"/>
      <c r="D127" s="97"/>
      <c r="E127" s="97"/>
      <c r="F127" s="97"/>
      <c r="G127" s="97"/>
      <c r="H127" s="97"/>
      <c r="I127" s="36"/>
      <c r="N127" s="36"/>
    </row>
    <row r="128" spans="1:14" s="46" customFormat="1" x14ac:dyDescent="0.35">
      <c r="A128" s="97" t="s">
        <v>195</v>
      </c>
      <c r="B128" s="97"/>
      <c r="C128" s="97"/>
      <c r="D128" s="97"/>
      <c r="E128" s="97"/>
      <c r="F128" s="97"/>
      <c r="G128" s="97"/>
      <c r="H128" s="97"/>
      <c r="I128" s="36"/>
      <c r="L128" s="170"/>
      <c r="M128" s="170"/>
    </row>
    <row r="129" spans="1:16" s="46" customFormat="1" x14ac:dyDescent="0.35">
      <c r="A129" s="82">
        <v>301</v>
      </c>
      <c r="B129" s="82"/>
      <c r="C129" s="71" t="s">
        <v>209</v>
      </c>
      <c r="D129" s="61">
        <f>(55.248)*10.764</f>
        <v>594.68947199999991</v>
      </c>
      <c r="E129" s="61">
        <f>((4*1.9+0.75*5.3+1.2*3.05))*10.764</f>
        <v>163.98953999999998</v>
      </c>
      <c r="F129" s="71">
        <v>1120</v>
      </c>
      <c r="G129" s="82" t="str">
        <f>A128</f>
        <v>3rd Floor for Residential</v>
      </c>
      <c r="H129" s="82"/>
      <c r="I129" s="36"/>
      <c r="N129" s="36"/>
    </row>
    <row r="130" spans="1:16" s="46" customFormat="1" x14ac:dyDescent="0.35">
      <c r="A130" s="82">
        <v>302</v>
      </c>
      <c r="B130" s="82"/>
      <c r="C130" s="71" t="s">
        <v>210</v>
      </c>
      <c r="D130" s="61">
        <f>(38.962)*10.764</f>
        <v>419.38696800000002</v>
      </c>
      <c r="E130" s="61">
        <f>((1.2*2.75+0.75*5.4))*10.764</f>
        <v>79.115399999999994</v>
      </c>
      <c r="F130" s="71">
        <v>750</v>
      </c>
      <c r="G130" s="82" t="str">
        <f>G129</f>
        <v>3rd Floor for Residential</v>
      </c>
      <c r="H130" s="82"/>
      <c r="I130" s="36"/>
      <c r="K130" s="61">
        <v>10.763999999999999</v>
      </c>
      <c r="L130" s="46">
        <f>7000*F130</f>
        <v>5250000</v>
      </c>
      <c r="N130" s="36"/>
    </row>
    <row r="131" spans="1:16" s="46" customFormat="1" x14ac:dyDescent="0.35">
      <c r="A131" s="82">
        <v>303</v>
      </c>
      <c r="B131" s="82"/>
      <c r="C131" s="71" t="s">
        <v>209</v>
      </c>
      <c r="D131" s="61">
        <f>(55.162)*10.764</f>
        <v>593.76376799999991</v>
      </c>
      <c r="E131" s="61">
        <f>((1.2*4.3+1.65*1.2+0.75*0.75+2.6*2+1.2*5.25))*10.764</f>
        <v>206.69570999999999</v>
      </c>
      <c r="F131" s="71">
        <v>1120</v>
      </c>
      <c r="G131" s="82" t="str">
        <f>G130</f>
        <v>3rd Floor for Residential</v>
      </c>
      <c r="H131" s="82"/>
      <c r="I131" s="36"/>
      <c r="N131" s="36"/>
    </row>
    <row r="132" spans="1:16" s="46" customFormat="1" x14ac:dyDescent="0.35">
      <c r="A132" s="82">
        <v>304</v>
      </c>
      <c r="B132" s="82"/>
      <c r="C132" s="71" t="s">
        <v>209</v>
      </c>
      <c r="D132" s="61">
        <f>(54.607)*10.764</f>
        <v>587.78974799999992</v>
      </c>
      <c r="E132" s="61">
        <f>((1.45*(2.75+1.2)+1.2*5.3+1.5*2.6))*10.764</f>
        <v>172.08944999999997</v>
      </c>
      <c r="F132" s="71">
        <v>1120</v>
      </c>
      <c r="G132" s="82" t="str">
        <f>G131</f>
        <v>3rd Floor for Residential</v>
      </c>
      <c r="H132" s="82"/>
      <c r="I132" s="36"/>
      <c r="N132" s="36"/>
    </row>
    <row r="133" spans="1:16" s="46" customFormat="1" x14ac:dyDescent="0.35">
      <c r="A133" s="82">
        <v>305</v>
      </c>
      <c r="B133" s="82"/>
      <c r="C133" s="71" t="s">
        <v>210</v>
      </c>
      <c r="D133" s="61">
        <f>(35.3)*10.764</f>
        <v>379.96919999999994</v>
      </c>
      <c r="E133" s="61">
        <f>((1.5*7.5+4.5*5.25))*10.764</f>
        <v>375.39449999999999</v>
      </c>
      <c r="F133" s="71">
        <v>730</v>
      </c>
      <c r="G133" s="82" t="str">
        <f>G132</f>
        <v>3rd Floor for Residential</v>
      </c>
      <c r="H133" s="82"/>
      <c r="I133" s="36"/>
      <c r="N133" s="36"/>
    </row>
    <row r="134" spans="1:16" s="52" customFormat="1" x14ac:dyDescent="0.35">
      <c r="A134" s="82">
        <v>306</v>
      </c>
      <c r="B134" s="82"/>
      <c r="C134" s="71" t="s">
        <v>210</v>
      </c>
      <c r="D134" s="61">
        <f>(35.3)*10.764</f>
        <v>379.96919999999994</v>
      </c>
      <c r="E134" s="61">
        <f>((1.5*7.5+4.5*5.25))*10.764</f>
        <v>375.39449999999999</v>
      </c>
      <c r="F134" s="71">
        <v>730</v>
      </c>
      <c r="G134" s="82" t="str">
        <f t="shared" ref="G134:G138" si="5">G133</f>
        <v>3rd Floor for Residential</v>
      </c>
      <c r="H134" s="82"/>
      <c r="I134" s="36"/>
      <c r="N134" s="36"/>
    </row>
    <row r="135" spans="1:16" s="52" customFormat="1" x14ac:dyDescent="0.35">
      <c r="A135" s="82">
        <v>307</v>
      </c>
      <c r="B135" s="82"/>
      <c r="C135" s="71" t="s">
        <v>209</v>
      </c>
      <c r="D135" s="61">
        <f>(54.607)*10.764</f>
        <v>587.78974799999992</v>
      </c>
      <c r="E135" s="61">
        <f>((1.45*6+2.5*5.3+2.75*4))*10.764</f>
        <v>354.67380000000003</v>
      </c>
      <c r="F135" s="71">
        <v>1120</v>
      </c>
      <c r="G135" s="82" t="str">
        <f t="shared" si="5"/>
        <v>3rd Floor for Residential</v>
      </c>
      <c r="H135" s="82"/>
      <c r="I135" s="36"/>
      <c r="N135" s="36"/>
    </row>
    <row r="136" spans="1:16" s="52" customFormat="1" x14ac:dyDescent="0.35">
      <c r="A136" s="82">
        <v>308</v>
      </c>
      <c r="B136" s="82"/>
      <c r="C136" s="71" t="s">
        <v>209</v>
      </c>
      <c r="D136" s="61">
        <f>(55.373)*10.764</f>
        <v>596.03497199999993</v>
      </c>
      <c r="E136" s="61">
        <f>((2.75*4+3.5*5.3+1.65*7.5))*10.764</f>
        <v>451.28069999999997</v>
      </c>
      <c r="F136" s="71">
        <v>1120</v>
      </c>
      <c r="G136" s="82" t="str">
        <f t="shared" si="5"/>
        <v>3rd Floor for Residential</v>
      </c>
      <c r="H136" s="82"/>
      <c r="I136" s="36"/>
      <c r="N136" s="36"/>
    </row>
    <row r="137" spans="1:16" s="52" customFormat="1" x14ac:dyDescent="0.35">
      <c r="A137" s="82">
        <v>309</v>
      </c>
      <c r="B137" s="82"/>
      <c r="C137" s="71" t="s">
        <v>210</v>
      </c>
      <c r="D137" s="61">
        <f>(38.962)*10.764</f>
        <v>419.38696800000002</v>
      </c>
      <c r="E137" s="61">
        <f>((0.75*5.25+1.2*2.75))*10.764</f>
        <v>77.904449999999997</v>
      </c>
      <c r="F137" s="71">
        <v>750</v>
      </c>
      <c r="G137" s="82" t="str">
        <f t="shared" si="5"/>
        <v>3rd Floor for Residential</v>
      </c>
      <c r="H137" s="82"/>
      <c r="I137" s="36"/>
      <c r="N137" s="36"/>
    </row>
    <row r="138" spans="1:16" s="52" customFormat="1" x14ac:dyDescent="0.35">
      <c r="A138" s="82">
        <v>310</v>
      </c>
      <c r="B138" s="82"/>
      <c r="C138" s="71" t="s">
        <v>209</v>
      </c>
      <c r="D138" s="61">
        <f>(55.248)*10.764</f>
        <v>594.68947199999991</v>
      </c>
      <c r="E138" s="61">
        <f>((1.2*3.05+0.75*5.3+1.9*3.9))*10.764</f>
        <v>161.94437999999997</v>
      </c>
      <c r="F138" s="71">
        <v>1120</v>
      </c>
      <c r="G138" s="82" t="str">
        <f t="shared" si="5"/>
        <v>3rd Floor for Residential</v>
      </c>
      <c r="H138" s="82"/>
      <c r="I138" s="36"/>
      <c r="K138" s="63">
        <v>7000</v>
      </c>
      <c r="L138" s="63">
        <v>6000</v>
      </c>
      <c r="N138" s="36"/>
    </row>
    <row r="139" spans="1:16" s="46" customFormat="1" x14ac:dyDescent="0.35">
      <c r="A139" s="97" t="s">
        <v>197</v>
      </c>
      <c r="B139" s="97"/>
      <c r="C139" s="97"/>
      <c r="D139" s="97"/>
      <c r="E139" s="97"/>
      <c r="F139" s="97"/>
      <c r="G139" s="97"/>
      <c r="H139" s="97"/>
      <c r="I139" s="36"/>
      <c r="K139" s="46">
        <f>7000*F140</f>
        <v>7840000</v>
      </c>
      <c r="L139" s="46">
        <f>6000*F140</f>
        <v>6720000</v>
      </c>
      <c r="P139" s="37"/>
    </row>
    <row r="140" spans="1:16" s="46" customFormat="1" x14ac:dyDescent="0.35">
      <c r="A140" s="80" t="str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10^ROW(INDIRECT("1:"&amp;LEN((LEFT(A139,SUM(LEN(A139)-LEN(SUBSTITUTE(A139,{"0","1","2"},""))))))))/10))*100+1&amp;""&amp;" to "&amp;""&amp;(SUMPRODUCT(MID(0&amp;(--TRIM(RIGHT(SUBSTITUTE(LEFT(A139,_xlfn.AGGREGATE(16,6,FIND({0,1,2,3,4,5,6,7,8,9},A139,ROW(INDIRECT("1:"&amp;LEN(A139)))),1)),"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",LEN(A139))),LEN(A139)))))))/10))*100+1</f>
        <v>401 to 1101</v>
      </c>
      <c r="B140" s="81"/>
      <c r="C140" s="42" t="s">
        <v>209</v>
      </c>
      <c r="D140" s="61">
        <f>(55.248+0.75*(1.9+5.3+3.05))*10.764</f>
        <v>677.43772199999989</v>
      </c>
      <c r="E140" s="42">
        <v>0</v>
      </c>
      <c r="F140" s="54">
        <v>1120</v>
      </c>
      <c r="G140" s="80" t="str">
        <f>A139</f>
        <v>4th to 11th Floor</v>
      </c>
      <c r="H140" s="81"/>
      <c r="I140" s="36"/>
      <c r="K140" s="58">
        <f>7000*F141</f>
        <v>5880000</v>
      </c>
      <c r="L140" s="58">
        <f t="shared" ref="L140:L150" si="6">6000*F141</f>
        <v>5040000</v>
      </c>
    </row>
    <row r="141" spans="1:16" s="46" customFormat="1" ht="15.75" customHeight="1" x14ac:dyDescent="0.35">
      <c r="A141" s="80" t="s">
        <v>198</v>
      </c>
      <c r="B141" s="81"/>
      <c r="C141" s="42" t="s">
        <v>210</v>
      </c>
      <c r="D141" s="61">
        <f>(38.962+0.75*(2.75+5.4))*10.764</f>
        <v>485.181918</v>
      </c>
      <c r="E141" s="42">
        <v>0</v>
      </c>
      <c r="F141" s="42">
        <v>840</v>
      </c>
      <c r="G141" s="80" t="str">
        <f>G140</f>
        <v>4th to 11th Floor</v>
      </c>
      <c r="H141" s="81"/>
      <c r="I141" s="36"/>
      <c r="K141" s="58">
        <f t="shared" ref="K141:K151" si="7">7000*F142</f>
        <v>7840000</v>
      </c>
      <c r="L141" s="58">
        <f t="shared" si="6"/>
        <v>6720000</v>
      </c>
    </row>
    <row r="142" spans="1:16" s="46" customFormat="1" ht="15.75" customHeight="1" x14ac:dyDescent="0.35">
      <c r="A142" s="80" t="s">
        <v>199</v>
      </c>
      <c r="B142" s="81"/>
      <c r="C142" s="42" t="s">
        <v>209</v>
      </c>
      <c r="D142" s="61">
        <f>(55.162+0.75*(2.75+5.25+1.65))*10.764</f>
        <v>671.66821800000002</v>
      </c>
      <c r="E142" s="42">
        <v>0</v>
      </c>
      <c r="F142" s="54">
        <v>1120</v>
      </c>
      <c r="G142" s="80" t="str">
        <f>G141</f>
        <v>4th to 11th Floor</v>
      </c>
      <c r="H142" s="81"/>
      <c r="I142" s="36"/>
      <c r="K142" s="58">
        <f t="shared" si="7"/>
        <v>7840000</v>
      </c>
      <c r="L142" s="58">
        <f t="shared" si="6"/>
        <v>6720000</v>
      </c>
    </row>
    <row r="143" spans="1:16" s="46" customFormat="1" ht="15.75" customHeight="1" x14ac:dyDescent="0.35">
      <c r="A143" s="80" t="s">
        <v>200</v>
      </c>
      <c r="B143" s="81"/>
      <c r="C143" s="51" t="s">
        <v>209</v>
      </c>
      <c r="D143" s="61">
        <f>(54.607+0.75*(2.75+5.25+1.65))*10.764</f>
        <v>665.69419799999991</v>
      </c>
      <c r="E143" s="42">
        <v>0</v>
      </c>
      <c r="F143" s="54">
        <v>1120</v>
      </c>
      <c r="G143" s="80" t="str">
        <f>G142</f>
        <v>4th to 11th Floor</v>
      </c>
      <c r="H143" s="81"/>
      <c r="I143" s="36"/>
      <c r="K143" s="58">
        <f t="shared" si="7"/>
        <v>5250000</v>
      </c>
      <c r="L143" s="58">
        <f t="shared" si="6"/>
        <v>4500000</v>
      </c>
    </row>
    <row r="144" spans="1:16" s="46" customFormat="1" ht="15.75" customHeight="1" x14ac:dyDescent="0.35">
      <c r="A144" s="80" t="s">
        <v>201</v>
      </c>
      <c r="B144" s="81"/>
      <c r="C144" s="51" t="s">
        <v>210</v>
      </c>
      <c r="D144" s="61">
        <f>(35.3+0.75*(1.5+5.25))*10.764</f>
        <v>434.46194999999994</v>
      </c>
      <c r="E144" s="42">
        <v>0</v>
      </c>
      <c r="F144" s="42">
        <v>750</v>
      </c>
      <c r="G144" s="80" t="str">
        <f>G143</f>
        <v>4th to 11th Floor</v>
      </c>
      <c r="H144" s="81"/>
      <c r="I144" s="36"/>
      <c r="K144" s="58">
        <f t="shared" si="7"/>
        <v>5250000</v>
      </c>
      <c r="L144" s="58">
        <f t="shared" si="6"/>
        <v>4500000</v>
      </c>
    </row>
    <row r="145" spans="1:16" s="52" customFormat="1" ht="15.75" customHeight="1" x14ac:dyDescent="0.35">
      <c r="A145" s="80" t="s">
        <v>202</v>
      </c>
      <c r="B145" s="81"/>
      <c r="C145" s="51" t="s">
        <v>210</v>
      </c>
      <c r="D145" s="61">
        <f>(35.3+0.75*(1.5+5.25))*10.764</f>
        <v>434.46194999999994</v>
      </c>
      <c r="E145" s="51">
        <v>0</v>
      </c>
      <c r="F145" s="51">
        <v>750</v>
      </c>
      <c r="G145" s="80" t="str">
        <f t="shared" ref="G145:G151" si="8">G144</f>
        <v>4th to 11th Floor</v>
      </c>
      <c r="H145" s="81"/>
      <c r="I145" s="36"/>
      <c r="K145" s="58">
        <f t="shared" si="7"/>
        <v>7840000</v>
      </c>
      <c r="L145" s="58">
        <f t="shared" si="6"/>
        <v>6720000</v>
      </c>
    </row>
    <row r="146" spans="1:16" s="52" customFormat="1" ht="15.75" customHeight="1" x14ac:dyDescent="0.35">
      <c r="A146" s="80" t="s">
        <v>203</v>
      </c>
      <c r="B146" s="81"/>
      <c r="C146" s="51" t="s">
        <v>209</v>
      </c>
      <c r="D146" s="61">
        <f>(54.607+0.75*(2.75+2.1+2.75+1.45))*10.764</f>
        <v>660.85039799999993</v>
      </c>
      <c r="E146" s="51">
        <v>0</v>
      </c>
      <c r="F146" s="54">
        <v>1120</v>
      </c>
      <c r="G146" s="80" t="str">
        <f t="shared" si="8"/>
        <v>4th to 11th Floor</v>
      </c>
      <c r="H146" s="81"/>
      <c r="I146" s="36"/>
      <c r="K146" s="58">
        <f t="shared" si="7"/>
        <v>7840000</v>
      </c>
      <c r="L146" s="58">
        <f t="shared" si="6"/>
        <v>6720000</v>
      </c>
      <c r="M146" s="52">
        <f>730*5500</f>
        <v>4015000</v>
      </c>
    </row>
    <row r="147" spans="1:16" s="52" customFormat="1" ht="15.75" customHeight="1" x14ac:dyDescent="0.35">
      <c r="A147" s="80" t="s">
        <v>204</v>
      </c>
      <c r="B147" s="81"/>
      <c r="C147" s="51" t="s">
        <v>209</v>
      </c>
      <c r="D147" s="61">
        <f>(55.373+0.75*(2.75+2.1+2.75+1.45))*10.764</f>
        <v>669.09562199999993</v>
      </c>
      <c r="E147" s="51">
        <v>0</v>
      </c>
      <c r="F147" s="54">
        <v>1120</v>
      </c>
      <c r="G147" s="80" t="str">
        <f t="shared" si="8"/>
        <v>4th to 11th Floor</v>
      </c>
      <c r="H147" s="81"/>
      <c r="I147" s="36"/>
      <c r="K147" s="58">
        <f t="shared" si="7"/>
        <v>5880000</v>
      </c>
      <c r="L147" s="58">
        <f t="shared" si="6"/>
        <v>5040000</v>
      </c>
    </row>
    <row r="148" spans="1:16" s="52" customFormat="1" ht="15.75" customHeight="1" x14ac:dyDescent="0.35">
      <c r="A148" s="80" t="s">
        <v>205</v>
      </c>
      <c r="B148" s="81"/>
      <c r="C148" s="51" t="s">
        <v>210</v>
      </c>
      <c r="D148" s="61">
        <f>(38.962+0.75*(2.75+5.25))*10.764</f>
        <v>483.97096800000003</v>
      </c>
      <c r="E148" s="51">
        <v>0</v>
      </c>
      <c r="F148" s="51">
        <v>840</v>
      </c>
      <c r="G148" s="80" t="str">
        <f t="shared" si="8"/>
        <v>4th to 11th Floor</v>
      </c>
      <c r="H148" s="81"/>
      <c r="I148" s="36"/>
      <c r="K148" s="58">
        <f t="shared" si="7"/>
        <v>7840000</v>
      </c>
      <c r="L148" s="58">
        <f t="shared" si="6"/>
        <v>6720000</v>
      </c>
    </row>
    <row r="149" spans="1:16" s="52" customFormat="1" ht="15.75" customHeight="1" x14ac:dyDescent="0.35">
      <c r="A149" s="80" t="s">
        <v>206</v>
      </c>
      <c r="B149" s="81"/>
      <c r="C149" s="51" t="s">
        <v>209</v>
      </c>
      <c r="D149" s="61">
        <f>(55.248+0.75*(3.05+5.3+1.9))*10.764</f>
        <v>677.43772199999989</v>
      </c>
      <c r="E149" s="51">
        <v>0</v>
      </c>
      <c r="F149" s="54">
        <v>1120</v>
      </c>
      <c r="G149" s="80" t="str">
        <f t="shared" si="8"/>
        <v>4th to 11th Floor</v>
      </c>
      <c r="H149" s="81"/>
      <c r="I149" s="36"/>
      <c r="K149" s="58">
        <f t="shared" si="7"/>
        <v>5250000</v>
      </c>
      <c r="L149" s="58">
        <f t="shared" si="6"/>
        <v>4500000</v>
      </c>
    </row>
    <row r="150" spans="1:16" s="52" customFormat="1" ht="15.75" customHeight="1" x14ac:dyDescent="0.35">
      <c r="A150" s="80" t="s">
        <v>207</v>
      </c>
      <c r="B150" s="81"/>
      <c r="C150" s="51" t="s">
        <v>210</v>
      </c>
      <c r="D150" s="61">
        <f>(33.642+0.75*(2.6+2.1+2.75))*10.764</f>
        <v>422.26633800000002</v>
      </c>
      <c r="E150" s="51">
        <v>0</v>
      </c>
      <c r="F150" s="51">
        <v>750</v>
      </c>
      <c r="G150" s="80" t="str">
        <f t="shared" si="8"/>
        <v>4th to 11th Floor</v>
      </c>
      <c r="H150" s="81"/>
      <c r="I150" s="36"/>
      <c r="K150" s="58">
        <f t="shared" si="7"/>
        <v>5250000</v>
      </c>
      <c r="L150" s="58">
        <f t="shared" si="6"/>
        <v>4500000</v>
      </c>
    </row>
    <row r="151" spans="1:16" s="52" customFormat="1" ht="15.75" customHeight="1" x14ac:dyDescent="0.35">
      <c r="A151" s="80" t="s">
        <v>208</v>
      </c>
      <c r="B151" s="81"/>
      <c r="C151" s="51" t="s">
        <v>210</v>
      </c>
      <c r="D151" s="61">
        <f>(33.642+0.75*(2.6+2.1+2.75))*10.764</f>
        <v>422.26633800000002</v>
      </c>
      <c r="E151" s="51">
        <v>0</v>
      </c>
      <c r="F151" s="51">
        <v>750</v>
      </c>
      <c r="G151" s="80" t="str">
        <f t="shared" si="8"/>
        <v>4th to 11th Floor</v>
      </c>
      <c r="H151" s="81"/>
      <c r="I151" s="36"/>
      <c r="K151" s="58">
        <f t="shared" si="7"/>
        <v>0</v>
      </c>
    </row>
    <row r="152" spans="1:16" s="52" customFormat="1" x14ac:dyDescent="0.35">
      <c r="A152" s="124" t="s">
        <v>212</v>
      </c>
      <c r="B152" s="125"/>
      <c r="C152" s="125"/>
      <c r="D152" s="125"/>
      <c r="E152" s="125"/>
      <c r="F152" s="125"/>
      <c r="G152" s="125"/>
      <c r="H152" s="126"/>
      <c r="I152" s="36"/>
      <c r="P152" s="37"/>
    </row>
    <row r="153" spans="1:16" s="52" customFormat="1" x14ac:dyDescent="0.35">
      <c r="A153" s="80">
        <v>1201</v>
      </c>
      <c r="B153" s="81"/>
      <c r="C153" s="103" t="s">
        <v>211</v>
      </c>
      <c r="D153" s="104"/>
      <c r="E153" s="104"/>
      <c r="F153" s="105"/>
      <c r="G153" s="80" t="str">
        <f>A152</f>
        <v>12th Floor (Part Terrace Area)</v>
      </c>
      <c r="H153" s="81"/>
      <c r="I153" s="36"/>
    </row>
    <row r="154" spans="1:16" s="52" customFormat="1" ht="15.75" customHeight="1" x14ac:dyDescent="0.35">
      <c r="A154" s="80">
        <v>1202</v>
      </c>
      <c r="B154" s="81"/>
      <c r="C154" s="106"/>
      <c r="D154" s="107"/>
      <c r="E154" s="107"/>
      <c r="F154" s="108"/>
      <c r="G154" s="80" t="str">
        <f>G153</f>
        <v>12th Floor (Part Terrace Area)</v>
      </c>
      <c r="H154" s="81"/>
      <c r="I154" s="36"/>
    </row>
    <row r="155" spans="1:16" s="52" customFormat="1" ht="15.75" customHeight="1" x14ac:dyDescent="0.35">
      <c r="A155" s="80">
        <v>1203</v>
      </c>
      <c r="B155" s="81"/>
      <c r="C155" s="106"/>
      <c r="D155" s="107"/>
      <c r="E155" s="107"/>
      <c r="F155" s="108"/>
      <c r="G155" s="80" t="str">
        <f>G154</f>
        <v>12th Floor (Part Terrace Area)</v>
      </c>
      <c r="H155" s="81"/>
      <c r="I155" s="36"/>
    </row>
    <row r="156" spans="1:16" s="52" customFormat="1" ht="15.75" customHeight="1" x14ac:dyDescent="0.35">
      <c r="A156" s="80">
        <v>1204</v>
      </c>
      <c r="B156" s="81"/>
      <c r="C156" s="109"/>
      <c r="D156" s="110"/>
      <c r="E156" s="110"/>
      <c r="F156" s="111"/>
      <c r="G156" s="80" t="str">
        <f>G155</f>
        <v>12th Floor (Part Terrace Area)</v>
      </c>
      <c r="H156" s="81"/>
      <c r="I156" s="36"/>
    </row>
    <row r="157" spans="1:16" s="52" customFormat="1" ht="15.75" customHeight="1" x14ac:dyDescent="0.35">
      <c r="A157" s="80">
        <v>1205</v>
      </c>
      <c r="B157" s="81"/>
      <c r="C157" s="64" t="s">
        <v>210</v>
      </c>
      <c r="D157" s="61">
        <f>(35.3+0.75*(1.5+5.25))*10.764</f>
        <v>434.46194999999994</v>
      </c>
      <c r="E157" s="51">
        <v>0</v>
      </c>
      <c r="F157" s="51">
        <v>750</v>
      </c>
      <c r="G157" s="80" t="str">
        <f>G156</f>
        <v>12th Floor (Part Terrace Area)</v>
      </c>
      <c r="H157" s="81"/>
      <c r="I157" s="36"/>
    </row>
    <row r="158" spans="1:16" s="52" customFormat="1" ht="15.75" customHeight="1" x14ac:dyDescent="0.35">
      <c r="A158" s="80">
        <v>1206</v>
      </c>
      <c r="B158" s="81"/>
      <c r="C158" s="64" t="s">
        <v>210</v>
      </c>
      <c r="D158" s="61">
        <f>(35.3+0.75*(1.5+5.25))*10.764</f>
        <v>434.46194999999994</v>
      </c>
      <c r="E158" s="51">
        <v>0</v>
      </c>
      <c r="F158" s="51">
        <v>750</v>
      </c>
      <c r="G158" s="80" t="str">
        <f t="shared" ref="G158:G164" si="9">G157</f>
        <v>12th Floor (Part Terrace Area)</v>
      </c>
      <c r="H158" s="81"/>
      <c r="I158" s="36"/>
    </row>
    <row r="159" spans="1:16" s="52" customFormat="1" ht="15.75" customHeight="1" x14ac:dyDescent="0.35">
      <c r="A159" s="80">
        <v>1207</v>
      </c>
      <c r="B159" s="81"/>
      <c r="C159" s="103" t="s">
        <v>211</v>
      </c>
      <c r="D159" s="104"/>
      <c r="E159" s="104"/>
      <c r="F159" s="105"/>
      <c r="G159" s="80" t="str">
        <f t="shared" si="9"/>
        <v>12th Floor (Part Terrace Area)</v>
      </c>
      <c r="H159" s="81"/>
      <c r="I159" s="36"/>
    </row>
    <row r="160" spans="1:16" s="52" customFormat="1" ht="15.75" customHeight="1" x14ac:dyDescent="0.35">
      <c r="A160" s="80">
        <v>1208</v>
      </c>
      <c r="B160" s="81"/>
      <c r="C160" s="106"/>
      <c r="D160" s="107"/>
      <c r="E160" s="107"/>
      <c r="F160" s="108"/>
      <c r="G160" s="80" t="str">
        <f t="shared" si="9"/>
        <v>12th Floor (Part Terrace Area)</v>
      </c>
      <c r="H160" s="81"/>
      <c r="I160" s="36"/>
    </row>
    <row r="161" spans="1:9" s="52" customFormat="1" ht="15.75" customHeight="1" x14ac:dyDescent="0.35">
      <c r="A161" s="80">
        <v>1209</v>
      </c>
      <c r="B161" s="81"/>
      <c r="C161" s="106"/>
      <c r="D161" s="107"/>
      <c r="E161" s="107"/>
      <c r="F161" s="108"/>
      <c r="G161" s="80" t="str">
        <f t="shared" si="9"/>
        <v>12th Floor (Part Terrace Area)</v>
      </c>
      <c r="H161" s="81"/>
      <c r="I161" s="36"/>
    </row>
    <row r="162" spans="1:9" s="52" customFormat="1" ht="15.75" customHeight="1" x14ac:dyDescent="0.35">
      <c r="A162" s="80">
        <v>1210</v>
      </c>
      <c r="B162" s="81"/>
      <c r="C162" s="109"/>
      <c r="D162" s="110"/>
      <c r="E162" s="110"/>
      <c r="F162" s="111"/>
      <c r="G162" s="80" t="str">
        <f t="shared" si="9"/>
        <v>12th Floor (Part Terrace Area)</v>
      </c>
      <c r="H162" s="81"/>
      <c r="I162" s="36"/>
    </row>
    <row r="163" spans="1:9" s="52" customFormat="1" ht="15.75" customHeight="1" x14ac:dyDescent="0.35">
      <c r="A163" s="80">
        <v>1211</v>
      </c>
      <c r="B163" s="81"/>
      <c r="C163" s="64" t="s">
        <v>210</v>
      </c>
      <c r="D163" s="61">
        <f>(33.642+0.75*(2.6+2.1+2.75))*10.764</f>
        <v>422.26633800000002</v>
      </c>
      <c r="E163" s="51">
        <v>0</v>
      </c>
      <c r="F163" s="51">
        <v>750</v>
      </c>
      <c r="G163" s="80" t="str">
        <f t="shared" si="9"/>
        <v>12th Floor (Part Terrace Area)</v>
      </c>
      <c r="H163" s="81"/>
      <c r="I163" s="36"/>
    </row>
    <row r="164" spans="1:9" s="52" customFormat="1" ht="15.75" customHeight="1" x14ac:dyDescent="0.35">
      <c r="A164" s="80">
        <v>1212</v>
      </c>
      <c r="B164" s="81"/>
      <c r="C164" s="64" t="s">
        <v>210</v>
      </c>
      <c r="D164" s="61">
        <f>(33.642+0.75*(2.6+2.1+2.75))*10.764</f>
        <v>422.26633800000002</v>
      </c>
      <c r="E164" s="51">
        <v>0</v>
      </c>
      <c r="F164" s="51">
        <v>750</v>
      </c>
      <c r="G164" s="80" t="str">
        <f t="shared" si="9"/>
        <v>12th Floor (Part Terrace Area)</v>
      </c>
      <c r="H164" s="81"/>
      <c r="I164" s="36"/>
    </row>
    <row r="165" spans="1:9" s="35" customFormat="1" x14ac:dyDescent="0.35">
      <c r="A165" s="179" t="s">
        <v>70</v>
      </c>
      <c r="B165" s="179"/>
      <c r="C165" s="179"/>
      <c r="D165" s="179"/>
      <c r="E165" s="179"/>
      <c r="F165" s="179"/>
      <c r="G165" s="179"/>
      <c r="H165" s="179"/>
    </row>
    <row r="166" spans="1:9" s="35" customFormat="1" x14ac:dyDescent="0.35">
      <c r="A166" s="45" t="s">
        <v>158</v>
      </c>
      <c r="B166" s="99" t="s">
        <v>230</v>
      </c>
      <c r="C166" s="100"/>
      <c r="D166" s="100"/>
      <c r="E166" s="100"/>
      <c r="F166" s="100"/>
      <c r="G166" s="100"/>
      <c r="H166" s="101"/>
    </row>
    <row r="167" spans="1:9" s="35" customFormat="1" x14ac:dyDescent="0.35">
      <c r="A167" s="45" t="s">
        <v>158</v>
      </c>
      <c r="B167" s="99" t="str">
        <f>(IF(F126="Saleable area Loading :","We have considered Saleable area of Flats as per our Calculation.","We considered Saleable area of Flat as per Builder area Sheet."))</f>
        <v>We considered Saleable area of Flat as per Builder area Sheet.</v>
      </c>
      <c r="C167" s="100"/>
      <c r="D167" s="100"/>
      <c r="E167" s="100"/>
      <c r="F167" s="100"/>
      <c r="G167" s="100"/>
      <c r="H167" s="101"/>
    </row>
    <row r="168" spans="1:9" s="35" customFormat="1" x14ac:dyDescent="0.35">
      <c r="A168" s="45" t="s">
        <v>158</v>
      </c>
      <c r="B168" s="99" t="str">
        <f>(IF(F102="Saleable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8" s="100"/>
      <c r="D168" s="100"/>
      <c r="E168" s="100"/>
      <c r="F168" s="100"/>
      <c r="G168" s="100"/>
      <c r="H168" s="101"/>
    </row>
    <row r="169" spans="1:9" s="35" customFormat="1" x14ac:dyDescent="0.35">
      <c r="A169" s="45" t="s">
        <v>158</v>
      </c>
      <c r="B169" s="72" t="s">
        <v>129</v>
      </c>
      <c r="C169" s="73"/>
      <c r="D169" s="73"/>
      <c r="E169" s="73"/>
      <c r="F169" s="73"/>
      <c r="G169" s="73"/>
      <c r="H169" s="74"/>
    </row>
    <row r="170" spans="1:9" s="35" customFormat="1" x14ac:dyDescent="0.35">
      <c r="A170" s="45" t="s">
        <v>158</v>
      </c>
      <c r="B170" s="72" t="s">
        <v>215</v>
      </c>
      <c r="C170" s="73"/>
      <c r="D170" s="73"/>
      <c r="E170" s="73"/>
      <c r="F170" s="73"/>
      <c r="G170" s="73"/>
      <c r="H170" s="74"/>
    </row>
    <row r="171" spans="1:9" s="35" customFormat="1" x14ac:dyDescent="0.35">
      <c r="A171" s="45" t="s">
        <v>158</v>
      </c>
      <c r="B171" s="72" t="s">
        <v>157</v>
      </c>
      <c r="C171" s="73"/>
      <c r="D171" s="73"/>
      <c r="E171" s="73"/>
      <c r="F171" s="73"/>
      <c r="G171" s="73"/>
      <c r="H171" s="74"/>
    </row>
    <row r="172" spans="1:9" s="35" customFormat="1" x14ac:dyDescent="0.35">
      <c r="A172" s="45" t="s">
        <v>158</v>
      </c>
      <c r="B172" s="72" t="s">
        <v>130</v>
      </c>
      <c r="C172" s="73"/>
      <c r="D172" s="73"/>
      <c r="E172" s="73"/>
      <c r="F172" s="73"/>
      <c r="G172" s="73"/>
      <c r="H172" s="74"/>
    </row>
    <row r="173" spans="1:9" s="35" customFormat="1" ht="34.5" customHeight="1" x14ac:dyDescent="0.35">
      <c r="A173" s="45" t="s">
        <v>158</v>
      </c>
      <c r="B173" s="72" t="s">
        <v>159</v>
      </c>
      <c r="C173" s="73"/>
      <c r="D173" s="73"/>
      <c r="E173" s="73"/>
      <c r="F173" s="73"/>
      <c r="G173" s="73"/>
      <c r="H173" s="74"/>
    </row>
    <row r="174" spans="1:9" s="35" customFormat="1" x14ac:dyDescent="0.35">
      <c r="A174" s="45" t="s">
        <v>158</v>
      </c>
      <c r="B174" s="72" t="s">
        <v>131</v>
      </c>
      <c r="C174" s="73"/>
      <c r="D174" s="73"/>
      <c r="E174" s="73"/>
      <c r="F174" s="73"/>
      <c r="G174" s="73"/>
      <c r="H174" s="74"/>
    </row>
    <row r="175" spans="1:9" s="35" customFormat="1" x14ac:dyDescent="0.35">
      <c r="A175" s="68" t="s">
        <v>158</v>
      </c>
      <c r="B175" s="72" t="s">
        <v>225</v>
      </c>
      <c r="C175" s="73"/>
      <c r="D175" s="73"/>
      <c r="E175" s="73"/>
      <c r="F175" s="73"/>
      <c r="G175" s="73"/>
      <c r="H175" s="74"/>
    </row>
    <row r="176" spans="1:9" s="35" customFormat="1" x14ac:dyDescent="0.35">
      <c r="A176" s="66" t="s">
        <v>158</v>
      </c>
      <c r="B176" s="72" t="s">
        <v>233</v>
      </c>
      <c r="C176" s="73"/>
      <c r="D176" s="73"/>
      <c r="E176" s="73"/>
      <c r="F176" s="73"/>
      <c r="G176" s="73"/>
      <c r="H176" s="74"/>
    </row>
    <row r="177" spans="1:8" x14ac:dyDescent="0.35">
      <c r="A177" s="120" t="s">
        <v>63</v>
      </c>
      <c r="B177" s="120"/>
      <c r="C177" s="120"/>
      <c r="D177" s="120"/>
      <c r="E177" s="120"/>
      <c r="F177" s="120"/>
      <c r="G177" s="120"/>
      <c r="H177" s="120"/>
    </row>
    <row r="178" spans="1:8" x14ac:dyDescent="0.35">
      <c r="A178" s="78" t="s">
        <v>64</v>
      </c>
      <c r="B178" s="78"/>
      <c r="C178" s="78"/>
      <c r="D178" s="78"/>
      <c r="E178" s="78"/>
      <c r="F178" s="78"/>
      <c r="G178" s="78"/>
      <c r="H178" s="78"/>
    </row>
    <row r="179" spans="1:8" ht="15.75" customHeight="1" x14ac:dyDescent="0.35">
      <c r="A179" s="79" t="s">
        <v>65</v>
      </c>
      <c r="B179" s="79"/>
      <c r="C179" s="79"/>
      <c r="D179" s="79"/>
      <c r="E179" s="79"/>
      <c r="F179" s="79"/>
      <c r="G179" s="79"/>
      <c r="H179" s="79"/>
    </row>
    <row r="180" spans="1:8" x14ac:dyDescent="0.35">
      <c r="A180" s="78" t="s">
        <v>66</v>
      </c>
      <c r="B180" s="78"/>
      <c r="C180" s="78"/>
      <c r="D180" s="78"/>
      <c r="E180" s="78"/>
      <c r="F180" s="78"/>
      <c r="G180" s="78"/>
      <c r="H180" s="78"/>
    </row>
    <row r="181" spans="1:8" x14ac:dyDescent="0.35">
      <c r="A181" s="78" t="s">
        <v>67</v>
      </c>
      <c r="B181" s="78"/>
      <c r="C181" s="78"/>
      <c r="D181" s="78"/>
      <c r="E181" s="78"/>
      <c r="F181" s="78"/>
      <c r="G181" s="78"/>
      <c r="H181" s="78"/>
    </row>
    <row r="182" spans="1:8" hidden="1" x14ac:dyDescent="0.35">
      <c r="A182" s="78" t="s">
        <v>132</v>
      </c>
      <c r="B182" s="78"/>
      <c r="C182" s="78"/>
      <c r="D182" s="78"/>
      <c r="E182" s="78"/>
      <c r="F182" s="78"/>
      <c r="G182" s="78"/>
      <c r="H182" s="78"/>
    </row>
    <row r="183" spans="1:8" hidden="1" x14ac:dyDescent="0.35">
      <c r="A183" s="121" t="s">
        <v>133</v>
      </c>
      <c r="B183" s="121"/>
      <c r="C183" s="121"/>
      <c r="D183" s="121"/>
      <c r="E183" s="121"/>
      <c r="F183" s="121"/>
      <c r="G183" s="121"/>
      <c r="H183" s="121"/>
    </row>
    <row r="184" spans="1:8" x14ac:dyDescent="0.35">
      <c r="A184" s="128" t="s">
        <v>80</v>
      </c>
      <c r="B184" s="128"/>
      <c r="C184" s="128" t="s">
        <v>232</v>
      </c>
      <c r="D184" s="128"/>
      <c r="E184" s="128" t="s">
        <v>110</v>
      </c>
      <c r="F184" s="128"/>
      <c r="G184" s="128" t="s">
        <v>231</v>
      </c>
      <c r="H184" s="128"/>
    </row>
    <row r="185" spans="1:8" x14ac:dyDescent="0.35">
      <c r="A185" s="127" t="s">
        <v>82</v>
      </c>
      <c r="B185" s="127"/>
      <c r="C185" s="127"/>
      <c r="D185" s="127"/>
      <c r="E185" s="127"/>
      <c r="F185" s="127"/>
      <c r="G185" s="127"/>
      <c r="H185" s="127"/>
    </row>
    <row r="186" spans="1:8" x14ac:dyDescent="0.35">
      <c r="A186" s="127"/>
      <c r="B186" s="127"/>
      <c r="C186" s="127"/>
      <c r="D186" s="127"/>
      <c r="E186" s="127"/>
      <c r="F186" s="127"/>
      <c r="G186" s="127"/>
      <c r="H186" s="127"/>
    </row>
    <row r="187" spans="1:8" x14ac:dyDescent="0.35">
      <c r="A187" s="127"/>
      <c r="B187" s="127"/>
      <c r="C187" s="127"/>
      <c r="D187" s="127"/>
      <c r="E187" s="127"/>
      <c r="F187" s="127"/>
      <c r="G187" s="127"/>
      <c r="H187" s="127"/>
    </row>
    <row r="188" spans="1:8" x14ac:dyDescent="0.35">
      <c r="A188" s="127"/>
      <c r="B188" s="127"/>
      <c r="C188" s="127"/>
      <c r="D188" s="127"/>
      <c r="E188" s="127"/>
      <c r="F188" s="127"/>
      <c r="G188" s="127"/>
      <c r="H188" s="127"/>
    </row>
    <row r="189" spans="1:8" x14ac:dyDescent="0.35">
      <c r="A189" s="38" t="s">
        <v>68</v>
      </c>
      <c r="B189" s="39"/>
      <c r="C189" s="39"/>
      <c r="D189" s="38" t="str">
        <f>E8</f>
        <v>Zenisha Luxuria</v>
      </c>
      <c r="E189" s="182"/>
      <c r="F189" s="39"/>
      <c r="G189" s="39"/>
      <c r="H189" s="39"/>
    </row>
    <row r="190" spans="1:8" x14ac:dyDescent="0.35">
      <c r="A190" s="39"/>
      <c r="B190" s="39"/>
      <c r="C190" s="39"/>
      <c r="D190" s="39"/>
      <c r="E190" s="39"/>
      <c r="F190" s="39"/>
      <c r="G190" s="39"/>
      <c r="H190" s="39"/>
    </row>
    <row r="191" spans="1:8" x14ac:dyDescent="0.35">
      <c r="A191" s="39"/>
      <c r="B191" s="39"/>
      <c r="C191" s="39"/>
      <c r="D191" s="39"/>
      <c r="E191" s="39"/>
      <c r="F191" s="39"/>
      <c r="G191" s="39"/>
      <c r="H191" s="39"/>
    </row>
    <row r="192" spans="1:8" ht="15" customHeight="1" x14ac:dyDescent="0.35"/>
    <row r="233" spans="1:1" x14ac:dyDescent="0.35">
      <c r="A233" s="41" t="s">
        <v>172</v>
      </c>
    </row>
    <row r="277" spans="1:1" x14ac:dyDescent="0.35">
      <c r="A277" s="41" t="s">
        <v>69</v>
      </c>
    </row>
  </sheetData>
  <mergeCells count="373">
    <mergeCell ref="B175:H175"/>
    <mergeCell ref="L128:M128"/>
    <mergeCell ref="A125:H125"/>
    <mergeCell ref="A133:B133"/>
    <mergeCell ref="A130:B130"/>
    <mergeCell ref="A140:B140"/>
    <mergeCell ref="A141:B141"/>
    <mergeCell ref="A142:B142"/>
    <mergeCell ref="A132:B132"/>
    <mergeCell ref="G133:H133"/>
    <mergeCell ref="G138:H138"/>
    <mergeCell ref="B173:H173"/>
    <mergeCell ref="B170:H170"/>
    <mergeCell ref="G147:H147"/>
    <mergeCell ref="G144:H144"/>
    <mergeCell ref="A165:H165"/>
    <mergeCell ref="A143:B143"/>
    <mergeCell ref="A144:B144"/>
    <mergeCell ref="G142:H142"/>
    <mergeCell ref="A154:B154"/>
    <mergeCell ref="G154:H154"/>
    <mergeCell ref="B172:H172"/>
    <mergeCell ref="B168:H168"/>
    <mergeCell ref="A149:B149"/>
    <mergeCell ref="L121:M121"/>
    <mergeCell ref="A122:B122"/>
    <mergeCell ref="G122:H122"/>
    <mergeCell ref="L122:M122"/>
    <mergeCell ref="A123:B123"/>
    <mergeCell ref="G123:H123"/>
    <mergeCell ref="L123:M123"/>
    <mergeCell ref="A124:B124"/>
    <mergeCell ref="G124:H124"/>
    <mergeCell ref="L124:M124"/>
    <mergeCell ref="A121:B121"/>
    <mergeCell ref="G121:H121"/>
    <mergeCell ref="L117:M117"/>
    <mergeCell ref="A118:B118"/>
    <mergeCell ref="G118:H118"/>
    <mergeCell ref="L118:M118"/>
    <mergeCell ref="A119:B119"/>
    <mergeCell ref="G119:H119"/>
    <mergeCell ref="L119:M119"/>
    <mergeCell ref="A120:B120"/>
    <mergeCell ref="G120:H120"/>
    <mergeCell ref="L120:M120"/>
    <mergeCell ref="A117:B117"/>
    <mergeCell ref="G117:H117"/>
    <mergeCell ref="L113:M113"/>
    <mergeCell ref="A114:B114"/>
    <mergeCell ref="G114:H114"/>
    <mergeCell ref="L114:M114"/>
    <mergeCell ref="A115:B115"/>
    <mergeCell ref="G115:H115"/>
    <mergeCell ref="L115:M115"/>
    <mergeCell ref="A116:B116"/>
    <mergeCell ref="G116:H116"/>
    <mergeCell ref="L116:M116"/>
    <mergeCell ref="L109:M109"/>
    <mergeCell ref="A110:B110"/>
    <mergeCell ref="G110:H110"/>
    <mergeCell ref="L110:M110"/>
    <mergeCell ref="A111:B111"/>
    <mergeCell ref="G111:H111"/>
    <mergeCell ref="L111:M111"/>
    <mergeCell ref="A112:B112"/>
    <mergeCell ref="G112:H112"/>
    <mergeCell ref="L112:M112"/>
    <mergeCell ref="A47:B47"/>
    <mergeCell ref="C47:H47"/>
    <mergeCell ref="B171:H171"/>
    <mergeCell ref="F81:H81"/>
    <mergeCell ref="A81:E81"/>
    <mergeCell ref="G136:H136"/>
    <mergeCell ref="G132:H132"/>
    <mergeCell ref="G129:H129"/>
    <mergeCell ref="D102:D103"/>
    <mergeCell ref="A83:E83"/>
    <mergeCell ref="A105:B105"/>
    <mergeCell ref="A106:B106"/>
    <mergeCell ref="A107:B107"/>
    <mergeCell ref="A108:B108"/>
    <mergeCell ref="A84:E84"/>
    <mergeCell ref="A90:E90"/>
    <mergeCell ref="C98:D98"/>
    <mergeCell ref="G98:H98"/>
    <mergeCell ref="A85:E85"/>
    <mergeCell ref="F85:H85"/>
    <mergeCell ref="A86:E86"/>
    <mergeCell ref="A155:B155"/>
    <mergeCell ref="G155:H155"/>
    <mergeCell ref="B169:H169"/>
    <mergeCell ref="A139:H139"/>
    <mergeCell ref="A131:B131"/>
    <mergeCell ref="G137:H137"/>
    <mergeCell ref="G135:H135"/>
    <mergeCell ref="A109:B109"/>
    <mergeCell ref="G109:H109"/>
    <mergeCell ref="A113:B113"/>
    <mergeCell ref="G113:H113"/>
    <mergeCell ref="A134:B134"/>
    <mergeCell ref="G134:H134"/>
    <mergeCell ref="L108:M108"/>
    <mergeCell ref="L107:M107"/>
    <mergeCell ref="K106:L106"/>
    <mergeCell ref="L105:M105"/>
    <mergeCell ref="A76:B76"/>
    <mergeCell ref="C99:D99"/>
    <mergeCell ref="E99:F99"/>
    <mergeCell ref="G99:H99"/>
    <mergeCell ref="F86:H86"/>
    <mergeCell ref="A80:E80"/>
    <mergeCell ref="A104:H104"/>
    <mergeCell ref="E102:E103"/>
    <mergeCell ref="G102:H103"/>
    <mergeCell ref="F79:H79"/>
    <mergeCell ref="F84:H84"/>
    <mergeCell ref="F87:H87"/>
    <mergeCell ref="C95:D95"/>
    <mergeCell ref="F90:H90"/>
    <mergeCell ref="F88:H88"/>
    <mergeCell ref="G95:H95"/>
    <mergeCell ref="A89:E89"/>
    <mergeCell ref="A88:E88"/>
    <mergeCell ref="F82:H82"/>
    <mergeCell ref="C96:D96"/>
    <mergeCell ref="B102:B103"/>
    <mergeCell ref="A59:C59"/>
    <mergeCell ref="D58:H58"/>
    <mergeCell ref="E69:F78"/>
    <mergeCell ref="G69:H78"/>
    <mergeCell ref="A77:B77"/>
    <mergeCell ref="A78:B78"/>
    <mergeCell ref="D59:H59"/>
    <mergeCell ref="D62:H62"/>
    <mergeCell ref="A63:C63"/>
    <mergeCell ref="D63:H63"/>
    <mergeCell ref="A69:B69"/>
    <mergeCell ref="G68:H68"/>
    <mergeCell ref="A95:B95"/>
    <mergeCell ref="A100:H100"/>
    <mergeCell ref="A87:E87"/>
    <mergeCell ref="A82:E82"/>
    <mergeCell ref="A79:E79"/>
    <mergeCell ref="F83:H83"/>
    <mergeCell ref="C102:C103"/>
    <mergeCell ref="A42:D42"/>
    <mergeCell ref="E42:H42"/>
    <mergeCell ref="E43:H43"/>
    <mergeCell ref="E44:H44"/>
    <mergeCell ref="E45:H45"/>
    <mergeCell ref="A43:D43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F35:H35"/>
    <mergeCell ref="A37:B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C37:H37"/>
    <mergeCell ref="G48:H48"/>
    <mergeCell ref="G50:H50"/>
    <mergeCell ref="D54:H54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85:H188"/>
    <mergeCell ref="A184:B184"/>
    <mergeCell ref="E184:F184"/>
    <mergeCell ref="C184:D184"/>
    <mergeCell ref="G184:H184"/>
    <mergeCell ref="A94:H94"/>
    <mergeCell ref="A92:E92"/>
    <mergeCell ref="F92:H92"/>
    <mergeCell ref="A93:E93"/>
    <mergeCell ref="F93:H93"/>
    <mergeCell ref="A128:H128"/>
    <mergeCell ref="A99:B99"/>
    <mergeCell ref="A137:B137"/>
    <mergeCell ref="A96:B96"/>
    <mergeCell ref="A180:H180"/>
    <mergeCell ref="A97:H97"/>
    <mergeCell ref="A183:H183"/>
    <mergeCell ref="A181:H181"/>
    <mergeCell ref="A177:H177"/>
    <mergeCell ref="A178:H178"/>
    <mergeCell ref="E98:F98"/>
    <mergeCell ref="B174:H174"/>
    <mergeCell ref="G107:H107"/>
    <mergeCell ref="G105:H105"/>
    <mergeCell ref="A161:B161"/>
    <mergeCell ref="G161:H161"/>
    <mergeCell ref="A162:B162"/>
    <mergeCell ref="G162:H162"/>
    <mergeCell ref="A163:B163"/>
    <mergeCell ref="G163:H163"/>
    <mergeCell ref="G149:H149"/>
    <mergeCell ref="G148:H148"/>
    <mergeCell ref="A147:B147"/>
    <mergeCell ref="A148:B148"/>
    <mergeCell ref="A150:B150"/>
    <mergeCell ref="C153:F156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G131:H131"/>
    <mergeCell ref="G150:H150"/>
    <mergeCell ref="A152:H152"/>
    <mergeCell ref="A151:B151"/>
    <mergeCell ref="G151:H151"/>
    <mergeCell ref="A145:B145"/>
    <mergeCell ref="G145:H145"/>
    <mergeCell ref="A146:B146"/>
    <mergeCell ref="G146:H146"/>
    <mergeCell ref="E96:F96"/>
    <mergeCell ref="B166:H166"/>
    <mergeCell ref="B167:H167"/>
    <mergeCell ref="G141:H141"/>
    <mergeCell ref="A136:B136"/>
    <mergeCell ref="A101:H101"/>
    <mergeCell ref="G106:H106"/>
    <mergeCell ref="G108:H108"/>
    <mergeCell ref="C159:F162"/>
    <mergeCell ref="A156:B156"/>
    <mergeCell ref="G156:H156"/>
    <mergeCell ref="A157:B157"/>
    <mergeCell ref="G157:H157"/>
    <mergeCell ref="A158:B158"/>
    <mergeCell ref="G158:H158"/>
    <mergeCell ref="A159:B159"/>
    <mergeCell ref="G159:H159"/>
    <mergeCell ref="A160:B160"/>
    <mergeCell ref="G160:H160"/>
    <mergeCell ref="A153:B153"/>
    <mergeCell ref="G153:H153"/>
    <mergeCell ref="G140:H140"/>
    <mergeCell ref="G130:H130"/>
    <mergeCell ref="A164:B164"/>
    <mergeCell ref="G164:H164"/>
    <mergeCell ref="B176:H176"/>
    <mergeCell ref="A16:B16"/>
    <mergeCell ref="C16:H16"/>
    <mergeCell ref="E41:H41"/>
    <mergeCell ref="A41:D41"/>
    <mergeCell ref="A182:H182"/>
    <mergeCell ref="A179:H179"/>
    <mergeCell ref="G143:H143"/>
    <mergeCell ref="A129:B129"/>
    <mergeCell ref="A98:B98"/>
    <mergeCell ref="G126:H126"/>
    <mergeCell ref="A74:B74"/>
    <mergeCell ref="F80:H80"/>
    <mergeCell ref="G96:H96"/>
    <mergeCell ref="A48:B48"/>
    <mergeCell ref="C48:E48"/>
    <mergeCell ref="A91:E91"/>
    <mergeCell ref="F91:H91"/>
    <mergeCell ref="A102:A103"/>
    <mergeCell ref="A127:H127"/>
    <mergeCell ref="A138:B138"/>
    <mergeCell ref="A135:B135"/>
    <mergeCell ref="F89:H89"/>
    <mergeCell ref="E95:F95"/>
  </mergeCells>
  <hyperlinks>
    <hyperlink ref="C38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88" max="16383" man="1"/>
    <brk id="232" max="16383" man="1"/>
    <brk id="27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K13" sqref="K13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180" t="s">
        <v>111</v>
      </c>
      <c r="C3" s="180"/>
      <c r="D3" s="180"/>
      <c r="E3" s="180"/>
      <c r="F3" s="180"/>
      <c r="G3" s="180"/>
      <c r="H3" s="180"/>
    </row>
    <row r="4" spans="1:9" x14ac:dyDescent="0.35">
      <c r="A4" s="3"/>
      <c r="B4" s="4" t="s">
        <v>112</v>
      </c>
      <c r="C4" s="4" t="s">
        <v>113</v>
      </c>
      <c r="D4" s="4" t="s">
        <v>71</v>
      </c>
      <c r="E4" s="4" t="s">
        <v>114</v>
      </c>
      <c r="F4" s="4" t="s">
        <v>120</v>
      </c>
      <c r="G4" s="4" t="s">
        <v>121</v>
      </c>
      <c r="H4" s="4" t="s">
        <v>115</v>
      </c>
    </row>
    <row r="5" spans="1:9" ht="15" customHeight="1" x14ac:dyDescent="0.35">
      <c r="A5" s="3"/>
      <c r="B5" s="6" t="s">
        <v>116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116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116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116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116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117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117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118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119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2025-08-16T06:29:07Z</cp:lastPrinted>
  <dcterms:created xsi:type="dcterms:W3CDTF">2019-07-16T09:29:46Z</dcterms:created>
  <dcterms:modified xsi:type="dcterms:W3CDTF">2025-08-16T06:29:20Z</dcterms:modified>
</cp:coreProperties>
</file>