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6-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9" i="1" l="1"/>
  <c r="D159" i="1" l="1"/>
  <c r="I149" i="1"/>
  <c r="D143" i="1"/>
  <c r="G141" i="1"/>
  <c r="G137" i="1"/>
  <c r="D117" i="1"/>
  <c r="K162" i="1" l="1"/>
  <c r="J146" i="1" l="1"/>
  <c r="I46" i="1" l="1"/>
  <c r="I109" i="1" l="1"/>
  <c r="G140" i="1"/>
  <c r="G139" i="1"/>
  <c r="G138" i="1"/>
  <c r="G136" i="1"/>
  <c r="G135" i="1"/>
  <c r="E165" i="1"/>
  <c r="D165" i="1"/>
  <c r="E164" i="1"/>
  <c r="D164" i="1"/>
  <c r="E163" i="1"/>
  <c r="D163" i="1"/>
  <c r="F163" i="1" s="1"/>
  <c r="H163" i="1" s="1"/>
  <c r="E162" i="1"/>
  <c r="D162" i="1"/>
  <c r="E161" i="1"/>
  <c r="D161" i="1"/>
  <c r="E160" i="1"/>
  <c r="D160" i="1"/>
  <c r="E159" i="1"/>
  <c r="F159" i="1" s="1"/>
  <c r="H159" i="1" s="1"/>
  <c r="E157" i="1"/>
  <c r="D157" i="1"/>
  <c r="E156" i="1"/>
  <c r="D156" i="1"/>
  <c r="E155" i="1"/>
  <c r="D155" i="1"/>
  <c r="E153" i="1"/>
  <c r="D153" i="1"/>
  <c r="E152" i="1"/>
  <c r="D152" i="1"/>
  <c r="E151" i="1"/>
  <c r="D151" i="1"/>
  <c r="E149" i="1"/>
  <c r="D149" i="1"/>
  <c r="E148" i="1"/>
  <c r="D148" i="1"/>
  <c r="E147" i="1"/>
  <c r="D147" i="1"/>
  <c r="E146" i="1"/>
  <c r="D146" i="1"/>
  <c r="E145" i="1"/>
  <c r="D145" i="1"/>
  <c r="E144" i="1"/>
  <c r="D144" i="1"/>
  <c r="E143" i="1"/>
  <c r="D141" i="1"/>
  <c r="F141" i="1" s="1"/>
  <c r="D140" i="1"/>
  <c r="F140" i="1" s="1"/>
  <c r="D139" i="1"/>
  <c r="F139" i="1" s="1"/>
  <c r="D138" i="1"/>
  <c r="D137" i="1"/>
  <c r="D136" i="1"/>
  <c r="D135" i="1"/>
  <c r="D130" i="1"/>
  <c r="F130" i="1" s="1"/>
  <c r="D128" i="1"/>
  <c r="D127" i="1"/>
  <c r="D126" i="1"/>
  <c r="D125" i="1"/>
  <c r="D124" i="1"/>
  <c r="D123" i="1"/>
  <c r="D122" i="1"/>
  <c r="D121" i="1"/>
  <c r="D120" i="1"/>
  <c r="D119" i="1"/>
  <c r="D118" i="1"/>
  <c r="A160" i="1"/>
  <c r="A161" i="1" s="1"/>
  <c r="A162" i="1" s="1"/>
  <c r="A163" i="1" s="1"/>
  <c r="A164" i="1" s="1"/>
  <c r="A165" i="1" s="1"/>
  <c r="A152" i="1"/>
  <c r="A153" i="1" s="1"/>
  <c r="A154" i="1" s="1"/>
  <c r="A155" i="1" s="1"/>
  <c r="A156" i="1" s="1"/>
  <c r="A157" i="1" s="1"/>
  <c r="I144" i="1"/>
  <c r="A144" i="1"/>
  <c r="A145" i="1" s="1"/>
  <c r="A146" i="1" s="1"/>
  <c r="A147" i="1" s="1"/>
  <c r="A148" i="1" s="1"/>
  <c r="A149" i="1" s="1"/>
  <c r="I139" i="1"/>
  <c r="I140" i="1"/>
  <c r="I136" i="1"/>
  <c r="I118" i="1"/>
  <c r="I117" i="1"/>
  <c r="I128" i="1"/>
  <c r="F146" i="1" l="1"/>
  <c r="H146" i="1" s="1"/>
  <c r="F156" i="1"/>
  <c r="H156" i="1" s="1"/>
  <c r="F152" i="1"/>
  <c r="H152" i="1" s="1"/>
  <c r="F157" i="1"/>
  <c r="H157" i="1" s="1"/>
  <c r="F153" i="1"/>
  <c r="H153" i="1" s="1"/>
  <c r="F162" i="1"/>
  <c r="J151" i="1" s="1"/>
  <c r="F161" i="1"/>
  <c r="H161" i="1" s="1"/>
  <c r="F165" i="1"/>
  <c r="H165" i="1" s="1"/>
  <c r="H130" i="1"/>
  <c r="G105" i="1" s="1"/>
  <c r="C105" i="1"/>
  <c r="F145" i="1"/>
  <c r="H145" i="1" s="1"/>
  <c r="F155" i="1"/>
  <c r="H155" i="1" s="1"/>
  <c r="F143" i="1"/>
  <c r="H143" i="1" s="1"/>
  <c r="F147" i="1"/>
  <c r="H147" i="1" s="1"/>
  <c r="F160" i="1"/>
  <c r="H160" i="1" s="1"/>
  <c r="F164" i="1"/>
  <c r="H164" i="1" s="1"/>
  <c r="E105" i="1"/>
  <c r="F144" i="1"/>
  <c r="H144" i="1" s="1"/>
  <c r="F151" i="1"/>
  <c r="H151" i="1" s="1"/>
  <c r="F148" i="1"/>
  <c r="H148" i="1" s="1"/>
  <c r="F149" i="1"/>
  <c r="H149" i="1" s="1"/>
  <c r="H139" i="1"/>
  <c r="H141" i="1"/>
  <c r="H140" i="1"/>
  <c r="F128" i="1"/>
  <c r="H128" i="1" s="1"/>
  <c r="F127" i="1"/>
  <c r="H127" i="1" s="1"/>
  <c r="F126" i="1"/>
  <c r="H126" i="1" s="1"/>
  <c r="F125" i="1"/>
  <c r="H125" i="1" s="1"/>
  <c r="F124" i="1"/>
  <c r="H124" i="1" s="1"/>
  <c r="F123" i="1"/>
  <c r="H123" i="1" s="1"/>
  <c r="F122" i="1"/>
  <c r="H122" i="1" s="1"/>
  <c r="F121" i="1"/>
  <c r="H121" i="1" s="1"/>
  <c r="C75" i="1"/>
  <c r="C56" i="1"/>
  <c r="D64" i="1"/>
  <c r="G51" i="1"/>
  <c r="G52" i="1" s="1"/>
  <c r="E8" i="1"/>
  <c r="H162" i="1" l="1"/>
  <c r="J162" i="1" s="1"/>
  <c r="J164" i="1" s="1"/>
  <c r="J165" i="1" s="1"/>
  <c r="F118" i="1"/>
  <c r="H118" i="1" s="1"/>
  <c r="F119" i="1"/>
  <c r="H119" i="1" s="1"/>
  <c r="F120" i="1"/>
  <c r="H120" i="1" s="1"/>
  <c r="F117" i="1"/>
  <c r="C104" i="1" l="1"/>
  <c r="C106" i="1" s="1"/>
  <c r="H117" i="1"/>
  <c r="G104" i="1" s="1"/>
  <c r="G106" i="1" s="1"/>
  <c r="E104" i="1"/>
  <c r="E106" i="1" s="1"/>
  <c r="G60" i="1"/>
  <c r="C60" i="1"/>
  <c r="G58" i="1"/>
  <c r="C58" i="1"/>
  <c r="S33" i="1" l="1"/>
  <c r="F11" i="5" l="1"/>
  <c r="G11" i="5" s="1"/>
  <c r="F10" i="5"/>
  <c r="G10" i="5" s="1"/>
  <c r="F9" i="5"/>
  <c r="G9" i="5" s="1"/>
  <c r="F8" i="5"/>
  <c r="G8" i="5" s="1"/>
  <c r="F7" i="5"/>
  <c r="G7" i="5" s="1"/>
  <c r="F6" i="5"/>
  <c r="G6" i="5" s="1"/>
  <c r="F5" i="5"/>
  <c r="G5" i="5" s="1"/>
  <c r="G12" i="5" s="1"/>
  <c r="D192" i="1"/>
  <c r="B170" i="1"/>
  <c r="F138" i="1"/>
  <c r="H138" i="1" s="1"/>
  <c r="F137" i="1"/>
  <c r="H137" i="1" s="1"/>
  <c r="F136" i="1"/>
  <c r="H136" i="1" s="1"/>
  <c r="A136" i="1"/>
  <c r="A137" i="1" s="1"/>
  <c r="A138" i="1" s="1"/>
  <c r="A139" i="1" s="1"/>
  <c r="A140" i="1" s="1"/>
  <c r="A141" i="1" s="1"/>
  <c r="F135" i="1"/>
  <c r="A118" i="1"/>
  <c r="A119" i="1" s="1"/>
  <c r="A120" i="1" s="1"/>
  <c r="A121" i="1" s="1"/>
  <c r="A122" i="1" s="1"/>
  <c r="A123" i="1" s="1"/>
  <c r="A124" i="1" s="1"/>
  <c r="A125" i="1" s="1"/>
  <c r="A126" i="1" s="1"/>
  <c r="A127" i="1" s="1"/>
  <c r="A128" i="1" s="1"/>
  <c r="F101" i="1"/>
  <c r="D69" i="1"/>
  <c r="C51" i="1"/>
  <c r="E44" i="1"/>
  <c r="E45" i="1" s="1"/>
  <c r="E31" i="1"/>
  <c r="E28" i="1"/>
  <c r="E26" i="1"/>
  <c r="C16" i="1"/>
  <c r="I15" i="1"/>
  <c r="Z13" i="1"/>
  <c r="E3" i="1"/>
  <c r="H76" i="1"/>
  <c r="C109" i="1" l="1"/>
  <c r="C110" i="1" s="1"/>
  <c r="C111" i="1" s="1"/>
  <c r="H135" i="1"/>
  <c r="G109" i="1" s="1"/>
  <c r="G110" i="1" s="1"/>
  <c r="G111" i="1" s="1"/>
  <c r="E109" i="1"/>
  <c r="E110" i="1" s="1"/>
  <c r="E111" i="1" s="1"/>
  <c r="J80" i="1"/>
  <c r="C79" i="1" s="1"/>
  <c r="J79" i="1"/>
  <c r="J78" i="1"/>
  <c r="J75" i="1"/>
  <c r="J77" i="1" s="1"/>
  <c r="D83" i="1"/>
  <c r="D85" i="1"/>
  <c r="D84" i="1"/>
  <c r="D88" i="1"/>
  <c r="D82" i="1"/>
  <c r="D87" i="1"/>
  <c r="D81" i="1"/>
  <c r="D86" i="1"/>
  <c r="B76" i="1"/>
  <c r="J85" i="1" l="1"/>
  <c r="J86" i="1"/>
  <c r="J84" i="1"/>
  <c r="J83" i="1"/>
  <c r="J81" i="1"/>
  <c r="J82" i="1" s="1"/>
  <c r="J87" i="1" s="1"/>
  <c r="J88" i="1" s="1"/>
  <c r="C80" i="1" s="1"/>
  <c r="D79" i="1"/>
  <c r="J76" i="1" l="1"/>
  <c r="E79" i="1"/>
  <c r="D80" i="1"/>
  <c r="I76" i="1" s="1"/>
  <c r="I77" i="1" s="1"/>
  <c r="G79" i="1"/>
  <c r="D73" i="1" s="1"/>
  <c r="F74" i="1" l="1"/>
  <c r="D74" i="1"/>
  <c r="I75" i="1"/>
  <c r="C77"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4"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<sst xmlns="http://schemas.openxmlformats.org/spreadsheetml/2006/main" count="568" uniqueCount="355">
  <si>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</si>
  <si>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</si>
  <si>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</si>
  <si>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</si>
  <si>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</si>
  <si>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</si>
  <si>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</si>
  <si>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</si>
  <si>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</si>
  <si>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</si>
  <si>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</si>
  <si>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</si>
  <si>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</si>
  <si>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</si>
  <si>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</si>
  <si>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</si>
  <si>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</si>
  <si>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</si>
  <si>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</si>
  <si>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</si>
  <si>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</si>
  <si>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</si>
  <si>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</si>
  <si>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</si>
  <si>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</si>
  <si>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</si>
  <si>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</si>
  <si>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</si>
  <si>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</si>
  <si>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</si>
  <si>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</si>
  <si>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</si>
  <si>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</si>
  <si>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</si>
  <si>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</si>
  <si>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</si>
  <si>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</si>
  <si>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</si>
  <si>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</si>
  <si>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</si>
  <si>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</si>
  <si>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</si>
  <si>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</si>
  <si>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</si>
  <si>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</si>
  <si>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</si>
  <si>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</si>
  <si>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</si>
  <si>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</si>
  <si>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</si>
  <si>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</si>
  <si>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</si>
  <si>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</si>
  <si>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</si>
  <si>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</si>
  <si>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</si>
  <si>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</si>
  <si>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</si>
  <si>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</si>
  <si>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</si>
  <si>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</si>
  <si>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</si>
  <si>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</si>
  <si>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</si>
  <si>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</si>
  <si>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</si>
  <si>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</si>
  <si>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</si>
  <si>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</si>
  <si>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</si>
  <si>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</si>
  <si>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</si>
  <si>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</si>
  <si>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</si>
  <si>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</si>
  <si>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</si>
  <si>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</si>
  <si>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</si>
  <si>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</si>
  <si>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</si>
  <si>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</si>
  <si>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</si>
  <si>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</si>
  <si>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</si>
  <si>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</si>
  <si>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</si>
  <si>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</si>
  <si>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</si>
  <si>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</si>
  <si>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</si>
  <si>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</si>
  <si>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</si>
  <si>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</si>
  <si>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</si>
  <si>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</si>
  <si>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</si>
  <si>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</si>
  <si>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</si>
  <si>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</si>
  <si>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</si>
  <si>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</si>
  <si>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</si>
  <si>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</si>
  <si>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</si>
  <si>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</si>
  <si>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</si>
  <si>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</si>
  <si>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</si>
  <si>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</si>
  <si>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</si>
  <si>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</si>
  <si>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</si>
  <si>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</si>
  <si>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</si>
  <si>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</si>
  <si>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</si>
  <si>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</si>
  <si>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</si>
  <si>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</si>
  <si>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</si>
  <si>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</si>
  <si>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</si>
  <si>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</si>
  <si>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</si>
  <si>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</si>
  <si>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</si>
  <si>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</si>
  <si>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</si>
  <si>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</si>
  <si>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</si>
  <si>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</si>
  <si>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</si>
  <si>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</si>
  <si>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</si>
  <si>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</si>
  <si>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</si>
  <si>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</si>
  <si>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</si>
  <si>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</si>
  <si>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</si>
  <si>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</si>
  <si>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</si>
  <si>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</si>
  <si>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</si>
  <si>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</si>
  <si>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</si>
  <si>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</si>
  <si>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</si>
  <si>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</si>
  <si>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</si>
  <si>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</si>
  <si>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</si>
  <si>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</si>
  <si>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</si>
  <si>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</si>
  <si>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</si>
  <si>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</si>
  <si>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</si>
  <si>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</si>
  <si>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</si>
  <si>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</si>
  <si>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</si>
  <si>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</si>
  <si>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</si>
  <si>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</si>
  <si>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</si>
  <si>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</si>
  <si>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</si>
  <si>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</si>
  <si>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</si>
  <si>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</si>
  <si>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</si>
  <si>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</si>
  <si>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</si>
  <si>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</si>
  <si>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</si>
  <si>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</si>
  <si>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</si>
  <si>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</si>
  <si>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</si>
  <si>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</si>
  <si>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</si>
  <si>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</si>
  <si>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</si>
  <si>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</si>
  <si>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</si>
  <si>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</si>
  <si>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</si>
  <si>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</si>
  <si>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</si>
  <si>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</si>
  <si>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</si>
  <si>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</si>
  <si>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</si>
  <si>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</si>
  <si>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</si>
  <si>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</si>
  <si>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</si>
  <si>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</si>
  <si>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</si>
  <si>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</si>
  <si>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</si>
  <si>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</si>
  <si>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</si>
  <si>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</si>
  <si>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</si>
  <si>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</si>
  <si>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</si>
  <si>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</si>
  <si>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</si>
  <si>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</si>
  <si>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</si>
  <si>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</si>
  <si>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</si>
  <si>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</si>
  <si>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</si>
  <si>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</si>
  <si>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</si>
  <si>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</si>
  <si>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</si>
  <si>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</si>
  <si>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</si>
  <si>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</si>
  <si>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</si>
  <si>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</si>
  <si>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</si>
  <si>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</si>
  <si>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</si>
  <si>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</si>
  <si>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</si>
  <si>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</si>
  <si>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</si>
  <si>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</si>
  <si>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</si>
  <si>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</si>
  <si>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</si>
  <si>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</si>
  <si>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</si>
  <si>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</si>
  <si>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</si>
  <si>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</si>
  <si>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</si>
  <si>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</si>
  <si>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</si>
  <si>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</si>
  <si>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</si>
  <si>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</si>
  <si>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</si>
  <si>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</si>
  <si>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</si>
  <si>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</si>
  <si>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</si>
  <si>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</si>
  <si>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</si>
  <si>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</si>
  <si>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</si>
  <si>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</si>
  <si>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</si>
  <si>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</si>
  <si>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</si>
  <si>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</si>
  <si>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</si>
  <si>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</si>
  <si>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</si>
  <si>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</si>
  <si>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</si>
  <si>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</si>
  <si>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</si>
  <si>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</si>
  <si>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</si>
  <si>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</si>
  <si>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</si>
  <si>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</si>
  <si>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</si>
  <si>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</si>
  <si>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</si>
  <si>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</si>
  <si>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</si>
  <si>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</si>
  <si>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</si>
  <si>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</si>
  <si>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</si>
  <si>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</si>
  <si>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</si>
  <si>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</si>
  <si>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</si>
  <si>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</si>
  <si>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</si>
  <si>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</si>
  <si>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</si>
  <si>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</si>
  <si>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</si>
  <si>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</si>
  <si>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</si>
  <si>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</si>
  <si>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</si>
  <si>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</si>
  <si>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</si>
  <si>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</si>
  <si>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Virar Bolinj Yashwant Krupa Co Op Hsg Society Ltd</t>
  </si>
  <si>
    <t>Virar Bolinj Yashwant Krupa Co-Op Hsg Soc Ltd.</t>
  </si>
  <si>
    <t>9920977460 &amp; 8855095155</t>
  </si>
  <si>
    <t>P99000015890</t>
  </si>
  <si>
    <t>Survey No</t>
  </si>
  <si>
    <t>392 Pt, On Plot No.7 &amp; S. No.376 Pt</t>
  </si>
  <si>
    <t>Bolinj &amp; Virar</t>
  </si>
  <si>
    <t>19.446779,72.803337</t>
  </si>
  <si>
    <t>https://maps.app.goo.gl/UvTXmebA5UFKMqvL6</t>
  </si>
  <si>
    <t>0.9 KM from Virar Railway Station</t>
  </si>
  <si>
    <t>Virar West</t>
  </si>
  <si>
    <t>Anora Residency</t>
  </si>
  <si>
    <t>Navnath Bhatkar</t>
  </si>
  <si>
    <t>Premium Park Road</t>
  </si>
  <si>
    <t>Building</t>
  </si>
  <si>
    <t>Internal Road</t>
  </si>
  <si>
    <t>Other Plot</t>
  </si>
  <si>
    <t>18.00 M. Wide Road</t>
  </si>
  <si>
    <t>12.00 M. Wide Road</t>
  </si>
  <si>
    <t>Total Permissble Builtup area of the project (Sq.Mt)</t>
  </si>
  <si>
    <t>VVCMC/TP/AMEND/VP/0556/583/2021-22</t>
  </si>
  <si>
    <t>VVCMC/TP/RDP/VP-556/583/2021-22</t>
  </si>
  <si>
    <t>Gr/St + 1st to 15th Floor</t>
  </si>
  <si>
    <t>Approved Plans, CC, Sale Plans, Cost Sheet, Corrigendum Letter</t>
  </si>
  <si>
    <t>Corrigendum Letter No.</t>
  </si>
  <si>
    <r>
      <t xml:space="preserve">Proposed Amenities :                                                                                                                                                                                                                         </t>
    </r>
    <r>
      <rPr>
        <b/>
        <sz val="12"/>
        <rFont val="Times New Roman"/>
        <family val="1"/>
      </rPr>
      <t xml:space="preserve">                                               </t>
    </r>
  </si>
  <si>
    <t>Shop</t>
  </si>
  <si>
    <t>Ground Floor For Commercial, Meter Room &amp; Parking</t>
  </si>
  <si>
    <t>1st Floor</t>
  </si>
  <si>
    <t>Office</t>
  </si>
  <si>
    <t>2nd Floor For Residential</t>
  </si>
  <si>
    <t>1BHK</t>
  </si>
  <si>
    <t>Gr/St + 1st to 15th Floor  (Residential Cum Commercial)</t>
  </si>
  <si>
    <t>2BHK</t>
  </si>
  <si>
    <t>1RK</t>
  </si>
  <si>
    <t>3rd to 7th Floor</t>
  </si>
  <si>
    <t>FB + DB Area</t>
  </si>
  <si>
    <t>8th &amp; 13th Floor (Part Refuge Area)</t>
  </si>
  <si>
    <t>Refuge Area</t>
  </si>
  <si>
    <t>9th to 12th, 14th &amp; 15th Floor</t>
  </si>
  <si>
    <t>terrace area check</t>
  </si>
  <si>
    <t>We considered Gross carpet area = Net carpet + D.B Area + F.B Area.</t>
  </si>
  <si>
    <t>Elegant and Gorgeous Entrance Lobby, Entrance Gate, Elevator of reputed Brand, Intercom Connection in each Flat, Decorative main entrance door, Parking etc.</t>
  </si>
  <si>
    <t>VVSM/NR/3427/2022-23</t>
  </si>
  <si>
    <t>Flats - 96, Shops - 12, Offices - 1</t>
  </si>
  <si>
    <r>
      <t>The Survey number to be read as follows</t>
    </r>
    <r>
      <rPr>
        <b/>
        <sz val="12"/>
        <rFont val="Times New Roman"/>
        <family val="1"/>
      </rPr>
      <t xml:space="preserve"> " S.No.392, Plot No.7 of village - Bolinj, Tal- Vasai, Dist- Palghar "</t>
    </r>
    <r>
      <rPr>
        <sz val="12"/>
        <rFont val="Times New Roman"/>
        <family val="1"/>
      </rPr>
      <t xml:space="preserve"> instead as mentioned previous order as " S. No.392, Plot No.7 of Village- Achole, Tal.-Vasai, Dist - Palghar "</t>
    </r>
  </si>
  <si>
    <t>Gokul TWP</t>
  </si>
  <si>
    <t>As per RERA, completion period of project Virar Bolinj Yashwant Krupa Co-Op Hsg Soc Ltd is expired on 29/03/2024 but still project is under construction.</t>
  </si>
  <si>
    <t>As per RERA - 31/03/2026</t>
  </si>
  <si>
    <t>Mr. Suresh 9020977460</t>
  </si>
  <si>
    <t>Mr. Security</t>
  </si>
  <si>
    <t>same as last visit (12/11/2024) but work is in process at the time of visit (Very Slow Speed). Internal visit not allowed.</t>
  </si>
  <si>
    <t>Office No. 1031, Wing J, Akshar Business Park, Plot No. 03 Sector 25, Near APMC Market, 
Vashi, Navi Mumbai, Maharashtra 400703 TEL: 022-46090378/79/80
E mail : vsjcapf@gmail.com. Web site : www.vsjadon.com</t>
  </si>
  <si>
    <t>Pooja Kawale</t>
  </si>
  <si>
    <t>All work completed upto 7th floor.
Tenant have occupied all the flat upto 7th floor, Provide OC.
Construction work is in process at the time of visit (Labour found) (Slow Speed).</t>
  </si>
  <si>
    <t>As checked on RERA portal on date 16/08/2025, we have observed that above project "Virar Bolinj Yashwant Krupa Co-Op Hsg Soc Ltd." is kept under abeyance. Please check from your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</si>
</sst>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1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4" xfId="0" applyBorder="1"/>
    <xf numFmtId="0" fontId="0" fillId="0" borderId="7" xfId="0" applyBorder="1"/>
    <xf numFmtId="0" fontId="0" fillId="0" borderId="1" xfId="0" applyBorder="1" applyAlignment="1">
      <alignment vertical="top" wrapText="1"/>
    </xf>
    <xf numFmtId="1" fontId="8" fillId="0" borderId="2"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1" fontId="13" fillId="0" borderId="2" xfId="1" applyNumberFormat="1" applyFont="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0" fontId="15" fillId="0" borderId="0" xfId="1" applyFont="1" applyAlignment="1">
      <alignment horizontal="center" vertical="center"/>
    </xf>
    <xf numFmtId="1" fontId="7" fillId="0" borderId="1" xfId="1" applyNumberFormat="1" applyFont="1" applyBorder="1" applyAlignment="1">
      <alignment horizontal="center" vertical="center"/>
    </xf>
    <xf numFmtId="0" fontId="12"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0" fontId="7" fillId="0" borderId="24"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top" wrapText="1"/>
      <protection locked="0"/>
    </xf>
    <xf numFmtId="1" fontId="13" fillId="0" borderId="15" xfId="1" applyNumberFormat="1"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10" fillId="0" borderId="2" xfId="0" applyNumberFormat="1" applyFont="1" applyBorder="1" applyAlignment="1" applyProtection="1">
      <alignment horizontal="center" vertical="center"/>
      <protection locked="0"/>
    </xf>
    <xf numFmtId="0" fontId="8" fillId="0" borderId="15" xfId="1" applyFont="1" applyBorder="1" applyAlignment="1" applyProtection="1">
      <alignment horizontal="center" vertical="top"/>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10" fillId="0" borderId="32" xfId="0" applyNumberFormat="1" applyFont="1" applyBorder="1" applyAlignment="1" applyProtection="1">
      <alignment horizontal="center" vertical="center"/>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7" fillId="0" borderId="0" xfId="1" applyFont="1" applyAlignment="1">
      <alignment horizontal="center" vertical="center"/>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14" fontId="12" fillId="0" borderId="7" xfId="1" applyNumberFormat="1" applyFont="1" applyBorder="1" applyAlignment="1" applyProtection="1">
      <alignment horizontal="left" vertical="top" wrapText="1"/>
      <protection locked="0"/>
    </xf>
    <xf numFmtId="0" fontId="12" fillId="0" borderId="7" xfId="1" applyFont="1" applyBorder="1" applyAlignment="1" applyProtection="1">
      <alignment vertical="top" wrapText="1"/>
      <protection locked="0"/>
    </xf>
    <xf numFmtId="0" fontId="12" fillId="0" borderId="20" xfId="1" applyFont="1" applyBorder="1" applyAlignment="1" applyProtection="1">
      <alignment vertical="top" wrapText="1"/>
      <protection locked="0"/>
    </xf>
    <xf numFmtId="0" fontId="12" fillId="0" borderId="8" xfId="1" applyFont="1" applyBorder="1" applyAlignment="1" applyProtection="1">
      <alignment vertical="top" wrapText="1"/>
      <protection locked="0"/>
    </xf>
    <xf numFmtId="0" fontId="6" fillId="0" borderId="2"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1" fontId="10" fillId="0" borderId="32" xfId="0" applyNumberFormat="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4"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0" fontId="9" fillId="0" borderId="1" xfId="5" applyFont="1" applyBorder="1" applyAlignment="1">
      <alignment horizontal="left"/>
    </xf>
    <xf numFmtId="0" fontId="12" fillId="0" borderId="1" xfId="1" applyFont="1" applyBorder="1" applyAlignment="1" applyProtection="1">
      <alignment horizontal="center" vertical="top"/>
      <protection locked="0"/>
    </xf>
    <xf numFmtId="1" fontId="6" fillId="0" borderId="1" xfId="1"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8</xdr:col>
      <xdr:colOff>907116</xdr:colOff>
      <xdr:row>18</xdr:row>
      <xdr:rowOff>7192</xdr:rowOff>
    </xdr:from>
    <xdr:to>
      <xdr:col>16</xdr:col>
      <xdr:colOff>63313</xdr:colOff>
      <xdr:row>21</xdr:row>
      <xdr:rowOff>114449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16028" y="4971398"/>
          <a:ext cx="5935756" cy="712374"/>
        </a:xfrm>
        <a:prstGeom prst="rect">
          <a:avLst/>
        </a:prstGeom>
      </xdr:spPr>
    </xdr:pic>
    <xdr:clientData/>
  </xdr:twoCellAnchor>
  <xdr:twoCellAnchor editAs="oneCell">
    <xdr:from>
      <xdr:col>1</xdr:col>
      <xdr:colOff>356771</xdr:colOff>
      <xdr:row>234</xdr:row>
      <xdr:rowOff>80563</xdr:rowOff>
    </xdr:from>
    <xdr:to>
      <xdr:col>6</xdr:col>
      <xdr:colOff>81644</xdr:colOff>
      <xdr:row>250</xdr:row>
      <xdr:rowOff>108886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118771" y="54754063"/>
          <a:ext cx="3820623" cy="3076322"/>
        </a:xfrm>
        <a:prstGeom prst="rect">
          <a:avLst/>
        </a:prstGeom>
        <a:ln>
          <a:solidFill>
            <a:srgbClr val="000000"/>
          </a:solidFill>
        </a:ln>
      </xdr:spPr>
    </xdr:pic>
    <xdr:clientData/>
  </xdr:twoCellAnchor>
  <xdr:twoCellAnchor editAs="oneCell">
    <xdr:from>
      <xdr:col>0</xdr:col>
      <xdr:colOff>758008</xdr:colOff>
      <xdr:row>276</xdr:row>
      <xdr:rowOff>81644</xdr:rowOff>
    </xdr:from>
    <xdr:to>
      <xdr:col>7</xdr:col>
      <xdr:colOff>2356</xdr:colOff>
      <xdr:row>294</xdr:row>
      <xdr:rowOff>54985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58008" y="66634180"/>
          <a:ext cx="4823277" cy="3647270"/>
        </a:xfrm>
        <a:prstGeom prst="rect">
          <a:avLst/>
        </a:prstGeom>
        <a:ln w="3175">
          <a:solidFill>
            <a:schemeClr val="tx1"/>
          </a:solidFill>
        </a:ln>
      </xdr:spPr>
    </xdr:pic>
    <xdr:clientData/>
  </xdr:twoCellAnchor>
  <xdr:twoCellAnchor>
    <xdr:from>
      <xdr:col>0</xdr:col>
      <xdr:colOff>599454</xdr:colOff>
      <xdr:row>294</xdr:row>
      <xdr:rowOff>187579</xdr:rowOff>
    </xdr:from>
    <xdr:to>
      <xdr:col>7</xdr:col>
      <xdr:colOff>152400</xdr:colOff>
      <xdr:row>315</xdr:row>
      <xdr:rowOff>99393</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599454" y="61014229"/>
          <a:ext cx="5407646" cy="4045664"/>
          <a:chOff x="747358" y="4533900"/>
          <a:chExt cx="5760000" cy="4247263"/>
        </a:xfrm>
      </xdr:grpSpPr>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239" r="5838"/>
          <a:stretch/>
        </xdr:blipFill>
        <xdr:spPr>
          <a:xfrm>
            <a:off x="747358" y="4533900"/>
            <a:ext cx="5760000" cy="4247263"/>
          </a:xfrm>
          <a:prstGeom prst="rect">
            <a:avLst/>
          </a:prstGeom>
          <a:ln w="3175">
            <a:solidFill>
              <a:schemeClr val="tx1"/>
            </a:solidFill>
          </a:ln>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rot="19463874">
            <a:off x="3154556" y="6479428"/>
            <a:ext cx="387350" cy="514350"/>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728873</xdr:colOff>
      <xdr:row>251</xdr:row>
      <xdr:rowOff>68036</xdr:rowOff>
    </xdr:from>
    <xdr:to>
      <xdr:col>6</xdr:col>
      <xdr:colOff>479653</xdr:colOff>
      <xdr:row>274</xdr:row>
      <xdr:rowOff>79513</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rot="16200000">
          <a:off x="877924" y="52281085"/>
          <a:ext cx="4539027" cy="4837130"/>
          <a:chOff x="692726" y="62040798"/>
          <a:chExt cx="4742013" cy="4767634"/>
        </a:xfrm>
      </xdr:grpSpPr>
      <xdr:grpSp>
        <xdr:nvGrpSpPr>
          <xdr:cNvPr id="11" name="Group 10">
            <a:extLst>
              <a:ext uri="{FF2B5EF4-FFF2-40B4-BE49-F238E27FC236}">
                <a16:creationId xmlns:a16="http://schemas.microsoft.com/office/drawing/2014/main" id="{00000000-0008-0000-0000-00000B000000}"/>
              </a:ext>
            </a:extLst>
          </xdr:cNvPr>
          <xdr:cNvGrpSpPr/>
        </xdr:nvGrpSpPr>
        <xdr:grpSpPr>
          <a:xfrm>
            <a:off x="692726" y="62040798"/>
            <a:ext cx="4742013" cy="4767634"/>
            <a:chOff x="692726" y="62040798"/>
            <a:chExt cx="4742013" cy="4767634"/>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stretch>
              <a:fillRect/>
            </a:stretch>
          </xdr:blipFill>
          <xdr:spPr>
            <a:xfrm rot="5400000">
              <a:off x="679916" y="62053608"/>
              <a:ext cx="4767634" cy="4742013"/>
            </a:xfrm>
            <a:prstGeom prst="rect">
              <a:avLst/>
            </a:prstGeom>
            <a:ln>
              <a:solidFill>
                <a:srgbClr val="000000"/>
              </a:solidFill>
            </a:ln>
          </xdr:spPr>
        </xdr:pic>
        <xdr:cxnSp macro="">
          <xdr:nvCxnSpPr>
            <xdr:cNvPr id="10" name="Straight Arrow Connector 9">
              <a:extLst>
                <a:ext uri="{FF2B5EF4-FFF2-40B4-BE49-F238E27FC236}">
                  <a16:creationId xmlns:a16="http://schemas.microsoft.com/office/drawing/2014/main" id="{00000000-0008-0000-0000-00000A000000}"/>
                </a:ext>
              </a:extLst>
            </xdr:cNvPr>
            <xdr:cNvCxnSpPr/>
          </xdr:nvCxnSpPr>
          <xdr:spPr>
            <a:xfrm flipV="1">
              <a:off x="4962320" y="62563814"/>
              <a:ext cx="0" cy="5541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4797136" y="62310818"/>
            <a:ext cx="398318" cy="2251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IN" sz="1600" b="1"/>
              <a:t>N</a:t>
            </a:r>
          </a:p>
        </xdr:txBody>
      </xdr:sp>
    </xdr:grpSp>
    <xdr:clientData/>
  </xdr:twoCellAnchor>
  <xdr:twoCellAnchor editAs="oneCell">
    <xdr:from>
      <xdr:col>9</xdr:col>
      <xdr:colOff>190500</xdr:colOff>
      <xdr:row>49</xdr:row>
      <xdr:rowOff>381000</xdr:rowOff>
    </xdr:from>
    <xdr:to>
      <xdr:col>14</xdr:col>
      <xdr:colOff>67219</xdr:colOff>
      <xdr:row>63</xdr:row>
      <xdr:rowOff>194738</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6"/>
        <a:stretch>
          <a:fillRect/>
        </a:stretch>
      </xdr:blipFill>
      <xdr:spPr>
        <a:xfrm>
          <a:off x="7667625" y="12087225"/>
          <a:ext cx="3896269" cy="2257740"/>
        </a:xfrm>
        <a:prstGeom prst="rect">
          <a:avLst/>
        </a:prstGeom>
      </xdr:spPr>
    </xdr:pic>
    <xdr:clientData/>
  </xdr:twoCellAnchor>
  <xdr:twoCellAnchor editAs="oneCell">
    <xdr:from>
      <xdr:col>12</xdr:col>
      <xdr:colOff>106456</xdr:colOff>
      <xdr:row>138</xdr:row>
      <xdr:rowOff>63313</xdr:rowOff>
    </xdr:from>
    <xdr:to>
      <xdr:col>16</xdr:col>
      <xdr:colOff>370841</xdr:colOff>
      <xdr:row>153</xdr:row>
      <xdr:rowOff>67098</xdr:rowOff>
    </xdr:to>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7"/>
        <a:stretch>
          <a:fillRect/>
        </a:stretch>
      </xdr:blipFill>
      <xdr:spPr>
        <a:xfrm>
          <a:off x="9974356" y="29743213"/>
          <a:ext cx="3483835" cy="3004160"/>
        </a:xfrm>
        <a:prstGeom prst="rect">
          <a:avLst/>
        </a:prstGeom>
      </xdr:spPr>
    </xdr:pic>
    <xdr:clientData/>
  </xdr:twoCellAnchor>
  <xdr:twoCellAnchor editAs="oneCell">
    <xdr:from>
      <xdr:col>10</xdr:col>
      <xdr:colOff>491826</xdr:colOff>
      <xdr:row>211</xdr:row>
      <xdr:rowOff>136681</xdr:rowOff>
    </xdr:from>
    <xdr:to>
      <xdr:col>12</xdr:col>
      <xdr:colOff>441194</xdr:colOff>
      <xdr:row>222</xdr:row>
      <xdr:rowOff>110072</xdr:rowOff>
    </xdr:to>
    <xdr:pic>
      <xdr:nvPicPr>
        <xdr:cNvPr id="9" name="Picture 8">
          <a:extLst>
            <a:ext uri="{FF2B5EF4-FFF2-40B4-BE49-F238E27FC236}">
              <a16:creationId xmlns:a16="http://schemas.microsoft.com/office/drawing/2014/main" id="{93AE8706-560A-AFB2-9050-A27127BD293D}"/>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8730951" y="44847031"/>
          <a:ext cx="1578143" cy="21736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594690</xdr:colOff>
      <xdr:row>193</xdr:row>
      <xdr:rowOff>157369</xdr:rowOff>
    </xdr:from>
    <xdr:to>
      <xdr:col>11</xdr:col>
      <xdr:colOff>492011</xdr:colOff>
      <xdr:row>211</xdr:row>
      <xdr:rowOff>32203</xdr:rowOff>
    </xdr:to>
    <xdr:pic>
      <xdr:nvPicPr>
        <xdr:cNvPr id="15" name="Picture 14">
          <a:extLst>
            <a:ext uri="{FF2B5EF4-FFF2-40B4-BE49-F238E27FC236}">
              <a16:creationId xmlns:a16="http://schemas.microsoft.com/office/drawing/2014/main" id="{6130E03E-D8FE-09F9-E858-6C3969F07DB2}"/>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6909765" y="41267269"/>
          <a:ext cx="2526221" cy="34752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560464</xdr:colOff>
      <xdr:row>211</xdr:row>
      <xdr:rowOff>136681</xdr:rowOff>
    </xdr:from>
    <xdr:to>
      <xdr:col>14</xdr:col>
      <xdr:colOff>488298</xdr:colOff>
      <xdr:row>222</xdr:row>
      <xdr:rowOff>110072</xdr:rowOff>
    </xdr:to>
    <xdr:pic>
      <xdr:nvPicPr>
        <xdr:cNvPr id="16" name="Picture 15">
          <a:extLst>
            <a:ext uri="{FF2B5EF4-FFF2-40B4-BE49-F238E27FC236}">
              <a16:creationId xmlns:a16="http://schemas.microsoft.com/office/drawing/2014/main" id="{2778BBF7-62DE-408A-AB5F-BB686A8C1298}"/>
            </a:ext>
          </a:extLst>
        </xdr:cNvPr>
        <xdr:cNvPicPr>
          <a:picLocks noChangeAspect="1" noChangeArrowheads="1"/>
        </xdr:cNvPicPr>
      </xdr:nvPicPr>
      <xdr:blipFill>
        <a:blip xmlns:r="http://schemas.openxmlformats.org/officeDocument/2006/relationships" r:embed="rId10" cstate="screen">
          <a:extLst>
            <a:ext uri="{28A0092B-C50C-407E-A947-70E740481C1C}">
              <a14:useLocalDpi xmlns:a14="http://schemas.microsoft.com/office/drawing/2010/main"/>
            </a:ext>
          </a:extLst>
        </a:blip>
        <a:srcRect/>
        <a:stretch>
          <a:fillRect/>
        </a:stretch>
      </xdr:blipFill>
      <xdr:spPr bwMode="auto">
        <a:xfrm>
          <a:off x="10428364" y="44847031"/>
          <a:ext cx="1556609" cy="21736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627409</xdr:colOff>
      <xdr:row>193</xdr:row>
      <xdr:rowOff>157369</xdr:rowOff>
    </xdr:from>
    <xdr:to>
      <xdr:col>14</xdr:col>
      <xdr:colOff>581051</xdr:colOff>
      <xdr:row>211</xdr:row>
      <xdr:rowOff>32203</xdr:rowOff>
    </xdr:to>
    <xdr:pic>
      <xdr:nvPicPr>
        <xdr:cNvPr id="17" name="Picture 16">
          <a:extLst>
            <a:ext uri="{FF2B5EF4-FFF2-40B4-BE49-F238E27FC236}">
              <a16:creationId xmlns:a16="http://schemas.microsoft.com/office/drawing/2014/main" id="{07173435-CE0B-8835-6669-09865DF892A4}"/>
            </a:ext>
          </a:extLst>
        </xdr:cNvPr>
        <xdr:cNvPicPr>
          <a:picLocks noChangeAspect="1" noChangeArrowheads="1"/>
        </xdr:cNvPicPr>
      </xdr:nvPicPr>
      <xdr:blipFill>
        <a:blip xmlns:r="http://schemas.openxmlformats.org/officeDocument/2006/relationships" r:embed="rId11" cstate="screen">
          <a:extLst>
            <a:ext uri="{28A0092B-C50C-407E-A947-70E740481C1C}">
              <a14:useLocalDpi xmlns:a14="http://schemas.microsoft.com/office/drawing/2010/main"/>
            </a:ext>
          </a:extLst>
        </a:blip>
        <a:srcRect/>
        <a:stretch>
          <a:fillRect/>
        </a:stretch>
      </xdr:blipFill>
      <xdr:spPr bwMode="auto">
        <a:xfrm>
          <a:off x="9571384" y="41267269"/>
          <a:ext cx="2506342" cy="347528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726331</xdr:colOff>
      <xdr:row>211</xdr:row>
      <xdr:rowOff>136681</xdr:rowOff>
    </xdr:from>
    <xdr:to>
      <xdr:col>10</xdr:col>
      <xdr:colOff>379182</xdr:colOff>
      <xdr:row>222</xdr:row>
      <xdr:rowOff>110072</xdr:rowOff>
    </xdr:to>
    <xdr:pic>
      <xdr:nvPicPr>
        <xdr:cNvPr id="19" name="Picture 18">
          <a:extLst>
            <a:ext uri="{FF2B5EF4-FFF2-40B4-BE49-F238E27FC236}">
              <a16:creationId xmlns:a16="http://schemas.microsoft.com/office/drawing/2014/main" id="{59882EDD-E81F-F9BA-D254-E7E8D9DA78DD}"/>
            </a:ext>
          </a:extLst>
        </xdr:cNvPr>
        <xdr:cNvPicPr>
          <a:picLocks noChangeAspect="1" noChangeArrowheads="1"/>
        </xdr:cNvPicPr>
      </xdr:nvPicPr>
      <xdr:blipFill>
        <a:blip xmlns:r="http://schemas.openxmlformats.org/officeDocument/2006/relationships" r:embed="rId12" cstate="screen">
          <a:extLst>
            <a:ext uri="{28A0092B-C50C-407E-A947-70E740481C1C}">
              <a14:useLocalDpi xmlns:a14="http://schemas.microsoft.com/office/drawing/2010/main"/>
            </a:ext>
          </a:extLst>
        </a:blip>
        <a:srcRect/>
        <a:stretch>
          <a:fillRect/>
        </a:stretch>
      </xdr:blipFill>
      <xdr:spPr bwMode="auto">
        <a:xfrm>
          <a:off x="7041406" y="44847031"/>
          <a:ext cx="1576901" cy="21736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409575</xdr:colOff>
      <xdr:row>192</xdr:row>
      <xdr:rowOff>28575</xdr:rowOff>
    </xdr:from>
    <xdr:to>
      <xdr:col>15</xdr:col>
      <xdr:colOff>590550</xdr:colOff>
      <xdr:row>220</xdr:row>
      <xdr:rowOff>148552</xdr:rowOff>
    </xdr:to>
    <xdr:grpSp>
      <xdr:nvGrpSpPr>
        <xdr:cNvPr id="18" name="Group 17">
          <a:extLst>
            <a:ext uri="{FF2B5EF4-FFF2-40B4-BE49-F238E27FC236}">
              <a16:creationId xmlns:a16="http://schemas.microsoft.com/office/drawing/2014/main" id="{9705CF56-40F7-479D-9099-FE9472365687}"/>
            </a:ext>
          </a:extLst>
        </xdr:cNvPr>
        <xdr:cNvGrpSpPr/>
      </xdr:nvGrpSpPr>
      <xdr:grpSpPr>
        <a:xfrm>
          <a:off x="7032625" y="40776525"/>
          <a:ext cx="6454775" cy="5631777"/>
          <a:chOff x="76200" y="40776525"/>
          <a:chExt cx="6172200" cy="5720677"/>
        </a:xfrm>
      </xdr:grpSpPr>
      <xdr:pic>
        <xdr:nvPicPr>
          <xdr:cNvPr id="22" name="Picture 21">
            <a:extLst>
              <a:ext uri="{FF2B5EF4-FFF2-40B4-BE49-F238E27FC236}">
                <a16:creationId xmlns:a16="http://schemas.microsoft.com/office/drawing/2014/main" id="{F9E22D98-E222-46E5-BE31-0873F806EEDC}"/>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16830" y="40776525"/>
            <a:ext cx="2697187" cy="3600000"/>
          </a:xfrm>
          <a:prstGeom prst="rect">
            <a:avLst/>
          </a:prstGeom>
          <a:ln>
            <a:solidFill>
              <a:schemeClr val="tx1"/>
            </a:solidFill>
          </a:ln>
        </xdr:spPr>
      </xdr:pic>
      <xdr:pic>
        <xdr:nvPicPr>
          <xdr:cNvPr id="23" name="Picture 22">
            <a:extLst>
              <a:ext uri="{FF2B5EF4-FFF2-40B4-BE49-F238E27FC236}">
                <a16:creationId xmlns:a16="http://schemas.microsoft.com/office/drawing/2014/main" id="{7D38A624-DD87-4AC4-B4E8-8B02AA56A9DD}"/>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158267" y="40776525"/>
            <a:ext cx="2697187" cy="3600000"/>
          </a:xfrm>
          <a:prstGeom prst="rect">
            <a:avLst/>
          </a:prstGeom>
          <a:ln>
            <a:solidFill>
              <a:schemeClr val="tx1"/>
            </a:solidFill>
          </a:ln>
        </xdr:spPr>
      </xdr:pic>
      <xdr:pic>
        <xdr:nvPicPr>
          <xdr:cNvPr id="24" name="Picture 23">
            <a:extLst>
              <a:ext uri="{FF2B5EF4-FFF2-40B4-BE49-F238E27FC236}">
                <a16:creationId xmlns:a16="http://schemas.microsoft.com/office/drawing/2014/main" id="{7BE60213-0048-4FD7-9C9B-450DAB481E13}"/>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76200" y="44517202"/>
            <a:ext cx="1483453" cy="1980000"/>
          </a:xfrm>
          <a:prstGeom prst="rect">
            <a:avLst/>
          </a:prstGeom>
          <a:ln>
            <a:solidFill>
              <a:schemeClr val="tx1"/>
            </a:solidFill>
          </a:ln>
        </xdr:spPr>
      </xdr:pic>
      <xdr:pic>
        <xdr:nvPicPr>
          <xdr:cNvPr id="25" name="Picture 24">
            <a:extLst>
              <a:ext uri="{FF2B5EF4-FFF2-40B4-BE49-F238E27FC236}">
                <a16:creationId xmlns:a16="http://schemas.microsoft.com/office/drawing/2014/main" id="{6D999E37-C1EA-4E49-BF78-A782FF255979}"/>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1630387" y="44517202"/>
            <a:ext cx="1483453" cy="1980000"/>
          </a:xfrm>
          <a:prstGeom prst="rect">
            <a:avLst/>
          </a:prstGeom>
          <a:ln>
            <a:solidFill>
              <a:schemeClr val="tx1"/>
            </a:solidFill>
          </a:ln>
        </xdr:spPr>
      </xdr:pic>
      <xdr:pic>
        <xdr:nvPicPr>
          <xdr:cNvPr id="26" name="Picture 25">
            <a:extLst>
              <a:ext uri="{FF2B5EF4-FFF2-40B4-BE49-F238E27FC236}">
                <a16:creationId xmlns:a16="http://schemas.microsoft.com/office/drawing/2014/main" id="{1BA47B83-919E-40C6-838A-53DF8C802E3C}"/>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3197667" y="44517202"/>
            <a:ext cx="1483453" cy="1980000"/>
          </a:xfrm>
          <a:prstGeom prst="rect">
            <a:avLst/>
          </a:prstGeom>
          <a:ln>
            <a:solidFill>
              <a:schemeClr val="tx1"/>
            </a:solidFill>
          </a:ln>
        </xdr:spPr>
      </xdr:pic>
      <xdr:pic>
        <xdr:nvPicPr>
          <xdr:cNvPr id="27" name="Picture 26">
            <a:extLst>
              <a:ext uri="{FF2B5EF4-FFF2-40B4-BE49-F238E27FC236}">
                <a16:creationId xmlns:a16="http://schemas.microsoft.com/office/drawing/2014/main" id="{CBAA1D87-AE36-4093-9598-4DEFD1DD2B94}"/>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4764947" y="44517202"/>
            <a:ext cx="1483453" cy="1980000"/>
          </a:xfrm>
          <a:prstGeom prst="rect">
            <a:avLst/>
          </a:prstGeom>
          <a:ln>
            <a:solidFill>
              <a:schemeClr val="tx1"/>
            </a:solidFill>
          </a:ln>
        </xdr:spPr>
      </xdr:pic>
    </xdr:grpSp>
    <xdr:clientData/>
  </xdr:twoCellAnchor>
  <xdr:twoCellAnchor editAs="oneCell">
    <xdr:from>
      <xdr:col>8</xdr:col>
      <xdr:colOff>609600</xdr:colOff>
      <xdr:row>5</xdr:row>
      <xdr:rowOff>12700</xdr:rowOff>
    </xdr:from>
    <xdr:to>
      <xdr:col>14</xdr:col>
      <xdr:colOff>586700</xdr:colOff>
      <xdr:row>15</xdr:row>
      <xdr:rowOff>262550</xdr:rowOff>
    </xdr:to>
    <xdr:pic>
      <xdr:nvPicPr>
        <xdr:cNvPr id="38" name="Picture 3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7232650" y="1390650"/>
          <a:ext cx="5400000" cy="3037500"/>
        </a:xfrm>
        <a:prstGeom prst="rect">
          <a:avLst/>
        </a:prstGeom>
        <a:ln>
          <a:solidFill>
            <a:schemeClr val="tx1"/>
          </a:solidFill>
        </a:ln>
      </xdr:spPr>
    </xdr:pic>
    <xdr:clientData/>
  </xdr:twoCellAnchor>
  <xdr:twoCellAnchor>
    <xdr:from>
      <xdr:col>0</xdr:col>
      <xdr:colOff>95250</xdr:colOff>
      <xdr:row>192</xdr:row>
      <xdr:rowOff>76200</xdr:rowOff>
    </xdr:from>
    <xdr:to>
      <xdr:col>7</xdr:col>
      <xdr:colOff>691226</xdr:colOff>
      <xdr:row>232</xdr:row>
      <xdr:rowOff>97642</xdr:rowOff>
    </xdr:to>
    <xdr:grpSp>
      <xdr:nvGrpSpPr>
        <xdr:cNvPr id="20" name="Group 19"/>
        <xdr:cNvGrpSpPr/>
      </xdr:nvGrpSpPr>
      <xdr:grpSpPr>
        <a:xfrm>
          <a:off x="95250" y="40824150"/>
          <a:ext cx="6450676" cy="7895442"/>
          <a:chOff x="95250" y="40227250"/>
          <a:chExt cx="6450676" cy="7895442"/>
        </a:xfrm>
      </xdr:grpSpPr>
      <xdr:pic>
        <xdr:nvPicPr>
          <xdr:cNvPr id="39" name="Picture 38"/>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511431" y="45962692"/>
            <a:ext cx="1618313" cy="2160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95251" y="40227250"/>
            <a:ext cx="2049863" cy="2736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95250" y="43094971"/>
            <a:ext cx="2049863" cy="2736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496063" y="40227250"/>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295657" y="43094971"/>
            <a:ext cx="2049863" cy="2736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2295657" y="40227250"/>
            <a:ext cx="2049863" cy="2736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496063" y="43094971"/>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vTXmebA5UFKMqvL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6"/>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38" t="s">
        <v>351</v>
      </c>
      <c r="B1" s="138"/>
      <c r="C1" s="138"/>
      <c r="D1" s="138"/>
      <c r="E1" s="138"/>
      <c r="F1" s="138"/>
      <c r="G1" s="138"/>
      <c r="H1" s="138"/>
    </row>
    <row r="2" spans="1:26" ht="16.5" customHeight="1" x14ac:dyDescent="0.35">
      <c r="A2" s="139" t="s">
        <v>0</v>
      </c>
      <c r="B2" s="139"/>
      <c r="C2" s="139"/>
      <c r="D2" s="139"/>
      <c r="E2" s="139"/>
      <c r="F2" s="139"/>
      <c r="G2" s="139"/>
      <c r="H2" s="139"/>
    </row>
    <row r="3" spans="1:26" x14ac:dyDescent="0.35">
      <c r="A3" s="140" t="s">
        <v>1</v>
      </c>
      <c r="B3" s="140"/>
      <c r="C3" s="140"/>
      <c r="D3" s="140"/>
      <c r="E3" s="140" t="str">
        <f ca="1">TEXT(TODAY(),"DD/MM/YYYY")</f>
        <v>16/08/2025</v>
      </c>
      <c r="F3" s="140"/>
      <c r="G3" s="140"/>
      <c r="H3" s="140"/>
      <c r="K3" s="49" t="s">
        <v>233</v>
      </c>
      <c r="L3" s="48" t="s">
        <v>231</v>
      </c>
      <c r="M3" s="48" t="s">
        <v>236</v>
      </c>
      <c r="N3" s="48" t="s">
        <v>234</v>
      </c>
      <c r="O3" s="48" t="s">
        <v>235</v>
      </c>
      <c r="P3" s="48" t="s">
        <v>237</v>
      </c>
    </row>
    <row r="4" spans="1:26" ht="15" customHeight="1" x14ac:dyDescent="0.35">
      <c r="A4" s="140" t="s">
        <v>230</v>
      </c>
      <c r="B4" s="140"/>
      <c r="C4" s="140"/>
      <c r="D4" s="140"/>
      <c r="E4" s="140" t="s">
        <v>231</v>
      </c>
      <c r="F4" s="140"/>
      <c r="G4" s="140"/>
      <c r="H4" s="140"/>
      <c r="K4" s="47" t="s">
        <v>232</v>
      </c>
      <c r="L4" s="48" t="s">
        <v>167</v>
      </c>
      <c r="M4" s="48" t="s">
        <v>241</v>
      </c>
      <c r="N4" s="48" t="s">
        <v>243</v>
      </c>
      <c r="O4" s="48" t="s">
        <v>245</v>
      </c>
      <c r="P4" s="48"/>
    </row>
    <row r="5" spans="1:26" ht="15" customHeight="1" x14ac:dyDescent="0.35">
      <c r="A5" s="140" t="s">
        <v>2</v>
      </c>
      <c r="B5" s="140"/>
      <c r="C5" s="140"/>
      <c r="D5" s="140"/>
      <c r="E5" s="140" t="s">
        <v>238</v>
      </c>
      <c r="F5" s="140"/>
      <c r="G5" s="140"/>
      <c r="H5" s="140"/>
      <c r="K5" s="47"/>
      <c r="L5" s="48" t="s">
        <v>238</v>
      </c>
      <c r="M5" s="48" t="s">
        <v>242</v>
      </c>
      <c r="N5" s="48" t="s">
        <v>244</v>
      </c>
      <c r="O5" s="48" t="s">
        <v>246</v>
      </c>
      <c r="P5" s="48"/>
    </row>
    <row r="6" spans="1:26" x14ac:dyDescent="0.35">
      <c r="A6" s="140" t="s">
        <v>3</v>
      </c>
      <c r="B6" s="140"/>
      <c r="C6" s="140"/>
      <c r="D6" s="140"/>
      <c r="E6" s="143">
        <v>45879</v>
      </c>
      <c r="F6" s="140"/>
      <c r="G6" s="140"/>
      <c r="H6" s="140"/>
      <c r="K6" s="47"/>
      <c r="L6" s="48" t="s">
        <v>239</v>
      </c>
      <c r="M6" s="48"/>
      <c r="N6" s="48"/>
      <c r="O6" s="48" t="s">
        <v>247</v>
      </c>
      <c r="P6" s="48"/>
    </row>
    <row r="7" spans="1:26" ht="32.25" customHeight="1" x14ac:dyDescent="0.35">
      <c r="A7" s="144" t="s">
        <v>4</v>
      </c>
      <c r="B7" s="144"/>
      <c r="C7" s="144"/>
      <c r="D7" s="144"/>
      <c r="E7" s="144" t="s">
        <v>299</v>
      </c>
      <c r="F7" s="144"/>
      <c r="G7" s="144"/>
      <c r="H7" s="144"/>
      <c r="K7" s="47"/>
      <c r="L7" s="48" t="s">
        <v>240</v>
      </c>
      <c r="M7" s="48"/>
      <c r="N7" s="48"/>
      <c r="O7" s="48" t="s">
        <v>247</v>
      </c>
      <c r="P7" s="48"/>
    </row>
    <row r="8" spans="1:26" ht="30" customHeight="1" x14ac:dyDescent="0.35">
      <c r="A8" s="144" t="s">
        <v>5</v>
      </c>
      <c r="B8" s="144"/>
      <c r="C8" s="144"/>
      <c r="D8" s="144"/>
      <c r="E8" s="144" t="str">
        <f>E7</f>
        <v>Virar Bolinj Yashwant Krupa Co Op Hsg Society Ltd</v>
      </c>
      <c r="F8" s="144"/>
      <c r="G8" s="144"/>
      <c r="H8" s="144"/>
      <c r="K8" s="47"/>
      <c r="L8" s="48"/>
      <c r="M8" s="48"/>
      <c r="N8" s="48"/>
      <c r="O8" s="48" t="s">
        <v>248</v>
      </c>
      <c r="P8" s="48"/>
    </row>
    <row r="9" spans="1:26" ht="31.5" customHeight="1" x14ac:dyDescent="0.35">
      <c r="A9" s="140" t="s">
        <v>6</v>
      </c>
      <c r="B9" s="140"/>
      <c r="C9" s="140"/>
      <c r="D9" s="140"/>
      <c r="E9" s="141" t="s">
        <v>300</v>
      </c>
      <c r="F9" s="142"/>
      <c r="G9" s="142"/>
      <c r="H9" s="142"/>
      <c r="K9" s="47"/>
      <c r="L9" s="48"/>
      <c r="M9" s="48"/>
      <c r="N9" s="48"/>
      <c r="O9" s="48" t="s">
        <v>249</v>
      </c>
      <c r="P9" s="48"/>
    </row>
    <row r="10" spans="1:26" x14ac:dyDescent="0.35">
      <c r="A10" s="140" t="s">
        <v>164</v>
      </c>
      <c r="B10" s="140"/>
      <c r="C10" s="140"/>
      <c r="D10" s="140"/>
      <c r="E10" s="140" t="s">
        <v>301</v>
      </c>
      <c r="F10" s="140"/>
      <c r="G10" s="140"/>
      <c r="H10" s="140"/>
      <c r="K10" s="47"/>
      <c r="L10" s="48"/>
      <c r="M10" s="48"/>
      <c r="N10" s="48"/>
      <c r="O10" s="48"/>
      <c r="P10" s="48"/>
    </row>
    <row r="11" spans="1:26" x14ac:dyDescent="0.35">
      <c r="A11" s="140" t="s">
        <v>165</v>
      </c>
      <c r="B11" s="140"/>
      <c r="C11" s="140"/>
      <c r="D11" s="140"/>
      <c r="E11" s="140" t="s">
        <v>349</v>
      </c>
      <c r="F11" s="140"/>
      <c r="G11" s="140"/>
      <c r="H11" s="140"/>
      <c r="I11" s="140" t="s">
        <v>348</v>
      </c>
      <c r="J11" s="140"/>
      <c r="K11" s="140"/>
      <c r="L11" s="140"/>
    </row>
    <row r="12" spans="1:26" x14ac:dyDescent="0.35">
      <c r="A12" s="140" t="s">
        <v>7</v>
      </c>
      <c r="B12" s="140"/>
      <c r="C12" s="140"/>
      <c r="D12" s="140"/>
      <c r="E12" s="140" t="s">
        <v>118</v>
      </c>
      <c r="F12" s="140"/>
      <c r="G12" s="140"/>
      <c r="H12" s="140"/>
    </row>
    <row r="13" spans="1:26" x14ac:dyDescent="0.35">
      <c r="A13" s="140" t="s">
        <v>168</v>
      </c>
      <c r="B13" s="140"/>
      <c r="C13" s="140"/>
      <c r="D13" s="140"/>
      <c r="E13" s="140" t="s">
        <v>28</v>
      </c>
      <c r="F13" s="140"/>
      <c r="G13" s="140"/>
      <c r="H13" s="140"/>
      <c r="S13" s="48" t="s">
        <v>176</v>
      </c>
      <c r="T13" s="48" t="s">
        <v>186</v>
      </c>
      <c r="U13" s="48" t="s">
        <v>169</v>
      </c>
      <c r="V13" s="48" t="s">
        <v>191</v>
      </c>
      <c r="W13" s="48" t="s">
        <v>209</v>
      </c>
      <c r="X13"/>
      <c r="Y13" t="s">
        <v>191</v>
      </c>
      <c r="Z13" t="e">
        <f ca="1">OFFSET($S$13,1,MATCH($G20,$S$13:$W$13,0)-1,15,1)</f>
        <v>#VALUE!</v>
      </c>
    </row>
    <row r="14" spans="1:26" ht="33" customHeight="1" x14ac:dyDescent="0.35">
      <c r="A14" s="77" t="s">
        <v>276</v>
      </c>
      <c r="B14" s="77"/>
      <c r="C14" s="77"/>
      <c r="D14" s="77"/>
      <c r="E14" s="144" t="s">
        <v>322</v>
      </c>
      <c r="F14" s="144"/>
      <c r="G14" s="144"/>
      <c r="H14" s="144"/>
      <c r="S14" s="48" t="s">
        <v>177</v>
      </c>
      <c r="T14" s="48" t="s">
        <v>184</v>
      </c>
      <c r="U14" s="48" t="s">
        <v>206</v>
      </c>
      <c r="V14" s="48" t="s">
        <v>192</v>
      </c>
      <c r="W14" s="48" t="s">
        <v>210</v>
      </c>
      <c r="X14"/>
      <c r="Y14"/>
      <c r="Z14"/>
    </row>
    <row r="15" spans="1:26" x14ac:dyDescent="0.35">
      <c r="A15" s="77" t="s">
        <v>8</v>
      </c>
      <c r="B15" s="77"/>
      <c r="C15" s="77"/>
      <c r="D15" s="77"/>
      <c r="E15" s="144" t="s">
        <v>302</v>
      </c>
      <c r="F15" s="140"/>
      <c r="G15" s="140"/>
      <c r="H15" s="140"/>
      <c r="I15" s="70" t="e">
        <f ca="1">OFFSET($D$5,1,MATCH($J13,$D$5:$H$5,0)-1,15,1)</f>
        <v>#N/A</v>
      </c>
      <c r="J15" s="71"/>
      <c r="K15" s="71"/>
      <c r="L15" s="71"/>
      <c r="M15" s="71"/>
      <c r="N15" s="71"/>
      <c r="O15" s="71"/>
      <c r="P15" s="71"/>
      <c r="S15" s="48" t="s">
        <v>178</v>
      </c>
      <c r="T15" s="48" t="s">
        <v>185</v>
      </c>
      <c r="U15" s="48" t="s">
        <v>207</v>
      </c>
      <c r="V15" s="48" t="s">
        <v>193</v>
      </c>
      <c r="W15" s="48" t="s">
        <v>223</v>
      </c>
      <c r="X15"/>
      <c r="Y15"/>
      <c r="Z15"/>
    </row>
    <row r="16" spans="1:26" ht="48.75" customHeight="1" x14ac:dyDescent="0.35">
      <c r="A16" s="85" t="s">
        <v>9</v>
      </c>
      <c r="B16" s="85"/>
      <c r="C16" s="85" t="str">
        <f>CONCATENATE((IF(OR(E9="",E9="NA"),"",E9)),", ",(IF(OR(A17="",A17="NA"),"",A17)),".",(IF(OR(C17="",C17="NA"),"",C17)),", near ",(IF(OR(C22="",C22="NA"),"",C22)),", ",(IF(OR(C19="",C19="NA"),"",C19)),", ",(IF(OR(C18="",C18="NA"),"",C18)),", ",(IF(OR(G19="",G19="NA"),"",G19)),", ",(IF(OR(C20="",C20="NA"),"",C20)),", ",(IF(OR(C21="",C21="NA"),"",C21)),", ",(IF(OR(G20="",G20="NA"),"",G20))," - ",(IF(OR(G21="",G21="NA"),"",G21)),".")</f>
        <v>Virar Bolinj Yashwant Krupa Co-Op Hsg Soc Ltd., Survey No.392 Pt, On Plot No.7 &amp; S. No.376 Pt, near Anora Residency, Premium Park Road, Gokul TWP, Bolinj &amp; Virar, Virar West, Vasai, Palghar - 401303.</v>
      </c>
      <c r="D16" s="85"/>
      <c r="E16" s="85"/>
      <c r="F16" s="85"/>
      <c r="G16" s="85"/>
      <c r="H16" s="85"/>
      <c r="S16" s="48" t="s">
        <v>179</v>
      </c>
      <c r="T16" s="48" t="s">
        <v>187</v>
      </c>
      <c r="U16" s="48" t="s">
        <v>208</v>
      </c>
      <c r="V16" s="48" t="s">
        <v>194</v>
      </c>
      <c r="W16" s="48" t="s">
        <v>211</v>
      </c>
      <c r="X16"/>
      <c r="Y16"/>
      <c r="Z16"/>
    </row>
    <row r="17" spans="1:26" x14ac:dyDescent="0.35">
      <c r="A17" s="144" t="s">
        <v>303</v>
      </c>
      <c r="B17" s="144"/>
      <c r="C17" s="144" t="s">
        <v>304</v>
      </c>
      <c r="D17" s="144"/>
      <c r="E17" s="144"/>
      <c r="F17" s="144"/>
      <c r="G17" s="144"/>
      <c r="H17" s="144"/>
      <c r="S17" s="48" t="s">
        <v>180</v>
      </c>
      <c r="T17" s="48" t="s">
        <v>188</v>
      </c>
      <c r="U17" s="48" t="s">
        <v>169</v>
      </c>
      <c r="V17" s="48" t="s">
        <v>195</v>
      </c>
      <c r="W17" s="48" t="s">
        <v>212</v>
      </c>
      <c r="X17"/>
      <c r="Y17"/>
      <c r="Z17"/>
    </row>
    <row r="18" spans="1:26" ht="15.75" customHeight="1" x14ac:dyDescent="0.35">
      <c r="A18" s="144" t="s">
        <v>160</v>
      </c>
      <c r="B18" s="144"/>
      <c r="C18" s="144" t="s">
        <v>345</v>
      </c>
      <c r="D18" s="144"/>
      <c r="E18" s="144"/>
      <c r="F18" s="144"/>
      <c r="G18" s="144"/>
      <c r="H18" s="144"/>
      <c r="S18" s="48" t="s">
        <v>181</v>
      </c>
      <c r="T18" s="48" t="s">
        <v>186</v>
      </c>
      <c r="U18" s="48"/>
      <c r="V18" s="48" t="s">
        <v>196</v>
      </c>
      <c r="W18" s="48" t="s">
        <v>213</v>
      </c>
      <c r="X18"/>
      <c r="Y18"/>
      <c r="Z18"/>
    </row>
    <row r="19" spans="1:26" ht="15.75" customHeight="1" x14ac:dyDescent="0.35">
      <c r="A19" s="85" t="s">
        <v>10</v>
      </c>
      <c r="B19" s="85"/>
      <c r="C19" s="140" t="s">
        <v>312</v>
      </c>
      <c r="D19" s="140"/>
      <c r="E19" s="144" t="s">
        <v>70</v>
      </c>
      <c r="F19" s="144"/>
      <c r="G19" s="144" t="s">
        <v>305</v>
      </c>
      <c r="H19" s="144"/>
      <c r="S19" s="48" t="s">
        <v>182</v>
      </c>
      <c r="T19" s="48" t="s">
        <v>189</v>
      </c>
      <c r="U19" s="48"/>
      <c r="V19" s="48" t="s">
        <v>197</v>
      </c>
      <c r="W19" s="48" t="s">
        <v>214</v>
      </c>
      <c r="X19"/>
      <c r="Y19"/>
      <c r="Z19"/>
    </row>
    <row r="20" spans="1:26" x14ac:dyDescent="0.35">
      <c r="A20" s="77" t="s">
        <v>12</v>
      </c>
      <c r="B20" s="77"/>
      <c r="C20" s="144" t="s">
        <v>309</v>
      </c>
      <c r="D20" s="144"/>
      <c r="E20" s="144" t="s">
        <v>11</v>
      </c>
      <c r="F20" s="144"/>
      <c r="G20" s="145" t="s">
        <v>186</v>
      </c>
      <c r="H20" s="145"/>
      <c r="S20" s="48" t="s">
        <v>183</v>
      </c>
      <c r="T20" s="48" t="s">
        <v>190</v>
      </c>
      <c r="U20" s="48"/>
      <c r="V20" s="48" t="s">
        <v>198</v>
      </c>
      <c r="W20" s="48" t="s">
        <v>215</v>
      </c>
      <c r="X20"/>
      <c r="Y20"/>
      <c r="Z20"/>
    </row>
    <row r="21" spans="1:26" x14ac:dyDescent="0.35">
      <c r="A21" s="77" t="s">
        <v>71</v>
      </c>
      <c r="B21" s="77"/>
      <c r="C21" s="144" t="s">
        <v>187</v>
      </c>
      <c r="D21" s="144"/>
      <c r="E21" s="144" t="s">
        <v>13</v>
      </c>
      <c r="F21" s="144"/>
      <c r="G21" s="144">
        <v>401303</v>
      </c>
      <c r="H21" s="144"/>
      <c r="S21" s="48"/>
      <c r="T21" s="48"/>
      <c r="U21" s="48"/>
      <c r="V21" s="48" t="s">
        <v>199</v>
      </c>
      <c r="W21" s="48" t="s">
        <v>216</v>
      </c>
      <c r="X21"/>
      <c r="Y21"/>
      <c r="Z21"/>
    </row>
    <row r="22" spans="1:26" ht="32.25" customHeight="1" x14ac:dyDescent="0.35">
      <c r="A22" s="77" t="s">
        <v>119</v>
      </c>
      <c r="B22" s="77"/>
      <c r="C22" s="144" t="s">
        <v>310</v>
      </c>
      <c r="D22" s="144"/>
      <c r="E22" s="85" t="s">
        <v>14</v>
      </c>
      <c r="F22" s="85"/>
      <c r="G22" s="144" t="s">
        <v>308</v>
      </c>
      <c r="H22" s="144"/>
      <c r="S22" s="48"/>
      <c r="T22" s="48"/>
      <c r="U22" s="48"/>
      <c r="V22" s="48" t="s">
        <v>200</v>
      </c>
      <c r="W22" s="48" t="s">
        <v>217</v>
      </c>
      <c r="X22"/>
      <c r="Y22"/>
      <c r="Z22"/>
    </row>
    <row r="23" spans="1:26" ht="15" customHeight="1" x14ac:dyDescent="0.35">
      <c r="A23" s="85" t="s">
        <v>73</v>
      </c>
      <c r="B23" s="85"/>
      <c r="C23" s="85"/>
      <c r="D23" s="85"/>
      <c r="E23" s="140" t="s">
        <v>15</v>
      </c>
      <c r="F23" s="140"/>
      <c r="G23" s="140"/>
      <c r="H23" s="140"/>
      <c r="S23" s="48"/>
      <c r="T23" s="48"/>
      <c r="U23" s="48"/>
      <c r="V23" s="48" t="s">
        <v>201</v>
      </c>
      <c r="W23" s="48" t="s">
        <v>218</v>
      </c>
      <c r="X23"/>
      <c r="Y23"/>
      <c r="Z23"/>
    </row>
    <row r="24" spans="1:26" ht="18.75" customHeight="1" x14ac:dyDescent="0.35">
      <c r="A24" s="85"/>
      <c r="B24" s="85"/>
      <c r="C24" s="85"/>
      <c r="D24" s="85"/>
      <c r="E24" s="140"/>
      <c r="F24" s="140"/>
      <c r="G24" s="140"/>
      <c r="H24" s="140"/>
      <c r="S24" s="48"/>
      <c r="T24" s="48"/>
      <c r="U24" s="48"/>
      <c r="V24" s="48" t="s">
        <v>202</v>
      </c>
      <c r="W24" s="48" t="s">
        <v>219</v>
      </c>
      <c r="X24"/>
      <c r="Y24"/>
      <c r="Z24"/>
    </row>
    <row r="25" spans="1:26" ht="15" customHeight="1" x14ac:dyDescent="0.35">
      <c r="A25" s="85" t="s">
        <v>16</v>
      </c>
      <c r="B25" s="85"/>
      <c r="C25" s="85"/>
      <c r="D25" s="85"/>
      <c r="E25" s="144" t="s">
        <v>17</v>
      </c>
      <c r="F25" s="144"/>
      <c r="G25" s="144"/>
      <c r="H25" s="144"/>
      <c r="S25" s="48"/>
      <c r="T25" s="48"/>
      <c r="U25" s="48"/>
      <c r="V25" s="48" t="s">
        <v>203</v>
      </c>
      <c r="W25" s="48" t="s">
        <v>220</v>
      </c>
      <c r="X25"/>
      <c r="Y25"/>
      <c r="Z25"/>
    </row>
    <row r="26" spans="1:26" ht="15" customHeight="1" x14ac:dyDescent="0.35">
      <c r="A26" s="77" t="s">
        <v>18</v>
      </c>
      <c r="B26" s="77"/>
      <c r="C26" s="77"/>
      <c r="D26" s="77"/>
      <c r="E26" s="144" t="str">
        <f>IF(AND(G20="Mumbai"),"Upper Class","Middle Class")</f>
        <v>Middle Class</v>
      </c>
      <c r="F26" s="144"/>
      <c r="G26" s="144"/>
      <c r="H26" s="144"/>
      <c r="S26" s="48"/>
      <c r="T26" s="48"/>
      <c r="U26" s="48"/>
      <c r="V26" s="48" t="s">
        <v>204</v>
      </c>
      <c r="W26" s="48" t="s">
        <v>221</v>
      </c>
      <c r="X26"/>
      <c r="Y26"/>
      <c r="Z26"/>
    </row>
    <row r="27" spans="1:26" x14ac:dyDescent="0.35">
      <c r="A27" s="77" t="s">
        <v>19</v>
      </c>
      <c r="B27" s="77"/>
      <c r="C27" s="77"/>
      <c r="D27" s="77"/>
      <c r="E27" s="144" t="s">
        <v>20</v>
      </c>
      <c r="F27" s="144"/>
      <c r="G27" s="144"/>
      <c r="H27" s="144"/>
      <c r="S27" s="48"/>
      <c r="T27" s="48"/>
      <c r="U27" s="48"/>
      <c r="V27" s="48" t="s">
        <v>205</v>
      </c>
      <c r="W27" s="48" t="s">
        <v>222</v>
      </c>
      <c r="X27"/>
      <c r="Y27"/>
      <c r="Z27"/>
    </row>
    <row r="28" spans="1:26" ht="15.75" customHeight="1" x14ac:dyDescent="0.35">
      <c r="A28" s="77" t="s">
        <v>21</v>
      </c>
      <c r="B28" s="77"/>
      <c r="C28" s="77"/>
      <c r="D28" s="77"/>
      <c r="E28" s="144" t="str">
        <f>IF(AND(G20="Mumbai"),"Developed","Developing")</f>
        <v>Developing</v>
      </c>
      <c r="F28" s="144"/>
      <c r="G28" s="144"/>
      <c r="H28" s="144"/>
    </row>
    <row r="29" spans="1:26" x14ac:dyDescent="0.35">
      <c r="A29" s="77" t="s">
        <v>22</v>
      </c>
      <c r="B29" s="77"/>
      <c r="C29" s="77"/>
      <c r="D29" s="77"/>
      <c r="E29" s="144" t="s">
        <v>23</v>
      </c>
      <c r="F29" s="144"/>
      <c r="G29" s="144"/>
      <c r="H29" s="144"/>
    </row>
    <row r="30" spans="1:26" ht="15.75" customHeight="1" x14ac:dyDescent="0.35">
      <c r="A30" s="77" t="s">
        <v>78</v>
      </c>
      <c r="B30" s="77"/>
      <c r="C30" s="77"/>
      <c r="D30" s="77"/>
      <c r="E30" s="144" t="s">
        <v>79</v>
      </c>
      <c r="F30" s="144"/>
      <c r="G30" s="144"/>
      <c r="H30" s="144"/>
    </row>
    <row r="31" spans="1:26" ht="15" customHeight="1" x14ac:dyDescent="0.35">
      <c r="A31" s="77" t="s">
        <v>30</v>
      </c>
      <c r="B31" s="77"/>
      <c r="C31" s="77"/>
      <c r="D31" s="77"/>
      <c r="E31" s="144"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 + Commercial</v>
      </c>
      <c r="F31" s="144"/>
      <c r="G31" s="144"/>
      <c r="H31" s="144"/>
    </row>
    <row r="32" spans="1:26" ht="15.75" customHeight="1" x14ac:dyDescent="0.35">
      <c r="A32" s="77" t="s">
        <v>89</v>
      </c>
      <c r="B32" s="77"/>
      <c r="C32" s="77"/>
      <c r="D32" s="77"/>
      <c r="E32" s="144" t="s">
        <v>31</v>
      </c>
      <c r="F32" s="144"/>
      <c r="G32" s="144"/>
      <c r="H32" s="144"/>
    </row>
    <row r="33" spans="1:19" s="19" customFormat="1" x14ac:dyDescent="0.35">
      <c r="A33" s="147" t="s">
        <v>90</v>
      </c>
      <c r="B33" s="147"/>
      <c r="C33" s="75" t="s">
        <v>170</v>
      </c>
      <c r="D33" s="75"/>
      <c r="E33" s="75"/>
      <c r="F33" s="75" t="s">
        <v>29</v>
      </c>
      <c r="G33" s="75"/>
      <c r="H33" s="75"/>
      <c r="S33" s="19" t="e">
        <f ca="1">OFFSET($S$13,1,MATCH($G20,$S$13:$W$13,0)-1,15,1)</f>
        <v>#VALUE!</v>
      </c>
    </row>
    <row r="34" spans="1:19" s="19" customFormat="1" x14ac:dyDescent="0.35">
      <c r="A34" s="146" t="s">
        <v>24</v>
      </c>
      <c r="B34" s="146" t="s">
        <v>28</v>
      </c>
      <c r="C34" s="210" t="s">
        <v>315</v>
      </c>
      <c r="D34" s="210"/>
      <c r="E34" s="210"/>
      <c r="F34" s="210" t="s">
        <v>313</v>
      </c>
      <c r="G34" s="210"/>
      <c r="H34" s="210"/>
    </row>
    <row r="35" spans="1:19" x14ac:dyDescent="0.35">
      <c r="A35" s="146" t="s">
        <v>25</v>
      </c>
      <c r="B35" s="146" t="s">
        <v>28</v>
      </c>
      <c r="C35" s="210" t="s">
        <v>316</v>
      </c>
      <c r="D35" s="210"/>
      <c r="E35" s="210"/>
      <c r="F35" s="210" t="s">
        <v>312</v>
      </c>
      <c r="G35" s="210"/>
      <c r="H35" s="210"/>
    </row>
    <row r="36" spans="1:19" s="19" customFormat="1" x14ac:dyDescent="0.35">
      <c r="A36" s="146" t="s">
        <v>27</v>
      </c>
      <c r="B36" s="146" t="s">
        <v>28</v>
      </c>
      <c r="C36" s="210" t="s">
        <v>315</v>
      </c>
      <c r="D36" s="210"/>
      <c r="E36" s="210"/>
      <c r="F36" s="210" t="s">
        <v>310</v>
      </c>
      <c r="G36" s="210"/>
      <c r="H36" s="210"/>
    </row>
    <row r="37" spans="1:19" x14ac:dyDescent="0.35">
      <c r="A37" s="146" t="s">
        <v>26</v>
      </c>
      <c r="B37" s="146" t="s">
        <v>28</v>
      </c>
      <c r="C37" s="210" t="s">
        <v>317</v>
      </c>
      <c r="D37" s="210"/>
      <c r="E37" s="210"/>
      <c r="F37" s="210" t="s">
        <v>314</v>
      </c>
      <c r="G37" s="210"/>
      <c r="H37" s="210"/>
    </row>
    <row r="38" spans="1:19" x14ac:dyDescent="0.35">
      <c r="A38" s="77" t="s">
        <v>277</v>
      </c>
      <c r="B38" s="77"/>
      <c r="C38" s="77"/>
      <c r="D38" s="77"/>
      <c r="E38" s="77"/>
      <c r="F38" s="77"/>
      <c r="G38" s="77"/>
      <c r="H38" s="77"/>
    </row>
    <row r="39" spans="1:19" ht="15.75" customHeight="1" x14ac:dyDescent="0.35">
      <c r="A39" s="77" t="s">
        <v>162</v>
      </c>
      <c r="B39" s="77"/>
      <c r="C39" s="136" t="s">
        <v>306</v>
      </c>
      <c r="D39" s="136"/>
      <c r="E39" s="136"/>
      <c r="F39" s="136"/>
      <c r="G39" s="136"/>
      <c r="H39" s="136"/>
    </row>
    <row r="40" spans="1:19" x14ac:dyDescent="0.35">
      <c r="A40" s="77" t="s">
        <v>159</v>
      </c>
      <c r="B40" s="77"/>
      <c r="C40" s="208" t="s">
        <v>307</v>
      </c>
      <c r="D40" s="144"/>
      <c r="E40" s="144"/>
      <c r="F40" s="144"/>
      <c r="G40" s="144"/>
      <c r="H40" s="144"/>
    </row>
    <row r="41" spans="1:19" x14ac:dyDescent="0.35">
      <c r="A41" s="136" t="s">
        <v>32</v>
      </c>
      <c r="B41" s="136"/>
      <c r="C41" s="136"/>
      <c r="D41" s="136"/>
      <c r="E41" s="136"/>
      <c r="F41" s="136"/>
      <c r="G41" s="136"/>
      <c r="H41" s="136"/>
    </row>
    <row r="42" spans="1:19" x14ac:dyDescent="0.35">
      <c r="A42" s="77" t="s">
        <v>33</v>
      </c>
      <c r="B42" s="77"/>
      <c r="C42" s="77"/>
      <c r="D42" s="77"/>
      <c r="E42" s="172">
        <v>1328.48</v>
      </c>
      <c r="F42" s="172"/>
      <c r="G42" s="172"/>
      <c r="H42" s="172"/>
    </row>
    <row r="43" spans="1:19" x14ac:dyDescent="0.35">
      <c r="A43" s="77" t="s">
        <v>34</v>
      </c>
      <c r="B43" s="77"/>
      <c r="C43" s="77"/>
      <c r="D43" s="77"/>
      <c r="E43" s="87">
        <v>2.5</v>
      </c>
      <c r="F43" s="87"/>
      <c r="G43" s="87"/>
      <c r="H43" s="87"/>
    </row>
    <row r="44" spans="1:19" x14ac:dyDescent="0.35">
      <c r="A44" s="77" t="s">
        <v>35</v>
      </c>
      <c r="B44" s="77"/>
      <c r="C44" s="77"/>
      <c r="D44" s="77"/>
      <c r="E44" s="87">
        <f>E46/E42-E43</f>
        <v>1.0083704685053596</v>
      </c>
      <c r="F44" s="87"/>
      <c r="G44" s="87"/>
      <c r="H44" s="87"/>
    </row>
    <row r="45" spans="1:19" x14ac:dyDescent="0.35">
      <c r="A45" s="77" t="s">
        <v>36</v>
      </c>
      <c r="B45" s="77"/>
      <c r="C45" s="77"/>
      <c r="D45" s="77"/>
      <c r="E45" s="87">
        <f>E43+E44</f>
        <v>3.5083704685053596</v>
      </c>
      <c r="F45" s="87"/>
      <c r="G45" s="87"/>
      <c r="H45" s="87"/>
    </row>
    <row r="46" spans="1:19" x14ac:dyDescent="0.35">
      <c r="A46" s="77" t="s">
        <v>318</v>
      </c>
      <c r="B46" s="77"/>
      <c r="C46" s="77"/>
      <c r="D46" s="77"/>
      <c r="E46" s="81">
        <v>4660.8</v>
      </c>
      <c r="F46" s="81"/>
      <c r="G46" s="81"/>
      <c r="H46" s="81"/>
      <c r="I46" s="18">
        <f>2066.82+2593.98</f>
        <v>4660.8</v>
      </c>
    </row>
    <row r="47" spans="1:19" x14ac:dyDescent="0.35">
      <c r="A47" s="140" t="s">
        <v>37</v>
      </c>
      <c r="B47" s="140"/>
      <c r="C47" s="140"/>
      <c r="D47" s="140"/>
      <c r="E47" s="140" t="s">
        <v>118</v>
      </c>
      <c r="F47" s="140"/>
      <c r="G47" s="140"/>
      <c r="H47" s="140"/>
    </row>
    <row r="48" spans="1:19" x14ac:dyDescent="0.35">
      <c r="A48" s="136" t="s">
        <v>38</v>
      </c>
      <c r="B48" s="136"/>
      <c r="C48" s="136"/>
      <c r="D48" s="136"/>
      <c r="E48" s="136"/>
      <c r="F48" s="136"/>
      <c r="G48" s="136"/>
      <c r="H48" s="136"/>
    </row>
    <row r="49" spans="1:24" ht="33.75" customHeight="1" x14ac:dyDescent="0.35">
      <c r="A49" s="90" t="s">
        <v>148</v>
      </c>
      <c r="B49" s="91"/>
      <c r="C49" s="204" t="s">
        <v>272</v>
      </c>
      <c r="D49" s="205"/>
      <c r="E49" s="205"/>
      <c r="F49" s="205"/>
      <c r="G49" s="205"/>
      <c r="H49" s="206"/>
      <c r="R49" t="s">
        <v>250</v>
      </c>
      <c r="S49" t="s">
        <v>169</v>
      </c>
      <c r="T49" t="s">
        <v>176</v>
      </c>
      <c r="U49" t="s">
        <v>191</v>
      </c>
      <c r="V49" t="s">
        <v>186</v>
      </c>
    </row>
    <row r="50" spans="1:24" ht="31.5" customHeight="1" x14ac:dyDescent="0.35">
      <c r="A50" s="90" t="s">
        <v>39</v>
      </c>
      <c r="B50" s="91"/>
      <c r="C50" s="90" t="s">
        <v>319</v>
      </c>
      <c r="D50" s="97"/>
      <c r="E50" s="91"/>
      <c r="F50" s="17" t="s">
        <v>40</v>
      </c>
      <c r="G50" s="92">
        <v>44498</v>
      </c>
      <c r="H50" s="91"/>
      <c r="R50"/>
      <c r="S50" t="s">
        <v>251</v>
      </c>
      <c r="T50" t="s">
        <v>256</v>
      </c>
      <c r="U50" t="s">
        <v>267</v>
      </c>
      <c r="V50" t="s">
        <v>272</v>
      </c>
    </row>
    <row r="51" spans="1:24" ht="33" customHeight="1" x14ac:dyDescent="0.35">
      <c r="A51" s="90" t="s">
        <v>41</v>
      </c>
      <c r="B51" s="91"/>
      <c r="C51" s="90" t="str">
        <f>C50</f>
        <v>VVCMC/TP/AMEND/VP/0556/583/2021-22</v>
      </c>
      <c r="D51" s="97"/>
      <c r="E51" s="91"/>
      <c r="F51" s="17" t="s">
        <v>40</v>
      </c>
      <c r="G51" s="92">
        <f>G50</f>
        <v>44498</v>
      </c>
      <c r="H51" s="91"/>
      <c r="R51"/>
      <c r="S51" t="s">
        <v>252</v>
      </c>
      <c r="T51" t="s">
        <v>257</v>
      </c>
      <c r="U51" t="s">
        <v>265</v>
      </c>
      <c r="V51" t="s">
        <v>273</v>
      </c>
    </row>
    <row r="52" spans="1:24" s="20" customFormat="1" ht="15.75" customHeight="1" x14ac:dyDescent="0.35">
      <c r="A52" s="152" t="s">
        <v>152</v>
      </c>
      <c r="B52" s="153"/>
      <c r="C52" s="90" t="s">
        <v>320</v>
      </c>
      <c r="D52" s="97"/>
      <c r="E52" s="91"/>
      <c r="F52" s="17" t="s">
        <v>40</v>
      </c>
      <c r="G52" s="92">
        <f>G51</f>
        <v>44498</v>
      </c>
      <c r="H52" s="91"/>
      <c r="R52"/>
      <c r="S52" t="s">
        <v>253</v>
      </c>
      <c r="T52" t="s">
        <v>258</v>
      </c>
      <c r="U52" t="s">
        <v>255</v>
      </c>
      <c r="V52" t="s">
        <v>274</v>
      </c>
    </row>
    <row r="53" spans="1:24" s="20" customFormat="1" ht="16.5" customHeight="1" x14ac:dyDescent="0.35">
      <c r="A53" s="154"/>
      <c r="B53" s="155"/>
      <c r="C53" s="90" t="s">
        <v>331</v>
      </c>
      <c r="D53" s="97"/>
      <c r="E53" s="97"/>
      <c r="F53" s="97"/>
      <c r="G53" s="97"/>
      <c r="H53" s="91"/>
      <c r="R53"/>
      <c r="S53" t="s">
        <v>254</v>
      </c>
      <c r="T53" t="s">
        <v>261</v>
      </c>
      <c r="U53" t="s">
        <v>268</v>
      </c>
    </row>
    <row r="54" spans="1:24" s="20" customFormat="1" x14ac:dyDescent="0.35">
      <c r="A54" s="148" t="s">
        <v>323</v>
      </c>
      <c r="B54" s="156"/>
      <c r="C54" s="187" t="s">
        <v>342</v>
      </c>
      <c r="D54" s="188"/>
      <c r="E54" s="189"/>
      <c r="F54" s="68" t="s">
        <v>40</v>
      </c>
      <c r="G54" s="190">
        <v>44943</v>
      </c>
      <c r="H54" s="189"/>
      <c r="R54"/>
      <c r="S54" t="s">
        <v>253</v>
      </c>
      <c r="T54" t="s">
        <v>258</v>
      </c>
      <c r="U54" t="s">
        <v>255</v>
      </c>
      <c r="V54" t="s">
        <v>274</v>
      </c>
    </row>
    <row r="55" spans="1:24" s="20" customFormat="1" ht="48.75" customHeight="1" x14ac:dyDescent="0.35">
      <c r="A55" s="157"/>
      <c r="B55" s="158"/>
      <c r="C55" s="191" t="s">
        <v>344</v>
      </c>
      <c r="D55" s="192"/>
      <c r="E55" s="192"/>
      <c r="F55" s="192"/>
      <c r="G55" s="192"/>
      <c r="H55" s="193"/>
      <c r="R55"/>
      <c r="S55" t="s">
        <v>255</v>
      </c>
      <c r="T55" t="s">
        <v>259</v>
      </c>
      <c r="U55" t="s">
        <v>269</v>
      </c>
      <c r="V55" s="18"/>
      <c r="W55" s="18"/>
      <c r="X55" s="18"/>
    </row>
    <row r="56" spans="1:24" s="20" customFormat="1" ht="34.5" hidden="1" customHeight="1" x14ac:dyDescent="0.35">
      <c r="A56" s="93" t="s">
        <v>278</v>
      </c>
      <c r="B56" s="94"/>
      <c r="C56" s="90" t="str">
        <f>C53</f>
        <v>Gr/St + 1st to 15th Floor  (Residential Cum Commercial)</v>
      </c>
      <c r="D56" s="97"/>
      <c r="E56" s="91"/>
      <c r="F56" s="17" t="s">
        <v>40</v>
      </c>
      <c r="G56" s="90"/>
      <c r="H56" s="91"/>
      <c r="R56"/>
      <c r="S56" s="18"/>
      <c r="T56" t="s">
        <v>260</v>
      </c>
      <c r="U56" t="s">
        <v>270</v>
      </c>
      <c r="V56" s="18"/>
      <c r="W56" s="18"/>
      <c r="X56" s="18"/>
    </row>
    <row r="57" spans="1:24" s="20" customFormat="1" ht="41.25" hidden="1" customHeight="1" x14ac:dyDescent="0.35">
      <c r="A57" s="95"/>
      <c r="B57" s="96"/>
      <c r="C57" s="175"/>
      <c r="D57" s="176"/>
      <c r="E57" s="176"/>
      <c r="F57" s="176"/>
      <c r="G57" s="176"/>
      <c r="H57" s="177"/>
      <c r="R57"/>
      <c r="S57" s="18"/>
      <c r="T57" t="s">
        <v>262</v>
      </c>
      <c r="U57" t="s">
        <v>271</v>
      </c>
      <c r="V57" s="18"/>
      <c r="W57" s="18"/>
      <c r="X57" s="18"/>
    </row>
    <row r="58" spans="1:24" s="20" customFormat="1" ht="15.75" hidden="1" customHeight="1" x14ac:dyDescent="0.35">
      <c r="A58" s="93" t="s">
        <v>279</v>
      </c>
      <c r="B58" s="94"/>
      <c r="C58" s="90">
        <f>C57</f>
        <v>0</v>
      </c>
      <c r="D58" s="97"/>
      <c r="E58" s="91"/>
      <c r="F58" s="17" t="s">
        <v>40</v>
      </c>
      <c r="G58" s="90">
        <f>G57</f>
        <v>0</v>
      </c>
      <c r="H58" s="91"/>
      <c r="R58"/>
      <c r="S58" s="18"/>
      <c r="T58" t="s">
        <v>263</v>
      </c>
      <c r="U58" s="18" t="s">
        <v>294</v>
      </c>
      <c r="V58" s="18"/>
      <c r="W58" s="18"/>
      <c r="X58" s="18"/>
    </row>
    <row r="59" spans="1:24" s="20" customFormat="1" ht="33.75" hidden="1" customHeight="1" x14ac:dyDescent="0.35">
      <c r="A59" s="95"/>
      <c r="B59" s="96"/>
      <c r="C59" s="90"/>
      <c r="D59" s="97"/>
      <c r="E59" s="97"/>
      <c r="F59" s="97"/>
      <c r="G59" s="97"/>
      <c r="H59" s="91"/>
      <c r="R59"/>
      <c r="S59" s="18"/>
      <c r="T59" t="s">
        <v>264</v>
      </c>
      <c r="U59" s="18"/>
      <c r="V59" s="18"/>
      <c r="W59" s="18"/>
      <c r="X59" s="18"/>
    </row>
    <row r="60" spans="1:24" hidden="1" x14ac:dyDescent="0.35">
      <c r="A60" s="93" t="s">
        <v>280</v>
      </c>
      <c r="B60" s="94"/>
      <c r="C60" s="90">
        <f>C59</f>
        <v>0</v>
      </c>
      <c r="D60" s="97"/>
      <c r="E60" s="91"/>
      <c r="F60" s="17" t="s">
        <v>40</v>
      </c>
      <c r="G60" s="90">
        <f>G59</f>
        <v>0</v>
      </c>
      <c r="H60" s="91"/>
      <c r="R60"/>
      <c r="T60" t="s">
        <v>266</v>
      </c>
    </row>
    <row r="61" spans="1:24" hidden="1" x14ac:dyDescent="0.35">
      <c r="A61" s="95"/>
      <c r="B61" s="96"/>
      <c r="C61" s="90"/>
      <c r="D61" s="97"/>
      <c r="E61" s="97"/>
      <c r="F61" s="97"/>
      <c r="G61" s="97"/>
      <c r="H61" s="91"/>
      <c r="T61" t="s">
        <v>275</v>
      </c>
    </row>
    <row r="62" spans="1:24" x14ac:dyDescent="0.35">
      <c r="A62" s="78" t="s">
        <v>42</v>
      </c>
      <c r="B62" s="79"/>
      <c r="C62" s="78" t="s">
        <v>102</v>
      </c>
      <c r="D62" s="80"/>
      <c r="E62" s="79"/>
      <c r="F62" s="40" t="s">
        <v>40</v>
      </c>
      <c r="G62" s="159" t="s">
        <v>28</v>
      </c>
      <c r="H62" s="160"/>
      <c r="R62"/>
    </row>
    <row r="63" spans="1:24" x14ac:dyDescent="0.35">
      <c r="A63" s="137" t="s">
        <v>44</v>
      </c>
      <c r="B63" s="137"/>
      <c r="C63" s="137"/>
      <c r="D63" s="137"/>
      <c r="E63" s="137"/>
      <c r="F63" s="137"/>
      <c r="G63" s="137"/>
      <c r="H63" s="137"/>
      <c r="I63" s="21"/>
      <c r="R63"/>
    </row>
    <row r="64" spans="1:24" x14ac:dyDescent="0.35">
      <c r="A64" s="85" t="s">
        <v>88</v>
      </c>
      <c r="B64" s="85"/>
      <c r="C64" s="85"/>
      <c r="D64" s="81">
        <f>E46</f>
        <v>4660.8</v>
      </c>
      <c r="E64" s="77"/>
      <c r="F64" s="77"/>
      <c r="G64" s="77"/>
      <c r="H64" s="77"/>
      <c r="R64"/>
    </row>
    <row r="65" spans="1:19" ht="15.75" customHeight="1" x14ac:dyDescent="0.35">
      <c r="A65" s="144" t="s">
        <v>45</v>
      </c>
      <c r="B65" s="140"/>
      <c r="C65" s="140"/>
      <c r="D65" s="140" t="s">
        <v>343</v>
      </c>
      <c r="E65" s="140"/>
      <c r="F65" s="140"/>
      <c r="G65" s="140"/>
      <c r="H65" s="140"/>
      <c r="R65"/>
    </row>
    <row r="66" spans="1:19" ht="15.75" customHeight="1" x14ac:dyDescent="0.35">
      <c r="A66" s="148" t="s">
        <v>46</v>
      </c>
      <c r="B66" s="149"/>
      <c r="C66" s="156"/>
      <c r="D66" s="150" t="s">
        <v>321</v>
      </c>
      <c r="E66" s="151"/>
      <c r="F66" s="151"/>
      <c r="G66" s="151"/>
      <c r="H66" s="151"/>
      <c r="J66" s="22"/>
      <c r="K66" s="21"/>
      <c r="N66" s="21"/>
      <c r="S66"/>
    </row>
    <row r="67" spans="1:19" ht="15.75" customHeight="1" x14ac:dyDescent="0.35">
      <c r="A67" s="148" t="s">
        <v>86</v>
      </c>
      <c r="B67" s="149"/>
      <c r="C67" s="149"/>
      <c r="D67" s="150" t="s">
        <v>321</v>
      </c>
      <c r="E67" s="151"/>
      <c r="F67" s="151"/>
      <c r="G67" s="151"/>
      <c r="H67" s="151"/>
      <c r="N67" s="21"/>
      <c r="S67"/>
    </row>
    <row r="68" spans="1:19" ht="15.75" customHeight="1" x14ac:dyDescent="0.35">
      <c r="A68" s="77" t="s">
        <v>43</v>
      </c>
      <c r="B68" s="77"/>
      <c r="C68" s="77"/>
      <c r="D68" s="85" t="s">
        <v>347</v>
      </c>
      <c r="E68" s="85"/>
      <c r="F68" s="85"/>
      <c r="G68" s="85"/>
      <c r="H68" s="85"/>
      <c r="J68" s="23"/>
      <c r="K68" s="23"/>
      <c r="S68"/>
    </row>
    <row r="69" spans="1:19" x14ac:dyDescent="0.35">
      <c r="A69" s="77" t="s">
        <v>84</v>
      </c>
      <c r="B69" s="77"/>
      <c r="C69" s="77"/>
      <c r="D69" s="173" t="str">
        <f>(IF(G62="NA","60 Years After Completion",IF(G62&lt;&gt;"NA",""&amp;60-ROUNDDOWN((E3-G62)/360,0)&amp;" Years"," ")))</f>
        <v>60 Years After Completion</v>
      </c>
      <c r="E69" s="173"/>
      <c r="F69" s="173"/>
      <c r="G69" s="173"/>
      <c r="H69" s="173"/>
      <c r="S69"/>
    </row>
    <row r="70" spans="1:19" x14ac:dyDescent="0.35">
      <c r="A70" s="77" t="s">
        <v>85</v>
      </c>
      <c r="B70" s="77"/>
      <c r="C70" s="77"/>
      <c r="D70" s="85" t="s">
        <v>23</v>
      </c>
      <c r="E70" s="85"/>
      <c r="F70" s="85"/>
      <c r="G70" s="85"/>
      <c r="H70" s="85"/>
      <c r="I70" s="24"/>
      <c r="J70" s="24"/>
      <c r="K70" s="24"/>
      <c r="L70" s="24"/>
      <c r="M70" s="24"/>
      <c r="N70" s="24"/>
    </row>
    <row r="71" spans="1:19" ht="52.5" customHeight="1" x14ac:dyDescent="0.35">
      <c r="A71" s="140" t="s">
        <v>324</v>
      </c>
      <c r="B71" s="140"/>
      <c r="C71" s="140"/>
      <c r="D71" s="144" t="s">
        <v>341</v>
      </c>
      <c r="E71" s="85"/>
      <c r="F71" s="85"/>
      <c r="G71" s="85"/>
      <c r="H71" s="85"/>
      <c r="J71" s="23"/>
      <c r="S71"/>
    </row>
    <row r="72" spans="1:19" x14ac:dyDescent="0.35">
      <c r="A72" s="85" t="s">
        <v>145</v>
      </c>
      <c r="B72" s="85"/>
      <c r="C72" s="85"/>
      <c r="D72" s="85" t="s">
        <v>28</v>
      </c>
      <c r="E72" s="85"/>
      <c r="F72" s="85"/>
      <c r="G72" s="85"/>
      <c r="H72" s="85"/>
      <c r="S72"/>
    </row>
    <row r="73" spans="1:19" ht="15.75" customHeight="1" x14ac:dyDescent="0.35">
      <c r="A73" s="86" t="s">
        <v>83</v>
      </c>
      <c r="B73" s="86"/>
      <c r="C73" s="86"/>
      <c r="D73" s="150" t="str">
        <f ca="1">(IF(G79&gt;95%,"Nothing",IF(G79&gt;0%,"Cement, Aggregate, Steel, etc",IF(G79=0%,"Work not yet Started"))))</f>
        <v>Cement, Aggregate, Steel, etc</v>
      </c>
      <c r="E73" s="150"/>
      <c r="F73" s="150"/>
      <c r="G73" s="150"/>
      <c r="H73" s="150"/>
      <c r="S73"/>
    </row>
    <row r="74" spans="1:19" ht="16" thickBot="1" x14ac:dyDescent="0.4">
      <c r="A74" s="194" t="s">
        <v>115</v>
      </c>
      <c r="B74" s="194"/>
      <c r="C74" s="194"/>
      <c r="D74" s="150" t="str">
        <f ca="1">(IF(D73="Nothing","Yes",IF(D73="Cement, Aggregate, Steel, etc","Under Construction",IF(D73="Work not yet Started","Work not yet Started"))))</f>
        <v>Under Construction</v>
      </c>
      <c r="E74" s="150"/>
      <c r="F74" s="150" t="str">
        <f ca="1">(IF(D73="Nothing","Yes",IF(D73="Cement, Aggregate, Steel, etc","Under Construction",IF(D73="Work not yet Started","Work not yet Started"))))</f>
        <v>Under Construction</v>
      </c>
      <c r="G74" s="150"/>
      <c r="H74" s="150"/>
      <c r="S74"/>
    </row>
    <row r="75" spans="1:19" x14ac:dyDescent="0.35">
      <c r="A75" s="199" t="s">
        <v>137</v>
      </c>
      <c r="B75" s="200"/>
      <c r="C75" s="201" t="str">
        <f>D67</f>
        <v>Gr/St + 1st to 15th Floor</v>
      </c>
      <c r="D75" s="202"/>
      <c r="E75" s="202"/>
      <c r="F75" s="202"/>
      <c r="G75" s="202"/>
      <c r="H75" s="203"/>
      <c r="I75" s="42" t="str">
        <f ca="1">IF(D88=100%,"All work Completed. Possession granted to the Building.",IF(D87=100%,"All work Completed, Waiting for OC",I76&amp;""&amp;I77&amp;""&amp;J76&amp;""&amp;J75&amp;" "&amp;J77))</f>
        <v>Excavation, Plinth Completed, RCC upto 13 Slab, Brickwork upto 10 Floor, Internal Plaster upto 7 Floor, External Plaster upto 7 Floor, Flooring upto 7 Floor, Painting upto 7 Floor, Finishing upto 6 Floor, Possession upto 6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13 Slab, Brickwork upto 10 Floor, Internal Plaster upto 7 Floor, External Plaster upto 7 Floor, Flooring upto 7 Floor, Painting upto 7 Floor, Finishing upto 6 Floor, Possession upto 6 Floor</v>
      </c>
      <c r="S75"/>
    </row>
    <row r="76" spans="1:19" ht="15.75" customHeight="1" x14ac:dyDescent="0.35">
      <c r="A76" s="15" t="s">
        <v>139</v>
      </c>
      <c r="B76" s="46">
        <f>IF(AND(ISNUMBER(SEARCH("1B",C75))),1,IF(AND(ISNUMBER(SEARCH("2B",C75))),2,IF(AND(ISNUMBER(SEARCH("3B",C75))),3,IF(AND(ISNUMBER(SEARCH("4B",C75))),4,IF(ISNUMBER(SEARCH("5B",C75)),5,0)))))</f>
        <v>0</v>
      </c>
      <c r="C76" s="46" t="s">
        <v>69</v>
      </c>
      <c r="D76" s="46">
        <v>1</v>
      </c>
      <c r="E76" s="46" t="s">
        <v>68</v>
      </c>
      <c r="F76" s="46">
        <v>0</v>
      </c>
      <c r="G76" s="46" t="s">
        <v>77</v>
      </c>
      <c r="H76" s="16">
        <f ca="1">--TRIM(RIGHT(SUBSTITUTE(LEFT(C75,_xlfn.AGGREGATE(16,6,FIND({0,1,2,3,4,5,6,7,8,9},C75,ROW(INDIRECT("1:"&amp;LEN(C75)))),1))," ",REPT(" ",LEN(C75))),LEN(C75)))</f>
        <v>15</v>
      </c>
      <c r="I76" s="44"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65.25" customHeight="1" x14ac:dyDescent="0.35">
      <c r="A77" s="198" t="s">
        <v>87</v>
      </c>
      <c r="B77" s="142"/>
      <c r="C77" s="141" t="str">
        <f ca="1">I75</f>
        <v>Excavation, Plinth Completed, RCC upto 13 Slab, Brickwork upto 10 Floor, Internal Plaster upto 7 Floor, External Plaster upto 7 Floor, Flooring upto 7 Floor, Painting upto 7 Floor, Finishing upto 6 Floor, Possession upto 6 Floor Completed</v>
      </c>
      <c r="D77" s="141"/>
      <c r="E77" s="141"/>
      <c r="F77" s="141"/>
      <c r="G77" s="141"/>
      <c r="H77" s="207"/>
      <c r="I77" s="44" t="str">
        <f ca="1">IF(I76&lt;&gt;""," Completed","")</f>
        <v xml:space="preserve"> Completed</v>
      </c>
      <c r="J77" s="45" t="str">
        <f ca="1">IF(J75&lt;&gt;"","Completed","")</f>
        <v>Completed</v>
      </c>
    </row>
    <row r="78" spans="1:19" x14ac:dyDescent="0.35">
      <c r="A78" s="88" t="s">
        <v>47</v>
      </c>
      <c r="B78" s="89"/>
      <c r="C78" s="57" t="s">
        <v>136</v>
      </c>
      <c r="D78" s="57" t="s">
        <v>80</v>
      </c>
      <c r="E78" s="195" t="s">
        <v>82</v>
      </c>
      <c r="F78" s="195"/>
      <c r="G78" s="195" t="s">
        <v>81</v>
      </c>
      <c r="H78" s="196"/>
      <c r="I78" s="13" t="s">
        <v>138</v>
      </c>
      <c r="J78" s="25">
        <f ca="1">H76*25%</f>
        <v>3.75</v>
      </c>
      <c r="S78"/>
    </row>
    <row r="79" spans="1:19" ht="15.75" customHeight="1" x14ac:dyDescent="0.35">
      <c r="A79" s="88" t="s">
        <v>125</v>
      </c>
      <c r="B79" s="89"/>
      <c r="C79" s="57">
        <f ca="1">J80</f>
        <v>15</v>
      </c>
      <c r="D79" s="58">
        <f ca="1">((100/H76)*C79)/100</f>
        <v>1</v>
      </c>
      <c r="E79" s="161">
        <f ca="1">(((C80/H76*10)+(40/(D76+F76+H76)*C81)+(7.5/(H76)*C82)+(7.5/(H76)*C83)+(10/H76*C84)+(10/H76*C85)+(5/H76*C86)+(5/H76*C87)+(5/H76*C88))/100)</f>
        <v>0.66666666666666652</v>
      </c>
      <c r="F79" s="162"/>
      <c r="G79" s="161">
        <f ca="1">((((C79/H76)*20)+((C80/H76)*25)+(30/(H76+F76+D76)*C81)+(5/H76*C82)+(5/H76*C83)+(5/H76*C84)+(5/H76*C85)+(0/H76*C86)+(0/H76*C87)+(5/H76*C88))/100)</f>
        <v>0.81708333333333316</v>
      </c>
      <c r="H79" s="167"/>
      <c r="I79" s="13" t="s">
        <v>97</v>
      </c>
      <c r="J79" s="26">
        <f ca="1">H76*50%</f>
        <v>7.5</v>
      </c>
      <c r="S79"/>
    </row>
    <row r="80" spans="1:19" ht="15.75" customHeight="1" x14ac:dyDescent="0.35">
      <c r="A80" s="88" t="s">
        <v>48</v>
      </c>
      <c r="B80" s="89"/>
      <c r="C80" s="57">
        <f ca="1">J88</f>
        <v>15</v>
      </c>
      <c r="D80" s="58">
        <f ca="1">((100/H76)*C80)/100</f>
        <v>1</v>
      </c>
      <c r="E80" s="163"/>
      <c r="F80" s="164"/>
      <c r="G80" s="163"/>
      <c r="H80" s="168"/>
      <c r="I80" s="13" t="s">
        <v>98</v>
      </c>
      <c r="J80" s="26">
        <f ca="1">H76</f>
        <v>15</v>
      </c>
    </row>
    <row r="81" spans="1:22" ht="15.75" customHeight="1" x14ac:dyDescent="0.35">
      <c r="A81" s="88" t="s">
        <v>126</v>
      </c>
      <c r="B81" s="89"/>
      <c r="C81" s="57">
        <v>13</v>
      </c>
      <c r="D81" s="58">
        <f ca="1">((100/(D76+F76+H76))*C81)/100</f>
        <v>0.8125</v>
      </c>
      <c r="E81" s="163"/>
      <c r="F81" s="164"/>
      <c r="G81" s="163"/>
      <c r="H81" s="168"/>
      <c r="I81" s="13" t="s">
        <v>99</v>
      </c>
      <c r="J81" s="27">
        <f ca="1">(IF(B76&gt;1,(H76/(B76+2)),H76/4))</f>
        <v>3.75</v>
      </c>
    </row>
    <row r="82" spans="1:22" ht="15" customHeight="1" x14ac:dyDescent="0.35">
      <c r="A82" s="88" t="s">
        <v>133</v>
      </c>
      <c r="B82" s="89" t="s">
        <v>127</v>
      </c>
      <c r="C82" s="57">
        <v>10</v>
      </c>
      <c r="D82" s="58">
        <f ca="1">((100/H76)*C82)/100</f>
        <v>0.66666666666666674</v>
      </c>
      <c r="E82" s="163"/>
      <c r="F82" s="164"/>
      <c r="G82" s="163"/>
      <c r="H82" s="168"/>
      <c r="I82" s="13" t="s">
        <v>100</v>
      </c>
      <c r="J82" s="27">
        <f ca="1">(IF(B76&gt;1,(H76/(B76+2)+J81),H76/4+J81))</f>
        <v>7.5</v>
      </c>
    </row>
    <row r="83" spans="1:22" ht="15.75" customHeight="1" x14ac:dyDescent="0.35">
      <c r="A83" s="88" t="s">
        <v>134</v>
      </c>
      <c r="B83" s="89" t="s">
        <v>127</v>
      </c>
      <c r="C83" s="57">
        <v>7</v>
      </c>
      <c r="D83" s="58">
        <f ca="1">((100/H76)*C83)/100</f>
        <v>0.46666666666666673</v>
      </c>
      <c r="E83" s="163"/>
      <c r="F83" s="164"/>
      <c r="G83" s="163"/>
      <c r="H83" s="168"/>
      <c r="I83" s="13" t="s">
        <v>143</v>
      </c>
      <c r="J83" s="27">
        <f>(IF(B76&gt;1,(H76/(B76+2)+J82),0))</f>
        <v>0</v>
      </c>
    </row>
    <row r="84" spans="1:22" ht="15.75" customHeight="1" x14ac:dyDescent="0.35">
      <c r="A84" s="88" t="s">
        <v>132</v>
      </c>
      <c r="B84" s="89" t="s">
        <v>129</v>
      </c>
      <c r="C84" s="57">
        <v>7</v>
      </c>
      <c r="D84" s="58">
        <f ca="1">((100/(H76))*C84)/100</f>
        <v>0.46666666666666673</v>
      </c>
      <c r="E84" s="163"/>
      <c r="F84" s="164"/>
      <c r="G84" s="163"/>
      <c r="H84" s="168"/>
      <c r="I84" s="13" t="s">
        <v>140</v>
      </c>
      <c r="J84" s="27">
        <f>(IF(B76&gt;2,(H76/(B76+2)+J83),0))</f>
        <v>0</v>
      </c>
    </row>
    <row r="85" spans="1:22" ht="15.75" customHeight="1" x14ac:dyDescent="0.35">
      <c r="A85" s="88" t="s">
        <v>128</v>
      </c>
      <c r="B85" s="89" t="s">
        <v>128</v>
      </c>
      <c r="C85" s="57">
        <v>7</v>
      </c>
      <c r="D85" s="58">
        <f ca="1">((100/H76)*C85)/100</f>
        <v>0.46666666666666673</v>
      </c>
      <c r="E85" s="163"/>
      <c r="F85" s="164"/>
      <c r="G85" s="163"/>
      <c r="H85" s="168"/>
      <c r="I85" s="13" t="s">
        <v>141</v>
      </c>
      <c r="J85" s="28">
        <f>(IF(B76&gt;3,(H76/(B76+2)+J84),0))</f>
        <v>0</v>
      </c>
    </row>
    <row r="86" spans="1:22" x14ac:dyDescent="0.35">
      <c r="A86" s="88" t="s">
        <v>135</v>
      </c>
      <c r="B86" s="89"/>
      <c r="C86" s="57">
        <v>7</v>
      </c>
      <c r="D86" s="58">
        <f ca="1">((100/H76)*C86)/100</f>
        <v>0.46666666666666673</v>
      </c>
      <c r="E86" s="163"/>
      <c r="F86" s="164"/>
      <c r="G86" s="163"/>
      <c r="H86" s="168"/>
      <c r="I86" s="13" t="s">
        <v>142</v>
      </c>
      <c r="J86" s="27">
        <f>(IF(B76&gt;4,(H76/(B76+2)+J85),0))</f>
        <v>0</v>
      </c>
    </row>
    <row r="87" spans="1:22" ht="15.75" customHeight="1" x14ac:dyDescent="0.35">
      <c r="A87" s="88" t="s">
        <v>130</v>
      </c>
      <c r="B87" s="89" t="s">
        <v>130</v>
      </c>
      <c r="C87" s="57">
        <v>6</v>
      </c>
      <c r="D87" s="58">
        <f ca="1">((100/(H76))*C87)/100</f>
        <v>0.4</v>
      </c>
      <c r="E87" s="163"/>
      <c r="F87" s="164"/>
      <c r="G87" s="163"/>
      <c r="H87" s="168"/>
      <c r="I87" s="13" t="s">
        <v>144</v>
      </c>
      <c r="J87" s="27">
        <f ca="1">(IF(B76=1,(H76/(B76+3)+J82),IF(B76=0,(H76/4+J82),IF(B76&gt;1,0))))</f>
        <v>11.25</v>
      </c>
    </row>
    <row r="88" spans="1:22" ht="16" thickBot="1" x14ac:dyDescent="0.4">
      <c r="A88" s="170" t="s">
        <v>131</v>
      </c>
      <c r="B88" s="171"/>
      <c r="C88" s="59">
        <v>6</v>
      </c>
      <c r="D88" s="60">
        <f ca="1">((100/(H76))*C88)/100</f>
        <v>0.4</v>
      </c>
      <c r="E88" s="165"/>
      <c r="F88" s="166"/>
      <c r="G88" s="165"/>
      <c r="H88" s="169"/>
      <c r="I88" s="14" t="s">
        <v>101</v>
      </c>
      <c r="J88" s="29">
        <f ca="1">(IF(B76&gt;1.5,(H76/(B76+2)+J82+MAX(0,J83-J82)+MAX(0,J84-J83)+MAX(0,J85-J84)+MAX(0,J86-J85)+MAX(0,J87-J86)),IF(B76=1,(H76/(B76+3)+J87),IF(B76=0,H76/4+J87))))</f>
        <v>15</v>
      </c>
    </row>
    <row r="89" spans="1:22" x14ac:dyDescent="0.35">
      <c r="A89" s="105" t="s">
        <v>154</v>
      </c>
      <c r="B89" s="105"/>
      <c r="C89" s="105"/>
      <c r="D89" s="105"/>
      <c r="E89" s="105"/>
      <c r="F89" s="114" t="s">
        <v>158</v>
      </c>
      <c r="G89" s="114"/>
      <c r="H89" s="114"/>
      <c r="R89"/>
      <c r="S89">
        <v>900000</v>
      </c>
      <c r="T89">
        <v>200000</v>
      </c>
      <c r="U89">
        <v>150000</v>
      </c>
      <c r="V89">
        <v>150000</v>
      </c>
    </row>
    <row r="90" spans="1:22" x14ac:dyDescent="0.35">
      <c r="A90" s="77" t="s">
        <v>156</v>
      </c>
      <c r="B90" s="77"/>
      <c r="C90" s="77"/>
      <c r="D90" s="77"/>
      <c r="E90" s="77"/>
      <c r="F90" s="72">
        <v>6000</v>
      </c>
      <c r="G90" s="72"/>
      <c r="H90" s="72"/>
      <c r="R90"/>
      <c r="S90">
        <v>1000000</v>
      </c>
      <c r="T90">
        <v>300000</v>
      </c>
      <c r="U90">
        <v>200000</v>
      </c>
      <c r="V90">
        <v>200000</v>
      </c>
    </row>
    <row r="91" spans="1:22" s="30" customFormat="1" x14ac:dyDescent="0.35">
      <c r="A91" s="77" t="s">
        <v>155</v>
      </c>
      <c r="B91" s="77"/>
      <c r="C91" s="77"/>
      <c r="D91" s="77"/>
      <c r="E91" s="77"/>
      <c r="F91" s="72">
        <v>10000</v>
      </c>
      <c r="G91" s="72"/>
      <c r="H91" s="72"/>
      <c r="R91"/>
      <c r="S91">
        <v>1100000</v>
      </c>
      <c r="T91">
        <v>300000</v>
      </c>
      <c r="U91">
        <v>250000</v>
      </c>
      <c r="V91" s="20">
        <v>250000</v>
      </c>
    </row>
    <row r="92" spans="1:22" s="30" customFormat="1" x14ac:dyDescent="0.35">
      <c r="A92" s="77" t="s">
        <v>157</v>
      </c>
      <c r="B92" s="77"/>
      <c r="C92" s="77"/>
      <c r="D92" s="77"/>
      <c r="E92" s="77"/>
      <c r="F92" s="72">
        <v>8000</v>
      </c>
      <c r="G92" s="72"/>
      <c r="H92" s="72"/>
      <c r="R92"/>
      <c r="S92">
        <v>1200000</v>
      </c>
      <c r="T92">
        <v>350000</v>
      </c>
      <c r="U92">
        <v>300000</v>
      </c>
      <c r="V92">
        <v>300000</v>
      </c>
    </row>
    <row r="93" spans="1:22" s="30" customFormat="1" hidden="1" x14ac:dyDescent="0.35">
      <c r="A93" s="77" t="s">
        <v>172</v>
      </c>
      <c r="B93" s="77"/>
      <c r="C93" s="77"/>
      <c r="D93" s="77"/>
      <c r="E93" s="77"/>
      <c r="F93" s="72"/>
      <c r="G93" s="72"/>
      <c r="H93" s="72"/>
      <c r="R93"/>
      <c r="S93">
        <v>1300000</v>
      </c>
      <c r="T93">
        <v>400000</v>
      </c>
      <c r="U93">
        <v>350000</v>
      </c>
      <c r="V93" s="20">
        <v>400000</v>
      </c>
    </row>
    <row r="94" spans="1:22" s="30" customFormat="1" hidden="1" x14ac:dyDescent="0.35">
      <c r="A94" s="77" t="s">
        <v>91</v>
      </c>
      <c r="B94" s="77"/>
      <c r="C94" s="77"/>
      <c r="D94" s="77"/>
      <c r="E94" s="77"/>
      <c r="F94" s="72"/>
      <c r="G94" s="72"/>
      <c r="H94" s="72"/>
      <c r="R94"/>
      <c r="S94">
        <v>1400000</v>
      </c>
      <c r="T94">
        <v>500000</v>
      </c>
      <c r="U94">
        <v>400000</v>
      </c>
      <c r="V94"/>
    </row>
    <row r="95" spans="1:22" s="30" customFormat="1" hidden="1" x14ac:dyDescent="0.35">
      <c r="A95" s="77" t="s">
        <v>92</v>
      </c>
      <c r="B95" s="77"/>
      <c r="C95" s="77"/>
      <c r="D95" s="77"/>
      <c r="E95" s="77"/>
      <c r="F95" s="72"/>
      <c r="G95" s="72"/>
      <c r="H95" s="72"/>
      <c r="R95"/>
      <c r="S95">
        <v>1500000</v>
      </c>
      <c r="T95">
        <v>300000</v>
      </c>
      <c r="U95">
        <v>500000</v>
      </c>
      <c r="V95" s="20"/>
    </row>
    <row r="96" spans="1:22" s="30" customFormat="1" hidden="1" x14ac:dyDescent="0.35">
      <c r="A96" s="77" t="s">
        <v>93</v>
      </c>
      <c r="B96" s="77"/>
      <c r="C96" s="77"/>
      <c r="D96" s="77"/>
      <c r="E96" s="77"/>
      <c r="F96" s="72"/>
      <c r="G96" s="72"/>
      <c r="H96" s="72"/>
      <c r="R96"/>
      <c r="S96">
        <v>1600000</v>
      </c>
      <c r="T96">
        <v>700000</v>
      </c>
      <c r="U96">
        <v>600000</v>
      </c>
      <c r="V96"/>
    </row>
    <row r="97" spans="1:22" s="30" customFormat="1" hidden="1" x14ac:dyDescent="0.35">
      <c r="A97" s="77" t="s">
        <v>94</v>
      </c>
      <c r="B97" s="77"/>
      <c r="C97" s="77"/>
      <c r="D97" s="77"/>
      <c r="E97" s="77"/>
      <c r="F97" s="72"/>
      <c r="G97" s="72"/>
      <c r="H97" s="72"/>
      <c r="R97"/>
      <c r="S97">
        <v>1700000</v>
      </c>
      <c r="T97">
        <v>800000</v>
      </c>
      <c r="U97"/>
      <c r="V97" s="20"/>
    </row>
    <row r="98" spans="1:22" x14ac:dyDescent="0.35">
      <c r="A98" s="77" t="s">
        <v>95</v>
      </c>
      <c r="B98" s="77"/>
      <c r="C98" s="77"/>
      <c r="D98" s="77"/>
      <c r="E98" s="77"/>
      <c r="F98" s="72">
        <v>200000</v>
      </c>
      <c r="G98" s="72"/>
      <c r="H98" s="72"/>
      <c r="R98"/>
      <c r="S98">
        <v>1800000</v>
      </c>
      <c r="T98">
        <v>900000</v>
      </c>
      <c r="U98"/>
    </row>
    <row r="99" spans="1:22" s="31" customFormat="1" hidden="1" x14ac:dyDescent="0.35">
      <c r="A99" s="77" t="s">
        <v>96</v>
      </c>
      <c r="B99" s="77"/>
      <c r="C99" s="77"/>
      <c r="D99" s="77"/>
      <c r="E99" s="77"/>
      <c r="F99" s="72"/>
      <c r="G99" s="72"/>
      <c r="H99" s="72"/>
      <c r="R99" s="18"/>
      <c r="S99" s="18"/>
      <c r="T99">
        <v>1000000</v>
      </c>
      <c r="U99"/>
      <c r="V99" s="18"/>
    </row>
    <row r="100" spans="1:22" s="32" customFormat="1" ht="15.75" customHeight="1" x14ac:dyDescent="0.35">
      <c r="A100" s="77" t="s">
        <v>49</v>
      </c>
      <c r="B100" s="77"/>
      <c r="C100" s="77"/>
      <c r="D100" s="77"/>
      <c r="E100" s="77"/>
      <c r="F100" s="72">
        <v>250000</v>
      </c>
      <c r="G100" s="72"/>
      <c r="H100" s="72"/>
      <c r="R100"/>
      <c r="S100" s="18"/>
      <c r="T100"/>
      <c r="U100"/>
      <c r="V100" s="18"/>
    </row>
    <row r="101" spans="1:22" s="32" customFormat="1" ht="15.75" customHeight="1" x14ac:dyDescent="0.35">
      <c r="A101" s="136" t="s">
        <v>50</v>
      </c>
      <c r="B101" s="136"/>
      <c r="C101" s="136"/>
      <c r="D101" s="136"/>
      <c r="E101" s="136"/>
      <c r="F101" s="72">
        <f>F90*0.8</f>
        <v>4800</v>
      </c>
      <c r="G101" s="72"/>
      <c r="H101" s="72"/>
      <c r="R101"/>
      <c r="S101" s="18"/>
      <c r="T101"/>
      <c r="U101" s="18"/>
      <c r="V101" s="18"/>
    </row>
    <row r="102" spans="1:22" s="32" customFormat="1" x14ac:dyDescent="0.35">
      <c r="A102" s="135" t="s">
        <v>72</v>
      </c>
      <c r="B102" s="135"/>
      <c r="C102" s="135"/>
      <c r="D102" s="135"/>
      <c r="E102" s="135"/>
      <c r="F102" s="135"/>
      <c r="G102" s="135"/>
      <c r="H102" s="135"/>
      <c r="R102"/>
      <c r="S102" s="18"/>
      <c r="T102"/>
      <c r="U102" s="18"/>
      <c r="V102" s="18"/>
    </row>
    <row r="103" spans="1:22" s="32" customFormat="1" x14ac:dyDescent="0.35">
      <c r="A103" s="76" t="s">
        <v>51</v>
      </c>
      <c r="B103" s="76"/>
      <c r="C103" s="84" t="s">
        <v>75</v>
      </c>
      <c r="D103" s="84"/>
      <c r="E103" s="82" t="s">
        <v>52</v>
      </c>
      <c r="F103" s="82"/>
      <c r="G103" s="76" t="s">
        <v>53</v>
      </c>
      <c r="H103" s="76"/>
      <c r="R103"/>
      <c r="S103" s="18"/>
      <c r="T103"/>
      <c r="U103" s="18"/>
      <c r="V103" s="18"/>
    </row>
    <row r="104" spans="1:22" s="32" customFormat="1" x14ac:dyDescent="0.35">
      <c r="A104" s="83" t="s">
        <v>325</v>
      </c>
      <c r="B104" s="83"/>
      <c r="C104" s="179">
        <f>COUNT(F117:F128)</f>
        <v>12</v>
      </c>
      <c r="D104" s="178"/>
      <c r="E104" s="111">
        <f>SUM(F117:F128)</f>
        <v>2115.3412799999996</v>
      </c>
      <c r="F104" s="112"/>
      <c r="G104" s="111">
        <f>SUM(H117:H128)</f>
        <v>3173.0119199999995</v>
      </c>
      <c r="H104" s="112"/>
      <c r="R104"/>
      <c r="S104" s="18"/>
      <c r="T104"/>
      <c r="U104" s="18"/>
      <c r="V104" s="18"/>
    </row>
    <row r="105" spans="1:22" s="32" customFormat="1" x14ac:dyDescent="0.35">
      <c r="A105" s="83" t="s">
        <v>328</v>
      </c>
      <c r="B105" s="83"/>
      <c r="C105" s="179">
        <f>COUNT(F130)</f>
        <v>1</v>
      </c>
      <c r="D105" s="178"/>
      <c r="E105" s="111">
        <f>SUM(F130)</f>
        <v>3951.4643999999998</v>
      </c>
      <c r="F105" s="112"/>
      <c r="G105" s="111">
        <f>SUM(H130)</f>
        <v>5927.1965999999993</v>
      </c>
      <c r="H105" s="112"/>
      <c r="T105"/>
    </row>
    <row r="106" spans="1:22" s="32" customFormat="1" ht="15.75" customHeight="1" x14ac:dyDescent="0.35">
      <c r="A106" s="135" t="s">
        <v>147</v>
      </c>
      <c r="B106" s="135"/>
      <c r="C106" s="185">
        <f t="shared" ref="C106:G106" si="0">SUM(C104:D105)</f>
        <v>13</v>
      </c>
      <c r="D106" s="84"/>
      <c r="E106" s="186">
        <f t="shared" si="0"/>
        <v>6066.8056799999995</v>
      </c>
      <c r="F106" s="82"/>
      <c r="G106" s="76">
        <f t="shared" si="0"/>
        <v>9100.2085199999983</v>
      </c>
      <c r="H106" s="76"/>
      <c r="T106"/>
    </row>
    <row r="107" spans="1:22" s="32" customFormat="1" x14ac:dyDescent="0.35">
      <c r="A107" s="135" t="s">
        <v>67</v>
      </c>
      <c r="B107" s="135"/>
      <c r="C107" s="135"/>
      <c r="D107" s="135"/>
      <c r="E107" s="135"/>
      <c r="F107" s="135"/>
      <c r="G107" s="135"/>
      <c r="H107" s="135"/>
      <c r="T107"/>
    </row>
    <row r="108" spans="1:22" s="32" customFormat="1" x14ac:dyDescent="0.35">
      <c r="A108" s="76" t="s">
        <v>51</v>
      </c>
      <c r="B108" s="76"/>
      <c r="C108" s="84" t="s">
        <v>75</v>
      </c>
      <c r="D108" s="84"/>
      <c r="E108" s="82" t="s">
        <v>52</v>
      </c>
      <c r="F108" s="82"/>
      <c r="G108" s="76" t="s">
        <v>53</v>
      </c>
      <c r="H108" s="76"/>
      <c r="T108"/>
    </row>
    <row r="109" spans="1:22" s="32" customFormat="1" ht="16" thickBot="1" x14ac:dyDescent="0.4">
      <c r="A109" s="83" t="s">
        <v>66</v>
      </c>
      <c r="B109" s="83"/>
      <c r="C109" s="178">
        <f>COUNT(F135:F141)+COUNT(F143:F149)*5+COUNT(F151:F153,F155:F157)*2+COUNT(F159:F165)*6</f>
        <v>96</v>
      </c>
      <c r="D109" s="178"/>
      <c r="E109" s="111">
        <f>SUM(F135:F141)+SUM(F143:F149)*5+SUM(F151:F153,F155:F157)*2+SUM(F159:F165)*6</f>
        <v>44022.176640000005</v>
      </c>
      <c r="F109" s="111"/>
      <c r="G109" s="111">
        <f>SUM(H135:H141)+SUM(H143:H149)*5+SUM(H151:H153,H155:H157)*2+SUM(H159:H165)*6</f>
        <v>64362.040938000006</v>
      </c>
      <c r="H109" s="111"/>
      <c r="I109" s="32">
        <f>8+16*3+6+12+12+6*2</f>
        <v>98</v>
      </c>
      <c r="T109"/>
    </row>
    <row r="110" spans="1:22" s="31" customFormat="1" ht="16" hidden="1" thickBot="1" x14ac:dyDescent="0.4">
      <c r="A110" s="182" t="s">
        <v>147</v>
      </c>
      <c r="B110" s="182"/>
      <c r="C110" s="113">
        <f t="shared" ref="C110:G110" si="1">SUM(C109)</f>
        <v>96</v>
      </c>
      <c r="D110" s="113"/>
      <c r="E110" s="183">
        <f t="shared" si="1"/>
        <v>44022.176640000005</v>
      </c>
      <c r="F110" s="183"/>
      <c r="G110" s="184">
        <f t="shared" si="1"/>
        <v>64362.040938000006</v>
      </c>
      <c r="H110" s="184"/>
      <c r="T110" s="32"/>
    </row>
    <row r="111" spans="1:22" ht="16" thickBot="1" x14ac:dyDescent="0.4">
      <c r="A111" s="120" t="s">
        <v>163</v>
      </c>
      <c r="B111" s="121"/>
      <c r="C111" s="122">
        <f>C106+C110</f>
        <v>109</v>
      </c>
      <c r="D111" s="122"/>
      <c r="E111" s="197">
        <f>E106+E110</f>
        <v>50088.982320000003</v>
      </c>
      <c r="F111" s="197"/>
      <c r="G111" s="180">
        <f>G106+G110</f>
        <v>73462.249458000006</v>
      </c>
      <c r="H111" s="181"/>
      <c r="T111" s="32"/>
    </row>
    <row r="112" spans="1:22" x14ac:dyDescent="0.35">
      <c r="A112" s="114" t="s">
        <v>54</v>
      </c>
      <c r="B112" s="114"/>
      <c r="C112" s="114"/>
      <c r="D112" s="114"/>
      <c r="E112" s="114"/>
      <c r="F112" s="114"/>
      <c r="G112" s="114"/>
      <c r="H112" s="114"/>
      <c r="T112" s="32"/>
    </row>
    <row r="113" spans="1:20" s="34" customFormat="1" x14ac:dyDescent="0.35">
      <c r="A113" s="75" t="s">
        <v>171</v>
      </c>
      <c r="B113" s="75"/>
      <c r="C113" s="75"/>
      <c r="D113" s="75"/>
      <c r="E113" s="75"/>
      <c r="F113" s="75"/>
      <c r="G113" s="75"/>
      <c r="H113" s="75"/>
      <c r="T113" s="32"/>
    </row>
    <row r="114" spans="1:20" s="34" customFormat="1" ht="45" x14ac:dyDescent="0.35">
      <c r="A114" s="109" t="s">
        <v>116</v>
      </c>
      <c r="B114" s="109" t="s">
        <v>173</v>
      </c>
      <c r="C114" s="109" t="s">
        <v>55</v>
      </c>
      <c r="D114" s="103" t="s">
        <v>229</v>
      </c>
      <c r="E114" s="106" t="s">
        <v>153</v>
      </c>
      <c r="F114" s="109" t="s">
        <v>56</v>
      </c>
      <c r="G114" s="106" t="s">
        <v>57</v>
      </c>
      <c r="H114" s="64" t="s">
        <v>146</v>
      </c>
      <c r="J114" s="33"/>
      <c r="T114" s="32"/>
    </row>
    <row r="115" spans="1:20" s="34" customFormat="1" ht="15.75" customHeight="1" x14ac:dyDescent="0.35">
      <c r="A115" s="110"/>
      <c r="B115" s="110"/>
      <c r="C115" s="110"/>
      <c r="D115" s="104"/>
      <c r="E115" s="107"/>
      <c r="F115" s="110"/>
      <c r="G115" s="107"/>
      <c r="H115" s="65">
        <v>0.5</v>
      </c>
      <c r="I115" s="67">
        <v>10.763999999999999</v>
      </c>
      <c r="L115" s="174"/>
      <c r="M115" s="174"/>
      <c r="N115" s="33"/>
      <c r="T115" s="32"/>
    </row>
    <row r="116" spans="1:20" s="34" customFormat="1" ht="15.75" customHeight="1" x14ac:dyDescent="0.35">
      <c r="A116" s="98" t="s">
        <v>326</v>
      </c>
      <c r="B116" s="98"/>
      <c r="C116" s="98"/>
      <c r="D116" s="98"/>
      <c r="E116" s="98"/>
      <c r="F116" s="98"/>
      <c r="G116" s="98"/>
      <c r="H116" s="98"/>
      <c r="I116" s="33"/>
      <c r="L116" s="174"/>
      <c r="M116" s="174"/>
      <c r="N116" s="33"/>
      <c r="T116" s="31"/>
    </row>
    <row r="117" spans="1:20" s="34" customFormat="1" ht="15.75" customHeight="1" x14ac:dyDescent="0.35">
      <c r="A117" s="211">
        <v>1</v>
      </c>
      <c r="B117" s="211"/>
      <c r="C117" s="39" t="s">
        <v>325</v>
      </c>
      <c r="D117" s="67">
        <f>(35.53)*10.764</f>
        <v>382.44491999999997</v>
      </c>
      <c r="E117" s="39">
        <v>0</v>
      </c>
      <c r="F117" s="39">
        <f>D117+(IF(E117&lt;201,E117,IF(E117&lt;301,E117/2,E117/3)))</f>
        <v>382.44491999999997</v>
      </c>
      <c r="G117" s="39">
        <v>0</v>
      </c>
      <c r="H117" s="39">
        <f>(F117+(IF(G117&lt;101,G117,IF(G117&lt;201,G117/2,IF(G117&lt;=301,G117/3,G117/4)))))*(($H$115)+1)</f>
        <v>573.66737999999998</v>
      </c>
      <c r="I117" s="61">
        <f>5.15*6.9</f>
        <v>35.535000000000004</v>
      </c>
      <c r="L117" s="174"/>
      <c r="M117" s="174"/>
      <c r="N117" s="33"/>
      <c r="T117" s="18"/>
    </row>
    <row r="118" spans="1:20" s="34" customFormat="1" ht="15.75" customHeight="1" x14ac:dyDescent="0.35">
      <c r="A118" s="211">
        <f t="shared" ref="A118:A128" si="2">A117+1</f>
        <v>2</v>
      </c>
      <c r="B118" s="211"/>
      <c r="C118" s="39" t="s">
        <v>325</v>
      </c>
      <c r="D118" s="67">
        <f>(11.4)*10.764</f>
        <v>122.70959999999999</v>
      </c>
      <c r="E118" s="39">
        <v>0</v>
      </c>
      <c r="F118" s="39">
        <f t="shared" ref="F118:F120" si="3">D118+(IF(E118&lt;201,E118,IF(E118&lt;301,E118/2,E118/3)))</f>
        <v>122.70959999999999</v>
      </c>
      <c r="G118" s="39">
        <v>0</v>
      </c>
      <c r="H118" s="39">
        <f t="shared" ref="H118:H120" si="4">(F118+(IF(G118&lt;101,G118,IF(G118&lt;201,G118/2,IF(G118&lt;=301,G118/3,G118/4)))))*(($H$115)+1)</f>
        <v>184.06439999999998</v>
      </c>
      <c r="I118" s="61">
        <f>3*3.8</f>
        <v>11.399999999999999</v>
      </c>
      <c r="L118" s="174"/>
      <c r="M118" s="174"/>
      <c r="N118" s="33"/>
      <c r="T118" s="18"/>
    </row>
    <row r="119" spans="1:20" s="34" customFormat="1" x14ac:dyDescent="0.35">
      <c r="A119" s="211">
        <f t="shared" si="2"/>
        <v>3</v>
      </c>
      <c r="B119" s="211"/>
      <c r="C119" s="39" t="s">
        <v>325</v>
      </c>
      <c r="D119" s="67">
        <f>(7.41)*10.764</f>
        <v>79.761240000000001</v>
      </c>
      <c r="E119" s="39">
        <v>0</v>
      </c>
      <c r="F119" s="39">
        <f t="shared" si="3"/>
        <v>79.761240000000001</v>
      </c>
      <c r="G119" s="39">
        <v>0</v>
      </c>
      <c r="H119" s="39">
        <f t="shared" si="4"/>
        <v>119.64186000000001</v>
      </c>
      <c r="I119" s="61"/>
      <c r="N119" s="33"/>
    </row>
    <row r="120" spans="1:20" x14ac:dyDescent="0.35">
      <c r="A120" s="211">
        <f t="shared" si="2"/>
        <v>4</v>
      </c>
      <c r="B120" s="211"/>
      <c r="C120" s="39" t="s">
        <v>325</v>
      </c>
      <c r="D120" s="67">
        <f>(16.24)*10.764</f>
        <v>174.80735999999996</v>
      </c>
      <c r="E120" s="39">
        <v>0</v>
      </c>
      <c r="F120" s="39">
        <f t="shared" si="3"/>
        <v>174.80735999999996</v>
      </c>
      <c r="G120" s="39">
        <v>0</v>
      </c>
      <c r="H120" s="39">
        <f t="shared" si="4"/>
        <v>262.21103999999991</v>
      </c>
      <c r="I120" s="33"/>
      <c r="T120" s="34"/>
    </row>
    <row r="121" spans="1:20" s="34" customFormat="1" x14ac:dyDescent="0.35">
      <c r="A121" s="211">
        <f t="shared" si="2"/>
        <v>5</v>
      </c>
      <c r="B121" s="211"/>
      <c r="C121" s="39" t="s">
        <v>325</v>
      </c>
      <c r="D121" s="67">
        <f>(16.24)*10.764</f>
        <v>174.80735999999996</v>
      </c>
      <c r="E121" s="39">
        <v>0</v>
      </c>
      <c r="F121" s="39">
        <f t="shared" ref="F121:F126" si="5">D121+(IF(E121&lt;201,E121,IF(E121&lt;301,E121/2,E121/3)))</f>
        <v>174.80735999999996</v>
      </c>
      <c r="G121" s="39">
        <v>0</v>
      </c>
      <c r="H121" s="39">
        <f t="shared" ref="H121:H126" si="6">(F121+(IF(G121&lt;101,G121,IF(G121&lt;201,G121/2,IF(G121&lt;=301,G121/3,G121/4)))))*(($H$115)+1)</f>
        <v>262.21103999999991</v>
      </c>
      <c r="I121" s="33"/>
    </row>
    <row r="122" spans="1:20" s="34" customFormat="1" x14ac:dyDescent="0.35">
      <c r="A122" s="211">
        <f t="shared" si="2"/>
        <v>6</v>
      </c>
      <c r="B122" s="211"/>
      <c r="C122" s="39" t="s">
        <v>325</v>
      </c>
      <c r="D122" s="67">
        <f>(7.41)*10.764</f>
        <v>79.761240000000001</v>
      </c>
      <c r="E122" s="39">
        <v>0</v>
      </c>
      <c r="F122" s="39">
        <f t="shared" si="5"/>
        <v>79.761240000000001</v>
      </c>
      <c r="G122" s="39">
        <v>0</v>
      </c>
      <c r="H122" s="39">
        <f t="shared" si="6"/>
        <v>119.64186000000001</v>
      </c>
      <c r="J122" s="33"/>
    </row>
    <row r="123" spans="1:20" s="34" customFormat="1" ht="15.75" customHeight="1" x14ac:dyDescent="0.35">
      <c r="A123" s="211">
        <f t="shared" si="2"/>
        <v>7</v>
      </c>
      <c r="B123" s="211"/>
      <c r="C123" s="39" t="s">
        <v>325</v>
      </c>
      <c r="D123" s="67">
        <f>(11.4)*10.764</f>
        <v>122.70959999999999</v>
      </c>
      <c r="E123" s="39">
        <v>0</v>
      </c>
      <c r="F123" s="39">
        <f t="shared" si="5"/>
        <v>122.70959999999999</v>
      </c>
      <c r="G123" s="39">
        <v>0</v>
      </c>
      <c r="H123" s="39">
        <f t="shared" si="6"/>
        <v>184.06439999999998</v>
      </c>
      <c r="I123" s="33"/>
      <c r="L123" s="174"/>
      <c r="M123" s="174"/>
      <c r="N123" s="33"/>
    </row>
    <row r="124" spans="1:20" s="34" customFormat="1" ht="15.75" customHeight="1" x14ac:dyDescent="0.35">
      <c r="A124" s="73">
        <f t="shared" si="2"/>
        <v>8</v>
      </c>
      <c r="B124" s="74"/>
      <c r="C124" s="39" t="s">
        <v>325</v>
      </c>
      <c r="D124" s="67">
        <f>(22.02)*10.764</f>
        <v>237.02327999999997</v>
      </c>
      <c r="E124" s="39">
        <v>0</v>
      </c>
      <c r="F124" s="39">
        <f t="shared" si="5"/>
        <v>237.02327999999997</v>
      </c>
      <c r="G124" s="39">
        <v>0</v>
      </c>
      <c r="H124" s="39">
        <f t="shared" si="6"/>
        <v>355.53491999999994</v>
      </c>
      <c r="I124" s="33"/>
      <c r="L124" s="174"/>
      <c r="M124" s="174"/>
      <c r="N124" s="33"/>
    </row>
    <row r="125" spans="1:20" s="34" customFormat="1" ht="15.75" customHeight="1" x14ac:dyDescent="0.35">
      <c r="A125" s="73">
        <f t="shared" si="2"/>
        <v>9</v>
      </c>
      <c r="B125" s="74"/>
      <c r="C125" s="39" t="s">
        <v>325</v>
      </c>
      <c r="D125" s="67">
        <f>(16.79)*10.764</f>
        <v>180.72755999999998</v>
      </c>
      <c r="E125" s="39">
        <v>0</v>
      </c>
      <c r="F125" s="39">
        <f t="shared" si="5"/>
        <v>180.72755999999998</v>
      </c>
      <c r="G125" s="39">
        <v>0</v>
      </c>
      <c r="H125" s="39">
        <f t="shared" si="6"/>
        <v>271.09133999999995</v>
      </c>
      <c r="I125" s="33"/>
      <c r="L125" s="174"/>
      <c r="M125" s="174"/>
      <c r="N125" s="33"/>
    </row>
    <row r="126" spans="1:20" s="34" customFormat="1" ht="15.75" customHeight="1" x14ac:dyDescent="0.35">
      <c r="A126" s="73">
        <f t="shared" si="2"/>
        <v>10</v>
      </c>
      <c r="B126" s="74"/>
      <c r="C126" s="39" t="s">
        <v>325</v>
      </c>
      <c r="D126" s="67">
        <f>(19.49)*10.764</f>
        <v>209.79035999999996</v>
      </c>
      <c r="E126" s="39">
        <v>0</v>
      </c>
      <c r="F126" s="39">
        <f t="shared" si="5"/>
        <v>209.79035999999996</v>
      </c>
      <c r="G126" s="39">
        <v>0</v>
      </c>
      <c r="H126" s="39">
        <f t="shared" si="6"/>
        <v>314.68553999999995</v>
      </c>
      <c r="I126" s="33"/>
      <c r="L126" s="174"/>
      <c r="M126" s="174"/>
      <c r="N126" s="33"/>
      <c r="T126" s="18"/>
    </row>
    <row r="127" spans="1:20" s="34" customFormat="1" x14ac:dyDescent="0.35">
      <c r="A127" s="73">
        <f t="shared" si="2"/>
        <v>11</v>
      </c>
      <c r="B127" s="74"/>
      <c r="C127" s="39" t="s">
        <v>325</v>
      </c>
      <c r="D127" s="67">
        <f>(13.43)*10.764</f>
        <v>144.56052</v>
      </c>
      <c r="E127" s="39">
        <v>0</v>
      </c>
      <c r="F127" s="39">
        <f t="shared" ref="F127:F128" si="7">D127+(IF(E127&lt;201,E127,IF(E127&lt;301,E127/2,E127/3)))</f>
        <v>144.56052</v>
      </c>
      <c r="G127" s="39">
        <v>0</v>
      </c>
      <c r="H127" s="39">
        <f t="shared" ref="H127:H128" si="8">(F127+(IF(G127&lt;101,G127,IF(G127&lt;201,G127/2,IF(G127&lt;=301,G127/3,G127/4)))))*(($H$115)+1)</f>
        <v>216.84078</v>
      </c>
      <c r="I127" s="33"/>
      <c r="L127" s="174"/>
      <c r="M127" s="174"/>
    </row>
    <row r="128" spans="1:20" s="34" customFormat="1" x14ac:dyDescent="0.35">
      <c r="A128" s="73">
        <f t="shared" si="2"/>
        <v>12</v>
      </c>
      <c r="B128" s="74"/>
      <c r="C128" s="39" t="s">
        <v>325</v>
      </c>
      <c r="D128" s="67">
        <f>(19.16)*10.764</f>
        <v>206.23823999999999</v>
      </c>
      <c r="E128" s="39">
        <v>0</v>
      </c>
      <c r="F128" s="39">
        <f t="shared" si="7"/>
        <v>206.23823999999999</v>
      </c>
      <c r="G128" s="39">
        <v>0</v>
      </c>
      <c r="H128" s="39">
        <f t="shared" si="8"/>
        <v>309.35735999999997</v>
      </c>
      <c r="I128" s="61">
        <f>5.05*2.2+1.35*2.2</f>
        <v>14.080000000000002</v>
      </c>
      <c r="N128" s="33"/>
    </row>
    <row r="129" spans="1:14" s="34" customFormat="1" x14ac:dyDescent="0.35">
      <c r="A129" s="100" t="s">
        <v>327</v>
      </c>
      <c r="B129" s="101"/>
      <c r="C129" s="101"/>
      <c r="D129" s="101"/>
      <c r="E129" s="101"/>
      <c r="F129" s="101"/>
      <c r="G129" s="101"/>
      <c r="H129" s="102"/>
      <c r="I129" s="33"/>
      <c r="N129" s="33"/>
    </row>
    <row r="130" spans="1:14" s="34" customFormat="1" x14ac:dyDescent="0.35">
      <c r="A130" s="73">
        <v>1</v>
      </c>
      <c r="B130" s="74"/>
      <c r="C130" s="39" t="s">
        <v>328</v>
      </c>
      <c r="D130" s="67">
        <f>(367.1)*10.764</f>
        <v>3951.4643999999998</v>
      </c>
      <c r="E130" s="39">
        <v>0</v>
      </c>
      <c r="F130" s="39">
        <f>D130+(IF(E130&lt;201,E130,IF(E130&lt;301,E130/2,E130/3)))</f>
        <v>3951.4643999999998</v>
      </c>
      <c r="G130" s="39">
        <v>0</v>
      </c>
      <c r="H130" s="39">
        <f>(F130+(IF(G130&lt;101,G130,IF(G130&lt;201,G130/2,IF(G130&lt;=301,G130/3,G130/4)))))*(($H$115)+1)</f>
        <v>5927.1965999999993</v>
      </c>
      <c r="I130" s="33"/>
      <c r="N130" s="33"/>
    </row>
    <row r="131" spans="1:14" s="34" customFormat="1" ht="15.75" customHeight="1" x14ac:dyDescent="0.35">
      <c r="A131" s="73"/>
      <c r="B131" s="99"/>
      <c r="C131" s="99"/>
      <c r="D131" s="99"/>
      <c r="E131" s="99"/>
      <c r="F131" s="99"/>
      <c r="G131" s="99"/>
      <c r="H131" s="74"/>
      <c r="I131" s="33"/>
    </row>
    <row r="132" spans="1:14" s="34" customFormat="1" ht="50.25" customHeight="1" x14ac:dyDescent="0.35">
      <c r="A132" s="115" t="s">
        <v>117</v>
      </c>
      <c r="B132" s="109" t="s">
        <v>174</v>
      </c>
      <c r="C132" s="109" t="s">
        <v>55</v>
      </c>
      <c r="D132" s="103" t="s">
        <v>229</v>
      </c>
      <c r="E132" s="109" t="s">
        <v>335</v>
      </c>
      <c r="F132" s="109" t="s">
        <v>56</v>
      </c>
      <c r="G132" s="106" t="s">
        <v>57</v>
      </c>
      <c r="H132" s="56" t="s">
        <v>146</v>
      </c>
      <c r="I132" s="33"/>
    </row>
    <row r="133" spans="1:14" s="34" customFormat="1" x14ac:dyDescent="0.35">
      <c r="A133" s="116"/>
      <c r="B133" s="110"/>
      <c r="C133" s="110"/>
      <c r="D133" s="104"/>
      <c r="E133" s="110"/>
      <c r="F133" s="110"/>
      <c r="G133" s="107"/>
      <c r="H133" s="65">
        <v>0.45</v>
      </c>
      <c r="I133" s="33"/>
    </row>
    <row r="134" spans="1:14" s="34" customFormat="1" ht="15.75" customHeight="1" x14ac:dyDescent="0.35">
      <c r="A134" s="100" t="s">
        <v>329</v>
      </c>
      <c r="B134" s="101"/>
      <c r="C134" s="101"/>
      <c r="D134" s="101"/>
      <c r="E134" s="101"/>
      <c r="F134" s="101"/>
      <c r="G134" s="101"/>
      <c r="H134" s="102"/>
      <c r="I134" s="33"/>
    </row>
    <row r="135" spans="1:14" s="34" customFormat="1" ht="15.75" customHeight="1" x14ac:dyDescent="0.35">
      <c r="A135" s="73">
        <v>1</v>
      </c>
      <c r="B135" s="74"/>
      <c r="C135" s="39" t="s">
        <v>330</v>
      </c>
      <c r="D135" s="67">
        <f>(37.95)*10.764</f>
        <v>408.49380000000002</v>
      </c>
      <c r="E135" s="39">
        <v>0</v>
      </c>
      <c r="F135" s="39">
        <f t="shared" ref="F135:F141" si="9">D135+E135</f>
        <v>408.49380000000002</v>
      </c>
      <c r="G135" s="67">
        <f>(3.15*1.1+5.3*2.7)*10.764</f>
        <v>191.33010000000002</v>
      </c>
      <c r="H135" s="39">
        <f t="shared" ref="H135:H141" si="10">F135*(($H$133)+1)+(IF(G135&lt;101,G135,IF(G135&lt;201,G135/2,IF(G135&lt;=301,G135/3,G135/4))))</f>
        <v>687.98106000000007</v>
      </c>
      <c r="I135" s="33"/>
    </row>
    <row r="136" spans="1:14" s="34" customFormat="1" x14ac:dyDescent="0.35">
      <c r="A136" s="73">
        <f t="shared" ref="A136:A141" si="11">A135+1</f>
        <v>2</v>
      </c>
      <c r="B136" s="74"/>
      <c r="C136" s="39" t="s">
        <v>330</v>
      </c>
      <c r="D136" s="67">
        <f>(38.66)*10.764</f>
        <v>416.13623999999993</v>
      </c>
      <c r="E136" s="39">
        <v>0</v>
      </c>
      <c r="F136" s="39">
        <f t="shared" si="9"/>
        <v>416.13623999999993</v>
      </c>
      <c r="G136" s="67">
        <f>(2.85*1.2+2.85*1.5+2.3*1.1+2.9*1.8)*10.764</f>
        <v>166.24997999999999</v>
      </c>
      <c r="H136" s="39">
        <f t="shared" si="10"/>
        <v>686.52253799999994</v>
      </c>
      <c r="I136" s="33">
        <f>4.5*2.9+3.35*2.3+3*2.85+2.85*0.6+1.2*0.9+1.65*1.2+0.6*1.2</f>
        <v>34.794999999999995</v>
      </c>
      <c r="K136" s="66" t="s">
        <v>339</v>
      </c>
    </row>
    <row r="137" spans="1:14" s="34" customFormat="1" ht="15.75" customHeight="1" x14ac:dyDescent="0.35">
      <c r="A137" s="73">
        <f t="shared" si="11"/>
        <v>3</v>
      </c>
      <c r="B137" s="74"/>
      <c r="C137" s="39" t="s">
        <v>330</v>
      </c>
      <c r="D137" s="67">
        <f>(38.55)*10.764</f>
        <v>414.95219999999995</v>
      </c>
      <c r="E137" s="39">
        <v>0</v>
      </c>
      <c r="F137" s="39">
        <f t="shared" si="9"/>
        <v>414.95219999999995</v>
      </c>
      <c r="G137" s="67">
        <f>(2.9*1.8+2.3*1.1+2.85*1.5+3.6*0.45)*10.764</f>
        <v>146.87477999999999</v>
      </c>
      <c r="H137" s="39">
        <f t="shared" si="10"/>
        <v>675.11807999999996</v>
      </c>
      <c r="I137" s="33"/>
    </row>
    <row r="138" spans="1:14" s="34" customFormat="1" ht="15.75" customHeight="1" x14ac:dyDescent="0.35">
      <c r="A138" s="73">
        <f t="shared" si="11"/>
        <v>4</v>
      </c>
      <c r="B138" s="74"/>
      <c r="C138" s="39" t="s">
        <v>330</v>
      </c>
      <c r="D138" s="67">
        <f>(35.74)*10.764</f>
        <v>384.70535999999998</v>
      </c>
      <c r="E138" s="39">
        <v>0</v>
      </c>
      <c r="F138" s="39">
        <f t="shared" si="9"/>
        <v>384.70535999999998</v>
      </c>
      <c r="G138" s="67">
        <f>(2.9*2.2+2.85*0.4)*10.764</f>
        <v>80.945279999999997</v>
      </c>
      <c r="H138" s="39">
        <f t="shared" si="10"/>
        <v>638.76805200000001</v>
      </c>
      <c r="I138" s="33"/>
    </row>
    <row r="139" spans="1:14" s="34" customFormat="1" ht="15.75" customHeight="1" x14ac:dyDescent="0.35">
      <c r="A139" s="73">
        <f t="shared" si="11"/>
        <v>5</v>
      </c>
      <c r="B139" s="74"/>
      <c r="C139" s="39" t="s">
        <v>333</v>
      </c>
      <c r="D139" s="67">
        <f>(24.85)*10.764</f>
        <v>267.48540000000003</v>
      </c>
      <c r="E139" s="39">
        <v>0</v>
      </c>
      <c r="F139" s="39">
        <f t="shared" si="9"/>
        <v>267.48540000000003</v>
      </c>
      <c r="G139" s="67">
        <f>(2.9*2.2)*10.764</f>
        <v>68.674319999999994</v>
      </c>
      <c r="H139" s="39">
        <f t="shared" si="10"/>
        <v>456.52814999999998</v>
      </c>
      <c r="I139" s="33">
        <f>2.9*4.5+2.1*3.3+1.2*1.65+1.25*0.9</f>
        <v>23.084999999999997</v>
      </c>
    </row>
    <row r="140" spans="1:14" s="34" customFormat="1" ht="15.75" customHeight="1" x14ac:dyDescent="0.35">
      <c r="A140" s="73">
        <f t="shared" si="11"/>
        <v>6</v>
      </c>
      <c r="B140" s="74"/>
      <c r="C140" s="39" t="s">
        <v>332</v>
      </c>
      <c r="D140" s="67">
        <f>(52.13)*10.764</f>
        <v>561.12731999999994</v>
      </c>
      <c r="E140" s="39">
        <v>0</v>
      </c>
      <c r="F140" s="39">
        <f t="shared" si="9"/>
        <v>561.12731999999994</v>
      </c>
      <c r="G140" s="67">
        <f>(2.9*1.5+2.2*0.9+2.75*1.2+2.85*0.4)*10.764</f>
        <v>115.92827999999999</v>
      </c>
      <c r="H140" s="39">
        <f t="shared" si="10"/>
        <v>871.59875399999999</v>
      </c>
      <c r="I140" s="33">
        <f>4.5*2.9+3.35*2.2+3*2.75+2.75*0.6+2.85*3.45+1.05*1.5+1.65*1.2+1.8*1.05+2*1</f>
        <v>47.597500000000004</v>
      </c>
    </row>
    <row r="141" spans="1:14" s="34" customFormat="1" ht="15.75" customHeight="1" x14ac:dyDescent="0.35">
      <c r="A141" s="73">
        <f t="shared" si="11"/>
        <v>7</v>
      </c>
      <c r="B141" s="74"/>
      <c r="C141" s="39" t="s">
        <v>330</v>
      </c>
      <c r="D141" s="67">
        <f>(37.72)*10.764</f>
        <v>406.01807999999994</v>
      </c>
      <c r="E141" s="39">
        <v>0</v>
      </c>
      <c r="F141" s="39">
        <f t="shared" si="9"/>
        <v>406.01807999999994</v>
      </c>
      <c r="G141" s="67">
        <f>(2.9*1.5+2.3*0.9+2.75*1.2+2.75*1.2)*10.764</f>
        <v>140.14727999999999</v>
      </c>
      <c r="H141" s="39">
        <f t="shared" si="10"/>
        <v>658.79985599999986</v>
      </c>
      <c r="I141" s="33"/>
    </row>
    <row r="142" spans="1:14" s="34" customFormat="1" x14ac:dyDescent="0.35">
      <c r="A142" s="98" t="s">
        <v>334</v>
      </c>
      <c r="B142" s="98"/>
      <c r="C142" s="98"/>
      <c r="D142" s="98"/>
      <c r="E142" s="98"/>
      <c r="F142" s="98"/>
      <c r="G142" s="98"/>
      <c r="H142" s="98"/>
      <c r="I142" s="33"/>
    </row>
    <row r="143" spans="1:14" s="34" customFormat="1" ht="15.75" customHeight="1" x14ac:dyDescent="0.35">
      <c r="A143" s="73">
        <v>1</v>
      </c>
      <c r="B143" s="74"/>
      <c r="C143" s="39" t="s">
        <v>330</v>
      </c>
      <c r="D143" s="67">
        <f>(37.95)*10.764</f>
        <v>408.49380000000002</v>
      </c>
      <c r="E143" s="67">
        <f>(0.7*(3.15+2.3+2.85))*10.764</f>
        <v>62.538839999999979</v>
      </c>
      <c r="F143" s="39">
        <f t="shared" ref="F143:F149" si="12">D143+E143</f>
        <v>471.03264000000001</v>
      </c>
      <c r="G143" s="62">
        <v>0</v>
      </c>
      <c r="H143" s="39">
        <f t="shared" ref="H143:H149" si="13">F143*(($H$133)+1)+(IF(G143&lt;101,G143,IF(G143&lt;201,G143/2,IF(G143&lt;=301,G143/3,G143/4))))</f>
        <v>682.99732800000004</v>
      </c>
      <c r="I143" s="33"/>
    </row>
    <row r="144" spans="1:14" s="34" customFormat="1" ht="15.75" customHeight="1" x14ac:dyDescent="0.35">
      <c r="A144" s="73">
        <f t="shared" ref="A144:A149" si="14">A143+1</f>
        <v>2</v>
      </c>
      <c r="B144" s="74"/>
      <c r="C144" s="39" t="s">
        <v>330</v>
      </c>
      <c r="D144" s="67">
        <f>(38.66)*10.764</f>
        <v>416.13623999999993</v>
      </c>
      <c r="E144" s="67">
        <f>(0.7*(2.85+2.3+2.9))*10.764</f>
        <v>60.655139999999996</v>
      </c>
      <c r="F144" s="39">
        <f t="shared" si="12"/>
        <v>476.79137999999995</v>
      </c>
      <c r="G144" s="62">
        <v>0</v>
      </c>
      <c r="H144" s="39">
        <f t="shared" si="13"/>
        <v>691.34750099999985</v>
      </c>
      <c r="I144" s="33">
        <f>3.3*2.9+2.45*2.3+3*2.85+2.85*0.6+1.2*0.9+1.65*1.2</f>
        <v>28.525000000000002</v>
      </c>
    </row>
    <row r="145" spans="1:20" s="34" customFormat="1" ht="15.75" customHeight="1" x14ac:dyDescent="0.35">
      <c r="A145" s="73">
        <f t="shared" si="14"/>
        <v>3</v>
      </c>
      <c r="B145" s="74"/>
      <c r="C145" s="39" t="s">
        <v>330</v>
      </c>
      <c r="D145" s="67">
        <f>(38.55)*10.764</f>
        <v>414.95219999999995</v>
      </c>
      <c r="E145" s="67">
        <f>(0.7*(2.85+2.3+2.9))*10.764</f>
        <v>60.655139999999996</v>
      </c>
      <c r="F145" s="39">
        <f t="shared" si="12"/>
        <v>475.60733999999997</v>
      </c>
      <c r="G145" s="62">
        <v>0</v>
      </c>
      <c r="H145" s="39">
        <f t="shared" si="13"/>
        <v>689.63064299999996</v>
      </c>
      <c r="I145" s="33"/>
    </row>
    <row r="146" spans="1:20" s="34" customFormat="1" ht="15.75" customHeight="1" x14ac:dyDescent="0.35">
      <c r="A146" s="73">
        <f t="shared" si="14"/>
        <v>4</v>
      </c>
      <c r="B146" s="74"/>
      <c r="C146" s="39" t="s">
        <v>330</v>
      </c>
      <c r="D146" s="67">
        <f>(35.74)*10.764</f>
        <v>384.70535999999998</v>
      </c>
      <c r="E146" s="67">
        <f>(0.7*(2.9+2.1+2.85))*10.764</f>
        <v>59.148179999999989</v>
      </c>
      <c r="F146" s="39">
        <f t="shared" si="12"/>
        <v>443.85353999999995</v>
      </c>
      <c r="G146" s="62">
        <v>0</v>
      </c>
      <c r="H146" s="39">
        <f t="shared" si="13"/>
        <v>643.58763299999987</v>
      </c>
      <c r="I146" s="33"/>
      <c r="J146" s="34">
        <f>3840000/640</f>
        <v>6000</v>
      </c>
    </row>
    <row r="147" spans="1:20" s="34" customFormat="1" ht="15.75" customHeight="1" x14ac:dyDescent="0.35">
      <c r="A147" s="73">
        <f t="shared" si="14"/>
        <v>5</v>
      </c>
      <c r="B147" s="74"/>
      <c r="C147" s="39" t="s">
        <v>330</v>
      </c>
      <c r="D147" s="67">
        <f>(35.74)*10.764</f>
        <v>384.70535999999998</v>
      </c>
      <c r="E147" s="67">
        <f>(0.7*(2.9+2.1+2.85))*10.764</f>
        <v>59.148179999999989</v>
      </c>
      <c r="F147" s="39">
        <f t="shared" si="12"/>
        <v>443.85353999999995</v>
      </c>
      <c r="G147" s="62">
        <v>0</v>
      </c>
      <c r="H147" s="39">
        <f t="shared" si="13"/>
        <v>643.58763299999987</v>
      </c>
      <c r="I147" s="33"/>
    </row>
    <row r="148" spans="1:20" s="32" customFormat="1" x14ac:dyDescent="0.35">
      <c r="A148" s="73">
        <f t="shared" si="14"/>
        <v>6</v>
      </c>
      <c r="B148" s="74"/>
      <c r="C148" s="39" t="s">
        <v>330</v>
      </c>
      <c r="D148" s="67">
        <f>(37.02)*10.764</f>
        <v>398.48328000000004</v>
      </c>
      <c r="E148" s="67">
        <f>(0.7*(2.9+2.2+2.75))*10.764</f>
        <v>59.148179999999989</v>
      </c>
      <c r="F148" s="39">
        <f t="shared" si="12"/>
        <v>457.63146</v>
      </c>
      <c r="G148" s="62">
        <v>0</v>
      </c>
      <c r="H148" s="39">
        <f t="shared" si="13"/>
        <v>663.56561699999997</v>
      </c>
      <c r="T148" s="34"/>
    </row>
    <row r="149" spans="1:20" s="32" customFormat="1" x14ac:dyDescent="0.35">
      <c r="A149" s="73">
        <f t="shared" si="14"/>
        <v>7</v>
      </c>
      <c r="B149" s="74"/>
      <c r="C149" s="39" t="s">
        <v>330</v>
      </c>
      <c r="D149" s="67">
        <f>(37.72)*10.764</f>
        <v>406.01807999999994</v>
      </c>
      <c r="E149" s="67">
        <f>(0.7*(2.75+2.3+2.9))*10.764</f>
        <v>59.901659999999993</v>
      </c>
      <c r="F149" s="39">
        <f t="shared" si="12"/>
        <v>465.91973999999993</v>
      </c>
      <c r="G149" s="62">
        <v>0</v>
      </c>
      <c r="H149" s="39">
        <f t="shared" si="13"/>
        <v>675.58362299999987</v>
      </c>
      <c r="I149" s="63">
        <f>4.5*2.9+3.35*2.3+3*2.75+2.4*0.6+1.65*1.2+1.25*0.9</f>
        <v>33.549999999999997</v>
      </c>
      <c r="T149" s="34"/>
    </row>
    <row r="150" spans="1:20" s="32" customFormat="1" x14ac:dyDescent="0.35">
      <c r="A150" s="100" t="s">
        <v>336</v>
      </c>
      <c r="B150" s="101"/>
      <c r="C150" s="101"/>
      <c r="D150" s="101"/>
      <c r="E150" s="101"/>
      <c r="F150" s="101"/>
      <c r="G150" s="101"/>
      <c r="H150" s="102"/>
      <c r="T150" s="34"/>
    </row>
    <row r="151" spans="1:20" s="32" customFormat="1" x14ac:dyDescent="0.35">
      <c r="A151" s="73">
        <v>1</v>
      </c>
      <c r="B151" s="74"/>
      <c r="C151" s="39" t="s">
        <v>330</v>
      </c>
      <c r="D151" s="67">
        <f>(37.95)*10.764</f>
        <v>408.49380000000002</v>
      </c>
      <c r="E151" s="67">
        <f>(0.7*(3.15+2.3+2.85))*10.764</f>
        <v>62.538839999999979</v>
      </c>
      <c r="F151" s="39">
        <f>D151+E151</f>
        <v>471.03264000000001</v>
      </c>
      <c r="G151" s="62">
        <v>0</v>
      </c>
      <c r="H151" s="39">
        <f>F151*(($H$133)+1)+(IF(G151&lt;101,G151,IF(G151&lt;201,G151/2,IF(G151&lt;=301,G151/3,G151/4))))</f>
        <v>682.99732800000004</v>
      </c>
      <c r="J151" s="32">
        <f>640/F162</f>
        <v>1.4419170792239262</v>
      </c>
      <c r="T151" s="34"/>
    </row>
    <row r="152" spans="1:20" s="32" customFormat="1" x14ac:dyDescent="0.35">
      <c r="A152" s="73">
        <f t="shared" ref="A152:A157" si="15">A151+1</f>
        <v>2</v>
      </c>
      <c r="B152" s="74"/>
      <c r="C152" s="39" t="s">
        <v>330</v>
      </c>
      <c r="D152" s="67">
        <f>(38.66)*10.764</f>
        <v>416.13623999999993</v>
      </c>
      <c r="E152" s="67">
        <f>(0.7*(2.85+2.3+2.9))*10.764</f>
        <v>60.655139999999996</v>
      </c>
      <c r="F152" s="39">
        <f>D152+E152</f>
        <v>476.79137999999995</v>
      </c>
      <c r="G152" s="62">
        <v>0</v>
      </c>
      <c r="H152" s="39">
        <f>F152*(($H$133)+1)+(IF(G152&lt;101,G152,IF(G152&lt;201,G152/2,IF(G152&lt;=301,G152/3,G152/4))))</f>
        <v>691.34750099999985</v>
      </c>
      <c r="T152" s="34"/>
    </row>
    <row r="153" spans="1:20" s="32" customFormat="1" x14ac:dyDescent="0.35">
      <c r="A153" s="73">
        <f t="shared" si="15"/>
        <v>3</v>
      </c>
      <c r="B153" s="74"/>
      <c r="C153" s="39" t="s">
        <v>330</v>
      </c>
      <c r="D153" s="67">
        <f>(38.55)*10.764</f>
        <v>414.95219999999995</v>
      </c>
      <c r="E153" s="67">
        <f>(0.7*(2.85+2.3+2.9))*10.764</f>
        <v>60.655139999999996</v>
      </c>
      <c r="F153" s="39">
        <f>D153+E153</f>
        <v>475.60733999999997</v>
      </c>
      <c r="G153" s="62">
        <v>0</v>
      </c>
      <c r="H153" s="39">
        <f>F153*(($H$133)+1)+(IF(G153&lt;101,G153,IF(G153&lt;201,G153/2,IF(G153&lt;=301,G153/3,G153/4))))</f>
        <v>689.63064299999996</v>
      </c>
      <c r="T153" s="34"/>
    </row>
    <row r="154" spans="1:20" s="32" customFormat="1" x14ac:dyDescent="0.35">
      <c r="A154" s="73">
        <f t="shared" si="15"/>
        <v>4</v>
      </c>
      <c r="B154" s="74"/>
      <c r="C154" s="73" t="s">
        <v>337</v>
      </c>
      <c r="D154" s="99"/>
      <c r="E154" s="99"/>
      <c r="F154" s="99"/>
      <c r="G154" s="99"/>
      <c r="H154" s="74"/>
    </row>
    <row r="155" spans="1:20" s="32" customFormat="1" ht="15.75" customHeight="1" x14ac:dyDescent="0.35">
      <c r="A155" s="73">
        <f t="shared" si="15"/>
        <v>5</v>
      </c>
      <c r="B155" s="74"/>
      <c r="C155" s="39" t="s">
        <v>330</v>
      </c>
      <c r="D155" s="67">
        <f>(35.74)*10.764</f>
        <v>384.70535999999998</v>
      </c>
      <c r="E155" s="67">
        <f>(0.7*(2.9+2.1+2.85))*10.764</f>
        <v>59.148179999999989</v>
      </c>
      <c r="F155" s="39">
        <f>D155+E155</f>
        <v>443.85353999999995</v>
      </c>
      <c r="G155" s="62">
        <v>0</v>
      </c>
      <c r="H155" s="39">
        <f>F155*(($H$133)+1)+(IF(G155&lt;101,G155,IF(G155&lt;201,G155/2,IF(G155&lt;=301,G155/3,G155/4))))</f>
        <v>643.58763299999987</v>
      </c>
    </row>
    <row r="156" spans="1:20" s="32" customFormat="1" ht="15.75" customHeight="1" x14ac:dyDescent="0.35">
      <c r="A156" s="73">
        <f t="shared" si="15"/>
        <v>6</v>
      </c>
      <c r="B156" s="74"/>
      <c r="C156" s="39" t="s">
        <v>330</v>
      </c>
      <c r="D156" s="67">
        <f>(37.02)*10.764</f>
        <v>398.48328000000004</v>
      </c>
      <c r="E156" s="67">
        <f>(0.7*(2.9+2.2+2.75))*10.764</f>
        <v>59.148179999999989</v>
      </c>
      <c r="F156" s="39">
        <f>D156+E156</f>
        <v>457.63146</v>
      </c>
      <c r="G156" s="62">
        <v>0</v>
      </c>
      <c r="H156" s="39">
        <f>F156*(($H$133)+1)+(IF(G156&lt;101,G156,IF(G156&lt;201,G156/2,IF(G156&lt;=301,G156/3,G156/4))))</f>
        <v>663.56561699999997</v>
      </c>
    </row>
    <row r="157" spans="1:20" s="32" customFormat="1" ht="15.75" customHeight="1" x14ac:dyDescent="0.35">
      <c r="A157" s="73">
        <f t="shared" si="15"/>
        <v>7</v>
      </c>
      <c r="B157" s="74"/>
      <c r="C157" s="39" t="s">
        <v>330</v>
      </c>
      <c r="D157" s="67">
        <f>(37.72)*10.764</f>
        <v>406.01807999999994</v>
      </c>
      <c r="E157" s="67">
        <f>(0.7*(2.75+2.3+2.9))*10.764</f>
        <v>59.901659999999993</v>
      </c>
      <c r="F157" s="39">
        <f>D157+E157</f>
        <v>465.91973999999993</v>
      </c>
      <c r="G157" s="62">
        <v>0</v>
      </c>
      <c r="H157" s="39">
        <f>F157*(($H$133)+1)+(IF(G157&lt;101,G157,IF(G157&lt;201,G157/2,IF(G157&lt;=301,G157/3,G157/4))))</f>
        <v>675.58362299999987</v>
      </c>
    </row>
    <row r="158" spans="1:20" s="32" customFormat="1" x14ac:dyDescent="0.35">
      <c r="A158" s="98" t="s">
        <v>338</v>
      </c>
      <c r="B158" s="98"/>
      <c r="C158" s="98"/>
      <c r="D158" s="98"/>
      <c r="E158" s="98"/>
      <c r="F158" s="98"/>
      <c r="G158" s="98"/>
      <c r="H158" s="98"/>
    </row>
    <row r="159" spans="1:20" s="32" customFormat="1" x14ac:dyDescent="0.35">
      <c r="A159" s="211">
        <v>1</v>
      </c>
      <c r="B159" s="211"/>
      <c r="C159" s="39" t="s">
        <v>330</v>
      </c>
      <c r="D159" s="67">
        <f>(37.95)*10.764</f>
        <v>408.49380000000002</v>
      </c>
      <c r="E159" s="67">
        <f>(0.7*(3.15+2.3+2.85))*10.764</f>
        <v>62.538839999999979</v>
      </c>
      <c r="F159" s="39">
        <f t="shared" ref="F159:F165" si="16">D159+E159</f>
        <v>471.03264000000001</v>
      </c>
      <c r="G159" s="62">
        <v>0</v>
      </c>
      <c r="H159" s="39">
        <f t="shared" ref="H159:H165" si="17">F159*(($H$133)+1)+(IF(G159&lt;101,G159,IF(G159&lt;201,G159/2,IF(G159&lt;=301,G159/3,G159/4))))</f>
        <v>682.99732800000004</v>
      </c>
    </row>
    <row r="160" spans="1:20" x14ac:dyDescent="0.35">
      <c r="A160" s="211">
        <f t="shared" ref="A160:A165" si="18">A159+1</f>
        <v>2</v>
      </c>
      <c r="B160" s="211"/>
      <c r="C160" s="39" t="s">
        <v>330</v>
      </c>
      <c r="D160" s="67">
        <f>(38.66)*10.764</f>
        <v>416.13623999999993</v>
      </c>
      <c r="E160" s="67">
        <f>(0.7*(2.85+2.3+2.9))*10.764</f>
        <v>60.655139999999996</v>
      </c>
      <c r="F160" s="39">
        <f t="shared" si="16"/>
        <v>476.79137999999995</v>
      </c>
      <c r="G160" s="62">
        <v>0</v>
      </c>
      <c r="H160" s="39">
        <f t="shared" si="17"/>
        <v>691.34750099999985</v>
      </c>
      <c r="T160" s="32"/>
    </row>
    <row r="161" spans="1:20" ht="15.75" customHeight="1" x14ac:dyDescent="0.35">
      <c r="A161" s="211">
        <f t="shared" si="18"/>
        <v>3</v>
      </c>
      <c r="B161" s="211"/>
      <c r="C161" s="39" t="s">
        <v>330</v>
      </c>
      <c r="D161" s="67">
        <f>(38.55)*10.764</f>
        <v>414.95219999999995</v>
      </c>
      <c r="E161" s="67">
        <f>(0.7*(2.85+2.3+2.9))*10.764</f>
        <v>60.655139999999996</v>
      </c>
      <c r="F161" s="39">
        <f t="shared" si="16"/>
        <v>475.60733999999997</v>
      </c>
      <c r="G161" s="62">
        <v>0</v>
      </c>
      <c r="H161" s="39">
        <f t="shared" si="17"/>
        <v>689.63064299999996</v>
      </c>
      <c r="T161" s="32"/>
    </row>
    <row r="162" spans="1:20" ht="15.75" customHeight="1" x14ac:dyDescent="0.35">
      <c r="A162" s="211">
        <f t="shared" si="18"/>
        <v>4</v>
      </c>
      <c r="B162" s="211"/>
      <c r="C162" s="39" t="s">
        <v>330</v>
      </c>
      <c r="D162" s="67">
        <f>(35.74)*10.764</f>
        <v>384.70535999999998</v>
      </c>
      <c r="E162" s="67">
        <f>(0.7*(2.9+2.1+2.85))*10.764</f>
        <v>59.148179999999989</v>
      </c>
      <c r="F162" s="39">
        <f t="shared" si="16"/>
        <v>443.85353999999995</v>
      </c>
      <c r="G162" s="62">
        <v>0</v>
      </c>
      <c r="H162" s="39">
        <f t="shared" si="17"/>
        <v>643.58763299999987</v>
      </c>
      <c r="J162" s="18">
        <f>3615000/H162</f>
        <v>5616.9506911578592</v>
      </c>
      <c r="K162" s="18">
        <f>3840000/640</f>
        <v>6000</v>
      </c>
      <c r="T162" s="32"/>
    </row>
    <row r="163" spans="1:20" x14ac:dyDescent="0.35">
      <c r="A163" s="211">
        <f t="shared" si="18"/>
        <v>5</v>
      </c>
      <c r="B163" s="211"/>
      <c r="C163" s="39" t="s">
        <v>330</v>
      </c>
      <c r="D163" s="67">
        <f>(35.74)*10.764</f>
        <v>384.70535999999998</v>
      </c>
      <c r="E163" s="67">
        <f>(0.7*(2.9+2.1+2.85))*10.764</f>
        <v>59.148179999999989</v>
      </c>
      <c r="F163" s="39">
        <f t="shared" si="16"/>
        <v>443.85353999999995</v>
      </c>
      <c r="G163" s="62">
        <v>0</v>
      </c>
      <c r="H163" s="39">
        <f t="shared" si="17"/>
        <v>643.58763299999987</v>
      </c>
      <c r="T163" s="32"/>
    </row>
    <row r="164" spans="1:20" x14ac:dyDescent="0.35">
      <c r="A164" s="211">
        <f t="shared" si="18"/>
        <v>6</v>
      </c>
      <c r="B164" s="211"/>
      <c r="C164" s="39" t="s">
        <v>330</v>
      </c>
      <c r="D164" s="67">
        <f>(37.02)*10.764</f>
        <v>398.48328000000004</v>
      </c>
      <c r="E164" s="67">
        <f>(0.7*(2.9+2.2+2.75))*10.764</f>
        <v>59.148179999999989</v>
      </c>
      <c r="F164" s="39">
        <f t="shared" si="16"/>
        <v>457.63146</v>
      </c>
      <c r="G164" s="62">
        <v>0</v>
      </c>
      <c r="H164" s="39">
        <f t="shared" si="17"/>
        <v>663.56561699999997</v>
      </c>
      <c r="J164" s="18">
        <f>J162+K162</f>
        <v>11616.950691157859</v>
      </c>
      <c r="T164" s="32"/>
    </row>
    <row r="165" spans="1:20" x14ac:dyDescent="0.35">
      <c r="A165" s="211">
        <f t="shared" si="18"/>
        <v>7</v>
      </c>
      <c r="B165" s="211"/>
      <c r="C165" s="39" t="s">
        <v>330</v>
      </c>
      <c r="D165" s="67">
        <f>(37.72)*10.764</f>
        <v>406.01807999999994</v>
      </c>
      <c r="E165" s="67">
        <f>(0.7*(2.75+2.3+2.9))*10.764</f>
        <v>59.901659999999993</v>
      </c>
      <c r="F165" s="39">
        <f t="shared" si="16"/>
        <v>465.91973999999993</v>
      </c>
      <c r="G165" s="62">
        <v>0</v>
      </c>
      <c r="H165" s="39">
        <f t="shared" si="17"/>
        <v>675.58362299999987</v>
      </c>
      <c r="J165" s="18">
        <f>J164/2</f>
        <v>5808.4753455789296</v>
      </c>
      <c r="T165" s="32"/>
    </row>
    <row r="166" spans="1:20" x14ac:dyDescent="0.35">
      <c r="A166" s="73"/>
      <c r="B166" s="99"/>
      <c r="C166" s="99"/>
      <c r="D166" s="99"/>
      <c r="E166" s="99"/>
      <c r="F166" s="99"/>
      <c r="G166" s="99"/>
      <c r="H166" s="74"/>
    </row>
    <row r="167" spans="1:20" x14ac:dyDescent="0.35">
      <c r="A167" s="132" t="s">
        <v>65</v>
      </c>
      <c r="B167" s="132"/>
      <c r="C167" s="132"/>
      <c r="D167" s="132"/>
      <c r="E167" s="132"/>
      <c r="F167" s="132"/>
      <c r="G167" s="132"/>
      <c r="H167" s="132"/>
    </row>
    <row r="168" spans="1:20" ht="48" customHeight="1" x14ac:dyDescent="0.35">
      <c r="A168" s="41" t="s">
        <v>150</v>
      </c>
      <c r="B168" s="129" t="s">
        <v>353</v>
      </c>
      <c r="C168" s="130"/>
      <c r="D168" s="130"/>
      <c r="E168" s="130"/>
      <c r="F168" s="130"/>
      <c r="G168" s="130"/>
      <c r="H168" s="131"/>
      <c r="I168" s="18" t="s">
        <v>350</v>
      </c>
    </row>
    <row r="169" spans="1:20" ht="15" customHeight="1" x14ac:dyDescent="0.35">
      <c r="A169" s="41" t="s">
        <v>150</v>
      </c>
      <c r="B169" s="126" t="str">
        <f>(IF(H132="Saleable area Loading :","We have considered Saleable area of Flats as per our Calculation.","We considered Saleable area of Flat as per Builder area Sheet."))</f>
        <v>We have considered Saleable area of Flats as per our Calculation.</v>
      </c>
      <c r="C169" s="127"/>
      <c r="D169" s="127"/>
      <c r="E169" s="127"/>
      <c r="F169" s="127"/>
      <c r="G169" s="127"/>
      <c r="H169" s="128"/>
    </row>
    <row r="170" spans="1:20" x14ac:dyDescent="0.35">
      <c r="A170" s="41" t="s">
        <v>150</v>
      </c>
      <c r="B170" s="126" t="str">
        <f>(IF(H114="Saleable area Loading :","We have considered Saleable area of Commercial as per our Calculation.","We considered Saleable area of Commercial as per Builder area Sheet."))</f>
        <v>We have considered Saleable area of Commercial as per our Calculation.</v>
      </c>
      <c r="C170" s="127"/>
      <c r="D170" s="127"/>
      <c r="E170" s="127"/>
      <c r="F170" s="127"/>
      <c r="G170" s="127"/>
      <c r="H170" s="128"/>
    </row>
    <row r="171" spans="1:20" x14ac:dyDescent="0.35">
      <c r="A171" s="41" t="s">
        <v>150</v>
      </c>
      <c r="B171" s="123" t="s">
        <v>120</v>
      </c>
      <c r="C171" s="124"/>
      <c r="D171" s="124"/>
      <c r="E171" s="124"/>
      <c r="F171" s="124"/>
      <c r="G171" s="124"/>
      <c r="H171" s="125"/>
    </row>
    <row r="172" spans="1:20" x14ac:dyDescent="0.35">
      <c r="A172" s="41" t="s">
        <v>150</v>
      </c>
      <c r="B172" s="123" t="s">
        <v>340</v>
      </c>
      <c r="C172" s="124"/>
      <c r="D172" s="124"/>
      <c r="E172" s="124"/>
      <c r="F172" s="124"/>
      <c r="G172" s="124"/>
      <c r="H172" s="125"/>
    </row>
    <row r="173" spans="1:20" x14ac:dyDescent="0.35">
      <c r="A173" s="41" t="s">
        <v>150</v>
      </c>
      <c r="B173" s="123" t="s">
        <v>149</v>
      </c>
      <c r="C173" s="124"/>
      <c r="D173" s="124"/>
      <c r="E173" s="124"/>
      <c r="F173" s="124"/>
      <c r="G173" s="124"/>
      <c r="H173" s="125"/>
    </row>
    <row r="174" spans="1:20" x14ac:dyDescent="0.35">
      <c r="A174" s="41" t="s">
        <v>150</v>
      </c>
      <c r="B174" s="123" t="s">
        <v>121</v>
      </c>
      <c r="C174" s="124"/>
      <c r="D174" s="124"/>
      <c r="E174" s="124"/>
      <c r="F174" s="124"/>
      <c r="G174" s="124"/>
      <c r="H174" s="125"/>
    </row>
    <row r="175" spans="1:20" ht="33.75" customHeight="1" x14ac:dyDescent="0.35">
      <c r="A175" s="41" t="s">
        <v>150</v>
      </c>
      <c r="B175" s="123" t="s">
        <v>151</v>
      </c>
      <c r="C175" s="124"/>
      <c r="D175" s="124"/>
      <c r="E175" s="124"/>
      <c r="F175" s="124"/>
      <c r="G175" s="124"/>
      <c r="H175" s="125"/>
    </row>
    <row r="176" spans="1:20" x14ac:dyDescent="0.35">
      <c r="A176" s="41" t="s">
        <v>150</v>
      </c>
      <c r="B176" s="123" t="s">
        <v>122</v>
      </c>
      <c r="C176" s="124"/>
      <c r="D176" s="124"/>
      <c r="E176" s="124"/>
      <c r="F176" s="124"/>
      <c r="G176" s="124"/>
      <c r="H176" s="125"/>
    </row>
    <row r="177" spans="1:8" hidden="1" x14ac:dyDescent="0.35">
      <c r="A177" s="41" t="s">
        <v>150</v>
      </c>
      <c r="B177" s="117" t="s">
        <v>175</v>
      </c>
      <c r="C177" s="118"/>
      <c r="D177" s="118"/>
      <c r="E177" s="118"/>
      <c r="F177" s="118"/>
      <c r="G177" s="118"/>
      <c r="H177" s="119"/>
    </row>
    <row r="178" spans="1:8" ht="31" hidden="1" customHeight="1" x14ac:dyDescent="0.35">
      <c r="A178" s="41" t="s">
        <v>150</v>
      </c>
      <c r="B178" s="117" t="s">
        <v>346</v>
      </c>
      <c r="C178" s="118"/>
      <c r="D178" s="118"/>
      <c r="E178" s="118"/>
      <c r="F178" s="118"/>
      <c r="G178" s="118"/>
      <c r="H178" s="119"/>
    </row>
    <row r="179" spans="1:8" ht="47" customHeight="1" x14ac:dyDescent="0.35">
      <c r="A179" s="69" t="s">
        <v>150</v>
      </c>
      <c r="B179" s="117" t="s">
        <v>354</v>
      </c>
      <c r="C179" s="118"/>
      <c r="D179" s="118"/>
      <c r="E179" s="118"/>
      <c r="F179" s="118"/>
      <c r="G179" s="118"/>
      <c r="H179" s="119"/>
    </row>
    <row r="180" spans="1:8" x14ac:dyDescent="0.35">
      <c r="A180" s="137" t="s">
        <v>58</v>
      </c>
      <c r="B180" s="137"/>
      <c r="C180" s="137"/>
      <c r="D180" s="137"/>
      <c r="E180" s="137"/>
      <c r="F180" s="137"/>
      <c r="G180" s="137"/>
      <c r="H180" s="137"/>
    </row>
    <row r="181" spans="1:8" x14ac:dyDescent="0.35">
      <c r="A181" s="77" t="s">
        <v>59</v>
      </c>
      <c r="B181" s="77"/>
      <c r="C181" s="77"/>
      <c r="D181" s="77"/>
      <c r="E181" s="77"/>
      <c r="F181" s="77"/>
      <c r="G181" s="77"/>
      <c r="H181" s="77"/>
    </row>
    <row r="182" spans="1:8" x14ac:dyDescent="0.35">
      <c r="A182" s="108" t="s">
        <v>60</v>
      </c>
      <c r="B182" s="108"/>
      <c r="C182" s="108"/>
      <c r="D182" s="108"/>
      <c r="E182" s="108"/>
      <c r="F182" s="108"/>
      <c r="G182" s="108"/>
      <c r="H182" s="108"/>
    </row>
    <row r="183" spans="1:8" x14ac:dyDescent="0.35">
      <c r="A183" s="77" t="s">
        <v>61</v>
      </c>
      <c r="B183" s="77"/>
      <c r="C183" s="77"/>
      <c r="D183" s="77"/>
      <c r="E183" s="77"/>
      <c r="F183" s="77"/>
      <c r="G183" s="77"/>
      <c r="H183" s="77"/>
    </row>
    <row r="184" spans="1:8" x14ac:dyDescent="0.35">
      <c r="A184" s="77" t="s">
        <v>62</v>
      </c>
      <c r="B184" s="77"/>
      <c r="C184" s="77"/>
      <c r="D184" s="77"/>
      <c r="E184" s="77"/>
      <c r="F184" s="77"/>
      <c r="G184" s="77"/>
      <c r="H184" s="77"/>
    </row>
    <row r="185" spans="1:8" x14ac:dyDescent="0.35">
      <c r="A185" s="77" t="s">
        <v>123</v>
      </c>
      <c r="B185" s="77"/>
      <c r="C185" s="77"/>
      <c r="D185" s="77"/>
      <c r="E185" s="77"/>
      <c r="F185" s="77"/>
      <c r="G185" s="77"/>
      <c r="H185" s="77"/>
    </row>
    <row r="186" spans="1:8" x14ac:dyDescent="0.35">
      <c r="A186" s="85" t="s">
        <v>124</v>
      </c>
      <c r="B186" s="85"/>
      <c r="C186" s="85"/>
      <c r="D186" s="85"/>
      <c r="E186" s="85"/>
      <c r="F186" s="85"/>
      <c r="G186" s="85"/>
      <c r="H186" s="85"/>
    </row>
    <row r="187" spans="1:8" x14ac:dyDescent="0.35">
      <c r="A187" s="134" t="s">
        <v>74</v>
      </c>
      <c r="B187" s="134"/>
      <c r="C187" s="134" t="s">
        <v>311</v>
      </c>
      <c r="D187" s="134"/>
      <c r="E187" s="134" t="s">
        <v>103</v>
      </c>
      <c r="F187" s="134"/>
      <c r="G187" s="134" t="s">
        <v>352</v>
      </c>
      <c r="H187" s="134"/>
    </row>
    <row r="188" spans="1:8" x14ac:dyDescent="0.35">
      <c r="A188" s="133" t="s">
        <v>76</v>
      </c>
      <c r="B188" s="133"/>
      <c r="C188" s="133"/>
      <c r="D188" s="133"/>
      <c r="E188" s="133"/>
      <c r="F188" s="133"/>
      <c r="G188" s="133"/>
      <c r="H188" s="133"/>
    </row>
    <row r="189" spans="1:8" x14ac:dyDescent="0.35">
      <c r="A189" s="133"/>
      <c r="B189" s="133"/>
      <c r="C189" s="133"/>
      <c r="D189" s="133"/>
      <c r="E189" s="133"/>
      <c r="F189" s="133"/>
      <c r="G189" s="133"/>
      <c r="H189" s="133"/>
    </row>
    <row r="190" spans="1:8" x14ac:dyDescent="0.35">
      <c r="A190" s="133"/>
      <c r="B190" s="133"/>
      <c r="C190" s="133"/>
      <c r="D190" s="133"/>
      <c r="E190" s="133"/>
      <c r="F190" s="133"/>
      <c r="G190" s="133"/>
      <c r="H190" s="133"/>
    </row>
    <row r="191" spans="1:8" x14ac:dyDescent="0.35">
      <c r="A191" s="133"/>
      <c r="B191" s="133"/>
      <c r="C191" s="133"/>
      <c r="D191" s="133"/>
      <c r="E191" s="133"/>
      <c r="F191" s="133"/>
      <c r="G191" s="133"/>
      <c r="H191" s="133"/>
    </row>
    <row r="192" spans="1:8" x14ac:dyDescent="0.35">
      <c r="A192" s="35" t="s">
        <v>63</v>
      </c>
      <c r="B192" s="36"/>
      <c r="C192" s="36"/>
      <c r="D192" s="35" t="str">
        <f>E9</f>
        <v>Virar Bolinj Yashwant Krupa Co-Op Hsg Soc Ltd.</v>
      </c>
      <c r="F192" s="36"/>
      <c r="G192" s="36"/>
      <c r="H192" s="36"/>
    </row>
    <row r="193" spans="1:8" x14ac:dyDescent="0.35">
      <c r="A193" s="36"/>
      <c r="B193" s="36"/>
      <c r="C193" s="36"/>
      <c r="D193" s="36"/>
      <c r="E193" s="36"/>
      <c r="F193" s="36"/>
      <c r="G193" s="36"/>
      <c r="H193" s="36"/>
    </row>
    <row r="194" spans="1:8" x14ac:dyDescent="0.35">
      <c r="A194" s="36"/>
      <c r="B194" s="36"/>
      <c r="C194" s="36"/>
      <c r="D194" s="36"/>
      <c r="E194" s="36"/>
      <c r="F194" s="36"/>
      <c r="G194" s="36"/>
      <c r="H194" s="36"/>
    </row>
    <row r="234" spans="1:1" x14ac:dyDescent="0.35">
      <c r="A234" s="38" t="s">
        <v>161</v>
      </c>
    </row>
    <row r="276" spans="1:1" x14ac:dyDescent="0.35">
      <c r="A276" s="38" t="s">
        <v>64</v>
      </c>
    </row>
  </sheetData>
  <mergeCells count="337">
    <mergeCell ref="B179:H179"/>
    <mergeCell ref="A77:B77"/>
    <mergeCell ref="A75:B75"/>
    <mergeCell ref="C75:H75"/>
    <mergeCell ref="I11:L11"/>
    <mergeCell ref="A140:B140"/>
    <mergeCell ref="A141:B141"/>
    <mergeCell ref="A143:B143"/>
    <mergeCell ref="A144:B144"/>
    <mergeCell ref="A145:B145"/>
    <mergeCell ref="A49:B49"/>
    <mergeCell ref="C49:H49"/>
    <mergeCell ref="A83:B83"/>
    <mergeCell ref="A70:C70"/>
    <mergeCell ref="D70:H70"/>
    <mergeCell ref="C77:H77"/>
    <mergeCell ref="A80:B80"/>
    <mergeCell ref="A82:B82"/>
    <mergeCell ref="E78:F78"/>
    <mergeCell ref="A71:C71"/>
    <mergeCell ref="L127:M127"/>
    <mergeCell ref="A40:B40"/>
    <mergeCell ref="C40:H40"/>
    <mergeCell ref="L126:M126"/>
    <mergeCell ref="L123:M123"/>
    <mergeCell ref="F95:H95"/>
    <mergeCell ref="A97:E97"/>
    <mergeCell ref="A96:E96"/>
    <mergeCell ref="A131:H131"/>
    <mergeCell ref="A149:B149"/>
    <mergeCell ref="C54:E54"/>
    <mergeCell ref="G54:H54"/>
    <mergeCell ref="C55:H55"/>
    <mergeCell ref="A121:B121"/>
    <mergeCell ref="A122:B122"/>
    <mergeCell ref="A123:B123"/>
    <mergeCell ref="A124:B124"/>
    <mergeCell ref="A125:B125"/>
    <mergeCell ref="D71:H71"/>
    <mergeCell ref="A74:C74"/>
    <mergeCell ref="D74:H74"/>
    <mergeCell ref="A72:C72"/>
    <mergeCell ref="D73:H73"/>
    <mergeCell ref="A79:B79"/>
    <mergeCell ref="G78:H78"/>
    <mergeCell ref="F89:H89"/>
    <mergeCell ref="F92:H92"/>
    <mergeCell ref="E108:F108"/>
    <mergeCell ref="E111:F111"/>
    <mergeCell ref="G132:G133"/>
    <mergeCell ref="A136:B136"/>
    <mergeCell ref="G111:H111"/>
    <mergeCell ref="A155:B155"/>
    <mergeCell ref="B178:H178"/>
    <mergeCell ref="A94:E94"/>
    <mergeCell ref="A110:B110"/>
    <mergeCell ref="E110:F110"/>
    <mergeCell ref="A99:E99"/>
    <mergeCell ref="G110:H110"/>
    <mergeCell ref="C105:D105"/>
    <mergeCell ref="E105:F105"/>
    <mergeCell ref="G105:H105"/>
    <mergeCell ref="A106:B106"/>
    <mergeCell ref="C106:D106"/>
    <mergeCell ref="E106:F106"/>
    <mergeCell ref="G106:H106"/>
    <mergeCell ref="B175:H175"/>
    <mergeCell ref="A164:B164"/>
    <mergeCell ref="A153:B153"/>
    <mergeCell ref="F94:H94"/>
    <mergeCell ref="A120:B120"/>
    <mergeCell ref="A119:B119"/>
    <mergeCell ref="A95:E95"/>
    <mergeCell ref="A151:B151"/>
    <mergeCell ref="A152:B152"/>
    <mergeCell ref="A162:B162"/>
    <mergeCell ref="F114:F115"/>
    <mergeCell ref="C104:D104"/>
    <mergeCell ref="E104:F104"/>
    <mergeCell ref="B114:B115"/>
    <mergeCell ref="A114:A115"/>
    <mergeCell ref="C132:C133"/>
    <mergeCell ref="A146:B146"/>
    <mergeCell ref="A147:B147"/>
    <mergeCell ref="A148:B148"/>
    <mergeCell ref="L124:M124"/>
    <mergeCell ref="A137:B137"/>
    <mergeCell ref="L125:M125"/>
    <mergeCell ref="C57:H57"/>
    <mergeCell ref="A138:B138"/>
    <mergeCell ref="A78:B78"/>
    <mergeCell ref="A39:B39"/>
    <mergeCell ref="C39:H39"/>
    <mergeCell ref="A46:D46"/>
    <mergeCell ref="L118:M118"/>
    <mergeCell ref="L117:M117"/>
    <mergeCell ref="L116:M116"/>
    <mergeCell ref="L115:M115"/>
    <mergeCell ref="A86:B86"/>
    <mergeCell ref="C109:D109"/>
    <mergeCell ref="E109:F109"/>
    <mergeCell ref="G109:H109"/>
    <mergeCell ref="A90:E90"/>
    <mergeCell ref="A116:H116"/>
    <mergeCell ref="E114:E115"/>
    <mergeCell ref="A47:D47"/>
    <mergeCell ref="A48:H48"/>
    <mergeCell ref="D66:H66"/>
    <mergeCell ref="A66:C66"/>
    <mergeCell ref="A45:D45"/>
    <mergeCell ref="E79:F88"/>
    <mergeCell ref="G79:H88"/>
    <mergeCell ref="A87:B87"/>
    <mergeCell ref="A88:B88"/>
    <mergeCell ref="A38:H38"/>
    <mergeCell ref="A37:B37"/>
    <mergeCell ref="C37:E37"/>
    <mergeCell ref="A42:D42"/>
    <mergeCell ref="E42:H42"/>
    <mergeCell ref="A41:H41"/>
    <mergeCell ref="A68:C68"/>
    <mergeCell ref="A69:C69"/>
    <mergeCell ref="D68:H68"/>
    <mergeCell ref="D69:H69"/>
    <mergeCell ref="A44:D44"/>
    <mergeCell ref="E44:H44"/>
    <mergeCell ref="E45:H45"/>
    <mergeCell ref="E46:H46"/>
    <mergeCell ref="E47:H47"/>
    <mergeCell ref="C59:H59"/>
    <mergeCell ref="C61:H61"/>
    <mergeCell ref="F37:H37"/>
    <mergeCell ref="A81:B81"/>
    <mergeCell ref="C52:E52"/>
    <mergeCell ref="A67:C67"/>
    <mergeCell ref="D67:H67"/>
    <mergeCell ref="C51:E51"/>
    <mergeCell ref="C50:E50"/>
    <mergeCell ref="G50:H50"/>
    <mergeCell ref="A36:B36"/>
    <mergeCell ref="C36:E36"/>
    <mergeCell ref="A31:D31"/>
    <mergeCell ref="E31:H31"/>
    <mergeCell ref="A32:D32"/>
    <mergeCell ref="E32:H32"/>
    <mergeCell ref="G51:H51"/>
    <mergeCell ref="A52:B53"/>
    <mergeCell ref="C53:H53"/>
    <mergeCell ref="A54:B55"/>
    <mergeCell ref="A63:H63"/>
    <mergeCell ref="A64:C64"/>
    <mergeCell ref="A65:C65"/>
    <mergeCell ref="D65:H65"/>
    <mergeCell ref="G62:H62"/>
    <mergeCell ref="A56:B57"/>
    <mergeCell ref="C56:E56"/>
    <mergeCell ref="G56:H56"/>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28:D28"/>
    <mergeCell ref="E28:H28"/>
    <mergeCell ref="E20:F20"/>
    <mergeCell ref="G20:H20"/>
    <mergeCell ref="A21:B21"/>
    <mergeCell ref="C21:D21"/>
    <mergeCell ref="E21:F21"/>
    <mergeCell ref="G21:H21"/>
    <mergeCell ref="A22:B22"/>
    <mergeCell ref="C22:D22"/>
    <mergeCell ref="E22:F22"/>
    <mergeCell ref="G22:H22"/>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88:H191"/>
    <mergeCell ref="A187:B187"/>
    <mergeCell ref="E187:F187"/>
    <mergeCell ref="C187:D187"/>
    <mergeCell ref="G187:H187"/>
    <mergeCell ref="A102:H102"/>
    <mergeCell ref="A100:E100"/>
    <mergeCell ref="F100:H100"/>
    <mergeCell ref="A101:E101"/>
    <mergeCell ref="F101:H101"/>
    <mergeCell ref="A142:H142"/>
    <mergeCell ref="A109:B109"/>
    <mergeCell ref="A104:B104"/>
    <mergeCell ref="A183:H183"/>
    <mergeCell ref="A107:H107"/>
    <mergeCell ref="A186:H186"/>
    <mergeCell ref="A184:H184"/>
    <mergeCell ref="A180:H180"/>
    <mergeCell ref="G108:H108"/>
    <mergeCell ref="A160:B160"/>
    <mergeCell ref="C114:C115"/>
    <mergeCell ref="B132:B133"/>
    <mergeCell ref="A181:H181"/>
    <mergeCell ref="A135:B135"/>
    <mergeCell ref="B176:H176"/>
    <mergeCell ref="B174:H174"/>
    <mergeCell ref="B170:H170"/>
    <mergeCell ref="B168:H168"/>
    <mergeCell ref="B169:H169"/>
    <mergeCell ref="B171:H171"/>
    <mergeCell ref="B172:H172"/>
    <mergeCell ref="A167:H167"/>
    <mergeCell ref="A165:B165"/>
    <mergeCell ref="B173:H173"/>
    <mergeCell ref="A185:H185"/>
    <mergeCell ref="A182:H182"/>
    <mergeCell ref="A108:B108"/>
    <mergeCell ref="D132:D133"/>
    <mergeCell ref="E132:E133"/>
    <mergeCell ref="F90:H90"/>
    <mergeCell ref="G104:H104"/>
    <mergeCell ref="F96:H96"/>
    <mergeCell ref="C103:D103"/>
    <mergeCell ref="C110:D110"/>
    <mergeCell ref="A134:H134"/>
    <mergeCell ref="A159:B159"/>
    <mergeCell ref="A112:H112"/>
    <mergeCell ref="A132:A133"/>
    <mergeCell ref="F132:F133"/>
    <mergeCell ref="A156:B156"/>
    <mergeCell ref="A117:B117"/>
    <mergeCell ref="A126:B126"/>
    <mergeCell ref="A127:B127"/>
    <mergeCell ref="A128:B128"/>
    <mergeCell ref="B177:H177"/>
    <mergeCell ref="A111:B111"/>
    <mergeCell ref="C111:D111"/>
    <mergeCell ref="C154:H154"/>
    <mergeCell ref="A58:B59"/>
    <mergeCell ref="C58:E58"/>
    <mergeCell ref="G58:H58"/>
    <mergeCell ref="A60:B61"/>
    <mergeCell ref="C60:E60"/>
    <mergeCell ref="G60:H60"/>
    <mergeCell ref="A158:H158"/>
    <mergeCell ref="A161:B161"/>
    <mergeCell ref="A166:H166"/>
    <mergeCell ref="A129:H129"/>
    <mergeCell ref="A130:B130"/>
    <mergeCell ref="A139:B139"/>
    <mergeCell ref="A150:H150"/>
    <mergeCell ref="A85:B85"/>
    <mergeCell ref="F91:H91"/>
    <mergeCell ref="A91:E91"/>
    <mergeCell ref="D114:D115"/>
    <mergeCell ref="A93:E93"/>
    <mergeCell ref="A92:E92"/>
    <mergeCell ref="A89:E89"/>
    <mergeCell ref="F93:H93"/>
    <mergeCell ref="G114:G115"/>
    <mergeCell ref="A163:B163"/>
    <mergeCell ref="A154:B154"/>
    <mergeCell ref="I15:P15"/>
    <mergeCell ref="F99:H99"/>
    <mergeCell ref="F97:H97"/>
    <mergeCell ref="A157:B157"/>
    <mergeCell ref="A113:H113"/>
    <mergeCell ref="G103:H103"/>
    <mergeCell ref="A98:E98"/>
    <mergeCell ref="A118:B118"/>
    <mergeCell ref="A62:B62"/>
    <mergeCell ref="C62:E62"/>
    <mergeCell ref="D64:H64"/>
    <mergeCell ref="F98:H98"/>
    <mergeCell ref="E103:F103"/>
    <mergeCell ref="A103:B103"/>
    <mergeCell ref="A105:B105"/>
    <mergeCell ref="C108:D108"/>
    <mergeCell ref="D72:H72"/>
    <mergeCell ref="A73:C73"/>
    <mergeCell ref="E43:H43"/>
    <mergeCell ref="A43:D43"/>
    <mergeCell ref="A84:B84"/>
    <mergeCell ref="A50:B50"/>
    <mergeCell ref="G52:H52"/>
    <mergeCell ref="A51:B51"/>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4:E115">
      <formula1>"Attached Loft area,Attached Otla area,Attached Mezzanine area"</formula1>
    </dataValidation>
    <dataValidation type="list" allowBlank="1" showInputMessage="1" showErrorMessage="1" sqref="G187:H187">
      <formula1>"Gaurav Panchal,Kunal Kadam,Pranita Mhatre,Shruti Fule,Pooja Kawale,Neha Dhokale,Shruti Tathare, Hitakshi Mhatre, Sachin Sawant"</formula1>
    </dataValidation>
    <dataValidation type="list" allowBlank="1" showInputMessage="1" showErrorMessage="1" sqref="F89:H89">
      <formula1>"On Saleable Area,On Builtup Area,On Carpet Area,On Plot Area"</formula1>
    </dataValidation>
    <dataValidation type="list" allowBlank="1" showInputMessage="1" showErrorMessage="1" sqref="B114:B115">
      <formula1>"Shop No. (Sale Plan),Sale / Rehab,Sale / Mhada"</formula1>
    </dataValidation>
    <dataValidation type="list" allowBlank="1" showInputMessage="1" showErrorMessage="1" sqref="B132:B13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2:E133">
      <formula1>"Fungible area,Balcony Area,Chajja Area,Cornice Area,AP Area,FB + DB Area"</formula1>
    </dataValidation>
    <dataValidation type="list" allowBlank="1" showInputMessage="1" showErrorMessage="1" sqref="H115 H13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C87">
      <formula1>0</formula1>
      <formula2>H76</formula2>
    </dataValidation>
    <dataValidation type="list" allowBlank="1" showInputMessage="1" showErrorMessage="1" sqref="H114 H132">
      <formula1>"Saleable area Loading :,Builder Saleable Area"</formula1>
    </dataValidation>
    <dataValidation type="list" allowBlank="1" showInputMessage="1" showErrorMessage="1" sqref="D114:D115 D132:D13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4" max="16383" man="1"/>
    <brk id="191" max="7" man="1"/>
    <brk id="233" max="7" man="1"/>
    <brk id="275"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09" t="s">
        <v>104</v>
      </c>
      <c r="C3" s="209"/>
      <c r="D3" s="209"/>
      <c r="E3" s="209"/>
      <c r="F3" s="209"/>
      <c r="G3" s="209"/>
      <c r="H3" s="209"/>
    </row>
    <row r="4" spans="1:9" x14ac:dyDescent="0.35">
      <c r="A4" s="2"/>
      <c r="B4" s="3" t="s">
        <v>105</v>
      </c>
      <c r="C4" s="3" t="s">
        <v>106</v>
      </c>
      <c r="D4" s="3" t="s">
        <v>66</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176</v>
      </c>
      <c r="E4" s="48" t="s">
        <v>186</v>
      </c>
      <c r="F4" s="48" t="s">
        <v>169</v>
      </c>
      <c r="G4" s="48" t="s">
        <v>191</v>
      </c>
      <c r="H4" s="48" t="s">
        <v>209</v>
      </c>
      <c r="J4" t="s">
        <v>191</v>
      </c>
      <c r="K4" t="s">
        <v>207</v>
      </c>
    </row>
    <row r="5" spans="2:11" x14ac:dyDescent="0.35">
      <c r="B5" s="47"/>
      <c r="C5" s="47"/>
      <c r="D5" s="48" t="s">
        <v>177</v>
      </c>
      <c r="E5" s="48" t="s">
        <v>184</v>
      </c>
      <c r="F5" s="48" t="s">
        <v>206</v>
      </c>
      <c r="G5" s="48" t="s">
        <v>192</v>
      </c>
      <c r="H5" s="48" t="s">
        <v>210</v>
      </c>
    </row>
    <row r="6" spans="2:11" x14ac:dyDescent="0.35">
      <c r="B6" s="47"/>
      <c r="C6" s="47"/>
      <c r="D6" s="48" t="s">
        <v>178</v>
      </c>
      <c r="E6" s="48" t="s">
        <v>185</v>
      </c>
      <c r="F6" s="48" t="s">
        <v>207</v>
      </c>
      <c r="G6" s="48" t="s">
        <v>193</v>
      </c>
      <c r="H6" s="48" t="s">
        <v>223</v>
      </c>
    </row>
    <row r="7" spans="2:11" x14ac:dyDescent="0.35">
      <c r="B7" s="47"/>
      <c r="C7" s="47"/>
      <c r="D7" s="48" t="s">
        <v>179</v>
      </c>
      <c r="E7" s="48" t="s">
        <v>187</v>
      </c>
      <c r="F7" s="48" t="s">
        <v>208</v>
      </c>
      <c r="G7" s="48" t="s">
        <v>194</v>
      </c>
      <c r="H7" s="48" t="s">
        <v>211</v>
      </c>
    </row>
    <row r="8" spans="2:11" x14ac:dyDescent="0.35">
      <c r="B8" s="47"/>
      <c r="C8" s="47"/>
      <c r="D8" s="48" t="s">
        <v>180</v>
      </c>
      <c r="E8" s="48" t="s">
        <v>188</v>
      </c>
      <c r="F8" s="48"/>
      <c r="G8" s="48" t="s">
        <v>195</v>
      </c>
      <c r="H8" s="48" t="s">
        <v>212</v>
      </c>
    </row>
    <row r="9" spans="2:11" x14ac:dyDescent="0.35">
      <c r="B9" s="47"/>
      <c r="C9" s="47"/>
      <c r="D9" s="48" t="s">
        <v>181</v>
      </c>
      <c r="E9" s="48" t="s">
        <v>186</v>
      </c>
      <c r="F9" s="48"/>
      <c r="G9" s="48" t="s">
        <v>196</v>
      </c>
      <c r="H9" s="48" t="s">
        <v>213</v>
      </c>
    </row>
    <row r="10" spans="2:11" x14ac:dyDescent="0.35">
      <c r="B10" s="47"/>
      <c r="C10" s="47"/>
      <c r="D10" s="48" t="s">
        <v>182</v>
      </c>
      <c r="E10" s="48" t="s">
        <v>189</v>
      </c>
      <c r="F10" s="48"/>
      <c r="G10" s="48" t="s">
        <v>197</v>
      </c>
      <c r="H10" s="48" t="s">
        <v>214</v>
      </c>
    </row>
    <row r="11" spans="2:11" x14ac:dyDescent="0.35">
      <c r="B11" s="47"/>
      <c r="C11" s="47"/>
      <c r="D11" s="48" t="s">
        <v>183</v>
      </c>
      <c r="E11" s="48" t="s">
        <v>190</v>
      </c>
      <c r="F11" s="48"/>
      <c r="G11" s="48" t="s">
        <v>198</v>
      </c>
      <c r="H11" s="48" t="s">
        <v>215</v>
      </c>
    </row>
    <row r="12" spans="2:11" x14ac:dyDescent="0.35">
      <c r="B12" s="47"/>
      <c r="C12" s="47"/>
      <c r="D12" s="48"/>
      <c r="E12" s="48"/>
      <c r="F12" s="48"/>
      <c r="G12" s="48" t="s">
        <v>199</v>
      </c>
      <c r="H12" s="48" t="s">
        <v>216</v>
      </c>
    </row>
    <row r="13" spans="2:11" x14ac:dyDescent="0.35">
      <c r="B13" s="47"/>
      <c r="C13" s="47"/>
      <c r="D13" s="48"/>
      <c r="E13" s="48"/>
      <c r="F13" s="48"/>
      <c r="G13" s="48" t="s">
        <v>200</v>
      </c>
      <c r="H13" s="48" t="s">
        <v>217</v>
      </c>
    </row>
    <row r="14" spans="2:11" x14ac:dyDescent="0.35">
      <c r="B14" s="47"/>
      <c r="C14" s="47"/>
      <c r="D14" s="48"/>
      <c r="E14" s="48"/>
      <c r="F14" s="48"/>
      <c r="G14" s="48" t="s">
        <v>201</v>
      </c>
      <c r="H14" s="48" t="s">
        <v>218</v>
      </c>
    </row>
    <row r="15" spans="2:11" x14ac:dyDescent="0.35">
      <c r="B15" s="47"/>
      <c r="C15" s="47"/>
      <c r="D15" s="48"/>
      <c r="E15" s="48"/>
      <c r="F15" s="48"/>
      <c r="G15" s="48" t="s">
        <v>202</v>
      </c>
      <c r="H15" s="48" t="s">
        <v>219</v>
      </c>
    </row>
    <row r="16" spans="2:11" x14ac:dyDescent="0.35">
      <c r="B16" s="47"/>
      <c r="C16" s="47"/>
      <c r="D16" s="48"/>
      <c r="E16" s="48"/>
      <c r="F16" s="48"/>
      <c r="G16" s="48" t="s">
        <v>203</v>
      </c>
      <c r="H16" s="48" t="s">
        <v>220</v>
      </c>
    </row>
    <row r="17" spans="2:8" x14ac:dyDescent="0.35">
      <c r="B17" s="47"/>
      <c r="C17" s="47"/>
      <c r="D17" s="48"/>
      <c r="E17" s="48"/>
      <c r="F17" s="48"/>
      <c r="G17" s="48" t="s">
        <v>204</v>
      </c>
      <c r="H17" s="48" t="s">
        <v>221</v>
      </c>
    </row>
    <row r="18" spans="2:8" x14ac:dyDescent="0.35">
      <c r="B18" s="47"/>
      <c r="C18" s="47"/>
      <c r="D18" s="48"/>
      <c r="E18" s="48"/>
      <c r="F18" s="48"/>
      <c r="G18" s="48" t="s">
        <v>205</v>
      </c>
      <c r="H18" s="48"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49" t="s">
        <v>233</v>
      </c>
      <c r="D34" s="48" t="s">
        <v>231</v>
      </c>
      <c r="E34" s="48" t="s">
        <v>236</v>
      </c>
      <c r="F34" s="48" t="s">
        <v>234</v>
      </c>
      <c r="G34" s="48" t="s">
        <v>235</v>
      </c>
      <c r="H34" s="48" t="s">
        <v>237</v>
      </c>
      <c r="J34" t="s">
        <v>191</v>
      </c>
      <c r="K34" t="s">
        <v>207</v>
      </c>
    </row>
    <row r="35" spans="3:11" x14ac:dyDescent="0.35">
      <c r="C35" s="47" t="s">
        <v>232</v>
      </c>
      <c r="D35" s="48" t="s">
        <v>167</v>
      </c>
      <c r="E35" s="48" t="s">
        <v>241</v>
      </c>
      <c r="F35" s="48" t="s">
        <v>243</v>
      </c>
      <c r="G35" s="48" t="s">
        <v>245</v>
      </c>
      <c r="H35" s="48"/>
    </row>
    <row r="36" spans="3:11" x14ac:dyDescent="0.35">
      <c r="C36" s="47"/>
      <c r="D36" s="48" t="s">
        <v>238</v>
      </c>
      <c r="E36" s="48" t="s">
        <v>242</v>
      </c>
      <c r="F36" s="48" t="s">
        <v>244</v>
      </c>
      <c r="G36" s="48" t="s">
        <v>246</v>
      </c>
      <c r="H36" s="48"/>
    </row>
    <row r="37" spans="3:11" x14ac:dyDescent="0.35">
      <c r="C37" s="47"/>
      <c r="D37" s="48" t="s">
        <v>239</v>
      </c>
      <c r="E37" s="48"/>
      <c r="F37" s="48"/>
      <c r="G37" s="48" t="s">
        <v>247</v>
      </c>
      <c r="H37" s="48"/>
    </row>
    <row r="38" spans="3:11" x14ac:dyDescent="0.35">
      <c r="C38" s="47"/>
      <c r="D38" s="48" t="s">
        <v>240</v>
      </c>
      <c r="E38" s="48"/>
      <c r="F38" s="48"/>
      <c r="G38" s="48" t="s">
        <v>247</v>
      </c>
      <c r="H38" s="48"/>
    </row>
    <row r="39" spans="3:11" x14ac:dyDescent="0.35">
      <c r="C39" s="47"/>
      <c r="D39" s="48"/>
      <c r="E39" s="48"/>
      <c r="F39" s="48"/>
      <c r="G39" s="48" t="s">
        <v>248</v>
      </c>
      <c r="H39" s="48"/>
    </row>
    <row r="40" spans="3:11" x14ac:dyDescent="0.35">
      <c r="C40" s="47"/>
      <c r="D40" s="48"/>
      <c r="E40" s="48"/>
      <c r="F40" s="48"/>
      <c r="G40" s="48" t="s">
        <v>249</v>
      </c>
      <c r="H40" s="48"/>
    </row>
    <row r="41" spans="3:11" x14ac:dyDescent="0.35">
      <c r="C41" s="47"/>
      <c r="D41" s="48"/>
      <c r="E41" s="48"/>
      <c r="F41" s="48"/>
      <c r="G41" s="48"/>
      <c r="H41" s="48"/>
    </row>
    <row r="43" spans="3:11" x14ac:dyDescent="0.35">
      <c r="C43" t="s">
        <v>250</v>
      </c>
    </row>
    <row r="44" spans="3:11" x14ac:dyDescent="0.35">
      <c r="C44" t="s">
        <v>169</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50">
        <v>1</v>
      </c>
      <c r="C2" s="52" t="s">
        <v>281</v>
      </c>
    </row>
    <row r="3" spans="2:3" x14ac:dyDescent="0.35">
      <c r="B3" s="50">
        <v>2</v>
      </c>
      <c r="C3" s="51" t="s">
        <v>282</v>
      </c>
    </row>
    <row r="4" spans="2:3" x14ac:dyDescent="0.35">
      <c r="B4" s="50">
        <v>3</v>
      </c>
      <c r="C4" s="50" t="s">
        <v>283</v>
      </c>
    </row>
    <row r="5" spans="2:3" x14ac:dyDescent="0.35">
      <c r="B5" s="50">
        <v>4</v>
      </c>
      <c r="C5" s="51" t="s">
        <v>284</v>
      </c>
    </row>
    <row r="6" spans="2:3" x14ac:dyDescent="0.35">
      <c r="B6" s="50">
        <v>5</v>
      </c>
      <c r="C6" s="50" t="s">
        <v>285</v>
      </c>
    </row>
    <row r="7" spans="2:3" ht="29" x14ac:dyDescent="0.35">
      <c r="B7" s="50">
        <v>6</v>
      </c>
      <c r="C7" s="51" t="s">
        <v>286</v>
      </c>
    </row>
    <row r="8" spans="2:3" ht="72.5" x14ac:dyDescent="0.35">
      <c r="B8" s="50">
        <v>7</v>
      </c>
      <c r="C8" s="51" t="s">
        <v>287</v>
      </c>
    </row>
    <row r="9" spans="2:3" x14ac:dyDescent="0.35">
      <c r="B9" s="50">
        <v>8</v>
      </c>
      <c r="C9" s="50" t="s">
        <v>288</v>
      </c>
    </row>
    <row r="10" spans="2:3" x14ac:dyDescent="0.35">
      <c r="B10" s="50">
        <v>9</v>
      </c>
      <c r="C10" s="50" t="s">
        <v>289</v>
      </c>
    </row>
    <row r="11" spans="2:3" x14ac:dyDescent="0.35">
      <c r="B11" s="50">
        <v>10</v>
      </c>
      <c r="C11" s="50" t="s">
        <v>290</v>
      </c>
    </row>
    <row r="12" spans="2:3" x14ac:dyDescent="0.35">
      <c r="B12" s="50">
        <v>11</v>
      </c>
      <c r="C12" s="50" t="s">
        <v>291</v>
      </c>
    </row>
    <row r="13" spans="2:3" x14ac:dyDescent="0.35">
      <c r="B13" s="50">
        <v>12</v>
      </c>
      <c r="C13" s="50" t="s">
        <v>292</v>
      </c>
    </row>
    <row r="14" spans="2:3" x14ac:dyDescent="0.35">
      <c r="B14" s="50">
        <v>13</v>
      </c>
      <c r="C14" s="50" t="s">
        <v>293</v>
      </c>
    </row>
    <row r="15" spans="2:3" x14ac:dyDescent="0.35">
      <c r="B15" s="50">
        <v>14</v>
      </c>
      <c r="C15" s="50" t="s">
        <v>283</v>
      </c>
    </row>
    <row r="16" spans="2:3" x14ac:dyDescent="0.35">
      <c r="B16" s="50">
        <v>15</v>
      </c>
      <c r="C16" s="50" t="s">
        <v>295</v>
      </c>
    </row>
    <row r="17" spans="2:3" ht="31.5" customHeight="1" x14ac:dyDescent="0.35">
      <c r="B17" s="53">
        <v>16</v>
      </c>
      <c r="C17" s="55" t="s">
        <v>296</v>
      </c>
    </row>
    <row r="18" spans="2:3" x14ac:dyDescent="0.35">
      <c r="B18" s="54">
        <v>17</v>
      </c>
      <c r="C18" s="55" t="s">
        <v>297</v>
      </c>
    </row>
    <row r="19" spans="2:3" x14ac:dyDescent="0.35">
      <c r="B19" s="53">
        <v>18</v>
      </c>
      <c r="C19" s="50" t="s">
        <v>298</v>
      </c>
    </row>
    <row r="20" spans="2:3" x14ac:dyDescent="0.35">
      <c r="B20" s="54">
        <v>19</v>
      </c>
      <c r="C20" s="50"/>
    </row>
    <row r="21" spans="2:3" x14ac:dyDescent="0.35">
      <c r="B21" s="50">
        <v>20</v>
      </c>
      <c r="C21" s="50"/>
    </row>
    <row r="22" spans="2:3" x14ac:dyDescent="0.35">
      <c r="B22" s="50"/>
      <c r="C22" s="50"/>
    </row>
    <row r="23" spans="2:3" x14ac:dyDescent="0.35">
      <c r="B23" s="50"/>
      <c r="C23" s="50"/>
    </row>
    <row r="24" spans="2:3" x14ac:dyDescent="0.35">
      <c r="B24" s="50"/>
      <c r="C24" s="50"/>
    </row>
    <row r="25" spans="2:3" x14ac:dyDescent="0.35">
      <c r="B25" s="50"/>
      <c r="C25" s="50"/>
    </row>
    <row r="26" spans="2:3" x14ac:dyDescent="0.35">
      <c r="B26" s="50"/>
      <c r="C26" s="50"/>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2025-08-16T07:01:36Z</cp:lastPrinted>
  <dcterms:created xsi:type="dcterms:W3CDTF">2019-07-16T09:29:46Z</dcterms:created>
  <dcterms:modified xsi:type="dcterms:W3CDTF">2025-08-16T07:02:31Z</dcterms:modified>
</cp:coreProperties>
</file>