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D:\aug 25\AXIS\DUMP\"/>
    </mc:Choice>
  </mc:AlternateContent>
  <xr:revisionPtr revIDLastSave="0" documentId="13_ncr:1_{FC0B4D14-5957-40BA-B650-D06EA72ED8E1}"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3" i="1" l="1"/>
  <c r="I88" i="1" l="1"/>
  <c r="E142" i="1"/>
  <c r="D142" i="1"/>
  <c r="D141" i="1"/>
  <c r="J141" i="1"/>
  <c r="E143" i="1" l="1"/>
  <c r="E141" i="1"/>
  <c r="E140" i="1"/>
  <c r="E139" i="1"/>
  <c r="E138" i="1"/>
  <c r="J139" i="1"/>
  <c r="E134" i="1"/>
  <c r="I138" i="1"/>
  <c r="E135" i="1" l="1"/>
  <c r="A139" i="1"/>
  <c r="A140" i="1" s="1"/>
  <c r="A141" i="1" s="1"/>
  <c r="A142" i="1" s="1"/>
  <c r="A143" i="1" s="1"/>
  <c r="J138" i="1"/>
  <c r="K138" i="1" s="1"/>
  <c r="J134" i="1"/>
  <c r="I135" i="1"/>
  <c r="J135" i="1"/>
  <c r="A126" i="1"/>
  <c r="D116" i="1"/>
  <c r="E43" i="1"/>
  <c r="F142" i="1" l="1"/>
  <c r="H142" i="1" s="1"/>
  <c r="D140" i="1"/>
  <c r="D139" i="1"/>
  <c r="F139" i="1" s="1"/>
  <c r="H139" i="1" s="1"/>
  <c r="D138" i="1"/>
  <c r="F138" i="1" s="1"/>
  <c r="H138" i="1" s="1"/>
  <c r="D135" i="1"/>
  <c r="F135" i="1" s="1"/>
  <c r="H135" i="1" s="1"/>
  <c r="D134" i="1"/>
  <c r="C107" i="1" s="1"/>
  <c r="C108" i="1" s="1"/>
  <c r="D131" i="1"/>
  <c r="F131" i="1" s="1"/>
  <c r="H131" i="1" s="1"/>
  <c r="D126" i="1"/>
  <c r="D125" i="1"/>
  <c r="D120" i="1"/>
  <c r="F120" i="1" s="1"/>
  <c r="H120" i="1" s="1"/>
  <c r="D119" i="1"/>
  <c r="F119" i="1" s="1"/>
  <c r="H119" i="1" s="1"/>
  <c r="D118" i="1"/>
  <c r="F118" i="1" s="1"/>
  <c r="H118" i="1" s="1"/>
  <c r="D117" i="1"/>
  <c r="F117" i="1" s="1"/>
  <c r="H117" i="1" s="1"/>
  <c r="F116" i="1"/>
  <c r="H116" i="1" s="1"/>
  <c r="J115" i="1"/>
  <c r="I119" i="1"/>
  <c r="I116" i="1"/>
  <c r="F143" i="1"/>
  <c r="H143" i="1" s="1"/>
  <c r="L140" i="1" s="1"/>
  <c r="I143" i="1"/>
  <c r="I141" i="1"/>
  <c r="A135" i="1"/>
  <c r="A117" i="1"/>
  <c r="A118" i="1" s="1"/>
  <c r="A119" i="1" s="1"/>
  <c r="A120" i="1" s="1"/>
  <c r="D62" i="1"/>
  <c r="C103" i="1" l="1"/>
  <c r="C102" i="1"/>
  <c r="C104" i="1" s="1"/>
  <c r="F134" i="1"/>
  <c r="H134" i="1" s="1"/>
  <c r="F140" i="1"/>
  <c r="H140" i="1" s="1"/>
  <c r="G102" i="1"/>
  <c r="E102" i="1"/>
  <c r="F141" i="1"/>
  <c r="H141" i="1" s="1"/>
  <c r="G107" i="1" l="1"/>
  <c r="G108" i="1" s="1"/>
  <c r="E107" i="1"/>
  <c r="E108" i="1" s="1"/>
  <c r="E31" i="1"/>
  <c r="E26" i="1"/>
  <c r="F145" i="1" l="1"/>
  <c r="H145"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L42" i="7" l="1"/>
  <c r="K42" i="7" s="1"/>
  <c r="E42" i="7"/>
  <c r="E44" i="7" s="1"/>
  <c r="I42" i="7"/>
  <c r="H42" i="7" s="1"/>
  <c r="D42" i="7"/>
  <c r="D44" i="7" l="1"/>
  <c r="B175" i="1"/>
  <c r="F125" i="1" l="1"/>
  <c r="F126" i="1"/>
  <c r="H126" i="1" s="1"/>
  <c r="H125" i="1" l="1"/>
  <c r="G103" i="1" s="1"/>
  <c r="G104" i="1" s="1"/>
  <c r="E103" i="1"/>
  <c r="E104" i="1" s="1"/>
  <c r="G58" i="1"/>
  <c r="C58" i="1"/>
  <c r="G56" i="1"/>
  <c r="C56" i="1"/>
  <c r="C54" i="1"/>
  <c r="S33" i="1" l="1"/>
  <c r="F11" i="5" l="1"/>
  <c r="G11" i="5" s="1"/>
  <c r="F10" i="5"/>
  <c r="G10" i="5" s="1"/>
  <c r="F9" i="5"/>
  <c r="G9" i="5" s="1"/>
  <c r="F8" i="5"/>
  <c r="G8" i="5" s="1"/>
  <c r="F7" i="5"/>
  <c r="G7" i="5" s="1"/>
  <c r="F6" i="5"/>
  <c r="G6" i="5" s="1"/>
  <c r="F5" i="5"/>
  <c r="G5" i="5" s="1"/>
  <c r="G12" i="5" s="1"/>
  <c r="D198" i="1"/>
  <c r="B176" i="1"/>
  <c r="F172" i="1"/>
  <c r="H172" i="1" s="1"/>
  <c r="F171" i="1"/>
  <c r="H171" i="1" s="1"/>
  <c r="F170" i="1"/>
  <c r="H170" i="1" s="1"/>
  <c r="F169" i="1"/>
  <c r="H169" i="1" s="1"/>
  <c r="F168" i="1"/>
  <c r="H168" i="1" s="1"/>
  <c r="F166" i="1"/>
  <c r="H166" i="1" s="1"/>
  <c r="F165" i="1"/>
  <c r="H165" i="1" s="1"/>
  <c r="F164" i="1"/>
  <c r="H164" i="1" s="1"/>
  <c r="F163" i="1"/>
  <c r="H163" i="1" s="1"/>
  <c r="F162" i="1"/>
  <c r="H162" i="1" s="1"/>
  <c r="F160" i="1"/>
  <c r="H160" i="1" s="1"/>
  <c r="F159" i="1"/>
  <c r="H159" i="1" s="1"/>
  <c r="F158" i="1"/>
  <c r="H158" i="1" s="1"/>
  <c r="F157" i="1"/>
  <c r="H157" i="1" s="1"/>
  <c r="F156" i="1"/>
  <c r="H156" i="1" s="1"/>
  <c r="F154" i="1"/>
  <c r="H154" i="1" s="1"/>
  <c r="F153" i="1"/>
  <c r="H153" i="1" s="1"/>
  <c r="F152" i="1"/>
  <c r="H152" i="1" s="1"/>
  <c r="F151" i="1"/>
  <c r="H151" i="1" s="1"/>
  <c r="F150" i="1"/>
  <c r="H150" i="1" s="1"/>
  <c r="A150" i="1"/>
  <c r="A151" i="1" s="1"/>
  <c r="A152" i="1" s="1"/>
  <c r="A153" i="1" s="1"/>
  <c r="A154" i="1" s="1"/>
  <c r="F148" i="1"/>
  <c r="H148" i="1" s="1"/>
  <c r="F147" i="1"/>
  <c r="H147" i="1" s="1"/>
  <c r="F146" i="1"/>
  <c r="H146" i="1" s="1"/>
  <c r="A146" i="1"/>
  <c r="A147" i="1" s="1"/>
  <c r="A148" i="1" s="1"/>
  <c r="A124" i="1"/>
  <c r="G109" i="1"/>
  <c r="E109" i="1"/>
  <c r="C109" i="1"/>
  <c r="F99" i="1"/>
  <c r="C73" i="1"/>
  <c r="B74" i="1" s="1"/>
  <c r="G51" i="1"/>
  <c r="G52" i="1" s="1"/>
  <c r="C51" i="1"/>
  <c r="E44" i="1"/>
  <c r="E45" i="1" s="1"/>
  <c r="E28" i="1"/>
  <c r="C16" i="1"/>
  <c r="I15" i="1"/>
  <c r="Z13" i="1"/>
  <c r="E8" i="1"/>
  <c r="E3" i="1"/>
  <c r="D67" i="1" s="1"/>
  <c r="A156" i="1"/>
  <c r="A168" i="1"/>
  <c r="H74" i="1"/>
  <c r="A162" i="1"/>
  <c r="J73" i="1" l="1"/>
  <c r="J75" i="1" s="1"/>
  <c r="J76" i="1"/>
  <c r="J77" i="1"/>
  <c r="J78" i="1"/>
  <c r="C77" i="1" s="1"/>
  <c r="D81" i="1"/>
  <c r="D83" i="1"/>
  <c r="D82" i="1"/>
  <c r="D86" i="1"/>
  <c r="D80" i="1"/>
  <c r="D85" i="1"/>
  <c r="D79" i="1"/>
  <c r="D84" i="1"/>
  <c r="J79" i="1"/>
  <c r="A163" i="1"/>
  <c r="A157" i="1"/>
  <c r="A169" i="1"/>
  <c r="D77" i="1" l="1"/>
  <c r="J83" i="1"/>
  <c r="J81" i="1"/>
  <c r="J82" i="1"/>
  <c r="J80" i="1"/>
  <c r="J85" i="1" s="1"/>
  <c r="J86" i="1" s="1"/>
  <c r="C78" i="1" s="1"/>
  <c r="J84" i="1"/>
  <c r="A170" i="1"/>
  <c r="A164" i="1"/>
  <c r="A158" i="1"/>
  <c r="J74" i="1" l="1"/>
  <c r="E77" i="1"/>
  <c r="D78" i="1"/>
  <c r="G77" i="1"/>
  <c r="D71" i="1" s="1"/>
  <c r="A165" i="1"/>
  <c r="A159" i="1"/>
  <c r="A171" i="1"/>
  <c r="I74" i="1" l="1"/>
  <c r="I75" i="1" s="1"/>
  <c r="I73" i="1" s="1"/>
  <c r="C75" i="1" s="1"/>
  <c r="F72" i="1"/>
  <c r="D72" i="1"/>
  <c r="A166" i="1"/>
  <c r="A160" i="1"/>
  <c r="A1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H129"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<sst xmlns="http://schemas.openxmlformats.org/spreadsheetml/2006/main" count="621" uniqueCount="409">
  <si>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</si>
  <si>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</si>
  <si>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</si>
  <si>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</si>
  <si>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</si>
  <si>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</si>
  <si>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</si>
  <si>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</si>
  <si>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</si>
  <si>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</si>
  <si>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</si>
  <si>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</si>
  <si>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</si>
  <si>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</si>
  <si>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</si>
  <si>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</si>
  <si>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</si>
  <si>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</si>
  <si>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</si>
  <si>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</si>
  <si>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</si>
  <si>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</si>
  <si>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</si>
  <si>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</si>
  <si>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</si>
  <si>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</si>
  <si>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</si>
  <si>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</si>
  <si>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</si>
  <si>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</si>
  <si>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</si>
  <si>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</si>
  <si>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</si>
  <si>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</si>
  <si>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</si>
  <si>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</si>
  <si>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</si>
  <si>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</si>
  <si>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</si>
  <si>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</si>
  <si>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</si>
  <si>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</si>
  <si>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</si>
  <si>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</si>
  <si>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</si>
  <si>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</si>
  <si>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</si>
  <si>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</si>
  <si>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</si>
  <si>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</si>
  <si>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</si>
  <si>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</si>
  <si>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</si>
  <si>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</si>
  <si>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</si>
  <si>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</si>
  <si>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</si>
  <si>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</si>
  <si>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</si>
  <si>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</si>
  <si>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</si>
  <si>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</si>
  <si>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</si>
  <si>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</si>
  <si>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</si>
  <si>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</si>
  <si>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</si>
  <si>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</si>
  <si>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</si>
  <si>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</si>
  <si>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</si>
  <si>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</si>
  <si>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</si>
  <si>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</si>
  <si>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</si>
  <si>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</si>
  <si>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</si>
  <si>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</si>
  <si>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</si>
  <si>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</si>
  <si>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</si>
  <si>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</si>
  <si>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</si>
  <si>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</si>
  <si>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</si>
  <si>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</si>
  <si>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</si>
  <si>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</si>
  <si>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</si>
  <si>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</si>
  <si>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</si>
  <si>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</si>
  <si>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</si>
  <si>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</si>
  <si>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</si>
  <si>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</si>
  <si>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</si>
  <si>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</si>
  <si>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</si>
  <si>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</si>
  <si>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</si>
  <si>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</si>
  <si>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</si>
  <si>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</si>
  <si>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</si>
  <si>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</si>
  <si>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</si>
  <si>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</si>
  <si>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</si>
  <si>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</si>
  <si>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</si>
  <si>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</si>
  <si>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</si>
  <si>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</si>
  <si>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</si>
  <si>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</si>
  <si>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</si>
  <si>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</si>
  <si>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</si>
  <si>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</si>
  <si>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</si>
  <si>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</si>
  <si>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</si>
  <si>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</si>
  <si>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</si>
  <si>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</si>
  <si>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</si>
  <si>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</si>
  <si>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</si>
  <si>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</si>
  <si>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</si>
  <si>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</si>
  <si>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</si>
  <si>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</si>
  <si>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</si>
  <si>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</si>
  <si>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</si>
  <si>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</si>
  <si>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</si>
  <si>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</si>
  <si>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</si>
  <si>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</si>
  <si>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</si>
  <si>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</si>
  <si>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</si>
  <si>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</si>
  <si>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</si>
  <si>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</si>
  <si>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</si>
  <si>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</si>
  <si>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</si>
  <si>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</si>
  <si>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</si>
  <si>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</si>
  <si>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</si>
  <si>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</si>
  <si>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</si>
  <si>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</si>
  <si>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</si>
  <si>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</si>
  <si>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</si>
  <si>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</si>
  <si>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</si>
  <si>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</si>
  <si>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</si>
  <si>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</si>
  <si>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</si>
  <si>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</si>
  <si>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</si>
  <si>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</si>
  <si>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</si>
  <si>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</si>
  <si>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</si>
  <si>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</si>
  <si>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</si>
  <si>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</si>
  <si>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</si>
  <si>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</si>
  <si>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</si>
  <si>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</si>
  <si>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</si>
  <si>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</si>
  <si>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</si>
  <si>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</si>
  <si>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</si>
  <si>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</si>
  <si>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</si>
  <si>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</si>
  <si>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</si>
  <si>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</si>
  <si>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</si>
  <si>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</si>
  <si>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</si>
  <si>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</si>
  <si>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</si>
  <si>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</si>
  <si>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</si>
  <si>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</si>
  <si>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</si>
  <si>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</si>
  <si>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</si>
  <si>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</si>
  <si>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</si>
  <si>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</si>
  <si>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</si>
  <si>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</si>
  <si>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</si>
  <si>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</si>
  <si>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</si>
  <si>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</si>
  <si>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</si>
  <si>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</si>
  <si>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</si>
  <si>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</si>
  <si>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</si>
  <si>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</si>
  <si>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</si>
  <si>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</si>
  <si>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</si>
  <si>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</si>
  <si>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</si>
  <si>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</si>
  <si>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</si>
  <si>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</si>
  <si>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</si>
  <si>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</si>
  <si>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</si>
  <si>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</si>
  <si>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</si>
  <si>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</si>
  <si>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</si>
  <si>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</si>
  <si>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</si>
  <si>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</si>
  <si>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</si>
  <si>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</si>
  <si>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</si>
  <si>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</si>
  <si>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</si>
  <si>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</si>
  <si>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</si>
  <si>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</si>
  <si>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</si>
  <si>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</si>
  <si>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</si>
  <si>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</si>
  <si>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</si>
  <si>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</si>
  <si>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</si>
  <si>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</si>
  <si>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</si>
  <si>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</si>
  <si>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</si>
  <si>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</si>
  <si>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</si>
  <si>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</si>
  <si>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</si>
  <si>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</si>
  <si>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</si>
  <si>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</si>
  <si>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</si>
  <si>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</si>
  <si>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</si>
  <si>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</si>
  <si>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</si>
  <si>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</si>
  <si>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</si>
  <si>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</si>
  <si>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</si>
  <si>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</si>
  <si>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</si>
  <si>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</si>
  <si>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</si>
  <si>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</si>
  <si>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</si>
  <si>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</si>
  <si>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</si>
  <si>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</si>
  <si>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</si>
  <si>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</si>
  <si>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</si>
  <si>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</si>
  <si>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</si>
  <si>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</si>
  <si>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</si>
  <si>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</si>
  <si>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</si>
  <si>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</si>
  <si>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</si>
  <si>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</si>
  <si>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</si>
  <si>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</si>
  <si>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</si>
  <si>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</si>
  <si>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</si>
  <si>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</si>
  <si>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</si>
  <si>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</si>
  <si>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</si>
  <si>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</si>
  <si>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</si>
  <si>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</si>
  <si>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</si>
  <si>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</si>
  <si>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</si>
  <si>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</si>
  <si>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</si>
  <si>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</si>
  <si>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</si>
  <si>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</si>
  <si>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</si>
  <si>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</si>
  <si>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</si>
  <si>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</si>
  <si>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</si>
  <si>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</si>
  <si>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</si>
  <si>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</si>
  <si>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</si>
  <si>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</si>
  <si>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</si>
  <si>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</si>
  <si>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</si>
  <si>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</si>
  <si>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</si>
  <si>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</si>
  <si>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</si>
  <si>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</si>
  <si>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</si>
  <si>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</si>
  <si>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</si>
  <si>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</si>
  <si>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</si>
  <si>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</si>
  <si>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</si>
  <si>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</si>
  <si>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</si>
  <si>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</si>
  <si>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</si>
  <si>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</si>
  <si>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</si>
  <si>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</si>
  <si>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</si>
  <si>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</si>
  <si>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</si>
  <si>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</si>
  <si>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</si>
  <si>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</si>
  <si>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</si>
  <si>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</si>
  <si>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P52000055328</t>
  </si>
  <si>
    <t>City Tower</t>
  </si>
  <si>
    <t xml:space="preserve">Mr. Rathod 9765609900
</t>
  </si>
  <si>
    <t>Mr. Javed 7558787515</t>
  </si>
  <si>
    <t>Survey No</t>
  </si>
  <si>
    <t>Shil Khopoli</t>
  </si>
  <si>
    <t>Yashwant Nagar</t>
  </si>
  <si>
    <t>Khopoli West</t>
  </si>
  <si>
    <t>Anand Shala &amp; Junior College</t>
  </si>
  <si>
    <t>2.5 KM from Khopoli Railway Station</t>
  </si>
  <si>
    <t>Other Plot</t>
  </si>
  <si>
    <t>Open Plot</t>
  </si>
  <si>
    <t>CTS No. 1896, 1891, 1886</t>
  </si>
  <si>
    <t>Mumbai Pune National Highway</t>
  </si>
  <si>
    <t>Building</t>
  </si>
  <si>
    <t>18.8000023,73.3259370</t>
  </si>
  <si>
    <t>https://maps.app.goo.gl/YxE7DjoS37wVZfXn6</t>
  </si>
  <si>
    <t>Khopoli Municipal Council</t>
  </si>
  <si>
    <t>KMC/TP/1762</t>
  </si>
  <si>
    <t>KMC/TP/BP/1762</t>
  </si>
  <si>
    <t>As per RERA - 31/08/2028</t>
  </si>
  <si>
    <t>Basement For Parking</t>
  </si>
  <si>
    <t>Shop</t>
  </si>
  <si>
    <t>Office</t>
  </si>
  <si>
    <t>Ground Floor For Commercial, Residential, Society Office &amp; Drivers Room</t>
  </si>
  <si>
    <t>2BHK</t>
  </si>
  <si>
    <t>1BHK</t>
  </si>
  <si>
    <t>3BHK</t>
  </si>
  <si>
    <t>Shop Duplex With Ground Floor</t>
  </si>
  <si>
    <t>Shop Duplex With 1st Floor</t>
  </si>
  <si>
    <t>2nd to 7th Floor For Residential</t>
  </si>
  <si>
    <t>Approved Plans, CC, Sale Plans, Cost Sheet</t>
  </si>
  <si>
    <t xml:space="preserve">M/s. R R Realty
</t>
  </si>
  <si>
    <t>1A/3, H. No.2, CTS No.1887, 1888</t>
  </si>
  <si>
    <t>1B + Gr + 1st to 7th Floor</t>
  </si>
  <si>
    <t xml:space="preserve">1B + Gr + 1st to 7th Floor
</t>
  </si>
  <si>
    <r>
      <t xml:space="preserve">Proposed Amenities :                                                                                                                                                                                                                         </t>
    </r>
    <r>
      <rPr>
        <b/>
        <sz val="12"/>
        <rFont val="Times New Roman"/>
        <family val="1"/>
      </rPr>
      <t xml:space="preserve">                                               </t>
    </r>
  </si>
  <si>
    <t>Parking, Landscape Garden, Yoga Area, Kids Play Area, Sr. Citizen Sitout Area, CCTV Surveillance, Party Area etc.</t>
  </si>
  <si>
    <t>Flats - 39 , Shops - 5, Offices - 2</t>
  </si>
  <si>
    <t>Nitesh patil</t>
  </si>
  <si>
    <t>1st Floor For Commercial &amp; Part Residential Area</t>
  </si>
  <si>
    <t>-</t>
  </si>
  <si>
    <t>Residential Area</t>
  </si>
  <si>
    <t>Ground Floor For Residential &amp; Part Commercial, Society Office &amp; Drivers Room</t>
  </si>
  <si>
    <t>Commercial, Society Office &amp; Drivers Room</t>
  </si>
  <si>
    <t>1st Floor For Residential &amp; Part Commercial Area</t>
  </si>
  <si>
    <t>Commercial Area</t>
  </si>
  <si>
    <t>S.No.1B</t>
  </si>
  <si>
    <t>24 M W. Mumbai - Pune National Highway</t>
  </si>
  <si>
    <t>Building Details Floor Wise</t>
  </si>
  <si>
    <t>We considered Gross carpet area = Net carpet + Encl. Balcony + Balcony + W.S Area.</t>
  </si>
  <si>
    <t>Encl. Bal.+ Balcony +WS Area</t>
  </si>
  <si>
    <t>Development Charges, Water, Electricity, Drainages Charges</t>
  </si>
  <si>
    <t>Recommended rate of the Shop Per Sq. Ft. (Only for Shop No. 1)</t>
  </si>
  <si>
    <t>Recommended rate of the Shop Per Sq. Ft. (Except for Shop No. 1)</t>
  </si>
  <si>
    <t>According to the approved floor plan, Flats no. 4 &amp; 5 from 2nd to 7th Floor (i.e. 204 to 704 &amp; 205 to 705) have attached Balcony to Bedroom, but as per site visit bedroom balcony area is enclosed.</t>
  </si>
  <si>
    <t>The project is adjacent to Mumbai-Pune National Highway. </t>
  </si>
  <si>
    <t xml:space="preserve">Construction work is in process at the time of Visit.
</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</si>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</sst>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40">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3"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5" fillId="0" borderId="26" xfId="0" applyFont="1" applyBorder="1"/>
    <xf numFmtId="0" fontId="25"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0" fillId="0" borderId="8" xfId="0" applyBorder="1" applyAlignment="1">
      <alignment vertical="top"/>
    </xf>
    <xf numFmtId="0" fontId="0" fillId="0" borderId="21" xfId="0" applyFill="1" applyBorder="1" applyAlignment="1">
      <alignment horizontal="center" vertical="top"/>
    </xf>
    <xf numFmtId="0" fontId="0" fillId="0" borderId="8"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1" fontId="6" fillId="0" borderId="0" xfId="1" applyNumberFormat="1" applyFont="1" applyBorder="1" applyAlignment="1">
      <alignment horizontal="center" vertical="center"/>
    </xf>
    <xf numFmtId="0" fontId="6" fillId="0" borderId="0" xfId="1" applyFont="1" applyBorder="1" applyAlignment="1">
      <alignment horizontal="center" vertical="center"/>
    </xf>
    <xf numFmtId="1" fontId="5" fillId="0" borderId="0"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7" fillId="0" borderId="16"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9" fontId="12" fillId="0" borderId="14" xfId="8" applyFont="1" applyFill="1" applyBorder="1" applyAlignment="1" applyProtection="1">
      <alignment horizontal="center" vertical="top" wrapText="1"/>
      <protection locked="0"/>
    </xf>
    <xf numFmtId="2" fontId="6" fillId="0" borderId="0" xfId="1" applyNumberFormat="1" applyFont="1" applyBorder="1" applyAlignment="1">
      <alignment horizontal="center" vertical="center"/>
    </xf>
    <xf numFmtId="168" fontId="6" fillId="0" borderId="0" xfId="1" applyNumberFormat="1" applyFont="1" applyBorder="1" applyAlignment="1">
      <alignment horizontal="center" vertical="center"/>
    </xf>
    <xf numFmtId="1" fontId="11" fillId="0" borderId="1" xfId="1" applyNumberFormat="1" applyFont="1" applyBorder="1" applyAlignment="1">
      <alignment horizontal="center" vertical="center"/>
    </xf>
    <xf numFmtId="0" fontId="13" fillId="0" borderId="0" xfId="1" applyFont="1"/>
    <xf numFmtId="0" fontId="24" fillId="0" borderId="0" xfId="0" applyFont="1"/>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24" fillId="2" borderId="13" xfId="0" applyFont="1" applyFill="1" applyBorder="1"/>
    <xf numFmtId="0" fontId="25" fillId="0" borderId="9" xfId="0" applyFont="1" applyBorder="1"/>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19"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1"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5"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1" fontId="16" fillId="0" borderId="19"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5" fillId="0" borderId="19" xfId="1" applyNumberFormat="1" applyFont="1" applyBorder="1" applyAlignment="1" applyProtection="1">
      <alignment horizontal="center" vertical="center" wrapText="1"/>
      <protection locked="0"/>
    </xf>
    <xf numFmtId="0" fontId="7" fillId="0" borderId="14" xfId="1" applyFont="1" applyBorder="1" applyAlignment="1" applyProtection="1">
      <alignment horizontal="center" vertical="top"/>
      <protection locked="0"/>
    </xf>
    <xf numFmtId="1" fontId="7" fillId="0" borderId="15" xfId="1" applyNumberFormat="1" applyFont="1" applyBorder="1" applyAlignment="1" applyProtection="1">
      <alignment horizontal="center" vertical="top" wrapText="1"/>
      <protection locked="0"/>
    </xf>
    <xf numFmtId="1" fontId="7" fillId="0" borderId="17" xfId="1" applyNumberFormat="1" applyFont="1" applyBorder="1" applyAlignment="1" applyProtection="1">
      <alignment horizontal="center" vertical="top" wrapText="1"/>
      <protection locked="0"/>
    </xf>
    <xf numFmtId="1" fontId="7" fillId="0" borderId="3" xfId="1" applyNumberFormat="1" applyFont="1" applyBorder="1" applyAlignment="1" applyProtection="1">
      <alignment horizontal="center" vertical="top" wrapText="1"/>
      <protection locked="0"/>
    </xf>
    <xf numFmtId="1" fontId="7" fillId="0" borderId="14" xfId="1" applyNumberFormat="1" applyFont="1" applyBorder="1" applyAlignment="1" applyProtection="1">
      <alignment horizontal="center" vertical="top" wrapText="1"/>
      <protection locked="0"/>
    </xf>
    <xf numFmtId="1" fontId="7" fillId="0" borderId="28" xfId="0" applyNumberFormat="1" applyFont="1" applyBorder="1" applyAlignment="1" applyProtection="1">
      <alignment horizontal="center" vertical="top" wrapText="1"/>
      <protection locked="0"/>
    </xf>
    <xf numFmtId="1" fontId="7" fillId="0" borderId="29" xfId="0" applyNumberFormat="1" applyFont="1" applyBorder="1" applyAlignment="1" applyProtection="1">
      <alignment horizontal="center" vertical="top" wrapText="1"/>
      <protection locked="0"/>
    </xf>
    <xf numFmtId="1" fontId="7" fillId="0" borderId="27" xfId="0" applyNumberFormat="1" applyFont="1" applyBorder="1" applyAlignment="1" applyProtection="1">
      <alignment horizontal="center" vertical="center" wrapText="1"/>
      <protection locked="0"/>
    </xf>
    <xf numFmtId="1" fontId="7" fillId="0" borderId="28"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12" fillId="0" borderId="8" xfId="0" applyNumberFormat="1" applyFont="1" applyBorder="1" applyAlignment="1" applyProtection="1">
      <alignment vertical="top" wrapText="1"/>
      <protection locked="0"/>
    </xf>
    <xf numFmtId="1" fontId="12" fillId="0" borderId="19"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5" fillId="0" borderId="1" xfId="1" applyFont="1" applyFill="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164" fontId="5" fillId="0" borderId="1" xfId="1" applyNumberFormat="1" applyFont="1" applyBorder="1" applyAlignment="1" applyProtection="1">
      <alignment horizontal="left" vertical="top"/>
      <protection locked="0"/>
    </xf>
    <xf numFmtId="0" fontId="11" fillId="0" borderId="15"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1" fillId="0" borderId="1" xfId="1" applyFont="1" applyFill="1" applyBorder="1" applyAlignment="1" applyProtection="1">
      <alignment horizontal="left" vertical="top" wrapText="1"/>
      <protection locked="0"/>
    </xf>
    <xf numFmtId="0" fontId="11" fillId="0" borderId="1" xfId="1" applyFont="1" applyFill="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1" fillId="0" borderId="1" xfId="1" applyFont="1" applyBorder="1" applyAlignment="1" applyProtection="1">
      <alignment horizontal="center" vertical="center"/>
      <protection locked="0"/>
    </xf>
    <xf numFmtId="0" fontId="11" fillId="0" borderId="1" xfId="1" applyFont="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19"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9" fillId="0" borderId="1" xfId="0" applyNumberFormat="1" applyFont="1" applyBorder="1" applyAlignment="1" applyProtection="1">
      <alignment horizontal="center" vertical="center"/>
      <protection locked="0"/>
    </xf>
    <xf numFmtId="0" fontId="5" fillId="0" borderId="14"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7" fillId="0" borderId="14" xfId="1" applyFont="1" applyBorder="1" applyAlignment="1" applyProtection="1">
      <alignment horizontal="left" vertical="top"/>
      <protection locked="0"/>
    </xf>
    <xf numFmtId="0" fontId="6" fillId="0" borderId="0" xfId="1" applyFont="1" applyAlignment="1">
      <alignment horizontal="center" vertical="center"/>
    </xf>
    <xf numFmtId="1" fontId="7" fillId="0" borderId="16" xfId="1" applyNumberFormat="1" applyFont="1" applyBorder="1" applyAlignment="1" applyProtection="1">
      <alignment horizontal="center" vertical="center" wrapText="1"/>
      <protection locked="0"/>
    </xf>
    <xf numFmtId="1" fontId="7" fillId="0" borderId="18" xfId="1" applyNumberFormat="1" applyFont="1" applyBorder="1" applyAlignment="1" applyProtection="1">
      <alignment horizontal="center" vertical="center" wrapText="1"/>
      <protection locked="0"/>
    </xf>
    <xf numFmtId="1" fontId="9" fillId="0" borderId="28" xfId="0" applyNumberFormat="1" applyFont="1" applyBorder="1" applyAlignment="1" applyProtection="1">
      <alignment horizontal="center" vertical="center"/>
      <protection locked="0"/>
    </xf>
    <xf numFmtId="1" fontId="9" fillId="0" borderId="28" xfId="0" applyNumberFormat="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12" fillId="0" borderId="1" xfId="1" applyNumberFormat="1" applyFont="1" applyBorder="1" applyAlignment="1" applyProtection="1">
      <alignment horizontal="center" vertical="center" wrapText="1"/>
      <protection locked="0"/>
    </xf>
    <xf numFmtId="1" fontId="30" fillId="0" borderId="3" xfId="1" applyNumberFormat="1" applyFont="1" applyBorder="1" applyAlignment="1" applyProtection="1">
      <alignment horizontal="center" vertical="top" wrapText="1"/>
      <protection locked="0"/>
    </xf>
    <xf numFmtId="1" fontId="30" fillId="0" borderId="14" xfId="1" applyNumberFormat="1"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center" wrapText="1"/>
      <protection locked="0"/>
    </xf>
    <xf numFmtId="0" fontId="12" fillId="0" borderId="1" xfId="1" applyFont="1" applyFill="1" applyBorder="1" applyAlignment="1" applyProtection="1">
      <alignment horizontal="left" vertical="top" wrapText="1"/>
      <protection locked="0"/>
    </xf>
    <xf numFmtId="9" fontId="11" fillId="0" borderId="15" xfId="8" applyFont="1" applyFill="1" applyBorder="1" applyAlignment="1" applyProtection="1">
      <alignment horizontal="center" vertical="center" wrapText="1"/>
      <protection locked="0"/>
    </xf>
    <xf numFmtId="9" fontId="11" fillId="0" borderId="16" xfId="8" applyFont="1" applyFill="1" applyBorder="1" applyAlignment="1" applyProtection="1">
      <alignment horizontal="center" vertical="center" wrapText="1"/>
      <protection locked="0"/>
    </xf>
    <xf numFmtId="9" fontId="11" fillId="0" borderId="21" xfId="8" applyFont="1" applyFill="1" applyBorder="1" applyAlignment="1" applyProtection="1">
      <alignment horizontal="center" vertical="center" wrapText="1"/>
      <protection locked="0"/>
    </xf>
    <xf numFmtId="9" fontId="11" fillId="0" borderId="22" xfId="8" applyFont="1" applyFill="1" applyBorder="1" applyAlignment="1" applyProtection="1">
      <alignment horizontal="center" vertical="center" wrapText="1"/>
      <protection locked="0"/>
    </xf>
    <xf numFmtId="9" fontId="11" fillId="0" borderId="24"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3"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19"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2" fillId="0" borderId="8" xfId="1" applyNumberFormat="1" applyFont="1" applyBorder="1" applyAlignment="1" applyProtection="1">
      <alignment horizontal="center" vertical="center" wrapText="1"/>
      <protection locked="0"/>
    </xf>
    <xf numFmtId="1" fontId="12" fillId="0" borderId="19"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vertical="top" wrapText="1"/>
      <protection locked="0"/>
    </xf>
    <xf numFmtId="0" fontId="6" fillId="0" borderId="0" xfId="1" applyFont="1" applyBorder="1" applyAlignment="1">
      <alignment horizontal="center" vertical="center"/>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colors>
    <mruColors>
      <color rgb="FF00FFFF"/>
      <color rgb="FF4EF937"/>
      <color rgb="FFAEF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11</xdr:col>
      <xdr:colOff>67235</xdr:colOff>
      <xdr:row>96</xdr:row>
      <xdr:rowOff>11205</xdr:rowOff>
    </xdr:from>
    <xdr:to>
      <xdr:col>12</xdr:col>
      <xdr:colOff>605496</xdr:colOff>
      <xdr:row>113</xdr:row>
      <xdr:rowOff>51644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009529" y="20305058"/>
          <a:ext cx="1457143" cy="3704762"/>
        </a:xfrm>
        <a:prstGeom prst="rect">
          <a:avLst/>
        </a:prstGeom>
      </xdr:spPr>
    </xdr:pic>
    <xdr:clientData/>
  </xdr:twoCellAnchor>
  <xdr:twoCellAnchor editAs="oneCell">
    <xdr:from>
      <xdr:col>1</xdr:col>
      <xdr:colOff>179294</xdr:colOff>
      <xdr:row>278</xdr:row>
      <xdr:rowOff>106545</xdr:rowOff>
    </xdr:from>
    <xdr:to>
      <xdr:col>6</xdr:col>
      <xdr:colOff>582706</xdr:colOff>
      <xdr:row>295</xdr:row>
      <xdr:rowOff>173795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41294" y="53849957"/>
          <a:ext cx="4493559" cy="3496251"/>
        </a:xfrm>
        <a:prstGeom prst="rect">
          <a:avLst/>
        </a:prstGeom>
        <a:ln>
          <a:solidFill>
            <a:schemeClr val="tx1"/>
          </a:solidFill>
        </a:ln>
      </xdr:spPr>
    </xdr:pic>
    <xdr:clientData/>
  </xdr:twoCellAnchor>
  <xdr:twoCellAnchor>
    <xdr:from>
      <xdr:col>0</xdr:col>
      <xdr:colOff>179293</xdr:colOff>
      <xdr:row>241</xdr:row>
      <xdr:rowOff>98995</xdr:rowOff>
    </xdr:from>
    <xdr:to>
      <xdr:col>3</xdr:col>
      <xdr:colOff>738614</xdr:colOff>
      <xdr:row>257</xdr:row>
      <xdr:rowOff>111702</xdr:rowOff>
    </xdr:to>
    <xdr:grpSp>
      <xdr:nvGrpSpPr>
        <xdr:cNvPr id="25" name="Group 24">
          <a:extLst>
            <a:ext uri="{FF2B5EF4-FFF2-40B4-BE49-F238E27FC236}">
              <a16:creationId xmlns:a16="http://schemas.microsoft.com/office/drawing/2014/main" id="{00000000-0008-0000-0000-000019000000}"/>
            </a:ext>
          </a:extLst>
        </xdr:cNvPr>
        <xdr:cNvGrpSpPr/>
      </xdr:nvGrpSpPr>
      <xdr:grpSpPr>
        <a:xfrm>
          <a:off x="179293" y="45199870"/>
          <a:ext cx="2969146" cy="3213107"/>
          <a:chOff x="179293" y="46009495"/>
          <a:chExt cx="2969560" cy="3193229"/>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9293" y="46009495"/>
            <a:ext cx="2969560" cy="3193229"/>
          </a:xfrm>
          <a:prstGeom prst="rect">
            <a:avLst/>
          </a:prstGeom>
          <a:ln>
            <a:solidFill>
              <a:schemeClr val="tx1"/>
            </a:solidFill>
          </a:ln>
        </xdr:spPr>
      </xdr:pic>
      <xdr:sp macro="" textlink="">
        <xdr:nvSpPr>
          <xdr:cNvPr id="17" name="Freeform 16">
            <a:extLst>
              <a:ext uri="{FF2B5EF4-FFF2-40B4-BE49-F238E27FC236}">
                <a16:creationId xmlns:a16="http://schemas.microsoft.com/office/drawing/2014/main" id="{00000000-0008-0000-0000-000011000000}"/>
              </a:ext>
            </a:extLst>
          </xdr:cNvPr>
          <xdr:cNvSpPr/>
        </xdr:nvSpPr>
        <xdr:spPr>
          <a:xfrm>
            <a:off x="1538654" y="46621148"/>
            <a:ext cx="498613" cy="993913"/>
          </a:xfrm>
          <a:custGeom>
            <a:avLst/>
            <a:gdLst>
              <a:gd name="connsiteX0" fmla="*/ 85725 w 466725"/>
              <a:gd name="connsiteY0" fmla="*/ 1000125 h 1000125"/>
              <a:gd name="connsiteX1" fmla="*/ 85725 w 466725"/>
              <a:gd name="connsiteY1" fmla="*/ 409575 h 1000125"/>
              <a:gd name="connsiteX2" fmla="*/ 0 w 466725"/>
              <a:gd name="connsiteY2" fmla="*/ 66675 h 1000125"/>
              <a:gd name="connsiteX3" fmla="*/ 104775 w 466725"/>
              <a:gd name="connsiteY3" fmla="*/ 0 h 1000125"/>
              <a:gd name="connsiteX4" fmla="*/ 314325 w 466725"/>
              <a:gd name="connsiteY4" fmla="*/ 200025 h 1000125"/>
              <a:gd name="connsiteX5" fmla="*/ 390525 w 466725"/>
              <a:gd name="connsiteY5" fmla="*/ 428625 h 1000125"/>
              <a:gd name="connsiteX6" fmla="*/ 438150 w 466725"/>
              <a:gd name="connsiteY6" fmla="*/ 657225 h 1000125"/>
              <a:gd name="connsiteX7" fmla="*/ 466725 w 466725"/>
              <a:gd name="connsiteY7" fmla="*/ 1000125 h 1000125"/>
              <a:gd name="connsiteX8" fmla="*/ 85725 w 466725"/>
              <a:gd name="connsiteY8" fmla="*/ 1000125 h 1000125"/>
              <a:gd name="connsiteX0" fmla="*/ 114300 w 495300"/>
              <a:gd name="connsiteY0" fmla="*/ 1000125 h 1000125"/>
              <a:gd name="connsiteX1" fmla="*/ 114300 w 495300"/>
              <a:gd name="connsiteY1" fmla="*/ 409575 h 1000125"/>
              <a:gd name="connsiteX2" fmla="*/ 0 w 495300"/>
              <a:gd name="connsiteY2" fmla="*/ 38100 h 1000125"/>
              <a:gd name="connsiteX3" fmla="*/ 133350 w 495300"/>
              <a:gd name="connsiteY3" fmla="*/ 0 h 1000125"/>
              <a:gd name="connsiteX4" fmla="*/ 342900 w 495300"/>
              <a:gd name="connsiteY4" fmla="*/ 200025 h 1000125"/>
              <a:gd name="connsiteX5" fmla="*/ 419100 w 495300"/>
              <a:gd name="connsiteY5" fmla="*/ 428625 h 1000125"/>
              <a:gd name="connsiteX6" fmla="*/ 466725 w 495300"/>
              <a:gd name="connsiteY6" fmla="*/ 657225 h 1000125"/>
              <a:gd name="connsiteX7" fmla="*/ 495300 w 495300"/>
              <a:gd name="connsiteY7" fmla="*/ 1000125 h 1000125"/>
              <a:gd name="connsiteX8" fmla="*/ 114300 w 495300"/>
              <a:gd name="connsiteY8" fmla="*/ 1000125 h 1000125"/>
              <a:gd name="connsiteX0" fmla="*/ 114300 w 495300"/>
              <a:gd name="connsiteY0" fmla="*/ 1000125 h 1000125"/>
              <a:gd name="connsiteX1" fmla="*/ 114300 w 495300"/>
              <a:gd name="connsiteY1" fmla="*/ 409575 h 1000125"/>
              <a:gd name="connsiteX2" fmla="*/ 0 w 495300"/>
              <a:gd name="connsiteY2" fmla="*/ 38100 h 1000125"/>
              <a:gd name="connsiteX3" fmla="*/ 133350 w 495300"/>
              <a:gd name="connsiteY3" fmla="*/ 0 h 1000125"/>
              <a:gd name="connsiteX4" fmla="*/ 342900 w 495300"/>
              <a:gd name="connsiteY4" fmla="*/ 200025 h 1000125"/>
              <a:gd name="connsiteX5" fmla="*/ 419100 w 495300"/>
              <a:gd name="connsiteY5" fmla="*/ 428625 h 1000125"/>
              <a:gd name="connsiteX6" fmla="*/ 466725 w 495300"/>
              <a:gd name="connsiteY6" fmla="*/ 638175 h 1000125"/>
              <a:gd name="connsiteX7" fmla="*/ 495300 w 495300"/>
              <a:gd name="connsiteY7" fmla="*/ 1000125 h 1000125"/>
              <a:gd name="connsiteX8" fmla="*/ 114300 w 495300"/>
              <a:gd name="connsiteY8" fmla="*/ 1000125 h 1000125"/>
              <a:gd name="connsiteX0" fmla="*/ 114300 w 495300"/>
              <a:gd name="connsiteY0" fmla="*/ 1000125 h 1000125"/>
              <a:gd name="connsiteX1" fmla="*/ 114300 w 495300"/>
              <a:gd name="connsiteY1" fmla="*/ 409575 h 1000125"/>
              <a:gd name="connsiteX2" fmla="*/ 0 w 495300"/>
              <a:gd name="connsiteY2" fmla="*/ 38100 h 1000125"/>
              <a:gd name="connsiteX3" fmla="*/ 133350 w 495300"/>
              <a:gd name="connsiteY3" fmla="*/ 0 h 1000125"/>
              <a:gd name="connsiteX4" fmla="*/ 342900 w 495300"/>
              <a:gd name="connsiteY4" fmla="*/ 200025 h 1000125"/>
              <a:gd name="connsiteX5" fmla="*/ 419100 w 495300"/>
              <a:gd name="connsiteY5" fmla="*/ 428625 h 1000125"/>
              <a:gd name="connsiteX6" fmla="*/ 466725 w 495300"/>
              <a:gd name="connsiteY6" fmla="*/ 638175 h 1000125"/>
              <a:gd name="connsiteX7" fmla="*/ 495300 w 495300"/>
              <a:gd name="connsiteY7" fmla="*/ 1000125 h 1000125"/>
              <a:gd name="connsiteX8" fmla="*/ 114300 w 495300"/>
              <a:gd name="connsiteY8" fmla="*/ 1000125 h 10001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5300" h="1000125">
                <a:moveTo>
                  <a:pt x="114300" y="1000125"/>
                </a:moveTo>
                <a:lnTo>
                  <a:pt x="114300" y="409575"/>
                </a:lnTo>
                <a:lnTo>
                  <a:pt x="0" y="38100"/>
                </a:lnTo>
                <a:lnTo>
                  <a:pt x="133350" y="0"/>
                </a:lnTo>
                <a:lnTo>
                  <a:pt x="342900" y="200025"/>
                </a:lnTo>
                <a:lnTo>
                  <a:pt x="419100" y="428625"/>
                </a:lnTo>
                <a:cubicBezTo>
                  <a:pt x="434975" y="498475"/>
                  <a:pt x="479425" y="558800"/>
                  <a:pt x="466725" y="638175"/>
                </a:cubicBezTo>
                <a:lnTo>
                  <a:pt x="495300" y="1000125"/>
                </a:lnTo>
                <a:lnTo>
                  <a:pt x="114300" y="1000125"/>
                </a:lnTo>
                <a:close/>
              </a:path>
            </a:pathLst>
          </a:cu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a:off x="785812" y="47596011"/>
            <a:ext cx="2130442" cy="41672"/>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000-000017000000}"/>
              </a:ext>
            </a:extLst>
          </xdr:cNvPr>
          <xdr:cNvCxnSpPr/>
        </xdr:nvCxnSpPr>
        <xdr:spPr>
          <a:xfrm>
            <a:off x="1017984" y="47916186"/>
            <a:ext cx="1487504" cy="29765"/>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851648</xdr:colOff>
      <xdr:row>241</xdr:row>
      <xdr:rowOff>121877</xdr:rowOff>
    </xdr:from>
    <xdr:to>
      <xdr:col>7</xdr:col>
      <xdr:colOff>537883</xdr:colOff>
      <xdr:row>274</xdr:row>
      <xdr:rowOff>65555</xdr:rowOff>
    </xdr:to>
    <xdr:grpSp>
      <xdr:nvGrpSpPr>
        <xdr:cNvPr id="32" name="Group 31">
          <a:extLst>
            <a:ext uri="{FF2B5EF4-FFF2-40B4-BE49-F238E27FC236}">
              <a16:creationId xmlns:a16="http://schemas.microsoft.com/office/drawing/2014/main" id="{00000000-0008-0000-0000-000020000000}"/>
            </a:ext>
          </a:extLst>
        </xdr:cNvPr>
        <xdr:cNvGrpSpPr/>
      </xdr:nvGrpSpPr>
      <xdr:grpSpPr>
        <a:xfrm>
          <a:off x="3261473" y="45222752"/>
          <a:ext cx="2858060" cy="6544503"/>
          <a:chOff x="3227295" y="46547847"/>
          <a:chExt cx="2857499" cy="6599972"/>
        </a:xfrm>
      </xdr:grpSpPr>
      <xdr:grpSp>
        <xdr:nvGrpSpPr>
          <xdr:cNvPr id="30" name="Group 29">
            <a:extLst>
              <a:ext uri="{FF2B5EF4-FFF2-40B4-BE49-F238E27FC236}">
                <a16:creationId xmlns:a16="http://schemas.microsoft.com/office/drawing/2014/main" id="{00000000-0008-0000-0000-00001E000000}"/>
              </a:ext>
            </a:extLst>
          </xdr:cNvPr>
          <xdr:cNvGrpSpPr/>
        </xdr:nvGrpSpPr>
        <xdr:grpSpPr>
          <a:xfrm>
            <a:off x="3227295" y="46547847"/>
            <a:ext cx="2857499" cy="6599972"/>
            <a:chOff x="3227295" y="46547847"/>
            <a:chExt cx="2857499" cy="6599972"/>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stretch>
              <a:fillRect/>
            </a:stretch>
          </xdr:blipFill>
          <xdr:spPr>
            <a:xfrm>
              <a:off x="3265273" y="46547847"/>
              <a:ext cx="2810619" cy="6599972"/>
            </a:xfrm>
            <a:prstGeom prst="rect">
              <a:avLst/>
            </a:prstGeom>
            <a:ln>
              <a:solidFill>
                <a:sysClr val="windowText" lastClr="000000"/>
              </a:solidFill>
            </a:ln>
          </xdr:spPr>
        </xdr:pic>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a:off x="3227295" y="51860824"/>
              <a:ext cx="2823881" cy="0"/>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000-00001D000000}"/>
                </a:ext>
              </a:extLst>
            </xdr:cNvPr>
            <xdr:cNvCxnSpPr/>
          </xdr:nvCxnSpPr>
          <xdr:spPr>
            <a:xfrm>
              <a:off x="3260913" y="53082265"/>
              <a:ext cx="2823881" cy="0"/>
            </a:xfrm>
            <a:prstGeom prst="lin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3496235" y="52465941"/>
            <a:ext cx="2454089"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400" b="1">
                <a:solidFill>
                  <a:srgbClr val="7030A0"/>
                </a:solidFill>
                <a:latin typeface="Times New Roman" panose="02020603050405020304" pitchFamily="18" charset="0"/>
                <a:cs typeface="Times New Roman" panose="02020603050405020304" pitchFamily="18" charset="0"/>
              </a:rPr>
              <a:t>Mumbai Pune National Highway 24.00 M. Wide</a:t>
            </a:r>
          </a:p>
        </xdr:txBody>
      </xdr:sp>
    </xdr:grpSp>
    <xdr:clientData/>
  </xdr:twoCellAnchor>
  <xdr:twoCellAnchor>
    <xdr:from>
      <xdr:col>0</xdr:col>
      <xdr:colOff>716939</xdr:colOff>
      <xdr:row>296</xdr:row>
      <xdr:rowOff>123265</xdr:rowOff>
    </xdr:from>
    <xdr:to>
      <xdr:col>7</xdr:col>
      <xdr:colOff>15164</xdr:colOff>
      <xdr:row>319</xdr:row>
      <xdr:rowOff>33617</xdr:rowOff>
    </xdr:to>
    <xdr:grpSp>
      <xdr:nvGrpSpPr>
        <xdr:cNvPr id="44" name="Group 43">
          <a:extLst>
            <a:ext uri="{FF2B5EF4-FFF2-40B4-BE49-F238E27FC236}">
              <a16:creationId xmlns:a16="http://schemas.microsoft.com/office/drawing/2014/main" id="{00000000-0008-0000-0000-00002C000000}"/>
            </a:ext>
          </a:extLst>
        </xdr:cNvPr>
        <xdr:cNvGrpSpPr/>
      </xdr:nvGrpSpPr>
      <xdr:grpSpPr>
        <a:xfrm>
          <a:off x="716939" y="56225515"/>
          <a:ext cx="4879875" cy="4510927"/>
          <a:chOff x="716920" y="57273265"/>
          <a:chExt cx="4879894" cy="4510927"/>
        </a:xfrm>
      </xdr:grpSpPr>
      <xdr:grpSp>
        <xdr:nvGrpSpPr>
          <xdr:cNvPr id="15" name="Group 14">
            <a:extLst>
              <a:ext uri="{FF2B5EF4-FFF2-40B4-BE49-F238E27FC236}">
                <a16:creationId xmlns:a16="http://schemas.microsoft.com/office/drawing/2014/main" id="{00000000-0008-0000-0000-00000F000000}"/>
              </a:ext>
            </a:extLst>
          </xdr:cNvPr>
          <xdr:cNvGrpSpPr/>
        </xdr:nvGrpSpPr>
        <xdr:grpSpPr>
          <a:xfrm>
            <a:off x="818029" y="57273265"/>
            <a:ext cx="4778785" cy="4494958"/>
            <a:chOff x="971809" y="57676677"/>
            <a:chExt cx="4455796" cy="4500000"/>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stretch>
              <a:fillRect/>
            </a:stretch>
          </xdr:blipFill>
          <xdr:spPr>
            <a:xfrm>
              <a:off x="971809" y="57676677"/>
              <a:ext cx="4455796" cy="4500000"/>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rot="1699636">
              <a:off x="2498908" y="58853295"/>
              <a:ext cx="705971" cy="15240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34" name="Straight Connector 33">
            <a:extLst>
              <a:ext uri="{FF2B5EF4-FFF2-40B4-BE49-F238E27FC236}">
                <a16:creationId xmlns:a16="http://schemas.microsoft.com/office/drawing/2014/main" id="{00000000-0008-0000-0000-000022000000}"/>
              </a:ext>
            </a:extLst>
          </xdr:cNvPr>
          <xdr:cNvCxnSpPr/>
        </xdr:nvCxnSpPr>
        <xdr:spPr>
          <a:xfrm>
            <a:off x="784412" y="59406305"/>
            <a:ext cx="3578598" cy="2377887"/>
          </a:xfrm>
          <a:prstGeom prst="line">
            <a:avLst/>
          </a:prstGeom>
          <a:ln w="28575">
            <a:solidFill>
              <a:srgbClr val="00FFFF"/>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000-000024000000}"/>
              </a:ext>
            </a:extLst>
          </xdr:cNvPr>
          <xdr:cNvCxnSpPr/>
        </xdr:nvCxnSpPr>
        <xdr:spPr>
          <a:xfrm>
            <a:off x="809625" y="59940825"/>
            <a:ext cx="2733675" cy="1828800"/>
          </a:xfrm>
          <a:prstGeom prst="line">
            <a:avLst/>
          </a:prstGeom>
          <a:ln w="28575">
            <a:solidFill>
              <a:srgbClr val="00FFFF"/>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TextBox 40">
            <a:extLst>
              <a:ext uri="{FF2B5EF4-FFF2-40B4-BE49-F238E27FC236}">
                <a16:creationId xmlns:a16="http://schemas.microsoft.com/office/drawing/2014/main" id="{00000000-0008-0000-0000-000029000000}"/>
              </a:ext>
            </a:extLst>
          </xdr:cNvPr>
          <xdr:cNvSpPr txBox="1"/>
        </xdr:nvSpPr>
        <xdr:spPr>
          <a:xfrm rot="2055498">
            <a:off x="716920" y="60553932"/>
            <a:ext cx="3257993" cy="588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600" b="1">
                <a:solidFill>
                  <a:srgbClr val="00FFFF"/>
                </a:solidFill>
                <a:latin typeface="Times New Roman" panose="02020603050405020304" pitchFamily="18" charset="0"/>
                <a:cs typeface="Times New Roman" panose="02020603050405020304" pitchFamily="18" charset="0"/>
              </a:rPr>
              <a:t>Mumbai Pune National Highway</a:t>
            </a:r>
          </a:p>
        </xdr:txBody>
      </xdr:sp>
    </xdr:grpSp>
    <xdr:clientData/>
  </xdr:twoCellAnchor>
  <xdr:twoCellAnchor>
    <xdr:from>
      <xdr:col>8</xdr:col>
      <xdr:colOff>219075</xdr:colOff>
      <xdr:row>198</xdr:row>
      <xdr:rowOff>41275</xdr:rowOff>
    </xdr:from>
    <xdr:to>
      <xdr:col>15</xdr:col>
      <xdr:colOff>419100</xdr:colOff>
      <xdr:row>239</xdr:row>
      <xdr:rowOff>22225</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6534150" y="36550600"/>
          <a:ext cx="6191250" cy="8172450"/>
          <a:chOff x="76200" y="36125150"/>
          <a:chExt cx="6464300" cy="8045450"/>
        </a:xfrm>
      </xdr:grpSpPr>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458377" y="43227347"/>
            <a:ext cx="1213313" cy="943253"/>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09098" y="36125150"/>
            <a:ext cx="2696250" cy="3600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024511" y="41519948"/>
            <a:ext cx="1213313" cy="162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42516" y="36125150"/>
            <a:ext cx="2696250" cy="3600000"/>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125730" y="43227347"/>
            <a:ext cx="1213313" cy="943253"/>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6200" y="39812549"/>
            <a:ext cx="2080800" cy="1620000"/>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276334" y="39812549"/>
            <a:ext cx="2157000" cy="1620000"/>
          </a:xfrm>
          <a:prstGeom prst="rect">
            <a:avLst/>
          </a:prstGeom>
          <a:ln>
            <a:solidFill>
              <a:schemeClr val="tx1"/>
            </a:solidFill>
          </a:ln>
        </xdr:spPr>
      </xdr:pic>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748177" y="41519948"/>
            <a:ext cx="2157000" cy="1620000"/>
          </a:xfrm>
          <a:prstGeom prst="rect">
            <a:avLst/>
          </a:prstGeom>
          <a:ln>
            <a:solidFill>
              <a:schemeClr val="tx1"/>
            </a:solidFill>
          </a:ln>
        </xdr:spPr>
      </xdr:pic>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71843" y="41519948"/>
            <a:ext cx="2157000" cy="1620000"/>
          </a:xfrm>
          <a:prstGeom prst="rect">
            <a:avLst/>
          </a:prstGeom>
          <a:ln>
            <a:solidFill>
              <a:schemeClr val="tx1"/>
            </a:solidFill>
          </a:ln>
        </xdr:spPr>
      </xdr:pic>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552668" y="39812549"/>
            <a:ext cx="1987832" cy="1620000"/>
          </a:xfrm>
          <a:prstGeom prst="rect">
            <a:avLst/>
          </a:prstGeom>
          <a:ln>
            <a:solidFill>
              <a:schemeClr val="tx1"/>
            </a:solidFill>
          </a:ln>
        </xdr:spPr>
      </xdr:pic>
    </xdr:grpSp>
    <xdr:clientData/>
  </xdr:twoCellAnchor>
  <xdr:twoCellAnchor>
    <xdr:from>
      <xdr:col>0</xdr:col>
      <xdr:colOff>123826</xdr:colOff>
      <xdr:row>198</xdr:row>
      <xdr:rowOff>19050</xdr:rowOff>
    </xdr:from>
    <xdr:to>
      <xdr:col>7</xdr:col>
      <xdr:colOff>657226</xdr:colOff>
      <xdr:row>238</xdr:row>
      <xdr:rowOff>69138</xdr:rowOff>
    </xdr:to>
    <xdr:grpSp>
      <xdr:nvGrpSpPr>
        <xdr:cNvPr id="47" name="Group 46">
          <a:extLst>
            <a:ext uri="{FF2B5EF4-FFF2-40B4-BE49-F238E27FC236}">
              <a16:creationId xmlns:a16="http://schemas.microsoft.com/office/drawing/2014/main" id="{0677CB32-500B-4576-BFD9-E4F7E7297492}"/>
            </a:ext>
          </a:extLst>
        </xdr:cNvPr>
        <xdr:cNvGrpSpPr/>
      </xdr:nvGrpSpPr>
      <xdr:grpSpPr>
        <a:xfrm>
          <a:off x="123826" y="36528375"/>
          <a:ext cx="6115050" cy="8041563"/>
          <a:chOff x="169783" y="358588"/>
          <a:chExt cx="6688217" cy="8517813"/>
        </a:xfrm>
      </xdr:grpSpPr>
      <xdr:grpSp>
        <xdr:nvGrpSpPr>
          <xdr:cNvPr id="48" name="Group 47">
            <a:extLst>
              <a:ext uri="{FF2B5EF4-FFF2-40B4-BE49-F238E27FC236}">
                <a16:creationId xmlns:a16="http://schemas.microsoft.com/office/drawing/2014/main" id="{E6533F7F-3109-4D77-9BC2-8DC76A51D311}"/>
              </a:ext>
            </a:extLst>
          </xdr:cNvPr>
          <xdr:cNvGrpSpPr/>
        </xdr:nvGrpSpPr>
        <xdr:grpSpPr>
          <a:xfrm>
            <a:off x="169783" y="358588"/>
            <a:ext cx="6688217" cy="8517813"/>
            <a:chOff x="169783" y="358588"/>
            <a:chExt cx="6688217" cy="8517813"/>
          </a:xfrm>
        </xdr:grpSpPr>
        <xdr:pic>
          <xdr:nvPicPr>
            <xdr:cNvPr id="55" name="Picture 54">
              <a:extLst>
                <a:ext uri="{FF2B5EF4-FFF2-40B4-BE49-F238E27FC236}">
                  <a16:creationId xmlns:a16="http://schemas.microsoft.com/office/drawing/2014/main" id="{3E56B379-ED0E-4B49-B559-D5DAF1581FA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919162" y="358588"/>
              <a:ext cx="2291813" cy="3060000"/>
            </a:xfrm>
            <a:prstGeom prst="rect">
              <a:avLst/>
            </a:prstGeom>
            <a:ln>
              <a:solidFill>
                <a:schemeClr val="tx1"/>
              </a:solidFill>
            </a:ln>
          </xdr:spPr>
        </xdr:pic>
        <xdr:pic>
          <xdr:nvPicPr>
            <xdr:cNvPr id="56" name="Picture 55">
              <a:extLst>
                <a:ext uri="{FF2B5EF4-FFF2-40B4-BE49-F238E27FC236}">
                  <a16:creationId xmlns:a16="http://schemas.microsoft.com/office/drawing/2014/main" id="{229806C2-A05A-406D-B758-8A5518ECF7B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429000" y="358588"/>
              <a:ext cx="2291813" cy="3060000"/>
            </a:xfrm>
            <a:prstGeom prst="rect">
              <a:avLst/>
            </a:prstGeom>
            <a:ln>
              <a:solidFill>
                <a:schemeClr val="tx1"/>
              </a:solidFill>
            </a:ln>
          </xdr:spPr>
        </xdr:pic>
        <xdr:pic>
          <xdr:nvPicPr>
            <xdr:cNvPr id="57" name="Picture 56">
              <a:extLst>
                <a:ext uri="{FF2B5EF4-FFF2-40B4-BE49-F238E27FC236}">
                  <a16:creationId xmlns:a16="http://schemas.microsoft.com/office/drawing/2014/main" id="{EC05882B-4F7B-454C-89AB-8936B9EF17CB}"/>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69783" y="3617859"/>
              <a:ext cx="2156999" cy="1620000"/>
            </a:xfrm>
            <a:prstGeom prst="rect">
              <a:avLst/>
            </a:prstGeom>
            <a:ln>
              <a:solidFill>
                <a:schemeClr val="tx1"/>
              </a:solidFill>
            </a:ln>
          </xdr:spPr>
        </xdr:pic>
        <xdr:pic>
          <xdr:nvPicPr>
            <xdr:cNvPr id="58" name="Picture 57">
              <a:extLst>
                <a:ext uri="{FF2B5EF4-FFF2-40B4-BE49-F238E27FC236}">
                  <a16:creationId xmlns:a16="http://schemas.microsoft.com/office/drawing/2014/main" id="{22DE6EBD-9A2B-4E0D-924A-DFBF6C7F6E13}"/>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701001" y="3617859"/>
              <a:ext cx="2156999" cy="1620000"/>
            </a:xfrm>
            <a:prstGeom prst="rect">
              <a:avLst/>
            </a:prstGeom>
            <a:ln>
              <a:solidFill>
                <a:schemeClr val="tx1"/>
              </a:solidFill>
            </a:ln>
          </xdr:spPr>
        </xdr:pic>
        <xdr:pic>
          <xdr:nvPicPr>
            <xdr:cNvPr id="59" name="Picture 58">
              <a:extLst>
                <a:ext uri="{FF2B5EF4-FFF2-40B4-BE49-F238E27FC236}">
                  <a16:creationId xmlns:a16="http://schemas.microsoft.com/office/drawing/2014/main" id="{72E35248-6F9C-40C2-BC37-E9D8E20EDCAE}"/>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429596" y="3617859"/>
              <a:ext cx="2156999" cy="1620000"/>
            </a:xfrm>
            <a:prstGeom prst="rect">
              <a:avLst/>
            </a:prstGeom>
            <a:ln>
              <a:solidFill>
                <a:schemeClr val="tx1"/>
              </a:solidFill>
            </a:ln>
          </xdr:spPr>
        </xdr:pic>
        <xdr:pic>
          <xdr:nvPicPr>
            <xdr:cNvPr id="60" name="Picture 59">
              <a:extLst>
                <a:ext uri="{FF2B5EF4-FFF2-40B4-BE49-F238E27FC236}">
                  <a16:creationId xmlns:a16="http://schemas.microsoft.com/office/drawing/2014/main" id="{84B9289E-E021-482E-A7DA-8E3C60ECDD6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07741" y="5437130"/>
              <a:ext cx="1917333" cy="1440000"/>
            </a:xfrm>
            <a:prstGeom prst="rect">
              <a:avLst/>
            </a:prstGeom>
            <a:ln>
              <a:solidFill>
                <a:schemeClr val="tx1"/>
              </a:solidFill>
            </a:ln>
          </xdr:spPr>
        </xdr:pic>
        <xdr:pic>
          <xdr:nvPicPr>
            <xdr:cNvPr id="61" name="Picture 60">
              <a:extLst>
                <a:ext uri="{FF2B5EF4-FFF2-40B4-BE49-F238E27FC236}">
                  <a16:creationId xmlns:a16="http://schemas.microsoft.com/office/drawing/2014/main" id="{FD96B711-A5ED-4F32-81E6-446D5537369D}"/>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470333" y="5437130"/>
              <a:ext cx="1917333" cy="1440000"/>
            </a:xfrm>
            <a:prstGeom prst="rect">
              <a:avLst/>
            </a:prstGeom>
            <a:ln>
              <a:solidFill>
                <a:schemeClr val="tx1"/>
              </a:solidFill>
            </a:ln>
          </xdr:spPr>
        </xdr:pic>
        <xdr:pic>
          <xdr:nvPicPr>
            <xdr:cNvPr id="62" name="Picture 61">
              <a:extLst>
                <a:ext uri="{FF2B5EF4-FFF2-40B4-BE49-F238E27FC236}">
                  <a16:creationId xmlns:a16="http://schemas.microsoft.com/office/drawing/2014/main" id="{03F4D3C2-1154-406C-B96F-238665FC1201}"/>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532925" y="5437130"/>
              <a:ext cx="1917334" cy="1440000"/>
            </a:xfrm>
            <a:prstGeom prst="rect">
              <a:avLst/>
            </a:prstGeom>
            <a:ln>
              <a:solidFill>
                <a:schemeClr val="tx1"/>
              </a:solidFill>
            </a:ln>
          </xdr:spPr>
        </xdr:pic>
        <xdr:pic>
          <xdr:nvPicPr>
            <xdr:cNvPr id="63" name="Picture 62">
              <a:extLst>
                <a:ext uri="{FF2B5EF4-FFF2-40B4-BE49-F238E27FC236}">
                  <a16:creationId xmlns:a16="http://schemas.microsoft.com/office/drawing/2014/main" id="{126887FB-729E-4A7C-8C8D-0558AA77217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834032" y="7076401"/>
              <a:ext cx="1348125" cy="1800000"/>
            </a:xfrm>
            <a:prstGeom prst="rect">
              <a:avLst/>
            </a:prstGeom>
            <a:ln>
              <a:solidFill>
                <a:schemeClr val="tx1"/>
              </a:solidFill>
            </a:ln>
          </xdr:spPr>
        </xdr:pic>
        <xdr:pic>
          <xdr:nvPicPr>
            <xdr:cNvPr id="64" name="Picture 63">
              <a:extLst>
                <a:ext uri="{FF2B5EF4-FFF2-40B4-BE49-F238E27FC236}">
                  <a16:creationId xmlns:a16="http://schemas.microsoft.com/office/drawing/2014/main" id="{D2CC7BB1-0984-4F49-B901-DB7BB7467ACD}"/>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330353" y="7076401"/>
              <a:ext cx="1348125" cy="1800000"/>
            </a:xfrm>
            <a:prstGeom prst="rect">
              <a:avLst/>
            </a:prstGeom>
            <a:ln>
              <a:solidFill>
                <a:schemeClr val="tx1"/>
              </a:solidFill>
            </a:ln>
          </xdr:spPr>
        </xdr:pic>
        <xdr:pic>
          <xdr:nvPicPr>
            <xdr:cNvPr id="65" name="Picture 64">
              <a:extLst>
                <a:ext uri="{FF2B5EF4-FFF2-40B4-BE49-F238E27FC236}">
                  <a16:creationId xmlns:a16="http://schemas.microsoft.com/office/drawing/2014/main" id="{84011616-D1C0-4000-9CAB-D9B857FF1AA6}"/>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337711" y="7076401"/>
              <a:ext cx="1348125" cy="1800000"/>
            </a:xfrm>
            <a:prstGeom prst="rect">
              <a:avLst/>
            </a:prstGeom>
            <a:ln>
              <a:solidFill>
                <a:schemeClr val="tx1"/>
              </a:solidFill>
            </a:ln>
          </xdr:spPr>
        </xdr:pic>
      </xdr:grpSp>
      <xdr:sp macro="" textlink="">
        <xdr:nvSpPr>
          <xdr:cNvPr id="49" name="TextBox 210">
            <a:extLst>
              <a:ext uri="{FF2B5EF4-FFF2-40B4-BE49-F238E27FC236}">
                <a16:creationId xmlns:a16="http://schemas.microsoft.com/office/drawing/2014/main" id="{E8FBDE4E-6C2D-4512-ABF0-3C960AB6C70B}"/>
              </a:ext>
            </a:extLst>
          </xdr:cNvPr>
          <xdr:cNvSpPr txBox="1"/>
        </xdr:nvSpPr>
        <xdr:spPr>
          <a:xfrm>
            <a:off x="686630" y="3617859"/>
            <a:ext cx="11907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First Floor </a:t>
            </a:r>
            <a:endParaRPr lang="en-IN" b="1">
              <a:solidFill>
                <a:srgbClr val="FF0000"/>
              </a:solidFill>
            </a:endParaRPr>
          </a:p>
        </xdr:txBody>
      </xdr:sp>
      <xdr:sp macro="" textlink="">
        <xdr:nvSpPr>
          <xdr:cNvPr id="50" name="TextBox 85">
            <a:extLst>
              <a:ext uri="{FF2B5EF4-FFF2-40B4-BE49-F238E27FC236}">
                <a16:creationId xmlns:a16="http://schemas.microsoft.com/office/drawing/2014/main" id="{853D1986-DABD-409C-A954-2321C4FC7E4B}"/>
              </a:ext>
            </a:extLst>
          </xdr:cNvPr>
          <xdr:cNvSpPr txBox="1"/>
        </xdr:nvSpPr>
        <xdr:spPr>
          <a:xfrm>
            <a:off x="2935660" y="4579884"/>
            <a:ext cx="1213714" cy="3962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2nd Floor </a:t>
            </a:r>
            <a:endParaRPr lang="en-IN" b="1">
              <a:solidFill>
                <a:srgbClr val="FF0000"/>
              </a:solidFill>
            </a:endParaRPr>
          </a:p>
        </xdr:txBody>
      </xdr:sp>
      <xdr:sp macro="" textlink="">
        <xdr:nvSpPr>
          <xdr:cNvPr id="51" name="TextBox 86">
            <a:extLst>
              <a:ext uri="{FF2B5EF4-FFF2-40B4-BE49-F238E27FC236}">
                <a16:creationId xmlns:a16="http://schemas.microsoft.com/office/drawing/2014/main" id="{81988BBF-879C-428F-9F1D-F090277287B1}"/>
              </a:ext>
            </a:extLst>
          </xdr:cNvPr>
          <xdr:cNvSpPr txBox="1"/>
        </xdr:nvSpPr>
        <xdr:spPr>
          <a:xfrm>
            <a:off x="5484955" y="4639084"/>
            <a:ext cx="1237613" cy="3962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3rd Floor </a:t>
            </a:r>
            <a:endParaRPr lang="en-IN" b="1">
              <a:solidFill>
                <a:srgbClr val="FF0000"/>
              </a:solidFill>
            </a:endParaRPr>
          </a:p>
        </xdr:txBody>
      </xdr:sp>
      <xdr:sp macro="" textlink="">
        <xdr:nvSpPr>
          <xdr:cNvPr id="52" name="TextBox 87">
            <a:extLst>
              <a:ext uri="{FF2B5EF4-FFF2-40B4-BE49-F238E27FC236}">
                <a16:creationId xmlns:a16="http://schemas.microsoft.com/office/drawing/2014/main" id="{02411FB0-6A73-4538-A7D6-4C644F528BF8}"/>
              </a:ext>
            </a:extLst>
          </xdr:cNvPr>
          <xdr:cNvSpPr txBox="1"/>
        </xdr:nvSpPr>
        <xdr:spPr>
          <a:xfrm>
            <a:off x="919162" y="6275333"/>
            <a:ext cx="1167492" cy="3962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5th Floor </a:t>
            </a:r>
            <a:endParaRPr lang="en-IN" b="1">
              <a:solidFill>
                <a:srgbClr val="FF0000"/>
              </a:solidFill>
            </a:endParaRPr>
          </a:p>
        </xdr:txBody>
      </xdr:sp>
      <xdr:sp macro="" textlink="">
        <xdr:nvSpPr>
          <xdr:cNvPr id="53" name="TextBox 88">
            <a:extLst>
              <a:ext uri="{FF2B5EF4-FFF2-40B4-BE49-F238E27FC236}">
                <a16:creationId xmlns:a16="http://schemas.microsoft.com/office/drawing/2014/main" id="{F2D43992-DBCB-4414-88EB-18C85BCCDC4B}"/>
              </a:ext>
            </a:extLst>
          </xdr:cNvPr>
          <xdr:cNvSpPr txBox="1"/>
        </xdr:nvSpPr>
        <xdr:spPr>
          <a:xfrm>
            <a:off x="2685835" y="6230509"/>
            <a:ext cx="1192677" cy="3962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6th Floor </a:t>
            </a:r>
            <a:endParaRPr lang="en-IN" b="1">
              <a:solidFill>
                <a:srgbClr val="FF0000"/>
              </a:solidFill>
            </a:endParaRPr>
          </a:p>
        </xdr:txBody>
      </xdr:sp>
      <xdr:sp macro="" textlink="">
        <xdr:nvSpPr>
          <xdr:cNvPr id="54" name="TextBox 89">
            <a:extLst>
              <a:ext uri="{FF2B5EF4-FFF2-40B4-BE49-F238E27FC236}">
                <a16:creationId xmlns:a16="http://schemas.microsoft.com/office/drawing/2014/main" id="{37217328-17C9-404B-A2C5-6946C6EA07D9}"/>
              </a:ext>
            </a:extLst>
          </xdr:cNvPr>
          <xdr:cNvSpPr txBox="1"/>
        </xdr:nvSpPr>
        <xdr:spPr>
          <a:xfrm>
            <a:off x="4981835" y="6318284"/>
            <a:ext cx="1146919" cy="3962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7th Floor </a:t>
            </a:r>
            <a:endParaRPr lang="en-IN"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168088</xdr:colOff>
      <xdr:row>0</xdr:row>
      <xdr:rowOff>156883</xdr:rowOff>
    </xdr:from>
    <xdr:to>
      <xdr:col>14</xdr:col>
      <xdr:colOff>511257</xdr:colOff>
      <xdr:row>23</xdr:row>
      <xdr:rowOff>84177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10163735" y="156883"/>
          <a:ext cx="3256698" cy="4320000"/>
        </a:xfrm>
        <a:prstGeom prst="rect">
          <a:avLst/>
        </a:prstGeom>
      </xdr:spPr>
    </xdr:pic>
    <xdr:clientData/>
  </xdr:twoCellAnchor>
  <xdr:twoCellAnchor editAs="oneCell">
    <xdr:from>
      <xdr:col>0</xdr:col>
      <xdr:colOff>33616</xdr:colOff>
      <xdr:row>6</xdr:row>
      <xdr:rowOff>11207</xdr:rowOff>
    </xdr:from>
    <xdr:to>
      <xdr:col>7</xdr:col>
      <xdr:colOff>35337</xdr:colOff>
      <xdr:row>12</xdr:row>
      <xdr:rowOff>11367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3616" y="1165413"/>
          <a:ext cx="8316486" cy="1143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xE7DjoS37wVZfXn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78"/>
  <sheetViews>
    <sheetView tabSelected="1" view="pageBreakPreview" topLeftCell="A95" zoomScaleNormal="100" zoomScaleSheetLayoutView="100" zoomScalePageLayoutView="85" workbookViewId="0">
      <selection activeCell="J5" sqref="J5"/>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0.57031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65" t="s">
        <v>164</v>
      </c>
      <c r="B1" s="165"/>
      <c r="C1" s="165"/>
      <c r="D1" s="165"/>
      <c r="E1" s="165"/>
      <c r="F1" s="165"/>
      <c r="G1" s="165"/>
      <c r="H1" s="165"/>
    </row>
    <row r="2" spans="1:26" ht="16.5" customHeight="1" x14ac:dyDescent="0.25">
      <c r="A2" s="166" t="s">
        <v>0</v>
      </c>
      <c r="B2" s="166"/>
      <c r="C2" s="166"/>
      <c r="D2" s="166"/>
      <c r="E2" s="166"/>
      <c r="F2" s="166"/>
      <c r="G2" s="166"/>
      <c r="H2" s="166"/>
    </row>
    <row r="3" spans="1:26" x14ac:dyDescent="0.25">
      <c r="A3" s="131" t="s">
        <v>1</v>
      </c>
      <c r="B3" s="131"/>
      <c r="C3" s="131"/>
      <c r="D3" s="131"/>
      <c r="E3" s="131" t="str">
        <f ca="1">TEXT(TODAY(),"DD/MM/YYYY")</f>
        <v>18/08/2025</v>
      </c>
      <c r="F3" s="131"/>
      <c r="G3" s="131"/>
      <c r="H3" s="131"/>
      <c r="K3" s="48" t="s">
        <v>236</v>
      </c>
      <c r="L3" s="45" t="s">
        <v>234</v>
      </c>
      <c r="M3" s="45" t="s">
        <v>239</v>
      </c>
      <c r="N3" s="45" t="s">
        <v>237</v>
      </c>
      <c r="O3" s="45" t="s">
        <v>342</v>
      </c>
      <c r="P3" s="45" t="s">
        <v>240</v>
      </c>
    </row>
    <row r="4" spans="1:26" ht="15" customHeight="1" x14ac:dyDescent="0.25">
      <c r="A4" s="131" t="s">
        <v>233</v>
      </c>
      <c r="B4" s="131"/>
      <c r="C4" s="131"/>
      <c r="D4" s="131"/>
      <c r="E4" s="131" t="s">
        <v>234</v>
      </c>
      <c r="F4" s="131"/>
      <c r="G4" s="131"/>
      <c r="H4" s="131"/>
      <c r="K4" s="44" t="s">
        <v>235</v>
      </c>
      <c r="L4" s="45" t="s">
        <v>170</v>
      </c>
      <c r="M4" s="45" t="s">
        <v>244</v>
      </c>
      <c r="N4" s="45" t="s">
        <v>246</v>
      </c>
      <c r="O4" s="45" t="s">
        <v>343</v>
      </c>
      <c r="P4" s="45"/>
    </row>
    <row r="5" spans="1:26" ht="15" customHeight="1" x14ac:dyDescent="0.25">
      <c r="A5" s="131" t="s">
        <v>2</v>
      </c>
      <c r="B5" s="131"/>
      <c r="C5" s="131"/>
      <c r="D5" s="131"/>
      <c r="E5" s="131" t="s">
        <v>242</v>
      </c>
      <c r="F5" s="131"/>
      <c r="G5" s="131"/>
      <c r="H5" s="131"/>
      <c r="K5" s="44"/>
      <c r="L5" s="45" t="s">
        <v>241</v>
      </c>
      <c r="M5" s="45" t="s">
        <v>245</v>
      </c>
      <c r="N5" s="45" t="s">
        <v>247</v>
      </c>
      <c r="O5" s="45" t="s">
        <v>344</v>
      </c>
      <c r="P5" s="45"/>
    </row>
    <row r="6" spans="1:26" x14ac:dyDescent="0.25">
      <c r="A6" s="131" t="s">
        <v>3</v>
      </c>
      <c r="B6" s="131"/>
      <c r="C6" s="131"/>
      <c r="D6" s="131"/>
      <c r="E6" s="169">
        <v>45882</v>
      </c>
      <c r="F6" s="131"/>
      <c r="G6" s="131"/>
      <c r="H6" s="131"/>
      <c r="K6" s="44"/>
      <c r="L6" s="45" t="s">
        <v>242</v>
      </c>
      <c r="M6" s="45"/>
      <c r="N6" s="45"/>
      <c r="O6" s="45" t="s">
        <v>345</v>
      </c>
      <c r="P6" s="45"/>
    </row>
    <row r="7" spans="1:26" ht="16.5" customHeight="1" x14ac:dyDescent="0.25">
      <c r="A7" s="131" t="s">
        <v>4</v>
      </c>
      <c r="B7" s="131"/>
      <c r="C7" s="131"/>
      <c r="D7" s="131"/>
      <c r="E7" s="112" t="s">
        <v>382</v>
      </c>
      <c r="F7" s="131"/>
      <c r="G7" s="131"/>
      <c r="H7" s="131"/>
      <c r="K7" s="44"/>
      <c r="L7" s="45" t="s">
        <v>243</v>
      </c>
      <c r="M7" s="45"/>
      <c r="N7" s="45"/>
      <c r="O7" s="45" t="s">
        <v>345</v>
      </c>
      <c r="P7" s="45"/>
    </row>
    <row r="8" spans="1:26" ht="15" customHeight="1" x14ac:dyDescent="0.25">
      <c r="A8" s="131" t="s">
        <v>5</v>
      </c>
      <c r="B8" s="131"/>
      <c r="C8" s="131"/>
      <c r="D8" s="131"/>
      <c r="E8" s="131" t="str">
        <f>E7</f>
        <v xml:space="preserve">M/s. R R Realty
</v>
      </c>
      <c r="F8" s="131"/>
      <c r="G8" s="131"/>
      <c r="H8" s="131"/>
      <c r="K8" s="44"/>
      <c r="L8" s="45"/>
      <c r="M8" s="45"/>
      <c r="N8" s="45"/>
      <c r="O8" s="45" t="s">
        <v>346</v>
      </c>
      <c r="P8" s="45"/>
    </row>
    <row r="9" spans="1:26" x14ac:dyDescent="0.25">
      <c r="A9" s="131" t="s">
        <v>6</v>
      </c>
      <c r="B9" s="131"/>
      <c r="C9" s="131"/>
      <c r="D9" s="131"/>
      <c r="E9" s="167" t="s">
        <v>351</v>
      </c>
      <c r="F9" s="168"/>
      <c r="G9" s="168"/>
      <c r="H9" s="168"/>
      <c r="K9" s="44"/>
      <c r="L9" s="45"/>
      <c r="M9" s="45"/>
      <c r="N9" s="45"/>
      <c r="O9" s="45" t="s">
        <v>347</v>
      </c>
      <c r="P9" s="45"/>
    </row>
    <row r="10" spans="1:26" x14ac:dyDescent="0.25">
      <c r="A10" s="131" t="s">
        <v>167</v>
      </c>
      <c r="B10" s="131"/>
      <c r="C10" s="131"/>
      <c r="D10" s="131"/>
      <c r="E10" s="112" t="s">
        <v>352</v>
      </c>
      <c r="F10" s="131"/>
      <c r="G10" s="131"/>
      <c r="H10" s="131"/>
      <c r="K10" s="44"/>
      <c r="L10" s="45"/>
      <c r="M10" s="45"/>
      <c r="N10" s="45"/>
      <c r="O10" s="45" t="s">
        <v>348</v>
      </c>
      <c r="P10" s="45"/>
    </row>
    <row r="11" spans="1:26" hidden="1" x14ac:dyDescent="0.25">
      <c r="A11" s="131" t="s">
        <v>168</v>
      </c>
      <c r="B11" s="131"/>
      <c r="C11" s="131"/>
      <c r="D11" s="131"/>
      <c r="E11" s="131" t="s">
        <v>353</v>
      </c>
      <c r="F11" s="131"/>
      <c r="G11" s="131"/>
      <c r="H11" s="131"/>
      <c r="O11" s="45" t="s">
        <v>349</v>
      </c>
    </row>
    <row r="12" spans="1:26" x14ac:dyDescent="0.25">
      <c r="A12" s="131" t="s">
        <v>7</v>
      </c>
      <c r="B12" s="131"/>
      <c r="C12" s="131"/>
      <c r="D12" s="131"/>
      <c r="E12" s="131" t="s">
        <v>118</v>
      </c>
      <c r="F12" s="131"/>
      <c r="G12" s="131"/>
      <c r="H12" s="131"/>
    </row>
    <row r="13" spans="1:26" x14ac:dyDescent="0.25">
      <c r="A13" s="131" t="s">
        <v>171</v>
      </c>
      <c r="B13" s="131"/>
      <c r="C13" s="131"/>
      <c r="D13" s="131"/>
      <c r="E13" s="131" t="s">
        <v>28</v>
      </c>
      <c r="F13" s="131"/>
      <c r="G13" s="131"/>
      <c r="H13" s="131"/>
      <c r="S13" s="45" t="s">
        <v>179</v>
      </c>
      <c r="T13" s="45" t="s">
        <v>188</v>
      </c>
      <c r="U13" s="45" t="s">
        <v>172</v>
      </c>
      <c r="V13" s="45" t="s">
        <v>193</v>
      </c>
      <c r="W13" s="45" t="s">
        <v>211</v>
      </c>
      <c r="X13"/>
      <c r="Y13" t="s">
        <v>193</v>
      </c>
      <c r="Z13" t="e">
        <f ca="1">OFFSET($S$13,1,MATCH($G20,$S$13:$W$13,0)-1,15,1)</f>
        <v>#VALUE!</v>
      </c>
    </row>
    <row r="14" spans="1:26" x14ac:dyDescent="0.25">
      <c r="A14" s="170" t="s">
        <v>279</v>
      </c>
      <c r="B14" s="170"/>
      <c r="C14" s="170"/>
      <c r="D14" s="170"/>
      <c r="E14" s="112" t="s">
        <v>381</v>
      </c>
      <c r="F14" s="112"/>
      <c r="G14" s="112"/>
      <c r="H14" s="112"/>
      <c r="S14" s="45" t="s">
        <v>179</v>
      </c>
      <c r="T14" s="45" t="s">
        <v>186</v>
      </c>
      <c r="U14" s="45" t="s">
        <v>208</v>
      </c>
      <c r="V14" s="45" t="s">
        <v>194</v>
      </c>
      <c r="W14" s="45" t="s">
        <v>212</v>
      </c>
      <c r="X14"/>
      <c r="Y14"/>
      <c r="Z14"/>
    </row>
    <row r="15" spans="1:26" x14ac:dyDescent="0.25">
      <c r="A15" s="123" t="s">
        <v>8</v>
      </c>
      <c r="B15" s="123"/>
      <c r="C15" s="123"/>
      <c r="D15" s="123"/>
      <c r="E15" s="112" t="s">
        <v>350</v>
      </c>
      <c r="F15" s="131"/>
      <c r="G15" s="131"/>
      <c r="H15" s="131"/>
      <c r="I15" s="119" t="e">
        <f ca="1">OFFSET($D$5,1,MATCH($J13,$D$5:$H$5,0)-1,15,1)</f>
        <v>#N/A</v>
      </c>
      <c r="J15" s="120"/>
      <c r="K15" s="120"/>
      <c r="L15" s="120"/>
      <c r="M15" s="120"/>
      <c r="N15" s="120"/>
      <c r="O15" s="120"/>
      <c r="P15" s="120"/>
      <c r="S15" s="45" t="s">
        <v>180</v>
      </c>
      <c r="T15" s="45" t="s">
        <v>187</v>
      </c>
      <c r="U15" s="45" t="s">
        <v>209</v>
      </c>
      <c r="V15" s="45" t="s">
        <v>195</v>
      </c>
      <c r="W15" s="45" t="s">
        <v>225</v>
      </c>
      <c r="X15"/>
      <c r="Y15"/>
      <c r="Z15"/>
    </row>
    <row r="16" spans="1:26" ht="52.5" customHeight="1" x14ac:dyDescent="0.25">
      <c r="A16" s="111" t="s">
        <v>9</v>
      </c>
      <c r="B16" s="111"/>
      <c r="C16" s="111" t="str">
        <f>CONCATENATE((IF(OR(E9="",E9="NA"),"",E9)),", ",(IF(OR(A17="",A17="NA"),"",A17)),".",(IF(OR(C17="",C17="NA"),"",C17)),", near ",(IF(OR(C22="",C22="NA"),"",C22)),", ",(IF(OR(C19="",C19="NA"),"",C19)),", ",(IF(OR(C18="",C18="NA"),"",C18)),", ",(IF(OR(G19="",G19="NA"),"",G19)),", ",(IF(OR(C20="",C20="NA"),"",C20)),", ",(IF(OR(C21="",C21="NA"),"",C21)),", ",(IF(OR(G20="",G20="NA"),"",G20))," - ",(IF(OR(G21="",G21="NA"),"",G21)),".")</f>
        <v>City Tower, Survey No.1A/3, H. No.2, CTS No.1887, 1888, near Anand Shala &amp; Junior College, Mumbai Pune National Highway, Yashwant Nagar, Shil Khopoli, Khopoli West, Khalapur, Raigad - 410203.</v>
      </c>
      <c r="D16" s="111"/>
      <c r="E16" s="111"/>
      <c r="F16" s="111"/>
      <c r="G16" s="111"/>
      <c r="H16" s="111"/>
      <c r="S16" s="45" t="s">
        <v>181</v>
      </c>
      <c r="T16" s="45" t="s">
        <v>189</v>
      </c>
      <c r="U16" s="45" t="s">
        <v>210</v>
      </c>
      <c r="V16" s="45" t="s">
        <v>196</v>
      </c>
      <c r="W16" s="45" t="s">
        <v>213</v>
      </c>
      <c r="X16"/>
      <c r="Y16"/>
      <c r="Z16"/>
    </row>
    <row r="17" spans="1:26" x14ac:dyDescent="0.25">
      <c r="A17" s="112" t="s">
        <v>354</v>
      </c>
      <c r="B17" s="112"/>
      <c r="C17" s="112" t="s">
        <v>383</v>
      </c>
      <c r="D17" s="112"/>
      <c r="E17" s="112"/>
      <c r="F17" s="112"/>
      <c r="G17" s="112"/>
      <c r="H17" s="112"/>
      <c r="S17" s="45" t="s">
        <v>182</v>
      </c>
      <c r="T17" s="45" t="s">
        <v>190</v>
      </c>
      <c r="U17" s="45" t="s">
        <v>172</v>
      </c>
      <c r="V17" s="45" t="s">
        <v>197</v>
      </c>
      <c r="W17" s="45" t="s">
        <v>214</v>
      </c>
      <c r="X17"/>
      <c r="Y17"/>
      <c r="Z17"/>
    </row>
    <row r="18" spans="1:26" ht="15.75" customHeight="1" x14ac:dyDescent="0.25">
      <c r="A18" s="112" t="s">
        <v>162</v>
      </c>
      <c r="B18" s="112"/>
      <c r="C18" s="112" t="s">
        <v>356</v>
      </c>
      <c r="D18" s="112"/>
      <c r="E18" s="112"/>
      <c r="F18" s="112"/>
      <c r="G18" s="112"/>
      <c r="H18" s="112"/>
      <c r="S18" s="45" t="s">
        <v>183</v>
      </c>
      <c r="T18" s="45" t="s">
        <v>188</v>
      </c>
      <c r="U18" s="45"/>
      <c r="V18" s="45" t="s">
        <v>198</v>
      </c>
      <c r="W18" s="45" t="s">
        <v>215</v>
      </c>
      <c r="X18"/>
      <c r="Y18"/>
      <c r="Z18"/>
    </row>
    <row r="19" spans="1:26" ht="31.5" customHeight="1" x14ac:dyDescent="0.25">
      <c r="A19" s="111" t="s">
        <v>10</v>
      </c>
      <c r="B19" s="111"/>
      <c r="C19" s="112" t="s">
        <v>363</v>
      </c>
      <c r="D19" s="112"/>
      <c r="E19" s="111" t="s">
        <v>69</v>
      </c>
      <c r="F19" s="111"/>
      <c r="G19" s="112" t="s">
        <v>355</v>
      </c>
      <c r="H19" s="112"/>
      <c r="S19" s="45" t="s">
        <v>184</v>
      </c>
      <c r="T19" s="45" t="s">
        <v>191</v>
      </c>
      <c r="U19" s="45"/>
      <c r="V19" s="45" t="s">
        <v>199</v>
      </c>
      <c r="W19" s="45" t="s">
        <v>216</v>
      </c>
      <c r="X19"/>
      <c r="Y19"/>
      <c r="Z19"/>
    </row>
    <row r="20" spans="1:26" x14ac:dyDescent="0.25">
      <c r="A20" s="123" t="s">
        <v>12</v>
      </c>
      <c r="B20" s="123"/>
      <c r="C20" s="112" t="s">
        <v>357</v>
      </c>
      <c r="D20" s="112"/>
      <c r="E20" s="111" t="s">
        <v>11</v>
      </c>
      <c r="F20" s="111"/>
      <c r="G20" s="171" t="s">
        <v>193</v>
      </c>
      <c r="H20" s="171"/>
      <c r="S20" s="45" t="s">
        <v>185</v>
      </c>
      <c r="T20" s="45" t="s">
        <v>192</v>
      </c>
      <c r="U20" s="45"/>
      <c r="V20" s="45" t="s">
        <v>200</v>
      </c>
      <c r="W20" s="45" t="s">
        <v>217</v>
      </c>
      <c r="X20"/>
      <c r="Y20"/>
      <c r="Z20"/>
    </row>
    <row r="21" spans="1:26" x14ac:dyDescent="0.25">
      <c r="A21" s="123" t="s">
        <v>70</v>
      </c>
      <c r="B21" s="123"/>
      <c r="C21" s="112" t="s">
        <v>198</v>
      </c>
      <c r="D21" s="112"/>
      <c r="E21" s="111" t="s">
        <v>13</v>
      </c>
      <c r="F21" s="111"/>
      <c r="G21" s="112">
        <v>410203</v>
      </c>
      <c r="H21" s="112"/>
      <c r="S21" s="45"/>
      <c r="T21" s="45"/>
      <c r="U21" s="45"/>
      <c r="V21" s="45" t="s">
        <v>201</v>
      </c>
      <c r="W21" s="45" t="s">
        <v>218</v>
      </c>
      <c r="X21"/>
      <c r="Y21"/>
      <c r="Z21"/>
    </row>
    <row r="22" spans="1:26" ht="32.25" customHeight="1" x14ac:dyDescent="0.25">
      <c r="A22" s="123" t="s">
        <v>119</v>
      </c>
      <c r="B22" s="123"/>
      <c r="C22" s="112" t="s">
        <v>358</v>
      </c>
      <c r="D22" s="112"/>
      <c r="E22" s="111" t="s">
        <v>14</v>
      </c>
      <c r="F22" s="111"/>
      <c r="G22" s="112" t="s">
        <v>359</v>
      </c>
      <c r="H22" s="112"/>
      <c r="S22" s="45"/>
      <c r="T22" s="45"/>
      <c r="U22" s="45"/>
      <c r="V22" s="45" t="s">
        <v>202</v>
      </c>
      <c r="W22" s="45" t="s">
        <v>219</v>
      </c>
      <c r="X22"/>
      <c r="Y22"/>
      <c r="Z22"/>
    </row>
    <row r="23" spans="1:26" ht="15" customHeight="1" x14ac:dyDescent="0.25">
      <c r="A23" s="111" t="s">
        <v>72</v>
      </c>
      <c r="B23" s="111"/>
      <c r="C23" s="111"/>
      <c r="D23" s="111"/>
      <c r="E23" s="131" t="s">
        <v>15</v>
      </c>
      <c r="F23" s="131"/>
      <c r="G23" s="131"/>
      <c r="H23" s="131"/>
      <c r="S23" s="45"/>
      <c r="T23" s="45"/>
      <c r="U23" s="45"/>
      <c r="V23" s="45" t="s">
        <v>203</v>
      </c>
      <c r="W23" s="45" t="s">
        <v>220</v>
      </c>
      <c r="X23"/>
      <c r="Y23"/>
      <c r="Z23"/>
    </row>
    <row r="24" spans="1:26" ht="18.75" customHeight="1" x14ac:dyDescent="0.25">
      <c r="A24" s="111"/>
      <c r="B24" s="111"/>
      <c r="C24" s="111"/>
      <c r="D24" s="111"/>
      <c r="E24" s="131"/>
      <c r="F24" s="131"/>
      <c r="G24" s="131"/>
      <c r="H24" s="131"/>
      <c r="S24" s="45"/>
      <c r="T24" s="45"/>
      <c r="U24" s="45"/>
      <c r="V24" s="45" t="s">
        <v>204</v>
      </c>
      <c r="W24" s="45" t="s">
        <v>221</v>
      </c>
      <c r="X24"/>
      <c r="Y24"/>
      <c r="Z24"/>
    </row>
    <row r="25" spans="1:26" ht="15" customHeight="1" x14ac:dyDescent="0.25">
      <c r="A25" s="111" t="s">
        <v>16</v>
      </c>
      <c r="B25" s="111"/>
      <c r="C25" s="111"/>
      <c r="D25" s="111"/>
      <c r="E25" s="112" t="s">
        <v>17</v>
      </c>
      <c r="F25" s="112"/>
      <c r="G25" s="112"/>
      <c r="H25" s="112"/>
      <c r="S25" s="45"/>
      <c r="T25" s="45"/>
      <c r="U25" s="45"/>
      <c r="V25" s="45" t="s">
        <v>205</v>
      </c>
      <c r="W25" s="45" t="s">
        <v>222</v>
      </c>
      <c r="X25"/>
      <c r="Y25"/>
      <c r="Z25"/>
    </row>
    <row r="26" spans="1:26" ht="15" customHeight="1" x14ac:dyDescent="0.25">
      <c r="A26" s="123" t="s">
        <v>18</v>
      </c>
      <c r="B26" s="123"/>
      <c r="C26" s="123"/>
      <c r="D26" s="123"/>
      <c r="E26" s="112" t="str">
        <f>IF(AND(G20="Mumbai"),"Upper Class","Middle Class")</f>
        <v>Middle Class</v>
      </c>
      <c r="F26" s="112"/>
      <c r="G26" s="112"/>
      <c r="H26" s="112"/>
      <c r="S26" s="45"/>
      <c r="T26" s="45"/>
      <c r="U26" s="45"/>
      <c r="V26" s="45" t="s">
        <v>206</v>
      </c>
      <c r="W26" s="45" t="s">
        <v>223</v>
      </c>
      <c r="X26"/>
      <c r="Y26"/>
      <c r="Z26"/>
    </row>
    <row r="27" spans="1:26" x14ac:dyDescent="0.25">
      <c r="A27" s="123" t="s">
        <v>19</v>
      </c>
      <c r="B27" s="123"/>
      <c r="C27" s="123"/>
      <c r="D27" s="123"/>
      <c r="E27" s="112" t="s">
        <v>20</v>
      </c>
      <c r="F27" s="112"/>
      <c r="G27" s="112"/>
      <c r="H27" s="112"/>
      <c r="S27" s="45"/>
      <c r="T27" s="45"/>
      <c r="U27" s="45"/>
      <c r="V27" s="45" t="s">
        <v>207</v>
      </c>
      <c r="W27" s="45" t="s">
        <v>224</v>
      </c>
      <c r="X27"/>
      <c r="Y27"/>
      <c r="Z27"/>
    </row>
    <row r="28" spans="1:26" ht="15.75" customHeight="1" x14ac:dyDescent="0.25">
      <c r="A28" s="123" t="s">
        <v>21</v>
      </c>
      <c r="B28" s="123"/>
      <c r="C28" s="123"/>
      <c r="D28" s="123"/>
      <c r="E28" s="112" t="str">
        <f>IF(AND(G20="Mumbai"),"Developed","Developing")</f>
        <v>Developing</v>
      </c>
      <c r="F28" s="112"/>
      <c r="G28" s="112"/>
      <c r="H28" s="112"/>
    </row>
    <row r="29" spans="1:26" x14ac:dyDescent="0.25">
      <c r="A29" s="123" t="s">
        <v>22</v>
      </c>
      <c r="B29" s="123"/>
      <c r="C29" s="123"/>
      <c r="D29" s="123"/>
      <c r="E29" s="112" t="s">
        <v>23</v>
      </c>
      <c r="F29" s="112"/>
      <c r="G29" s="112"/>
      <c r="H29" s="112"/>
    </row>
    <row r="30" spans="1:26" ht="15.75" customHeight="1" x14ac:dyDescent="0.25">
      <c r="A30" s="123" t="s">
        <v>77</v>
      </c>
      <c r="B30" s="123"/>
      <c r="C30" s="123"/>
      <c r="D30" s="123"/>
      <c r="E30" s="112" t="s">
        <v>78</v>
      </c>
      <c r="F30" s="112"/>
      <c r="G30" s="112"/>
      <c r="H30" s="112"/>
    </row>
    <row r="31" spans="1:26" ht="15" customHeight="1" x14ac:dyDescent="0.25">
      <c r="A31" s="123" t="s">
        <v>30</v>
      </c>
      <c r="B31" s="123"/>
      <c r="C31" s="123"/>
      <c r="D31" s="123"/>
      <c r="E31" s="11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2"/>
      <c r="G31" s="112"/>
      <c r="H31" s="112"/>
    </row>
    <row r="32" spans="1:26" ht="15.75" customHeight="1" x14ac:dyDescent="0.25">
      <c r="A32" s="123" t="s">
        <v>89</v>
      </c>
      <c r="B32" s="123"/>
      <c r="C32" s="123"/>
      <c r="D32" s="123"/>
      <c r="E32" s="112" t="s">
        <v>31</v>
      </c>
      <c r="F32" s="112"/>
      <c r="G32" s="112"/>
      <c r="H32" s="112"/>
    </row>
    <row r="33" spans="1:19" s="17" customFormat="1" x14ac:dyDescent="0.25">
      <c r="A33" s="174" t="s">
        <v>90</v>
      </c>
      <c r="B33" s="174"/>
      <c r="C33" s="121" t="s">
        <v>173</v>
      </c>
      <c r="D33" s="121"/>
      <c r="E33" s="121"/>
      <c r="F33" s="121" t="s">
        <v>29</v>
      </c>
      <c r="G33" s="121"/>
      <c r="H33" s="121"/>
      <c r="S33" s="17" t="e">
        <f ca="1">OFFSET($S$13,1,MATCH($G20,$S$13:$W$13,0)-1,15,1)</f>
        <v>#VALUE!</v>
      </c>
    </row>
    <row r="34" spans="1:19" s="17" customFormat="1" x14ac:dyDescent="0.25">
      <c r="A34" s="173" t="s">
        <v>24</v>
      </c>
      <c r="B34" s="173" t="s">
        <v>28</v>
      </c>
      <c r="C34" s="172" t="s">
        <v>397</v>
      </c>
      <c r="D34" s="172"/>
      <c r="E34" s="172"/>
      <c r="F34" s="172" t="s">
        <v>360</v>
      </c>
      <c r="G34" s="172"/>
      <c r="H34" s="172"/>
    </row>
    <row r="35" spans="1:19" x14ac:dyDescent="0.25">
      <c r="A35" s="173" t="s">
        <v>25</v>
      </c>
      <c r="B35" s="173" t="s">
        <v>28</v>
      </c>
      <c r="C35" s="172" t="s">
        <v>362</v>
      </c>
      <c r="D35" s="172"/>
      <c r="E35" s="172"/>
      <c r="F35" s="172" t="s">
        <v>364</v>
      </c>
      <c r="G35" s="172"/>
      <c r="H35" s="172"/>
    </row>
    <row r="36" spans="1:19" s="17" customFormat="1" x14ac:dyDescent="0.25">
      <c r="A36" s="173" t="s">
        <v>27</v>
      </c>
      <c r="B36" s="173" t="s">
        <v>28</v>
      </c>
      <c r="C36" s="172" t="s">
        <v>360</v>
      </c>
      <c r="D36" s="172"/>
      <c r="E36" s="172"/>
      <c r="F36" s="172" t="s">
        <v>361</v>
      </c>
      <c r="G36" s="172"/>
      <c r="H36" s="172"/>
    </row>
    <row r="37" spans="1:19" ht="30.75" customHeight="1" x14ac:dyDescent="0.25">
      <c r="A37" s="191" t="s">
        <v>26</v>
      </c>
      <c r="B37" s="191" t="s">
        <v>28</v>
      </c>
      <c r="C37" s="192" t="s">
        <v>398</v>
      </c>
      <c r="D37" s="192"/>
      <c r="E37" s="192"/>
      <c r="F37" s="191" t="s">
        <v>363</v>
      </c>
      <c r="G37" s="191"/>
      <c r="H37" s="191"/>
    </row>
    <row r="38" spans="1:19" x14ac:dyDescent="0.25">
      <c r="A38" s="123" t="s">
        <v>280</v>
      </c>
      <c r="B38" s="123"/>
      <c r="C38" s="123"/>
      <c r="D38" s="123"/>
      <c r="E38" s="123"/>
      <c r="F38" s="123"/>
      <c r="G38" s="123"/>
      <c r="H38" s="123"/>
    </row>
    <row r="39" spans="1:19" ht="15.75" customHeight="1" x14ac:dyDescent="0.25">
      <c r="A39" s="123" t="s">
        <v>165</v>
      </c>
      <c r="B39" s="123"/>
      <c r="C39" s="159" t="s">
        <v>365</v>
      </c>
      <c r="D39" s="159"/>
      <c r="E39" s="159"/>
      <c r="F39" s="159"/>
      <c r="G39" s="159"/>
      <c r="H39" s="159"/>
    </row>
    <row r="40" spans="1:19" x14ac:dyDescent="0.25">
      <c r="A40" s="123" t="s">
        <v>161</v>
      </c>
      <c r="B40" s="123"/>
      <c r="C40" s="198" t="s">
        <v>366</v>
      </c>
      <c r="D40" s="112"/>
      <c r="E40" s="112"/>
      <c r="F40" s="112"/>
      <c r="G40" s="112"/>
      <c r="H40" s="112"/>
    </row>
    <row r="41" spans="1:19" x14ac:dyDescent="0.25">
      <c r="A41" s="159" t="s">
        <v>32</v>
      </c>
      <c r="B41" s="159"/>
      <c r="C41" s="159"/>
      <c r="D41" s="159"/>
      <c r="E41" s="159"/>
      <c r="F41" s="159"/>
      <c r="G41" s="159"/>
      <c r="H41" s="159"/>
    </row>
    <row r="42" spans="1:19" x14ac:dyDescent="0.25">
      <c r="A42" s="123" t="s">
        <v>33</v>
      </c>
      <c r="B42" s="123"/>
      <c r="C42" s="123"/>
      <c r="D42" s="123"/>
      <c r="E42" s="193">
        <v>826.57</v>
      </c>
      <c r="F42" s="193"/>
      <c r="G42" s="193"/>
      <c r="H42" s="193"/>
    </row>
    <row r="43" spans="1:19" x14ac:dyDescent="0.25">
      <c r="A43" s="123" t="s">
        <v>34</v>
      </c>
      <c r="B43" s="123"/>
      <c r="C43" s="123"/>
      <c r="D43" s="123"/>
      <c r="E43" s="175">
        <f>1653.14/E42</f>
        <v>2</v>
      </c>
      <c r="F43" s="175"/>
      <c r="G43" s="175"/>
      <c r="H43" s="175"/>
    </row>
    <row r="44" spans="1:19" x14ac:dyDescent="0.25">
      <c r="A44" s="123" t="s">
        <v>35</v>
      </c>
      <c r="B44" s="123"/>
      <c r="C44" s="123"/>
      <c r="D44" s="123"/>
      <c r="E44" s="175">
        <f>E46/E42-E43</f>
        <v>2.122699831835174</v>
      </c>
      <c r="F44" s="175"/>
      <c r="G44" s="175"/>
      <c r="H44" s="175"/>
    </row>
    <row r="45" spans="1:19" x14ac:dyDescent="0.25">
      <c r="A45" s="123" t="s">
        <v>36</v>
      </c>
      <c r="B45" s="123"/>
      <c r="C45" s="123"/>
      <c r="D45" s="123"/>
      <c r="E45" s="175">
        <f>E43+E44</f>
        <v>4.122699831835174</v>
      </c>
      <c r="F45" s="175"/>
      <c r="G45" s="175"/>
      <c r="H45" s="175"/>
    </row>
    <row r="46" spans="1:19" x14ac:dyDescent="0.25">
      <c r="A46" s="123" t="s">
        <v>88</v>
      </c>
      <c r="B46" s="123"/>
      <c r="C46" s="123"/>
      <c r="D46" s="123"/>
      <c r="E46" s="127">
        <v>3407.7</v>
      </c>
      <c r="F46" s="127"/>
      <c r="G46" s="127"/>
      <c r="H46" s="127"/>
    </row>
    <row r="47" spans="1:19" x14ac:dyDescent="0.25">
      <c r="A47" s="131" t="s">
        <v>37</v>
      </c>
      <c r="B47" s="131"/>
      <c r="C47" s="131"/>
      <c r="D47" s="131"/>
      <c r="E47" s="131" t="s">
        <v>118</v>
      </c>
      <c r="F47" s="131"/>
      <c r="G47" s="131"/>
      <c r="H47" s="131"/>
    </row>
    <row r="48" spans="1:19" x14ac:dyDescent="0.25">
      <c r="A48" s="159" t="s">
        <v>38</v>
      </c>
      <c r="B48" s="159"/>
      <c r="C48" s="159"/>
      <c r="D48" s="159"/>
      <c r="E48" s="159"/>
      <c r="F48" s="159"/>
      <c r="G48" s="159"/>
      <c r="H48" s="159"/>
    </row>
    <row r="49" spans="1:24" ht="33.75" customHeight="1" x14ac:dyDescent="0.25">
      <c r="A49" s="102" t="s">
        <v>151</v>
      </c>
      <c r="B49" s="103"/>
      <c r="C49" s="178" t="s">
        <v>367</v>
      </c>
      <c r="D49" s="179"/>
      <c r="E49" s="179"/>
      <c r="F49" s="179"/>
      <c r="G49" s="179"/>
      <c r="H49" s="180"/>
      <c r="R49" t="s">
        <v>253</v>
      </c>
      <c r="S49" s="49" t="s">
        <v>172</v>
      </c>
      <c r="T49" s="49" t="s">
        <v>179</v>
      </c>
      <c r="U49" s="49" t="s">
        <v>193</v>
      </c>
      <c r="V49" s="49" t="s">
        <v>188</v>
      </c>
    </row>
    <row r="50" spans="1:24" ht="15.75" customHeight="1" x14ac:dyDescent="0.25">
      <c r="A50" s="102" t="s">
        <v>39</v>
      </c>
      <c r="B50" s="103"/>
      <c r="C50" s="102" t="s">
        <v>368</v>
      </c>
      <c r="D50" s="104"/>
      <c r="E50" s="103"/>
      <c r="F50" s="15" t="s">
        <v>40</v>
      </c>
      <c r="G50" s="181">
        <v>44425</v>
      </c>
      <c r="H50" s="103"/>
      <c r="R50"/>
      <c r="S50" s="49" t="s">
        <v>254</v>
      </c>
      <c r="T50" s="49" t="s">
        <v>259</v>
      </c>
      <c r="U50" s="49" t="s">
        <v>270</v>
      </c>
      <c r="V50" s="49" t="s">
        <v>275</v>
      </c>
    </row>
    <row r="51" spans="1:24" x14ac:dyDescent="0.25">
      <c r="A51" s="102" t="s">
        <v>41</v>
      </c>
      <c r="B51" s="103"/>
      <c r="C51" s="102" t="str">
        <f>C50</f>
        <v>KMC/TP/1762</v>
      </c>
      <c r="D51" s="104"/>
      <c r="E51" s="103"/>
      <c r="F51" s="15" t="s">
        <v>40</v>
      </c>
      <c r="G51" s="181">
        <f>G50</f>
        <v>44425</v>
      </c>
      <c r="H51" s="182"/>
      <c r="R51"/>
      <c r="S51" s="49" t="s">
        <v>255</v>
      </c>
      <c r="T51" s="49" t="s">
        <v>260</v>
      </c>
      <c r="U51" s="49" t="s">
        <v>268</v>
      </c>
      <c r="V51" s="49" t="s">
        <v>276</v>
      </c>
    </row>
    <row r="52" spans="1:24" s="18" customFormat="1" ht="15.75" customHeight="1" x14ac:dyDescent="0.25">
      <c r="A52" s="194" t="s">
        <v>155</v>
      </c>
      <c r="B52" s="195"/>
      <c r="C52" s="102" t="s">
        <v>369</v>
      </c>
      <c r="D52" s="104"/>
      <c r="E52" s="103"/>
      <c r="F52" s="15" t="s">
        <v>40</v>
      </c>
      <c r="G52" s="181">
        <f>G51</f>
        <v>44425</v>
      </c>
      <c r="H52" s="182"/>
      <c r="R52"/>
      <c r="S52" s="49" t="s">
        <v>256</v>
      </c>
      <c r="T52" s="49" t="s">
        <v>261</v>
      </c>
      <c r="U52" s="49" t="s">
        <v>258</v>
      </c>
      <c r="V52" s="49" t="s">
        <v>277</v>
      </c>
    </row>
    <row r="53" spans="1:24" s="18" customFormat="1" x14ac:dyDescent="0.25">
      <c r="A53" s="196"/>
      <c r="B53" s="197"/>
      <c r="C53" s="102" t="s">
        <v>384</v>
      </c>
      <c r="D53" s="104"/>
      <c r="E53" s="104"/>
      <c r="F53" s="104"/>
      <c r="G53" s="104"/>
      <c r="H53" s="103"/>
      <c r="R53"/>
      <c r="S53" s="49" t="s">
        <v>257</v>
      </c>
      <c r="T53" s="49" t="s">
        <v>264</v>
      </c>
      <c r="U53" s="49" t="s">
        <v>271</v>
      </c>
      <c r="V53" s="70"/>
    </row>
    <row r="54" spans="1:24" s="18" customFormat="1" hidden="1" x14ac:dyDescent="0.25">
      <c r="A54" s="134" t="s">
        <v>281</v>
      </c>
      <c r="B54" s="135"/>
      <c r="C54" s="102" t="str">
        <f>C53</f>
        <v>1B + Gr + 1st to 7th Floor</v>
      </c>
      <c r="D54" s="104"/>
      <c r="E54" s="103"/>
      <c r="F54" s="15" t="s">
        <v>40</v>
      </c>
      <c r="G54" s="102"/>
      <c r="H54" s="103"/>
      <c r="R54"/>
      <c r="S54" s="49" t="s">
        <v>256</v>
      </c>
      <c r="T54" s="49" t="s">
        <v>261</v>
      </c>
      <c r="U54" s="49" t="s">
        <v>258</v>
      </c>
      <c r="V54" s="49" t="s">
        <v>277</v>
      </c>
    </row>
    <row r="55" spans="1:24" s="18" customFormat="1" ht="32.25" hidden="1" customHeight="1" x14ac:dyDescent="0.25">
      <c r="A55" s="136"/>
      <c r="B55" s="137"/>
      <c r="C55" s="199"/>
      <c r="D55" s="200"/>
      <c r="E55" s="200"/>
      <c r="F55" s="200"/>
      <c r="G55" s="200"/>
      <c r="H55" s="201"/>
      <c r="R55"/>
      <c r="S55" s="49" t="s">
        <v>258</v>
      </c>
      <c r="T55" s="49" t="s">
        <v>262</v>
      </c>
      <c r="U55" s="49" t="s">
        <v>367</v>
      </c>
      <c r="V55" s="71"/>
      <c r="W55" s="16"/>
      <c r="X55" s="16"/>
    </row>
    <row r="56" spans="1:24" s="18" customFormat="1" ht="34.5" hidden="1" customHeight="1" x14ac:dyDescent="0.25">
      <c r="A56" s="134" t="s">
        <v>282</v>
      </c>
      <c r="B56" s="135"/>
      <c r="C56" s="102">
        <f>C55</f>
        <v>0</v>
      </c>
      <c r="D56" s="104"/>
      <c r="E56" s="103"/>
      <c r="F56" s="15" t="s">
        <v>40</v>
      </c>
      <c r="G56" s="102">
        <f>G55</f>
        <v>0</v>
      </c>
      <c r="H56" s="103"/>
      <c r="R56"/>
      <c r="S56" s="71"/>
      <c r="T56" s="49" t="s">
        <v>263</v>
      </c>
      <c r="U56" s="49" t="s">
        <v>273</v>
      </c>
      <c r="V56" s="71"/>
      <c r="W56" s="16"/>
      <c r="X56" s="16"/>
    </row>
    <row r="57" spans="1:24" s="18" customFormat="1" ht="41.25" hidden="1" customHeight="1" x14ac:dyDescent="0.25">
      <c r="A57" s="136"/>
      <c r="B57" s="137"/>
      <c r="C57" s="102"/>
      <c r="D57" s="104"/>
      <c r="E57" s="104"/>
      <c r="F57" s="104"/>
      <c r="G57" s="104"/>
      <c r="H57" s="103"/>
      <c r="R57"/>
      <c r="S57" s="71"/>
      <c r="T57" s="49" t="s">
        <v>265</v>
      </c>
      <c r="U57" s="49" t="s">
        <v>274</v>
      </c>
      <c r="V57" s="71"/>
      <c r="W57" s="16"/>
      <c r="X57" s="16"/>
    </row>
    <row r="58" spans="1:24" s="18" customFormat="1" ht="15.75" hidden="1" customHeight="1" x14ac:dyDescent="0.25">
      <c r="A58" s="134" t="s">
        <v>283</v>
      </c>
      <c r="B58" s="135"/>
      <c r="C58" s="102">
        <f>C57</f>
        <v>0</v>
      </c>
      <c r="D58" s="104"/>
      <c r="E58" s="103"/>
      <c r="F58" s="15" t="s">
        <v>40</v>
      </c>
      <c r="G58" s="102">
        <f>G57</f>
        <v>0</v>
      </c>
      <c r="H58" s="103"/>
      <c r="R58"/>
      <c r="S58" s="71"/>
      <c r="T58" s="49" t="s">
        <v>266</v>
      </c>
      <c r="U58" s="71" t="s">
        <v>297</v>
      </c>
      <c r="V58" s="71"/>
      <c r="W58" s="16"/>
      <c r="X58" s="16"/>
    </row>
    <row r="59" spans="1:24" s="18" customFormat="1" ht="33.75" hidden="1" customHeight="1" x14ac:dyDescent="0.25">
      <c r="A59" s="136"/>
      <c r="B59" s="137"/>
      <c r="C59" s="102"/>
      <c r="D59" s="104"/>
      <c r="E59" s="104"/>
      <c r="F59" s="104"/>
      <c r="G59" s="104"/>
      <c r="H59" s="103"/>
      <c r="R59"/>
      <c r="S59" s="71"/>
      <c r="T59" s="49" t="s">
        <v>267</v>
      </c>
      <c r="U59" s="71"/>
      <c r="V59" s="71"/>
      <c r="W59" s="16"/>
      <c r="X59" s="16"/>
    </row>
    <row r="60" spans="1:24" x14ac:dyDescent="0.25">
      <c r="A60" s="124" t="s">
        <v>42</v>
      </c>
      <c r="B60" s="125"/>
      <c r="C60" s="124" t="s">
        <v>100</v>
      </c>
      <c r="D60" s="126"/>
      <c r="E60" s="125"/>
      <c r="F60" s="38" t="s">
        <v>40</v>
      </c>
      <c r="G60" s="132" t="s">
        <v>28</v>
      </c>
      <c r="H60" s="133"/>
      <c r="R60"/>
      <c r="S60" s="71"/>
      <c r="T60" s="49" t="s">
        <v>269</v>
      </c>
      <c r="U60" s="71"/>
      <c r="V60" s="71"/>
    </row>
    <row r="61" spans="1:24" x14ac:dyDescent="0.25">
      <c r="A61" s="161" t="s">
        <v>44</v>
      </c>
      <c r="B61" s="161"/>
      <c r="C61" s="161"/>
      <c r="D61" s="161"/>
      <c r="E61" s="161"/>
      <c r="F61" s="161"/>
      <c r="G61" s="161"/>
      <c r="H61" s="161"/>
      <c r="S61" s="71"/>
      <c r="T61" s="49" t="s">
        <v>278</v>
      </c>
      <c r="U61" s="71"/>
      <c r="V61" s="71"/>
    </row>
    <row r="62" spans="1:24" x14ac:dyDescent="0.25">
      <c r="A62" s="111" t="s">
        <v>87</v>
      </c>
      <c r="B62" s="111"/>
      <c r="C62" s="111"/>
      <c r="D62" s="127">
        <f>E46</f>
        <v>3407.7</v>
      </c>
      <c r="E62" s="123"/>
      <c r="F62" s="123"/>
      <c r="G62" s="123"/>
      <c r="H62" s="123"/>
      <c r="R62"/>
    </row>
    <row r="63" spans="1:24" x14ac:dyDescent="0.25">
      <c r="A63" s="183" t="s">
        <v>45</v>
      </c>
      <c r="B63" s="184"/>
      <c r="C63" s="184"/>
      <c r="D63" s="131" t="s">
        <v>388</v>
      </c>
      <c r="E63" s="131"/>
      <c r="F63" s="131"/>
      <c r="G63" s="131"/>
      <c r="H63" s="131"/>
      <c r="I63" s="19"/>
      <c r="R63"/>
    </row>
    <row r="64" spans="1:24" x14ac:dyDescent="0.25">
      <c r="A64" s="176" t="s">
        <v>46</v>
      </c>
      <c r="B64" s="177"/>
      <c r="C64" s="187"/>
      <c r="D64" s="185" t="s">
        <v>385</v>
      </c>
      <c r="E64" s="186"/>
      <c r="F64" s="186"/>
      <c r="G64" s="186"/>
      <c r="H64" s="186"/>
      <c r="R64"/>
    </row>
    <row r="65" spans="1:19" ht="15.75" customHeight="1" x14ac:dyDescent="0.25">
      <c r="A65" s="176" t="s">
        <v>85</v>
      </c>
      <c r="B65" s="177"/>
      <c r="C65" s="177"/>
      <c r="D65" s="188" t="s">
        <v>384</v>
      </c>
      <c r="E65" s="189"/>
      <c r="F65" s="189"/>
      <c r="G65" s="189"/>
      <c r="H65" s="190"/>
      <c r="R65"/>
    </row>
    <row r="66" spans="1:19" ht="15.75" customHeight="1" x14ac:dyDescent="0.25">
      <c r="A66" s="123" t="s">
        <v>43</v>
      </c>
      <c r="B66" s="123"/>
      <c r="C66" s="123"/>
      <c r="D66" s="203" t="s">
        <v>370</v>
      </c>
      <c r="E66" s="203"/>
      <c r="F66" s="203"/>
      <c r="G66" s="203"/>
      <c r="H66" s="203"/>
      <c r="J66" s="20"/>
      <c r="K66" s="19"/>
      <c r="N66" s="19"/>
      <c r="S66"/>
    </row>
    <row r="67" spans="1:19" ht="15.75" customHeight="1" x14ac:dyDescent="0.25">
      <c r="A67" s="123" t="s">
        <v>83</v>
      </c>
      <c r="B67" s="123"/>
      <c r="C67" s="123"/>
      <c r="D67" s="204" t="str">
        <f>(IF(G60="NA","60 Years After Completion",IF(G60&lt;&gt;"NA",""&amp;60-ROUNDDOWN((E3-G60)/360,0)&amp;" Years"," ")))</f>
        <v>60 Years After Completion</v>
      </c>
      <c r="E67" s="204"/>
      <c r="F67" s="204"/>
      <c r="G67" s="204"/>
      <c r="H67" s="204"/>
      <c r="N67" s="19"/>
      <c r="S67"/>
    </row>
    <row r="68" spans="1:19" ht="15.75" customHeight="1" x14ac:dyDescent="0.25">
      <c r="A68" s="123" t="s">
        <v>84</v>
      </c>
      <c r="B68" s="123"/>
      <c r="C68" s="123"/>
      <c r="D68" s="111" t="s">
        <v>23</v>
      </c>
      <c r="E68" s="111"/>
      <c r="F68" s="111"/>
      <c r="G68" s="111"/>
      <c r="H68" s="111"/>
      <c r="J68" s="21"/>
      <c r="K68" s="21"/>
      <c r="S68"/>
    </row>
    <row r="69" spans="1:19" ht="34.5" customHeight="1" x14ac:dyDescent="0.25">
      <c r="A69" s="184" t="s">
        <v>386</v>
      </c>
      <c r="B69" s="184"/>
      <c r="C69" s="184"/>
      <c r="D69" s="112" t="s">
        <v>387</v>
      </c>
      <c r="E69" s="112"/>
      <c r="F69" s="112"/>
      <c r="G69" s="112"/>
      <c r="H69" s="112"/>
      <c r="S69"/>
    </row>
    <row r="70" spans="1:19" x14ac:dyDescent="0.25">
      <c r="A70" s="111" t="s">
        <v>147</v>
      </c>
      <c r="B70" s="111"/>
      <c r="C70" s="111"/>
      <c r="D70" s="111" t="s">
        <v>28</v>
      </c>
      <c r="E70" s="111"/>
      <c r="F70" s="111"/>
      <c r="G70" s="111"/>
      <c r="H70" s="111"/>
      <c r="I70" s="22"/>
      <c r="J70" s="22"/>
      <c r="K70" s="22"/>
      <c r="L70" s="22"/>
      <c r="M70" s="22"/>
      <c r="N70" s="22"/>
    </row>
    <row r="71" spans="1:19" ht="15.75" customHeight="1" x14ac:dyDescent="0.25">
      <c r="A71" s="123" t="s">
        <v>82</v>
      </c>
      <c r="B71" s="123"/>
      <c r="C71" s="123"/>
      <c r="D71" s="112" t="str">
        <f ca="1">(IF(G77&gt;95%,"Nothing",IF(G77&gt;0%,"Cement, Aggregate, Steel, etc",IF(G77=0%,"Work not yet Started"))))</f>
        <v>Cement, Aggregate, Steel, etc</v>
      </c>
      <c r="E71" s="112"/>
      <c r="F71" s="112"/>
      <c r="G71" s="112"/>
      <c r="H71" s="112"/>
      <c r="J71" s="21"/>
      <c r="S71"/>
    </row>
    <row r="72" spans="1:19" ht="33.75" customHeight="1" thickBot="1" x14ac:dyDescent="0.3">
      <c r="A72" s="111" t="s">
        <v>113</v>
      </c>
      <c r="B72" s="111"/>
      <c r="C72" s="111"/>
      <c r="D72" s="112" t="str">
        <f ca="1">(IF(D71="Nothing","Yes",IF(D71="Cement, Aggregate, Steel, etc","Under Construction",IF(D71="Work not yet Started","Work not yet Started"))))</f>
        <v>Under Construction</v>
      </c>
      <c r="E72" s="112"/>
      <c r="F72" s="112" t="str">
        <f ca="1">(IF(D71="Nothing","Yes",IF(D71="Cement, Aggregate, Steel, etc","Under Construction",IF(D71="Work not yet Started","Work not yet Started"))))</f>
        <v>Under Construction</v>
      </c>
      <c r="G72" s="112"/>
      <c r="H72" s="112"/>
      <c r="S72"/>
    </row>
    <row r="73" spans="1:19" ht="15.75" customHeight="1" x14ac:dyDescent="0.25">
      <c r="A73" s="217" t="s">
        <v>137</v>
      </c>
      <c r="B73" s="217"/>
      <c r="C73" s="167" t="str">
        <f>D65</f>
        <v>1B + Gr + 1st to 7th Floor</v>
      </c>
      <c r="D73" s="167"/>
      <c r="E73" s="167"/>
      <c r="F73" s="167"/>
      <c r="G73" s="167"/>
      <c r="H73" s="167"/>
      <c r="I73" s="98" t="str">
        <f ca="1">IF(D86=100%,"All work Completed. Possession granted to the Building.",IF(D85=100%,"All work Completed, Waiting for OC",I74&amp;""&amp;I75&amp;""&amp;J74&amp;""&amp;J73&amp;" "&amp;J75))</f>
        <v>Excavation, Plinth, RCC Slab, Brickwork, Internal Plaster Completed, External Plaster upto 6 Floor, Flooring upto 3 Floor, Painting upto 3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External Plaster upto 6 Floor, Flooring upto 3 Floor, Painting upto 3 Floor</v>
      </c>
      <c r="S73"/>
    </row>
    <row r="74" spans="1:19" x14ac:dyDescent="0.25">
      <c r="A74" s="42" t="s">
        <v>139</v>
      </c>
      <c r="B74" s="42">
        <f>IF(AND(ISNUMBER(SEARCH("1B",C73))),1,IF(AND(ISNUMBER(SEARCH("2B",C73))),2,IF(AND(ISNUMBER(SEARCH("3B",C73))),3,IF(AND(ISNUMBER(SEARCH("4B",C73))),4,IF(ISNUMBER(SEARCH("5B",C73)),5,0)))))</f>
        <v>1</v>
      </c>
      <c r="C74" s="42" t="s">
        <v>68</v>
      </c>
      <c r="D74" s="42">
        <v>1</v>
      </c>
      <c r="E74" s="42" t="s">
        <v>67</v>
      </c>
      <c r="F74" s="42">
        <v>0</v>
      </c>
      <c r="G74" s="42" t="s">
        <v>76</v>
      </c>
      <c r="H74" s="42">
        <f ca="1">--TRIM(RIGHT(SUBSTITUTE(LEFT(C73,_xlfn.AGGREGATE(16,6,FIND({0,1,2,3,4,5,6,7,8,9},C73,ROW(INDIRECT("1:"&amp;LEN(C73)))),1))," ",REPT(" ",LEN(C73))),LEN(C73)))</f>
        <v>7</v>
      </c>
      <c r="I74" s="99" t="str">
        <f ca="1">IF(D77=100%,"Excavation","")&amp;IF(D78=100%,", Plinth","")&amp;IF(D79=100%,", RCC Slab","")&amp;IF(D80=100%,", Brickwork","")&amp;IF(D81=100%,", Internal Plaster","")&amp;IF(D82=100%,", External Plaster","")&amp;IF(D83=100%,", Flooring","")&amp;IF(D84=100%,", Painting","")&amp;IF(D85=100%,", Building common Amenities","")</f>
        <v>Excavation, Plinth, RCC Slab, Brickwork, Internal Plaster</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50.1" customHeight="1" x14ac:dyDescent="0.25">
      <c r="A75" s="168" t="s">
        <v>86</v>
      </c>
      <c r="B75" s="168"/>
      <c r="C75" s="167" t="str">
        <f ca="1">I73</f>
        <v>Excavation, Plinth, RCC Slab, Brickwork, Internal Plaster Completed, External Plaster upto 6 Floor, Flooring upto 3 Floor, Painting upto 3 Floor Completed</v>
      </c>
      <c r="D75" s="167"/>
      <c r="E75" s="167"/>
      <c r="F75" s="167"/>
      <c r="G75" s="167"/>
      <c r="H75" s="167"/>
      <c r="I75" s="99" t="str">
        <f ca="1">IF(I74&lt;&gt;""," Completed","")</f>
        <v xml:space="preserve"> Completed</v>
      </c>
      <c r="J75" s="41" t="str">
        <f ca="1">IF(J73&lt;&gt;"","Completed","")</f>
        <v>Completed</v>
      </c>
      <c r="S75"/>
    </row>
    <row r="76" spans="1:19" ht="15.75" customHeight="1" x14ac:dyDescent="0.25">
      <c r="A76" s="100" t="s">
        <v>47</v>
      </c>
      <c r="B76" s="101"/>
      <c r="C76" s="84" t="s">
        <v>136</v>
      </c>
      <c r="D76" s="84" t="s">
        <v>79</v>
      </c>
      <c r="E76" s="101" t="s">
        <v>81</v>
      </c>
      <c r="F76" s="101"/>
      <c r="G76" s="101" t="s">
        <v>80</v>
      </c>
      <c r="H76" s="113"/>
      <c r="I76" s="13" t="s">
        <v>138</v>
      </c>
      <c r="J76" s="23">
        <f ca="1">H74*25%</f>
        <v>1.75</v>
      </c>
      <c r="S76"/>
    </row>
    <row r="77" spans="1:19" x14ac:dyDescent="0.25">
      <c r="A77" s="100" t="s">
        <v>125</v>
      </c>
      <c r="B77" s="101"/>
      <c r="C77" s="84">
        <f ca="1">J78</f>
        <v>7</v>
      </c>
      <c r="D77" s="85">
        <f ca="1">((100/H74)*C77)/100</f>
        <v>1</v>
      </c>
      <c r="E77" s="218">
        <f ca="1">(((C78/H74*10)+(40/(D74+F74+H74)*C79)+(7.5/(H74)*C80)+(7.5/(H74)*C81)+(10/H74*C82)+(10/H74*C83)+(5/H74*C84)+(5/H74*C85)+(5/H74*C86))/100)</f>
        <v>0.8</v>
      </c>
      <c r="F77" s="219"/>
      <c r="G77" s="218">
        <f ca="1">((((C77/H74)*20)+((C78/H74)*25)+(30/(H74+F74+D74)*C79)+(5/H74*C80)+(5/H74*C81)+(5/H74*C82)+(5/H74*C83)+(0/H74*C84)+(0/H74*C85)+(5/H74*C86))/100)</f>
        <v>0.91428571428571426</v>
      </c>
      <c r="H77" s="224"/>
      <c r="I77" s="13" t="s">
        <v>95</v>
      </c>
      <c r="J77" s="24">
        <f ca="1">H74*50%</f>
        <v>3.5</v>
      </c>
    </row>
    <row r="78" spans="1:19" x14ac:dyDescent="0.25">
      <c r="A78" s="100" t="s">
        <v>48</v>
      </c>
      <c r="B78" s="101"/>
      <c r="C78" s="84">
        <f ca="1">J86</f>
        <v>7</v>
      </c>
      <c r="D78" s="85">
        <f ca="1">((100/H74)*C78)/100</f>
        <v>1</v>
      </c>
      <c r="E78" s="220"/>
      <c r="F78" s="221"/>
      <c r="G78" s="220"/>
      <c r="H78" s="225"/>
      <c r="I78" s="13" t="s">
        <v>96</v>
      </c>
      <c r="J78" s="24">
        <f ca="1">H74</f>
        <v>7</v>
      </c>
      <c r="S78"/>
    </row>
    <row r="79" spans="1:19" ht="15.75" customHeight="1" x14ac:dyDescent="0.25">
      <c r="A79" s="100" t="s">
        <v>126</v>
      </c>
      <c r="B79" s="101"/>
      <c r="C79" s="84">
        <v>8</v>
      </c>
      <c r="D79" s="85">
        <f ca="1">((100/(D74+F74+H74))*C79)/100</f>
        <v>1</v>
      </c>
      <c r="E79" s="220"/>
      <c r="F79" s="221"/>
      <c r="G79" s="220"/>
      <c r="H79" s="225"/>
      <c r="I79" s="13" t="s">
        <v>97</v>
      </c>
      <c r="J79" s="25">
        <f ca="1">(IF(B74&gt;1,(H74/(B74+2)),H74/4))</f>
        <v>1.75</v>
      </c>
      <c r="S79"/>
    </row>
    <row r="80" spans="1:19" ht="15.75" customHeight="1" x14ac:dyDescent="0.25">
      <c r="A80" s="100" t="s">
        <v>133</v>
      </c>
      <c r="B80" s="101" t="s">
        <v>127</v>
      </c>
      <c r="C80" s="84">
        <v>7</v>
      </c>
      <c r="D80" s="85">
        <f ca="1">((100/H74)*C80)/100</f>
        <v>1</v>
      </c>
      <c r="E80" s="220"/>
      <c r="F80" s="221"/>
      <c r="G80" s="220"/>
      <c r="H80" s="225"/>
      <c r="I80" s="13" t="s">
        <v>98</v>
      </c>
      <c r="J80" s="25">
        <f ca="1">(IF(B74&gt;1,(H74/(B74+2)+J79),H74/4+J79))</f>
        <v>3.5</v>
      </c>
    </row>
    <row r="81" spans="1:22" ht="15.75" customHeight="1" x14ac:dyDescent="0.25">
      <c r="A81" s="100" t="s">
        <v>134</v>
      </c>
      <c r="B81" s="101" t="s">
        <v>127</v>
      </c>
      <c r="C81" s="84">
        <v>7</v>
      </c>
      <c r="D81" s="85">
        <f ca="1">((100/H74)*C81)/100</f>
        <v>1</v>
      </c>
      <c r="E81" s="220"/>
      <c r="F81" s="221"/>
      <c r="G81" s="220"/>
      <c r="H81" s="225"/>
      <c r="I81" s="13" t="s">
        <v>145</v>
      </c>
      <c r="J81" s="25">
        <f>(IF(B74&gt;1,(H74/(B74+2)+J80),0))</f>
        <v>0</v>
      </c>
    </row>
    <row r="82" spans="1:22" ht="15" customHeight="1" x14ac:dyDescent="0.25">
      <c r="A82" s="100" t="s">
        <v>132</v>
      </c>
      <c r="B82" s="101" t="s">
        <v>129</v>
      </c>
      <c r="C82" s="84">
        <v>6</v>
      </c>
      <c r="D82" s="85">
        <f ca="1">((100/(H74))*C82)/100</f>
        <v>0.85714285714285721</v>
      </c>
      <c r="E82" s="220"/>
      <c r="F82" s="221"/>
      <c r="G82" s="220"/>
      <c r="H82" s="225"/>
      <c r="I82" s="13" t="s">
        <v>140</v>
      </c>
      <c r="J82" s="25">
        <f>(IF(B74&gt;2,(H74/(B74+2)+J81),0))</f>
        <v>0</v>
      </c>
    </row>
    <row r="83" spans="1:22" ht="15.75" customHeight="1" x14ac:dyDescent="0.25">
      <c r="A83" s="100" t="s">
        <v>128</v>
      </c>
      <c r="B83" s="101" t="s">
        <v>128</v>
      </c>
      <c r="C83" s="84">
        <v>3</v>
      </c>
      <c r="D83" s="85">
        <f ca="1">((100/H74)*C83)/100</f>
        <v>0.4285714285714286</v>
      </c>
      <c r="E83" s="220"/>
      <c r="F83" s="221"/>
      <c r="G83" s="220"/>
      <c r="H83" s="225"/>
      <c r="I83" s="13" t="s">
        <v>141</v>
      </c>
      <c r="J83" s="26">
        <f>(IF(B74&gt;3,(H74/(B74+2)+J82),0))</f>
        <v>0</v>
      </c>
    </row>
    <row r="84" spans="1:22" ht="15.75" customHeight="1" x14ac:dyDescent="0.25">
      <c r="A84" s="100" t="s">
        <v>135</v>
      </c>
      <c r="B84" s="101"/>
      <c r="C84" s="84">
        <v>3</v>
      </c>
      <c r="D84" s="85">
        <f ca="1">((100/H74)*C84)/100</f>
        <v>0.4285714285714286</v>
      </c>
      <c r="E84" s="220"/>
      <c r="F84" s="221"/>
      <c r="G84" s="220"/>
      <c r="H84" s="225"/>
      <c r="I84" s="13" t="s">
        <v>142</v>
      </c>
      <c r="J84" s="25">
        <f>(IF(B74&gt;4,(H74/(B74+2)+J83),0))</f>
        <v>0</v>
      </c>
    </row>
    <row r="85" spans="1:22" ht="15.75" customHeight="1" x14ac:dyDescent="0.25">
      <c r="A85" s="100" t="s">
        <v>130</v>
      </c>
      <c r="B85" s="101" t="s">
        <v>130</v>
      </c>
      <c r="C85" s="84">
        <v>0</v>
      </c>
      <c r="D85" s="85">
        <f ca="1">((100/(H74))*C85)/100</f>
        <v>0</v>
      </c>
      <c r="E85" s="220"/>
      <c r="F85" s="221"/>
      <c r="G85" s="220"/>
      <c r="H85" s="225"/>
      <c r="I85" s="13" t="s">
        <v>146</v>
      </c>
      <c r="J85" s="25">
        <f ca="1">(IF(B74=1,(H74/(B74+3)+J80),IF(B74=0,(H74/4+J80),IF(B74&gt;1,0))))</f>
        <v>5.25</v>
      </c>
    </row>
    <row r="86" spans="1:22" ht="16.5" thickBot="1" x14ac:dyDescent="0.3">
      <c r="A86" s="114" t="s">
        <v>131</v>
      </c>
      <c r="B86" s="115"/>
      <c r="C86" s="86">
        <v>0</v>
      </c>
      <c r="D86" s="87">
        <f ca="1">((100/(H74))*C86)/100</f>
        <v>0</v>
      </c>
      <c r="E86" s="222"/>
      <c r="F86" s="223"/>
      <c r="G86" s="222"/>
      <c r="H86" s="226"/>
      <c r="I86" s="14" t="s">
        <v>99</v>
      </c>
      <c r="J86" s="27">
        <f ca="1">(IF(B74&gt;1.5,(H74/(B74+2)+J80+MAX(0,J81-J80)+MAX(0,J82-J81)+MAX(0,J83-J82)+MAX(0,J84-J83)+MAX(0,J85-J84)),IF(B74=1,(H74/(B74+3)+J85),IF(B74=0,H74/4+J85))))</f>
        <v>7</v>
      </c>
    </row>
    <row r="87" spans="1:22" x14ac:dyDescent="0.25">
      <c r="A87" s="205" t="s">
        <v>157</v>
      </c>
      <c r="B87" s="205"/>
      <c r="C87" s="205"/>
      <c r="D87" s="205"/>
      <c r="E87" s="205"/>
      <c r="F87" s="147" t="s">
        <v>160</v>
      </c>
      <c r="G87" s="147"/>
      <c r="H87" s="147"/>
      <c r="R87" t="s">
        <v>253</v>
      </c>
      <c r="S87" t="s">
        <v>172</v>
      </c>
      <c r="T87" t="s">
        <v>179</v>
      </c>
      <c r="U87" t="s">
        <v>193</v>
      </c>
      <c r="V87" t="s">
        <v>188</v>
      </c>
    </row>
    <row r="88" spans="1:22" x14ac:dyDescent="0.25">
      <c r="A88" s="123" t="s">
        <v>158</v>
      </c>
      <c r="B88" s="123"/>
      <c r="C88" s="123"/>
      <c r="D88" s="123"/>
      <c r="E88" s="123"/>
      <c r="F88" s="116">
        <v>3700</v>
      </c>
      <c r="G88" s="116"/>
      <c r="H88" s="116"/>
      <c r="I88" s="16">
        <f>3200*0.08</f>
        <v>256</v>
      </c>
      <c r="R88"/>
      <c r="S88">
        <v>800000</v>
      </c>
      <c r="T88">
        <v>150000</v>
      </c>
      <c r="U88">
        <v>100000</v>
      </c>
      <c r="V88">
        <v>100000</v>
      </c>
    </row>
    <row r="89" spans="1:22" x14ac:dyDescent="0.25">
      <c r="A89" s="123" t="s">
        <v>403</v>
      </c>
      <c r="B89" s="123"/>
      <c r="C89" s="123"/>
      <c r="D89" s="123"/>
      <c r="E89" s="123"/>
      <c r="F89" s="116">
        <v>10000</v>
      </c>
      <c r="G89" s="116"/>
      <c r="H89" s="116"/>
      <c r="R89"/>
      <c r="S89">
        <v>900000</v>
      </c>
      <c r="T89">
        <v>200000</v>
      </c>
      <c r="U89">
        <v>150000</v>
      </c>
      <c r="V89">
        <v>150000</v>
      </c>
    </row>
    <row r="90" spans="1:22" x14ac:dyDescent="0.25">
      <c r="A90" s="123" t="s">
        <v>404</v>
      </c>
      <c r="B90" s="123"/>
      <c r="C90" s="123"/>
      <c r="D90" s="123"/>
      <c r="E90" s="123"/>
      <c r="F90" s="116">
        <v>8500</v>
      </c>
      <c r="G90" s="116"/>
      <c r="H90" s="116"/>
      <c r="R90"/>
      <c r="S90">
        <v>900000</v>
      </c>
      <c r="T90">
        <v>200000</v>
      </c>
      <c r="U90">
        <v>150000</v>
      </c>
      <c r="V90">
        <v>150000</v>
      </c>
    </row>
    <row r="91" spans="1:22" x14ac:dyDescent="0.25">
      <c r="A91" s="123" t="s">
        <v>159</v>
      </c>
      <c r="B91" s="123"/>
      <c r="C91" s="123"/>
      <c r="D91" s="123"/>
      <c r="E91" s="123"/>
      <c r="F91" s="116">
        <v>7000</v>
      </c>
      <c r="G91" s="116"/>
      <c r="H91" s="116"/>
      <c r="R91"/>
      <c r="S91">
        <v>1000000</v>
      </c>
      <c r="T91">
        <v>250000</v>
      </c>
      <c r="U91">
        <v>200000</v>
      </c>
      <c r="V91">
        <v>200000</v>
      </c>
    </row>
    <row r="92" spans="1:22" s="28" customFormat="1" hidden="1" x14ac:dyDescent="0.25">
      <c r="A92" s="123" t="s">
        <v>175</v>
      </c>
      <c r="B92" s="123"/>
      <c r="C92" s="123"/>
      <c r="D92" s="123"/>
      <c r="E92" s="123"/>
      <c r="F92" s="116"/>
      <c r="G92" s="116"/>
      <c r="H92" s="116"/>
      <c r="R92"/>
      <c r="S92">
        <v>1100000</v>
      </c>
      <c r="T92">
        <v>300000</v>
      </c>
      <c r="U92">
        <v>250000</v>
      </c>
      <c r="V92" s="18">
        <v>250000</v>
      </c>
    </row>
    <row r="93" spans="1:22" s="28" customFormat="1" hidden="1" x14ac:dyDescent="0.25">
      <c r="A93" s="123" t="s">
        <v>91</v>
      </c>
      <c r="B93" s="123"/>
      <c r="C93" s="123"/>
      <c r="D93" s="123"/>
      <c r="E93" s="123"/>
      <c r="F93" s="116"/>
      <c r="G93" s="116"/>
      <c r="H93" s="116"/>
      <c r="R93"/>
      <c r="S93">
        <v>1300000</v>
      </c>
      <c r="T93">
        <v>400000</v>
      </c>
      <c r="U93">
        <v>350000</v>
      </c>
      <c r="V93" s="18">
        <v>400000</v>
      </c>
    </row>
    <row r="94" spans="1:22" s="28" customFormat="1" hidden="1" x14ac:dyDescent="0.25">
      <c r="A94" s="123" t="s">
        <v>92</v>
      </c>
      <c r="B94" s="123"/>
      <c r="C94" s="123"/>
      <c r="D94" s="123"/>
      <c r="E94" s="123"/>
      <c r="F94" s="116"/>
      <c r="G94" s="116"/>
      <c r="H94" s="116"/>
      <c r="R94"/>
      <c r="S94">
        <v>1400000</v>
      </c>
      <c r="T94">
        <v>500000</v>
      </c>
      <c r="U94">
        <v>400000</v>
      </c>
      <c r="V94"/>
    </row>
    <row r="95" spans="1:22" s="94" customFormat="1" x14ac:dyDescent="0.25">
      <c r="A95" s="131" t="s">
        <v>402</v>
      </c>
      <c r="B95" s="131"/>
      <c r="C95" s="131"/>
      <c r="D95" s="131"/>
      <c r="E95" s="131"/>
      <c r="F95" s="116">
        <v>150000</v>
      </c>
      <c r="G95" s="116"/>
      <c r="H95" s="116"/>
      <c r="R95" s="95"/>
      <c r="S95" s="95">
        <v>1500000</v>
      </c>
      <c r="T95" s="95">
        <v>600000</v>
      </c>
      <c r="U95" s="95">
        <v>500000</v>
      </c>
      <c r="V95" s="18"/>
    </row>
    <row r="96" spans="1:22" s="28" customFormat="1" x14ac:dyDescent="0.25">
      <c r="A96" s="123" t="s">
        <v>93</v>
      </c>
      <c r="B96" s="123"/>
      <c r="C96" s="123"/>
      <c r="D96" s="123"/>
      <c r="E96" s="123"/>
      <c r="F96" s="116">
        <v>15000</v>
      </c>
      <c r="G96" s="116"/>
      <c r="H96" s="116"/>
      <c r="R96"/>
      <c r="S96">
        <v>1600000</v>
      </c>
      <c r="T96">
        <v>700000</v>
      </c>
      <c r="U96">
        <v>600000</v>
      </c>
      <c r="V96"/>
    </row>
    <row r="97" spans="1:22" s="28" customFormat="1" hidden="1" x14ac:dyDescent="0.25">
      <c r="A97" s="123" t="s">
        <v>94</v>
      </c>
      <c r="B97" s="123"/>
      <c r="C97" s="123"/>
      <c r="D97" s="123"/>
      <c r="E97" s="123"/>
      <c r="F97" s="116"/>
      <c r="G97" s="116"/>
      <c r="H97" s="116"/>
      <c r="R97"/>
      <c r="S97">
        <v>1700000</v>
      </c>
      <c r="T97">
        <v>800000</v>
      </c>
      <c r="U97"/>
      <c r="V97" s="18"/>
    </row>
    <row r="98" spans="1:22" x14ac:dyDescent="0.25">
      <c r="A98" s="123" t="s">
        <v>49</v>
      </c>
      <c r="B98" s="123"/>
      <c r="C98" s="123"/>
      <c r="D98" s="123"/>
      <c r="E98" s="123"/>
      <c r="F98" s="116">
        <v>150000</v>
      </c>
      <c r="G98" s="116"/>
      <c r="H98" s="116"/>
      <c r="R98"/>
      <c r="S98">
        <v>1800000</v>
      </c>
      <c r="T98">
        <v>900000</v>
      </c>
      <c r="U98"/>
    </row>
    <row r="99" spans="1:22" s="29" customFormat="1" x14ac:dyDescent="0.25">
      <c r="A99" s="159" t="s">
        <v>50</v>
      </c>
      <c r="B99" s="159"/>
      <c r="C99" s="159"/>
      <c r="D99" s="159"/>
      <c r="E99" s="159"/>
      <c r="F99" s="116">
        <f>F88*0.8</f>
        <v>2960</v>
      </c>
      <c r="G99" s="116"/>
      <c r="H99" s="116"/>
      <c r="R99" s="16"/>
      <c r="S99" s="16"/>
      <c r="T99">
        <v>1000000</v>
      </c>
      <c r="U99"/>
      <c r="V99" s="16"/>
    </row>
    <row r="100" spans="1:22" s="30" customFormat="1" ht="15.75" customHeight="1" x14ac:dyDescent="0.25">
      <c r="A100" s="158" t="s">
        <v>71</v>
      </c>
      <c r="B100" s="158"/>
      <c r="C100" s="158"/>
      <c r="D100" s="158"/>
      <c r="E100" s="158"/>
      <c r="F100" s="158"/>
      <c r="G100" s="158"/>
      <c r="H100" s="158"/>
      <c r="R100"/>
      <c r="S100" s="16"/>
      <c r="T100"/>
      <c r="U100"/>
      <c r="V100" s="16"/>
    </row>
    <row r="101" spans="1:22" s="30" customFormat="1" ht="15.75" customHeight="1" x14ac:dyDescent="0.25">
      <c r="A101" s="122" t="s">
        <v>51</v>
      </c>
      <c r="B101" s="122"/>
      <c r="C101" s="130" t="s">
        <v>74</v>
      </c>
      <c r="D101" s="130"/>
      <c r="E101" s="128" t="s">
        <v>52</v>
      </c>
      <c r="F101" s="128"/>
      <c r="G101" s="122" t="s">
        <v>53</v>
      </c>
      <c r="H101" s="122"/>
      <c r="R101"/>
      <c r="S101" s="16"/>
      <c r="T101"/>
      <c r="U101" s="16"/>
      <c r="V101" s="16"/>
    </row>
    <row r="102" spans="1:22" s="30" customFormat="1" x14ac:dyDescent="0.25">
      <c r="A102" s="129" t="s">
        <v>372</v>
      </c>
      <c r="B102" s="129"/>
      <c r="C102" s="117">
        <f>COUNT(D116:D120)</f>
        <v>5</v>
      </c>
      <c r="D102" s="118"/>
      <c r="E102" s="117">
        <f t="shared" ref="E102" si="0">SUM(F116:F120)</f>
        <v>4803.6502799999989</v>
      </c>
      <c r="F102" s="118"/>
      <c r="G102" s="117">
        <f t="shared" ref="G102" si="1">SUM(H116:H120)</f>
        <v>7205.4754199999988</v>
      </c>
      <c r="H102" s="118"/>
      <c r="R102"/>
      <c r="S102" s="16"/>
      <c r="T102"/>
      <c r="U102" s="16"/>
      <c r="V102" s="16"/>
    </row>
    <row r="103" spans="1:22" s="30" customFormat="1" x14ac:dyDescent="0.25">
      <c r="A103" s="129" t="s">
        <v>373</v>
      </c>
      <c r="B103" s="129"/>
      <c r="C103" s="117">
        <f>COUNT(D125:D126)</f>
        <v>2</v>
      </c>
      <c r="D103" s="118"/>
      <c r="E103" s="117">
        <f t="shared" ref="E103" si="2">SUM(F125:F126)</f>
        <v>863.91863999999987</v>
      </c>
      <c r="F103" s="118"/>
      <c r="G103" s="117">
        <f t="shared" ref="G103" si="3">SUM(H125:H126)</f>
        <v>1295.8779599999998</v>
      </c>
      <c r="H103" s="118"/>
      <c r="R103"/>
      <c r="S103" s="16"/>
      <c r="T103"/>
      <c r="U103" s="16"/>
      <c r="V103" s="16"/>
    </row>
    <row r="104" spans="1:22" s="30" customFormat="1" x14ac:dyDescent="0.25">
      <c r="A104" s="158" t="s">
        <v>150</v>
      </c>
      <c r="B104" s="158"/>
      <c r="C104" s="202">
        <f>SUM(C102:D103)</f>
        <v>7</v>
      </c>
      <c r="D104" s="130"/>
      <c r="E104" s="202">
        <f t="shared" ref="E104" si="4">SUM(E102:F103)</f>
        <v>5667.5689199999988</v>
      </c>
      <c r="F104" s="130"/>
      <c r="G104" s="202">
        <f t="shared" ref="G104" si="5">SUM(G102:H103)</f>
        <v>8501.3533799999987</v>
      </c>
      <c r="H104" s="130"/>
      <c r="R104"/>
      <c r="S104" s="16"/>
      <c r="T104"/>
      <c r="U104" s="16"/>
      <c r="V104" s="16"/>
    </row>
    <row r="105" spans="1:22" s="30" customFormat="1" x14ac:dyDescent="0.25">
      <c r="A105" s="158" t="s">
        <v>66</v>
      </c>
      <c r="B105" s="158"/>
      <c r="C105" s="158"/>
      <c r="D105" s="158"/>
      <c r="E105" s="158"/>
      <c r="F105" s="158"/>
      <c r="G105" s="158"/>
      <c r="H105" s="158"/>
      <c r="T105"/>
    </row>
    <row r="106" spans="1:22" s="30" customFormat="1" ht="15.75" customHeight="1" x14ac:dyDescent="0.25">
      <c r="A106" s="122" t="s">
        <v>51</v>
      </c>
      <c r="B106" s="122"/>
      <c r="C106" s="130" t="s">
        <v>74</v>
      </c>
      <c r="D106" s="130"/>
      <c r="E106" s="128" t="s">
        <v>52</v>
      </c>
      <c r="F106" s="128"/>
      <c r="G106" s="122" t="s">
        <v>53</v>
      </c>
      <c r="H106" s="122"/>
      <c r="T106"/>
    </row>
    <row r="107" spans="1:22" s="30" customFormat="1" x14ac:dyDescent="0.25">
      <c r="A107" s="129" t="s">
        <v>65</v>
      </c>
      <c r="B107" s="129"/>
      <c r="C107" s="117">
        <f>COUNT(D131)+COUNT(D134:D135)+COUNT(D138:D143)*6</f>
        <v>39</v>
      </c>
      <c r="D107" s="117"/>
      <c r="E107" s="117">
        <f>SUM(F131)+SUM(F134:F135)+SUM(F138:F143)*6</f>
        <v>25178.772059999996</v>
      </c>
      <c r="F107" s="117"/>
      <c r="G107" s="117">
        <f>SUM(H131)+SUM(H134:H135)+SUM(H138:H143)*6</f>
        <v>36509.219486999995</v>
      </c>
      <c r="H107" s="117"/>
      <c r="T107"/>
    </row>
    <row r="108" spans="1:22" s="30" customFormat="1" ht="16.5" thickBot="1" x14ac:dyDescent="0.3">
      <c r="A108" s="216" t="s">
        <v>150</v>
      </c>
      <c r="B108" s="216"/>
      <c r="C108" s="211">
        <f>SUM(C107)</f>
        <v>39</v>
      </c>
      <c r="D108" s="212"/>
      <c r="E108" s="211">
        <f t="shared" ref="E108" si="6">SUM(E107)</f>
        <v>25178.772059999996</v>
      </c>
      <c r="F108" s="212"/>
      <c r="G108" s="211">
        <f t="shared" ref="G108" si="7">SUM(G107)</f>
        <v>36509.219486999995</v>
      </c>
      <c r="H108" s="212"/>
      <c r="T108"/>
    </row>
    <row r="109" spans="1:22" s="30" customFormat="1" ht="16.5" thickBot="1" x14ac:dyDescent="0.3">
      <c r="A109" s="154" t="s">
        <v>166</v>
      </c>
      <c r="B109" s="155"/>
      <c r="C109" s="209">
        <f>C104+C108</f>
        <v>46</v>
      </c>
      <c r="D109" s="209"/>
      <c r="E109" s="210">
        <f>E104+E108</f>
        <v>30846.340979999994</v>
      </c>
      <c r="F109" s="210"/>
      <c r="G109" s="152">
        <f>G104+G108</f>
        <v>45010.572866999995</v>
      </c>
      <c r="H109" s="153"/>
      <c r="T109"/>
    </row>
    <row r="110" spans="1:22" s="29" customFormat="1" x14ac:dyDescent="0.25">
      <c r="A110" s="147" t="s">
        <v>399</v>
      </c>
      <c r="B110" s="147"/>
      <c r="C110" s="147"/>
      <c r="D110" s="147"/>
      <c r="E110" s="147"/>
      <c r="F110" s="147"/>
      <c r="G110" s="147"/>
      <c r="H110" s="147"/>
      <c r="T110" s="30"/>
    </row>
    <row r="111" spans="1:22" x14ac:dyDescent="0.25">
      <c r="A111" s="121" t="s">
        <v>174</v>
      </c>
      <c r="B111" s="121"/>
      <c r="C111" s="121"/>
      <c r="D111" s="121"/>
      <c r="E111" s="121"/>
      <c r="F111" s="121"/>
      <c r="G111" s="121"/>
      <c r="H111" s="121"/>
      <c r="T111" s="30"/>
    </row>
    <row r="112" spans="1:22" ht="47.25" customHeight="1" x14ac:dyDescent="0.25">
      <c r="A112" s="150" t="s">
        <v>116</v>
      </c>
      <c r="B112" s="150" t="s">
        <v>176</v>
      </c>
      <c r="C112" s="150" t="s">
        <v>54</v>
      </c>
      <c r="D112" s="140" t="s">
        <v>231</v>
      </c>
      <c r="E112" s="214" t="s">
        <v>156</v>
      </c>
      <c r="F112" s="140" t="s">
        <v>55</v>
      </c>
      <c r="G112" s="214" t="s">
        <v>56</v>
      </c>
      <c r="H112" s="89" t="s">
        <v>148</v>
      </c>
      <c r="T112" s="30"/>
    </row>
    <row r="113" spans="1:20" s="32" customFormat="1" x14ac:dyDescent="0.25">
      <c r="A113" s="151"/>
      <c r="B113" s="151"/>
      <c r="C113" s="151"/>
      <c r="D113" s="141"/>
      <c r="E113" s="215"/>
      <c r="F113" s="141"/>
      <c r="G113" s="215"/>
      <c r="H113" s="90">
        <v>0.5</v>
      </c>
      <c r="T113" s="30"/>
    </row>
    <row r="114" spans="1:20" s="76" customFormat="1" x14ac:dyDescent="0.25">
      <c r="A114" s="213" t="s">
        <v>371</v>
      </c>
      <c r="B114" s="213"/>
      <c r="C114" s="213"/>
      <c r="D114" s="213"/>
      <c r="E114" s="213"/>
      <c r="F114" s="213"/>
      <c r="G114" s="213"/>
      <c r="H114" s="213"/>
      <c r="J114" s="31"/>
      <c r="T114" s="30"/>
    </row>
    <row r="115" spans="1:20" s="76" customFormat="1" x14ac:dyDescent="0.25">
      <c r="A115" s="160" t="s">
        <v>374</v>
      </c>
      <c r="B115" s="160"/>
      <c r="C115" s="160"/>
      <c r="D115" s="160"/>
      <c r="E115" s="160"/>
      <c r="F115" s="160"/>
      <c r="G115" s="160"/>
      <c r="H115" s="160"/>
      <c r="J115" s="78">
        <f>10.764</f>
        <v>10.763999999999999</v>
      </c>
      <c r="T115" s="30"/>
    </row>
    <row r="116" spans="1:20" s="76" customFormat="1" ht="15.75" customHeight="1" x14ac:dyDescent="0.25">
      <c r="A116" s="139">
        <v>1</v>
      </c>
      <c r="B116" s="139"/>
      <c r="C116" s="97" t="s">
        <v>372</v>
      </c>
      <c r="D116" s="78">
        <f>(12.1)*(10.764)</f>
        <v>130.24439999999998</v>
      </c>
      <c r="E116" s="97">
        <v>0</v>
      </c>
      <c r="F116" s="97">
        <f>D116+(IF(E116&lt;201,E116,IF(E116&lt;301,E116/2,E116/3)))</f>
        <v>130.24439999999998</v>
      </c>
      <c r="G116" s="54">
        <v>0</v>
      </c>
      <c r="H116" s="97">
        <f>(F116+(IF(G116&lt;101,G116,IF(G116&lt;201,G116/2,IF(G116&lt;=301,G116/3,G116/4)))))*(($H$113)+1)</f>
        <v>195.36659999999998</v>
      </c>
      <c r="I116" s="31">
        <f>2.75*4.4</f>
        <v>12.100000000000001</v>
      </c>
      <c r="L116" s="206"/>
      <c r="M116" s="206"/>
      <c r="N116" s="31"/>
      <c r="T116" s="30"/>
    </row>
    <row r="117" spans="1:20" s="76" customFormat="1" ht="47.25" x14ac:dyDescent="0.25">
      <c r="A117" s="139">
        <f>A116+1</f>
        <v>2</v>
      </c>
      <c r="B117" s="139"/>
      <c r="C117" s="97" t="s">
        <v>379</v>
      </c>
      <c r="D117" s="78">
        <f>(87.25+109.23)*(10.764)</f>
        <v>2114.9107199999999</v>
      </c>
      <c r="E117" s="97">
        <v>0</v>
      </c>
      <c r="F117" s="97">
        <f t="shared" ref="F117:F119" si="8">D117+(IF(E117&lt;201,E117,IF(E117&lt;301,E117/2,E117/3)))</f>
        <v>2114.9107199999999</v>
      </c>
      <c r="G117" s="97">
        <v>0</v>
      </c>
      <c r="H117" s="97">
        <f t="shared" ref="H117:H119" si="9">(F117+(IF(G117&lt;101,G117,IF(G117&lt;201,G117/2,IF(G117&lt;=301,G117/3,G117/4)))))*(($H$113)+1)</f>
        <v>3172.3660799999998</v>
      </c>
      <c r="I117" s="31"/>
      <c r="L117" s="206"/>
      <c r="M117" s="206"/>
      <c r="N117" s="31"/>
      <c r="T117" s="29"/>
    </row>
    <row r="118" spans="1:20" s="76" customFormat="1" ht="47.25" x14ac:dyDescent="0.25">
      <c r="A118" s="139">
        <f>A117+1</f>
        <v>3</v>
      </c>
      <c r="B118" s="139"/>
      <c r="C118" s="97" t="s">
        <v>379</v>
      </c>
      <c r="D118" s="78">
        <f>(74.06+82.56)*(10.764)</f>
        <v>1685.8576799999998</v>
      </c>
      <c r="E118" s="97">
        <v>0</v>
      </c>
      <c r="F118" s="97">
        <f t="shared" si="8"/>
        <v>1685.8576799999998</v>
      </c>
      <c r="G118" s="97">
        <v>0</v>
      </c>
      <c r="H118" s="97">
        <f t="shared" si="9"/>
        <v>2528.7865199999997</v>
      </c>
      <c r="I118" s="31"/>
      <c r="L118" s="206"/>
      <c r="M118" s="206"/>
      <c r="N118" s="31"/>
      <c r="T118" s="16"/>
    </row>
    <row r="119" spans="1:20" s="76" customFormat="1" ht="15.75" customHeight="1" x14ac:dyDescent="0.25">
      <c r="A119" s="139">
        <f>A118+1</f>
        <v>4</v>
      </c>
      <c r="B119" s="139"/>
      <c r="C119" s="97" t="s">
        <v>372</v>
      </c>
      <c r="D119" s="78">
        <f>(57.89)*(10.764)</f>
        <v>623.12795999999992</v>
      </c>
      <c r="E119" s="97">
        <v>0</v>
      </c>
      <c r="F119" s="97">
        <f t="shared" si="8"/>
        <v>623.12795999999992</v>
      </c>
      <c r="G119" s="97">
        <v>0</v>
      </c>
      <c r="H119" s="97">
        <f t="shared" si="9"/>
        <v>934.69193999999993</v>
      </c>
      <c r="I119" s="31">
        <f>4.4*5.55+3.9*4.45+4*2.85+1.85*2.53</f>
        <v>57.855500000000006</v>
      </c>
      <c r="L119" s="206"/>
      <c r="M119" s="206"/>
      <c r="N119" s="31"/>
      <c r="T119" s="16"/>
    </row>
    <row r="120" spans="1:20" s="76" customFormat="1" ht="15.75" customHeight="1" x14ac:dyDescent="0.25">
      <c r="A120" s="106">
        <f>A119+1</f>
        <v>5</v>
      </c>
      <c r="B120" s="107"/>
      <c r="C120" s="77" t="s">
        <v>372</v>
      </c>
      <c r="D120" s="78">
        <f>(23.18)*(10.764)</f>
        <v>249.50951999999998</v>
      </c>
      <c r="E120" s="77">
        <v>0</v>
      </c>
      <c r="F120" s="77">
        <f t="shared" ref="F120" si="10">D120+(IF(E120&lt;201,E120,IF(E120&lt;301,E120/2,E120/3)))</f>
        <v>249.50951999999998</v>
      </c>
      <c r="G120" s="77">
        <v>0</v>
      </c>
      <c r="H120" s="77">
        <f t="shared" ref="H120" si="11">(F120+(IF(G120&lt;101,G120,IF(G120&lt;201,G120/2,IF(G120&lt;=301,G120/3,G120/4)))))*(($H$113)+1)</f>
        <v>374.26427999999999</v>
      </c>
      <c r="I120" s="31"/>
      <c r="L120" s="206"/>
      <c r="M120" s="206"/>
      <c r="N120" s="31"/>
      <c r="T120" s="16"/>
    </row>
    <row r="121" spans="1:20" s="32" customFormat="1" x14ac:dyDescent="0.25">
      <c r="A121" s="108" t="s">
        <v>390</v>
      </c>
      <c r="B121" s="109"/>
      <c r="C121" s="109"/>
      <c r="D121" s="109"/>
      <c r="E121" s="109"/>
      <c r="F121" s="109"/>
      <c r="G121" s="109"/>
      <c r="H121" s="110"/>
      <c r="J121" s="31"/>
      <c r="T121" s="30"/>
    </row>
    <row r="122" spans="1:20" s="82" customFormat="1" x14ac:dyDescent="0.25">
      <c r="A122" s="108" t="s">
        <v>391</v>
      </c>
      <c r="B122" s="110"/>
      <c r="C122" s="139" t="s">
        <v>392</v>
      </c>
      <c r="D122" s="139"/>
      <c r="E122" s="139"/>
      <c r="F122" s="139"/>
      <c r="G122" s="139"/>
      <c r="H122" s="88" t="s">
        <v>391</v>
      </c>
      <c r="J122" s="31"/>
      <c r="T122" s="30"/>
    </row>
    <row r="123" spans="1:20" s="32" customFormat="1" ht="15.75" customHeight="1" x14ac:dyDescent="0.25">
      <c r="A123" s="106">
        <v>2</v>
      </c>
      <c r="B123" s="107"/>
      <c r="C123" s="139" t="s">
        <v>378</v>
      </c>
      <c r="D123" s="139"/>
      <c r="E123" s="139"/>
      <c r="F123" s="139"/>
      <c r="G123" s="139"/>
      <c r="H123" s="207" t="s">
        <v>391</v>
      </c>
      <c r="I123" s="31"/>
      <c r="L123" s="206"/>
      <c r="M123" s="206"/>
      <c r="N123" s="31"/>
      <c r="T123" s="30"/>
    </row>
    <row r="124" spans="1:20" s="32" customFormat="1" ht="15.75" customHeight="1" x14ac:dyDescent="0.25">
      <c r="A124" s="106">
        <f>A123+1</f>
        <v>3</v>
      </c>
      <c r="B124" s="107"/>
      <c r="C124" s="139"/>
      <c r="D124" s="139"/>
      <c r="E124" s="139"/>
      <c r="F124" s="139"/>
      <c r="G124" s="139"/>
      <c r="H124" s="208"/>
      <c r="I124" s="31"/>
      <c r="L124" s="206"/>
      <c r="M124" s="206"/>
      <c r="N124" s="31"/>
      <c r="T124" s="29"/>
    </row>
    <row r="125" spans="1:20" s="32" customFormat="1" ht="15.75" customHeight="1" x14ac:dyDescent="0.25">
      <c r="A125" s="106">
        <v>103</v>
      </c>
      <c r="B125" s="107"/>
      <c r="C125" s="37" t="s">
        <v>373</v>
      </c>
      <c r="D125" s="78">
        <f>(57.89)*(10.764)</f>
        <v>623.12795999999992</v>
      </c>
      <c r="E125" s="37">
        <v>0</v>
      </c>
      <c r="F125" s="53">
        <f t="shared" ref="F125:F126" si="12">D125+(IF(E125&lt;201,E125,IF(E125&lt;301,E125/2,E125/3)))</f>
        <v>623.12795999999992</v>
      </c>
      <c r="G125" s="46">
        <v>0</v>
      </c>
      <c r="H125" s="53">
        <f t="shared" ref="H125:H126" si="13">(F125+(IF(G125&lt;101,G125,IF(G125&lt;201,G125/2,IF(G125&lt;=301,G125/3,G125/4)))))*(($H$113)+1)</f>
        <v>934.69193999999993</v>
      </c>
      <c r="I125" s="31"/>
      <c r="L125" s="206"/>
      <c r="M125" s="206"/>
      <c r="N125" s="31"/>
      <c r="T125" s="16"/>
    </row>
    <row r="126" spans="1:20" s="32" customFormat="1" ht="15.75" customHeight="1" x14ac:dyDescent="0.25">
      <c r="A126" s="106">
        <f>A125+1</f>
        <v>104</v>
      </c>
      <c r="B126" s="107"/>
      <c r="C126" s="77" t="s">
        <v>373</v>
      </c>
      <c r="D126" s="78">
        <f>(22.37)*(10.764)</f>
        <v>240.79068000000001</v>
      </c>
      <c r="E126" s="37">
        <v>0</v>
      </c>
      <c r="F126" s="53">
        <f t="shared" si="12"/>
        <v>240.79068000000001</v>
      </c>
      <c r="G126" s="46">
        <v>0</v>
      </c>
      <c r="H126" s="53">
        <f t="shared" si="13"/>
        <v>361.18601999999998</v>
      </c>
      <c r="I126" s="31"/>
      <c r="L126" s="206"/>
      <c r="M126" s="206"/>
      <c r="N126" s="31"/>
      <c r="T126" s="16"/>
    </row>
    <row r="127" spans="1:20" s="32" customFormat="1" x14ac:dyDescent="0.25">
      <c r="A127" s="106"/>
      <c r="B127" s="146"/>
      <c r="C127" s="146"/>
      <c r="D127" s="146"/>
      <c r="E127" s="146"/>
      <c r="F127" s="146"/>
      <c r="G127" s="146"/>
      <c r="H127" s="107"/>
      <c r="I127" s="31"/>
      <c r="N127" s="31"/>
    </row>
    <row r="128" spans="1:20" ht="47.25" customHeight="1" x14ac:dyDescent="0.25">
      <c r="A128" s="148" t="s">
        <v>117</v>
      </c>
      <c r="B128" s="150" t="s">
        <v>177</v>
      </c>
      <c r="C128" s="150" t="s">
        <v>54</v>
      </c>
      <c r="D128" s="140" t="s">
        <v>231</v>
      </c>
      <c r="E128" s="140" t="s">
        <v>401</v>
      </c>
      <c r="F128" s="150" t="s">
        <v>55</v>
      </c>
      <c r="G128" s="150" t="s">
        <v>56</v>
      </c>
      <c r="H128" s="59" t="s">
        <v>148</v>
      </c>
      <c r="I128" s="31"/>
      <c r="T128" s="32"/>
    </row>
    <row r="129" spans="1:14" s="32" customFormat="1" x14ac:dyDescent="0.25">
      <c r="A129" s="149"/>
      <c r="B129" s="151"/>
      <c r="C129" s="151"/>
      <c r="D129" s="141"/>
      <c r="E129" s="141"/>
      <c r="F129" s="151"/>
      <c r="G129" s="151"/>
      <c r="H129" s="90">
        <v>0.45</v>
      </c>
      <c r="I129" s="31"/>
    </row>
    <row r="130" spans="1:14" s="76" customFormat="1" x14ac:dyDescent="0.25">
      <c r="A130" s="108" t="s">
        <v>393</v>
      </c>
      <c r="B130" s="109"/>
      <c r="C130" s="109"/>
      <c r="D130" s="109"/>
      <c r="E130" s="109"/>
      <c r="F130" s="109"/>
      <c r="G130" s="109"/>
      <c r="H130" s="110"/>
      <c r="J130" s="31"/>
    </row>
    <row r="131" spans="1:14" s="76" customFormat="1" ht="15.75" customHeight="1" x14ac:dyDescent="0.25">
      <c r="A131" s="106">
        <v>1</v>
      </c>
      <c r="B131" s="107"/>
      <c r="C131" s="77" t="s">
        <v>375</v>
      </c>
      <c r="D131" s="78">
        <f>(43.88)*(10.764)</f>
        <v>472.32432</v>
      </c>
      <c r="E131" s="77">
        <v>0</v>
      </c>
      <c r="F131" s="77">
        <f>D131+E131</f>
        <v>472.32432</v>
      </c>
      <c r="G131" s="77">
        <v>0</v>
      </c>
      <c r="H131" s="77">
        <f>F131*(($H$129)+1)+(IF(G131&lt;101,G131,IF(G131&lt;201,G131/2,IF(G131&lt;=301,G131/3,G131/4))))</f>
        <v>684.87026400000002</v>
      </c>
      <c r="I131" s="31"/>
      <c r="L131" s="206"/>
      <c r="M131" s="206"/>
      <c r="N131" s="31"/>
    </row>
    <row r="132" spans="1:14" s="82" customFormat="1" ht="15.75" customHeight="1" x14ac:dyDescent="0.25">
      <c r="A132" s="106" t="s">
        <v>391</v>
      </c>
      <c r="B132" s="107"/>
      <c r="C132" s="106" t="s">
        <v>394</v>
      </c>
      <c r="D132" s="146"/>
      <c r="E132" s="146"/>
      <c r="F132" s="146"/>
      <c r="G132" s="107"/>
      <c r="H132" s="83" t="s">
        <v>391</v>
      </c>
      <c r="I132" s="31"/>
      <c r="N132" s="31"/>
    </row>
    <row r="133" spans="1:14" s="76" customFormat="1" x14ac:dyDescent="0.25">
      <c r="A133" s="160" t="s">
        <v>395</v>
      </c>
      <c r="B133" s="160"/>
      <c r="C133" s="160"/>
      <c r="D133" s="160"/>
      <c r="E133" s="160"/>
      <c r="F133" s="160"/>
      <c r="G133" s="160"/>
      <c r="H133" s="160"/>
      <c r="I133" s="31"/>
      <c r="L133" s="206"/>
      <c r="M133" s="206"/>
    </row>
    <row r="134" spans="1:14" s="82" customFormat="1" x14ac:dyDescent="0.25">
      <c r="A134" s="139">
        <v>1</v>
      </c>
      <c r="B134" s="139"/>
      <c r="C134" s="77" t="s">
        <v>376</v>
      </c>
      <c r="D134" s="78">
        <f>(30)*(10.764)</f>
        <v>322.91999999999996</v>
      </c>
      <c r="E134" s="93">
        <f>(8.13)*(10.764)</f>
        <v>87.511319999999998</v>
      </c>
      <c r="F134" s="77">
        <f>D134+E134</f>
        <v>410.43131999999997</v>
      </c>
      <c r="G134" s="77">
        <v>0</v>
      </c>
      <c r="H134" s="77">
        <f>F134*(($H$129)+1)+(IF(G134&lt;101,G134,IF(G134&lt;201,G134/2,IF(G134&lt;=301,G134/3,G134/4))))</f>
        <v>595.12541399999998</v>
      </c>
      <c r="I134" s="31"/>
      <c r="J134" s="91">
        <f>1.85+2.9+2.9*1.2</f>
        <v>8.23</v>
      </c>
    </row>
    <row r="135" spans="1:14" s="76" customFormat="1" x14ac:dyDescent="0.25">
      <c r="A135" s="139">
        <f>A134+1</f>
        <v>2</v>
      </c>
      <c r="B135" s="139"/>
      <c r="C135" s="77" t="s">
        <v>375</v>
      </c>
      <c r="D135" s="78">
        <f>(47.94)*(10.764)</f>
        <v>516.02615999999989</v>
      </c>
      <c r="E135" s="93">
        <f>(8.79)*(10.764)</f>
        <v>94.615559999999988</v>
      </c>
      <c r="F135" s="77">
        <f>D135+E135</f>
        <v>610.64171999999985</v>
      </c>
      <c r="G135" s="77">
        <v>0</v>
      </c>
      <c r="H135" s="77">
        <f>F135*(($H$129)+1)+(IF(G135&lt;101,G135,IF(G135&lt;201,G135/2,IF(G135&lt;=301,G135/3,G135/4))))</f>
        <v>885.43049399999973</v>
      </c>
      <c r="I135" s="31">
        <f>(4.7*2.95+3.5*2.1+2.9*3.2+2.9*3.15+1.2*1.95+1.64*1.75+1.1*1.2)</f>
        <v>46.16</v>
      </c>
      <c r="J135" s="92">
        <f>2.95*1+2.1*1.15+2.9*1.2</f>
        <v>8.8450000000000006</v>
      </c>
      <c r="K135" s="80"/>
      <c r="N135" s="31"/>
    </row>
    <row r="136" spans="1:14" s="76" customFormat="1" x14ac:dyDescent="0.25">
      <c r="A136" s="108" t="s">
        <v>391</v>
      </c>
      <c r="B136" s="110"/>
      <c r="C136" s="139" t="s">
        <v>396</v>
      </c>
      <c r="D136" s="139"/>
      <c r="E136" s="139"/>
      <c r="F136" s="139"/>
      <c r="G136" s="139"/>
      <c r="H136" s="88" t="s">
        <v>391</v>
      </c>
      <c r="K136" s="80"/>
      <c r="N136" s="31"/>
    </row>
    <row r="137" spans="1:14" s="76" customFormat="1" x14ac:dyDescent="0.25">
      <c r="A137" s="230" t="s">
        <v>380</v>
      </c>
      <c r="B137" s="231"/>
      <c r="C137" s="231"/>
      <c r="D137" s="231"/>
      <c r="E137" s="231"/>
      <c r="F137" s="231"/>
      <c r="G137" s="231"/>
      <c r="H137" s="232"/>
      <c r="I137" s="31"/>
      <c r="J137" s="80"/>
      <c r="K137" s="80"/>
    </row>
    <row r="138" spans="1:14" s="76" customFormat="1" ht="15.75" customHeight="1" x14ac:dyDescent="0.25">
      <c r="A138" s="106">
        <v>1</v>
      </c>
      <c r="B138" s="107"/>
      <c r="C138" s="77" t="s">
        <v>376</v>
      </c>
      <c r="D138" s="78">
        <f>(29.83)*(10.764)</f>
        <v>321.09011999999996</v>
      </c>
      <c r="E138" s="78">
        <f>(0.75*(1.85+2.9+2.9)+3.94)*(10.764)</f>
        <v>104.16861</v>
      </c>
      <c r="F138" s="77">
        <f t="shared" ref="F138:F143" si="14">D138+E138</f>
        <v>425.25872999999996</v>
      </c>
      <c r="G138" s="77">
        <v>0</v>
      </c>
      <c r="H138" s="77">
        <f t="shared" ref="H138:H143" si="15">F138*(($H$129)+1)+(IF(G138&lt;101,G138,IF(G138&lt;201,G138/2,IF(G138&lt;=301,G138/3,G138/4))))</f>
        <v>616.62515849999988</v>
      </c>
      <c r="I138" s="31">
        <f>3.92*2.9+1.9*1.85+2.9*4.1+1.9*1.25+1.05*1.1+1.1*1.1+1.4*0.9</f>
        <v>32.773000000000003</v>
      </c>
      <c r="J138" s="80">
        <f>2.9*1.36</f>
        <v>3.944</v>
      </c>
      <c r="K138" s="79">
        <f>I138-J138</f>
        <v>28.829000000000004</v>
      </c>
      <c r="L138" s="80"/>
      <c r="M138" s="80"/>
    </row>
    <row r="139" spans="1:14" s="76" customFormat="1" ht="15.75" customHeight="1" x14ac:dyDescent="0.25">
      <c r="A139" s="106">
        <f>A138+1</f>
        <v>2</v>
      </c>
      <c r="B139" s="107"/>
      <c r="C139" s="77" t="s">
        <v>375</v>
      </c>
      <c r="D139" s="78">
        <f>(37.22)*(10.764)</f>
        <v>400.63607999999994</v>
      </c>
      <c r="E139" s="78">
        <f>(0.75*(2.95+2.1+2.9)+10.72)*(10.764)</f>
        <v>179.57042999999999</v>
      </c>
      <c r="F139" s="77">
        <f t="shared" si="14"/>
        <v>580.20650999999998</v>
      </c>
      <c r="G139" s="77">
        <v>0</v>
      </c>
      <c r="H139" s="77">
        <f t="shared" si="15"/>
        <v>841.29943949999995</v>
      </c>
      <c r="I139" s="31"/>
      <c r="J139" s="80">
        <f>2.95*1.56+1.06*2.9+1.05*2.9</f>
        <v>10.721</v>
      </c>
      <c r="K139" s="81"/>
      <c r="L139" s="80"/>
      <c r="M139" s="80"/>
    </row>
    <row r="140" spans="1:14" s="76" customFormat="1" ht="15.75" customHeight="1" x14ac:dyDescent="0.25">
      <c r="A140" s="106">
        <f>A139+1</f>
        <v>3</v>
      </c>
      <c r="B140" s="107"/>
      <c r="C140" s="77" t="s">
        <v>375</v>
      </c>
      <c r="D140" s="78">
        <f>(40)*(10.764)</f>
        <v>430.55999999999995</v>
      </c>
      <c r="E140" s="78">
        <f>(0.75*(2.95+2.95+2.75)+14.45)*(10.764)</f>
        <v>225.37124999999997</v>
      </c>
      <c r="F140" s="77">
        <f t="shared" si="14"/>
        <v>655.93124999999986</v>
      </c>
      <c r="G140" s="77">
        <v>0</v>
      </c>
      <c r="H140" s="77">
        <f t="shared" si="15"/>
        <v>951.10031249999975</v>
      </c>
      <c r="I140" s="31"/>
      <c r="J140" s="80"/>
      <c r="K140" s="81"/>
      <c r="L140" s="80">
        <f>2502500/H143</f>
        <v>4067.9055795371801</v>
      </c>
      <c r="M140" s="80"/>
    </row>
    <row r="141" spans="1:14" s="76" customFormat="1" ht="15.75" customHeight="1" x14ac:dyDescent="0.25">
      <c r="A141" s="106">
        <f>A140+1</f>
        <v>4</v>
      </c>
      <c r="B141" s="107"/>
      <c r="C141" s="77" t="s">
        <v>377</v>
      </c>
      <c r="D141" s="93">
        <f>(72.06)*(10.764)</f>
        <v>775.65383999999995</v>
      </c>
      <c r="E141" s="78">
        <f>(0.75*(2.75)+12.57)*(10.764)</f>
        <v>157.50423000000001</v>
      </c>
      <c r="F141" s="77">
        <f t="shared" si="14"/>
        <v>933.15806999999995</v>
      </c>
      <c r="G141" s="77">
        <v>0</v>
      </c>
      <c r="H141" s="77">
        <f t="shared" si="15"/>
        <v>1353.0792015</v>
      </c>
      <c r="I141" s="31">
        <f>(3.19*5.25+2.84*2.45+2.75*4.2+3.32*2.8+3.86*2.75+1.69*1.6+2.1*1.25+1.25*2.1+0.9*2.6+2.7*1.7+0.9*3.2)</f>
        <v>72.930499999999995</v>
      </c>
      <c r="J141" s="91">
        <f>2.8+2.75*1.2+2.2*1.2+3.19*1.2</f>
        <v>12.568</v>
      </c>
      <c r="K141" s="81"/>
      <c r="L141" s="80"/>
      <c r="M141" s="80"/>
    </row>
    <row r="142" spans="1:14" s="76" customFormat="1" ht="15.75" customHeight="1" x14ac:dyDescent="0.25">
      <c r="A142" s="106">
        <f>A141+1</f>
        <v>5</v>
      </c>
      <c r="B142" s="107"/>
      <c r="C142" s="77" t="s">
        <v>377</v>
      </c>
      <c r="D142" s="93">
        <f>(73.91)*(10.764)</f>
        <v>795.56723999999997</v>
      </c>
      <c r="E142" s="78">
        <f>(0.75*2.75+10.31)*(10.764)</f>
        <v>133.17759000000001</v>
      </c>
      <c r="F142" s="77">
        <f t="shared" si="14"/>
        <v>928.74482999999998</v>
      </c>
      <c r="G142" s="77">
        <v>0</v>
      </c>
      <c r="H142" s="77">
        <f t="shared" si="15"/>
        <v>1346.6800034999999</v>
      </c>
      <c r="I142" s="31"/>
      <c r="J142" s="80"/>
      <c r="K142" s="81"/>
      <c r="L142" s="80"/>
      <c r="M142" s="80"/>
    </row>
    <row r="143" spans="1:14" s="76" customFormat="1" ht="15.75" customHeight="1" x14ac:dyDescent="0.25">
      <c r="A143" s="106">
        <f>A142+1</f>
        <v>6</v>
      </c>
      <c r="B143" s="107"/>
      <c r="C143" s="77" t="s">
        <v>376</v>
      </c>
      <c r="D143" s="78">
        <f>(27.94)*(10.764)</f>
        <v>300.74615999999997</v>
      </c>
      <c r="E143" s="78">
        <f>(7.2+0.75*(2.95+2.75))*(10.764)</f>
        <v>123.51690000000001</v>
      </c>
      <c r="F143" s="77">
        <f t="shared" si="14"/>
        <v>424.26306</v>
      </c>
      <c r="G143" s="77">
        <v>0</v>
      </c>
      <c r="H143" s="77">
        <f t="shared" si="15"/>
        <v>615.18143699999996</v>
      </c>
      <c r="I143" s="31">
        <f>(2.98*2.95+2.3*2.55+2.06*2.75+1.2*1.25+2.1*1.2+0.8*2.6)</f>
        <v>26.420999999999999</v>
      </c>
      <c r="J143" s="79"/>
      <c r="K143" s="81"/>
      <c r="L143" s="80"/>
      <c r="M143" s="80"/>
    </row>
    <row r="144" spans="1:14" s="32" customFormat="1" hidden="1" x14ac:dyDescent="0.25">
      <c r="A144" s="108" t="s">
        <v>114</v>
      </c>
      <c r="B144" s="109"/>
      <c r="C144" s="109"/>
      <c r="D144" s="109"/>
      <c r="E144" s="109"/>
      <c r="F144" s="109"/>
      <c r="G144" s="109"/>
      <c r="H144" s="110"/>
      <c r="J144" s="79"/>
      <c r="K144" s="80"/>
      <c r="L144" s="80"/>
      <c r="M144" s="80"/>
    </row>
    <row r="145" spans="1:20" s="32" customFormat="1" ht="15.75" hidden="1" customHeight="1" x14ac:dyDescent="0.25">
      <c r="A145" s="106">
        <v>1</v>
      </c>
      <c r="B145" s="107"/>
      <c r="C145" s="37"/>
      <c r="D145" s="37"/>
      <c r="E145" s="37">
        <v>0</v>
      </c>
      <c r="F145" s="37">
        <f>D145+E145</f>
        <v>0</v>
      </c>
      <c r="G145" s="46">
        <v>0</v>
      </c>
      <c r="H145" s="46">
        <f>F145*(($H$129)+1)+(IF(G145&lt;101,G145,IF(G145&lt;201,G145/2,IF(G145&lt;=301,G145/3,G145/4))))</f>
        <v>0</v>
      </c>
      <c r="I145" s="31"/>
      <c r="J145" s="80"/>
      <c r="K145" s="80"/>
      <c r="L145" s="234"/>
      <c r="M145" s="234"/>
      <c r="N145" s="31"/>
    </row>
    <row r="146" spans="1:20" s="32" customFormat="1" ht="15.75" hidden="1" customHeight="1" x14ac:dyDescent="0.25">
      <c r="A146" s="106">
        <f>A145+1</f>
        <v>2</v>
      </c>
      <c r="B146" s="107"/>
      <c r="C146" s="37"/>
      <c r="D146" s="37"/>
      <c r="E146" s="37">
        <v>0</v>
      </c>
      <c r="F146" s="46">
        <f>D146+E146</f>
        <v>0</v>
      </c>
      <c r="G146" s="46">
        <v>0</v>
      </c>
      <c r="H146" s="46">
        <f>F146*(($H$129)+1)+(IF(G146&lt;101,G146,IF(G146&lt;201,G146/2,IF(G146&lt;=301,G146/3,G146/4))))</f>
        <v>0</v>
      </c>
      <c r="I146" s="31"/>
      <c r="L146" s="206"/>
      <c r="M146" s="206"/>
      <c r="N146" s="31"/>
    </row>
    <row r="147" spans="1:20" s="32" customFormat="1" ht="15.75" hidden="1" customHeight="1" x14ac:dyDescent="0.25">
      <c r="A147" s="106">
        <f>A146+1</f>
        <v>3</v>
      </c>
      <c r="B147" s="107"/>
      <c r="C147" s="37"/>
      <c r="D147" s="37"/>
      <c r="E147" s="37">
        <v>0</v>
      </c>
      <c r="F147" s="46">
        <f>D147+E147</f>
        <v>0</v>
      </c>
      <c r="G147" s="46">
        <v>0</v>
      </c>
      <c r="H147" s="46">
        <f>F147*(($H$129)+1)+(IF(G147&lt;101,G147,IF(G147&lt;201,G147/2,IF(G147&lt;=301,G147/3,G147/4))))</f>
        <v>0</v>
      </c>
      <c r="I147" s="31"/>
      <c r="L147" s="206"/>
      <c r="M147" s="206"/>
      <c r="N147" s="31"/>
    </row>
    <row r="148" spans="1:20" s="32" customFormat="1" ht="15.75" hidden="1" customHeight="1" x14ac:dyDescent="0.25">
      <c r="A148" s="106">
        <f>A147+1</f>
        <v>4</v>
      </c>
      <c r="B148" s="107"/>
      <c r="C148" s="37"/>
      <c r="D148" s="37"/>
      <c r="E148" s="37">
        <v>0</v>
      </c>
      <c r="F148" s="46">
        <f>D148+E148</f>
        <v>0</v>
      </c>
      <c r="G148" s="46">
        <v>0</v>
      </c>
      <c r="H148" s="46">
        <f>F148*(($H$129)+1)+(IF(G148&lt;101,G148,IF(G148&lt;201,G148/2,IF(G148&lt;=301,G148/3,G148/4))))</f>
        <v>0</v>
      </c>
      <c r="I148" s="31"/>
      <c r="L148" s="206"/>
      <c r="M148" s="206"/>
      <c r="N148" s="31"/>
      <c r="T148" s="16"/>
    </row>
    <row r="149" spans="1:20" s="32" customFormat="1" hidden="1" x14ac:dyDescent="0.25">
      <c r="A149" s="160" t="s">
        <v>115</v>
      </c>
      <c r="B149" s="160"/>
      <c r="C149" s="160"/>
      <c r="D149" s="160"/>
      <c r="E149" s="160"/>
      <c r="F149" s="160"/>
      <c r="G149" s="160"/>
      <c r="H149" s="160"/>
      <c r="I149" s="31"/>
      <c r="L149" s="206"/>
      <c r="M149" s="206"/>
    </row>
    <row r="150" spans="1:20" s="32" customFormat="1" hidden="1" x14ac:dyDescent="0.25">
      <c r="A150" s="139">
        <f>LEFT(A149,SUM(LEN(A149)-LEN(SUBSTITUTE(A149,{"0","1","2","3","4","5","6","7","8","9"},""))))*100+1</f>
        <v>201</v>
      </c>
      <c r="B150" s="139"/>
      <c r="C150" s="37"/>
      <c r="D150" s="37"/>
      <c r="E150" s="46">
        <v>0</v>
      </c>
      <c r="F150" s="46">
        <f>D150+E150</f>
        <v>0</v>
      </c>
      <c r="G150" s="46">
        <v>0</v>
      </c>
      <c r="H150" s="46">
        <f>F150*(($H$129)+1)+(IF(G150&lt;101,G150,IF(G150&lt;201,G150/2,IF(G150&lt;=301,G150/3,G150/4))))</f>
        <v>0</v>
      </c>
      <c r="I150" s="31"/>
      <c r="N150" s="31"/>
    </row>
    <row r="151" spans="1:20" s="32" customFormat="1" hidden="1" x14ac:dyDescent="0.25">
      <c r="A151" s="139">
        <f>A150+1</f>
        <v>202</v>
      </c>
      <c r="B151" s="139"/>
      <c r="C151" s="37"/>
      <c r="D151" s="37"/>
      <c r="E151" s="46">
        <v>0</v>
      </c>
      <c r="F151" s="46">
        <f>D151+E151</f>
        <v>0</v>
      </c>
      <c r="G151" s="46">
        <v>0</v>
      </c>
      <c r="H151" s="46">
        <f>F151*(($H$129)+1)+(IF(G151&lt;101,G151,IF(G151&lt;201,G151/2,IF(G151&lt;=301,G151/3,G151/4))))</f>
        <v>0</v>
      </c>
      <c r="I151" s="31"/>
      <c r="N151" s="31"/>
    </row>
    <row r="152" spans="1:20" s="32" customFormat="1" hidden="1" x14ac:dyDescent="0.25">
      <c r="A152" s="139">
        <f>A151+1</f>
        <v>203</v>
      </c>
      <c r="B152" s="139"/>
      <c r="C152" s="37"/>
      <c r="D152" s="37"/>
      <c r="E152" s="46">
        <v>0</v>
      </c>
      <c r="F152" s="46">
        <f>D152+E152</f>
        <v>0</v>
      </c>
      <c r="G152" s="46">
        <v>0</v>
      </c>
      <c r="H152" s="46">
        <f>F152*(($H$129)+1)+(IF(G152&lt;101,G152,IF(G152&lt;201,G152/2,IF(G152&lt;=301,G152/3,G152/4))))</f>
        <v>0</v>
      </c>
      <c r="I152" s="31"/>
      <c r="N152" s="31"/>
    </row>
    <row r="153" spans="1:20" s="32" customFormat="1" hidden="1" x14ac:dyDescent="0.25">
      <c r="A153" s="139">
        <f>A152+1</f>
        <v>204</v>
      </c>
      <c r="B153" s="139"/>
      <c r="C153" s="37"/>
      <c r="D153" s="37"/>
      <c r="E153" s="46">
        <v>0</v>
      </c>
      <c r="F153" s="46">
        <f>D153+E153</f>
        <v>0</v>
      </c>
      <c r="G153" s="46">
        <v>0</v>
      </c>
      <c r="H153" s="46">
        <f>F153*(($H$129)+1)+(IF(G153&lt;101,G153,IF(G153&lt;201,G153/2,IF(G153&lt;=301,G153/3,G153/4))))</f>
        <v>0</v>
      </c>
      <c r="I153" s="31"/>
      <c r="N153" s="31"/>
    </row>
    <row r="154" spans="1:20" s="32" customFormat="1" hidden="1" x14ac:dyDescent="0.25">
      <c r="A154" s="139">
        <f>A153+1</f>
        <v>205</v>
      </c>
      <c r="B154" s="139"/>
      <c r="C154" s="37"/>
      <c r="D154" s="37"/>
      <c r="E154" s="46">
        <v>0</v>
      </c>
      <c r="F154" s="46">
        <f>D154+E154</f>
        <v>0</v>
      </c>
      <c r="G154" s="46">
        <v>0</v>
      </c>
      <c r="H154" s="46">
        <f>F154*(($H$129)+1)+(IF(G154&lt;101,G154,IF(G154&lt;201,G154/2,IF(G154&lt;=301,G154/3,G154/4))))</f>
        <v>0</v>
      </c>
      <c r="I154" s="31"/>
      <c r="N154" s="31"/>
    </row>
    <row r="155" spans="1:20" s="32" customFormat="1" ht="15.75" hidden="1" customHeight="1" x14ac:dyDescent="0.25">
      <c r="A155" s="108" t="s">
        <v>149</v>
      </c>
      <c r="B155" s="109"/>
      <c r="C155" s="109"/>
      <c r="D155" s="109"/>
      <c r="E155" s="109"/>
      <c r="F155" s="109"/>
      <c r="G155" s="109"/>
      <c r="H155" s="110"/>
      <c r="I155" s="31"/>
    </row>
    <row r="156" spans="1:20" s="32" customFormat="1" ht="15.75" hidden="1" customHeight="1" x14ac:dyDescent="0.25">
      <c r="A156" s="106"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10^ROW(INDIRECT("1:"&amp;LEN((LEFT(A155,SUM(LEN(A155)-LEN(SUBSTITUTE(A155,{"0","1","2"},""))))))))/10))*100+1&amp;""&amp;" ,..,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301 ,.., 1501</v>
      </c>
      <c r="B156" s="107"/>
      <c r="C156" s="37"/>
      <c r="D156" s="37"/>
      <c r="E156" s="46">
        <v>0</v>
      </c>
      <c r="F156" s="46">
        <f>D156+E156</f>
        <v>0</v>
      </c>
      <c r="G156" s="46">
        <v>0</v>
      </c>
      <c r="H156" s="46">
        <f>F156*(($H$129)+1)+(IF(G156&lt;101,G156,IF(G156&lt;201,G156/2,IF(G156&lt;=301,G156/3,G156/4))))</f>
        <v>0</v>
      </c>
      <c r="I156" s="31"/>
    </row>
    <row r="157" spans="1:20" s="32" customFormat="1" ht="15.75" hidden="1" customHeight="1" x14ac:dyDescent="0.25">
      <c r="A157" s="106"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302 ,.., 1502</v>
      </c>
      <c r="B157" s="107"/>
      <c r="C157" s="37"/>
      <c r="D157" s="37"/>
      <c r="E157" s="46">
        <v>0</v>
      </c>
      <c r="F157" s="46">
        <f>D157+E157</f>
        <v>0</v>
      </c>
      <c r="G157" s="46">
        <v>0</v>
      </c>
      <c r="H157" s="46">
        <f>F157*(($H$129)+1)+(IF(G157&lt;101,G157,IF(G157&lt;201,G157/2,IF(G157&lt;=301,G157/3,G157/4))))</f>
        <v>0</v>
      </c>
      <c r="I157" s="31"/>
    </row>
    <row r="158" spans="1:20" s="32" customFormat="1" ht="15.75" hidden="1" customHeight="1" x14ac:dyDescent="0.25">
      <c r="A158" s="106"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303 ,.., 1503</v>
      </c>
      <c r="B158" s="107"/>
      <c r="C158" s="37"/>
      <c r="D158" s="37"/>
      <c r="E158" s="46">
        <v>0</v>
      </c>
      <c r="F158" s="46">
        <f>D158+E158</f>
        <v>0</v>
      </c>
      <c r="G158" s="46">
        <v>0</v>
      </c>
      <c r="H158" s="46">
        <f>F158*(($H$129)+1)+(IF(G158&lt;101,G158,IF(G158&lt;201,G158/2,IF(G158&lt;=301,G158/3,G158/4))))</f>
        <v>0</v>
      </c>
      <c r="I158" s="31"/>
    </row>
    <row r="159" spans="1:20" s="32" customFormat="1" ht="15.75" hidden="1" customHeight="1" x14ac:dyDescent="0.25">
      <c r="A159" s="106"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304 ,.., 1504</v>
      </c>
      <c r="B159" s="107"/>
      <c r="C159" s="37"/>
      <c r="D159" s="37"/>
      <c r="E159" s="46">
        <v>0</v>
      </c>
      <c r="F159" s="46">
        <f>D159+E159</f>
        <v>0</v>
      </c>
      <c r="G159" s="46">
        <v>0</v>
      </c>
      <c r="H159" s="46">
        <f>F159*(($H$129)+1)+(IF(G159&lt;101,G159,IF(G159&lt;201,G159/2,IF(G159&lt;=301,G159/3,G159/4))))</f>
        <v>0</v>
      </c>
      <c r="I159" s="31"/>
    </row>
    <row r="160" spans="1:20" s="32" customFormat="1" ht="15.75" hidden="1" customHeight="1" x14ac:dyDescent="0.25">
      <c r="A160" s="106"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305 ,.., 1505</v>
      </c>
      <c r="B160" s="107"/>
      <c r="C160" s="37"/>
      <c r="D160" s="37"/>
      <c r="E160" s="46">
        <v>0</v>
      </c>
      <c r="F160" s="46">
        <f>D160+E160</f>
        <v>0</v>
      </c>
      <c r="G160" s="46">
        <v>0</v>
      </c>
      <c r="H160" s="46">
        <f>F160*(($H$129)+1)+(IF(G160&lt;101,G160,IF(G160&lt;201,G160/2,IF(G160&lt;=301,G160/3,G160/4))))</f>
        <v>0</v>
      </c>
      <c r="I160" s="31"/>
    </row>
    <row r="161" spans="1:20" s="32" customFormat="1" hidden="1" x14ac:dyDescent="0.25">
      <c r="A161" s="108" t="s">
        <v>143</v>
      </c>
      <c r="B161" s="109"/>
      <c r="C161" s="109"/>
      <c r="D161" s="109"/>
      <c r="E161" s="109"/>
      <c r="F161" s="109"/>
      <c r="G161" s="109"/>
      <c r="H161" s="110"/>
      <c r="I161" s="31"/>
    </row>
    <row r="162" spans="1:20" s="32" customFormat="1" ht="15.75" hidden="1" customHeight="1" x14ac:dyDescent="0.25">
      <c r="A162" s="106"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10^ROW(INDIRECT("1:"&amp;LEN((LEFT(A161,SUM(LEN(A161)-LEN(SUBSTITUTE(A161,{"0","1","2"},""))))))))/10))*100+1&amp;""&amp;" to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201 to 501</v>
      </c>
      <c r="B162" s="107"/>
      <c r="C162" s="37"/>
      <c r="D162" s="37"/>
      <c r="E162" s="46">
        <v>0</v>
      </c>
      <c r="F162" s="46">
        <f>D162+E162</f>
        <v>0</v>
      </c>
      <c r="G162" s="46">
        <v>0</v>
      </c>
      <c r="H162" s="46">
        <f>F162*(($H$129)+1)+(IF(G162&lt;101,G162,IF(G162&lt;201,G162/2,IF(G162&lt;=301,G162/3,G162/4))))</f>
        <v>0</v>
      </c>
      <c r="I162" s="31"/>
    </row>
    <row r="163" spans="1:20" s="32" customFormat="1" ht="15.75" hidden="1" customHeight="1" x14ac:dyDescent="0.25">
      <c r="A163" s="106"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to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202 to 502</v>
      </c>
      <c r="B163" s="107"/>
      <c r="C163" s="37"/>
      <c r="D163" s="37"/>
      <c r="E163" s="46">
        <v>0</v>
      </c>
      <c r="F163" s="46">
        <f>D163+E163</f>
        <v>0</v>
      </c>
      <c r="G163" s="46">
        <v>0</v>
      </c>
      <c r="H163" s="46">
        <f>F163*(($H$129)+1)+(IF(G163&lt;101,G163,IF(G163&lt;201,G163/2,IF(G163&lt;=301,G163/3,G163/4))))</f>
        <v>0</v>
      </c>
      <c r="I163" s="31"/>
    </row>
    <row r="164" spans="1:20" s="32" customFormat="1" ht="15.75" hidden="1" customHeight="1" x14ac:dyDescent="0.25">
      <c r="A164" s="106"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203 to 503</v>
      </c>
      <c r="B164" s="107"/>
      <c r="C164" s="37"/>
      <c r="D164" s="37"/>
      <c r="E164" s="46">
        <v>0</v>
      </c>
      <c r="F164" s="46">
        <f>D164+E164</f>
        <v>0</v>
      </c>
      <c r="G164" s="46">
        <v>0</v>
      </c>
      <c r="H164" s="46">
        <f>F164*(($H$129)+1)+(IF(G164&lt;101,G164,IF(G164&lt;201,G164/2,IF(G164&lt;=301,G164/3,G164/4))))</f>
        <v>0</v>
      </c>
      <c r="I164" s="31"/>
    </row>
    <row r="165" spans="1:20" s="32" customFormat="1" ht="15.75" hidden="1" customHeight="1" x14ac:dyDescent="0.25">
      <c r="A165" s="106"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10^ROW(INDIRECT("1:"&amp;LEN((LEFT(A164,SUM(LEN(A164)-LEN(SUBSTITUTE(A164,{"0","1","2"},""))))))))/10))*1+1&amp;""&amp;" to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",LEN(A164))),LEN(A164)))))))/10))*1+1</f>
        <v>204 to 504</v>
      </c>
      <c r="B165" s="107"/>
      <c r="C165" s="37"/>
      <c r="D165" s="37"/>
      <c r="E165" s="46">
        <v>0</v>
      </c>
      <c r="F165" s="46">
        <f>D165+E165</f>
        <v>0</v>
      </c>
      <c r="G165" s="46">
        <v>0</v>
      </c>
      <c r="H165" s="46">
        <f>F165*(($H$129)+1)+(IF(G165&lt;101,G165,IF(G165&lt;201,G165/2,IF(G165&lt;=301,G165/3,G165/4))))</f>
        <v>0</v>
      </c>
      <c r="I165" s="31"/>
    </row>
    <row r="166" spans="1:20" s="32" customFormat="1" ht="15.75" hidden="1" customHeight="1" x14ac:dyDescent="0.25">
      <c r="A166" s="106"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to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205 to 505</v>
      </c>
      <c r="B166" s="107"/>
      <c r="C166" s="37"/>
      <c r="D166" s="37"/>
      <c r="E166" s="46">
        <v>0</v>
      </c>
      <c r="F166" s="46">
        <f>D166+E166</f>
        <v>0</v>
      </c>
      <c r="G166" s="46">
        <v>0</v>
      </c>
      <c r="H166" s="46">
        <f>F166*(($H$129)+1)+(IF(G166&lt;101,G166,IF(G166&lt;201,G166/2,IF(G166&lt;=301,G166/3,G166/4))))</f>
        <v>0</v>
      </c>
      <c r="I166" s="31"/>
    </row>
    <row r="167" spans="1:20" s="32" customFormat="1" hidden="1" x14ac:dyDescent="0.25">
      <c r="A167" s="108" t="s">
        <v>144</v>
      </c>
      <c r="B167" s="109"/>
      <c r="C167" s="109"/>
      <c r="D167" s="109"/>
      <c r="E167" s="109"/>
      <c r="F167" s="109"/>
      <c r="G167" s="109"/>
      <c r="H167" s="110"/>
      <c r="I167" s="31"/>
    </row>
    <row r="168" spans="1:20" s="32" customFormat="1" ht="15.75" hidden="1" customHeight="1" x14ac:dyDescent="0.25">
      <c r="A168" s="106"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10^ROW(INDIRECT("1:"&amp;LEN((LEFT(A167,SUM(LEN(A167)-LEN(SUBSTITUTE(A167,{"0","1","2"},""))))))))/10))*100+1&amp;""&amp;" &amp;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",LEN(A167))),LEN(A167)))))))/10))*100+1</f>
        <v>201 &amp; 501</v>
      </c>
      <c r="B168" s="107"/>
      <c r="C168" s="37"/>
      <c r="D168" s="37"/>
      <c r="E168" s="46">
        <v>0</v>
      </c>
      <c r="F168" s="46">
        <f>D168+E168</f>
        <v>0</v>
      </c>
      <c r="G168" s="46">
        <v>0</v>
      </c>
      <c r="H168" s="46">
        <f>F168*(($H$129)+1)+(IF(G168&lt;101,G168,IF(G168&lt;201,G168/2,IF(G168&lt;=301,G168/3,G168/4))))</f>
        <v>0</v>
      </c>
      <c r="I168" s="31"/>
    </row>
    <row r="169" spans="1:20" s="32" customFormat="1" ht="15.75" hidden="1" customHeight="1" x14ac:dyDescent="0.25">
      <c r="A169" s="106"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&amp;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202 &amp; 502</v>
      </c>
      <c r="B169" s="107"/>
      <c r="C169" s="37"/>
      <c r="D169" s="37"/>
      <c r="E169" s="46">
        <v>0</v>
      </c>
      <c r="F169" s="46">
        <f>D169+E169</f>
        <v>0</v>
      </c>
      <c r="G169" s="46">
        <v>0</v>
      </c>
      <c r="H169" s="46">
        <f>F169*(($H$129)+1)+(IF(G169&lt;101,G169,IF(G169&lt;201,G169/2,IF(G169&lt;=301,G169/3,G169/4))))</f>
        <v>0</v>
      </c>
      <c r="I169" s="31"/>
    </row>
    <row r="170" spans="1:20" s="32" customFormat="1" ht="15.75" hidden="1" customHeight="1" x14ac:dyDescent="0.25">
      <c r="A170" s="106"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&amp;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203 &amp; 503</v>
      </c>
      <c r="B170" s="107"/>
      <c r="C170" s="37"/>
      <c r="D170" s="37"/>
      <c r="E170" s="46">
        <v>0</v>
      </c>
      <c r="F170" s="46">
        <f>D170+E170</f>
        <v>0</v>
      </c>
      <c r="G170" s="46">
        <v>0</v>
      </c>
      <c r="H170" s="46">
        <f>F170*(($H$129)+1)+(IF(G170&lt;101,G170,IF(G170&lt;201,G170/2,IF(G170&lt;=301,G170/3,G170/4))))</f>
        <v>0</v>
      </c>
      <c r="I170" s="31"/>
    </row>
    <row r="171" spans="1:20" s="32" customFormat="1" ht="15.75" hidden="1" customHeight="1" x14ac:dyDescent="0.25">
      <c r="A171" s="106"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&amp;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204 &amp; 504</v>
      </c>
      <c r="B171" s="107"/>
      <c r="C171" s="37"/>
      <c r="D171" s="37"/>
      <c r="E171" s="46">
        <v>0</v>
      </c>
      <c r="F171" s="46">
        <f>D171+E171</f>
        <v>0</v>
      </c>
      <c r="G171" s="46">
        <v>0</v>
      </c>
      <c r="H171" s="46">
        <f>F171*(($H$129)+1)+(IF(G171&lt;101,G171,IF(G171&lt;201,G171/2,IF(G171&lt;=301,G171/3,G171/4))))</f>
        <v>0</v>
      </c>
      <c r="I171" s="31"/>
    </row>
    <row r="172" spans="1:20" s="32" customFormat="1" ht="15.75" hidden="1" customHeight="1" x14ac:dyDescent="0.25">
      <c r="A172" s="106"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&amp;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205 &amp; 505</v>
      </c>
      <c r="B172" s="107"/>
      <c r="C172" s="37"/>
      <c r="D172" s="37"/>
      <c r="E172" s="46">
        <v>0</v>
      </c>
      <c r="F172" s="46">
        <f>D172+E172</f>
        <v>0</v>
      </c>
      <c r="G172" s="46">
        <v>0</v>
      </c>
      <c r="H172" s="46">
        <f>F172*(($H$129)+1)+(IF(G172&lt;101,G172,IF(G172&lt;201,G172/2,IF(G172&lt;=301,G172/3,G172/4))))</f>
        <v>0</v>
      </c>
      <c r="I172" s="31"/>
    </row>
    <row r="173" spans="1:20" s="30" customFormat="1" x14ac:dyDescent="0.25">
      <c r="A173" s="105" t="s">
        <v>64</v>
      </c>
      <c r="B173" s="105"/>
      <c r="C173" s="105"/>
      <c r="D173" s="105"/>
      <c r="E173" s="105"/>
      <c r="F173" s="105"/>
      <c r="G173" s="105"/>
      <c r="H173" s="105"/>
      <c r="T173" s="32"/>
    </row>
    <row r="174" spans="1:20" s="30" customFormat="1" x14ac:dyDescent="0.25">
      <c r="A174" s="96" t="s">
        <v>153</v>
      </c>
      <c r="B174" s="233" t="s">
        <v>407</v>
      </c>
      <c r="C174" s="233"/>
      <c r="D174" s="233"/>
      <c r="E174" s="233"/>
      <c r="F174" s="233"/>
      <c r="G174" s="233"/>
      <c r="H174" s="233"/>
      <c r="T174" s="32"/>
    </row>
    <row r="175" spans="1:20" s="30" customFormat="1" x14ac:dyDescent="0.25">
      <c r="A175" s="96" t="s">
        <v>153</v>
      </c>
      <c r="B175" s="233" t="str">
        <f>(IF(H128="Saleable area Loading :","We have considered Saleable area of Flats as per our Calculation.","We considered Saleable area of Flat as per Builder area Sheet."))</f>
        <v>We have considered Saleable area of Flats as per our Calculation.</v>
      </c>
      <c r="C175" s="233"/>
      <c r="D175" s="233"/>
      <c r="E175" s="233"/>
      <c r="F175" s="233"/>
      <c r="G175" s="233"/>
      <c r="H175" s="233"/>
      <c r="T175" s="32"/>
    </row>
    <row r="176" spans="1:20" s="30" customFormat="1" x14ac:dyDescent="0.25">
      <c r="A176" s="96" t="s">
        <v>153</v>
      </c>
      <c r="B176" s="233" t="str">
        <f>(IF(H112="Saleable area Loading :","We have considered Saleable area of Commercial as per our Calculation.","We considered Saleable area of Commercial as per Builder area Sheet."))</f>
        <v>We have considered Saleable area of Commercial as per our Calculation.</v>
      </c>
      <c r="C176" s="233"/>
      <c r="D176" s="233"/>
      <c r="E176" s="233"/>
      <c r="F176" s="233"/>
      <c r="G176" s="233"/>
      <c r="H176" s="233"/>
      <c r="T176" s="32"/>
    </row>
    <row r="177" spans="1:20" s="30" customFormat="1" x14ac:dyDescent="0.25">
      <c r="A177" s="96" t="s">
        <v>153</v>
      </c>
      <c r="B177" s="142" t="s">
        <v>120</v>
      </c>
      <c r="C177" s="142"/>
      <c r="D177" s="142"/>
      <c r="E177" s="142"/>
      <c r="F177" s="142"/>
      <c r="G177" s="142"/>
      <c r="H177" s="142"/>
      <c r="T177" s="32"/>
    </row>
    <row r="178" spans="1:20" s="30" customFormat="1" x14ac:dyDescent="0.25">
      <c r="A178" s="96" t="s">
        <v>153</v>
      </c>
      <c r="B178" s="142" t="s">
        <v>400</v>
      </c>
      <c r="C178" s="142"/>
      <c r="D178" s="142"/>
      <c r="E178" s="142"/>
      <c r="F178" s="142"/>
      <c r="G178" s="142"/>
      <c r="H178" s="142"/>
      <c r="T178" s="32"/>
    </row>
    <row r="179" spans="1:20" s="30" customFormat="1" x14ac:dyDescent="0.25">
      <c r="A179" s="96" t="s">
        <v>153</v>
      </c>
      <c r="B179" s="142" t="s">
        <v>152</v>
      </c>
      <c r="C179" s="142"/>
      <c r="D179" s="142"/>
      <c r="E179" s="142"/>
      <c r="F179" s="142"/>
      <c r="G179" s="142"/>
      <c r="H179" s="142"/>
    </row>
    <row r="180" spans="1:20" s="30" customFormat="1" x14ac:dyDescent="0.25">
      <c r="A180" s="96" t="s">
        <v>153</v>
      </c>
      <c r="B180" s="142" t="s">
        <v>121</v>
      </c>
      <c r="C180" s="142"/>
      <c r="D180" s="142"/>
      <c r="E180" s="142"/>
      <c r="F180" s="142"/>
      <c r="G180" s="142"/>
      <c r="H180" s="142"/>
    </row>
    <row r="181" spans="1:20" s="30" customFormat="1" ht="34.5" customHeight="1" x14ac:dyDescent="0.25">
      <c r="A181" s="96" t="s">
        <v>153</v>
      </c>
      <c r="B181" s="142" t="s">
        <v>154</v>
      </c>
      <c r="C181" s="142"/>
      <c r="D181" s="142"/>
      <c r="E181" s="142"/>
      <c r="F181" s="142"/>
      <c r="G181" s="142"/>
      <c r="H181" s="142"/>
    </row>
    <row r="182" spans="1:20" s="30" customFormat="1" x14ac:dyDescent="0.25">
      <c r="A182" s="75" t="s">
        <v>153</v>
      </c>
      <c r="B182" s="227" t="s">
        <v>122</v>
      </c>
      <c r="C182" s="228"/>
      <c r="D182" s="228"/>
      <c r="E182" s="228"/>
      <c r="F182" s="228"/>
      <c r="G182" s="228"/>
      <c r="H182" s="229"/>
    </row>
    <row r="183" spans="1:20" s="30" customFormat="1" ht="51" customHeight="1" x14ac:dyDescent="0.25">
      <c r="A183" s="39" t="s">
        <v>153</v>
      </c>
      <c r="B183" s="162" t="s">
        <v>405</v>
      </c>
      <c r="C183" s="163"/>
      <c r="D183" s="163"/>
      <c r="E183" s="163"/>
      <c r="F183" s="163"/>
      <c r="G183" s="163"/>
      <c r="H183" s="164"/>
    </row>
    <row r="184" spans="1:20" s="30" customFormat="1" x14ac:dyDescent="0.25">
      <c r="A184" s="43" t="s">
        <v>153</v>
      </c>
      <c r="B184" s="162" t="s">
        <v>406</v>
      </c>
      <c r="C184" s="163"/>
      <c r="D184" s="163"/>
      <c r="E184" s="163"/>
      <c r="F184" s="163"/>
      <c r="G184" s="163"/>
      <c r="H184" s="164"/>
    </row>
    <row r="185" spans="1:20" s="30" customFormat="1" hidden="1" x14ac:dyDescent="0.25">
      <c r="A185" s="47" t="s">
        <v>153</v>
      </c>
      <c r="B185" s="143" t="s">
        <v>232</v>
      </c>
      <c r="C185" s="144"/>
      <c r="D185" s="144"/>
      <c r="E185" s="144"/>
      <c r="F185" s="144"/>
      <c r="G185" s="144"/>
      <c r="H185" s="145"/>
    </row>
    <row r="186" spans="1:20" x14ac:dyDescent="0.25">
      <c r="A186" s="161" t="s">
        <v>57</v>
      </c>
      <c r="B186" s="161"/>
      <c r="C186" s="161"/>
      <c r="D186" s="161"/>
      <c r="E186" s="161"/>
      <c r="F186" s="161"/>
      <c r="G186" s="161"/>
      <c r="H186" s="161"/>
      <c r="T186" s="30"/>
    </row>
    <row r="187" spans="1:20" x14ac:dyDescent="0.25">
      <c r="A187" s="123" t="s">
        <v>58</v>
      </c>
      <c r="B187" s="123"/>
      <c r="C187" s="123"/>
      <c r="D187" s="123"/>
      <c r="E187" s="123"/>
      <c r="F187" s="123"/>
      <c r="G187" s="123"/>
      <c r="H187" s="123"/>
      <c r="T187" s="30"/>
    </row>
    <row r="188" spans="1:20" ht="15.75" customHeight="1" x14ac:dyDescent="0.25">
      <c r="A188" s="138" t="s">
        <v>59</v>
      </c>
      <c r="B188" s="138"/>
      <c r="C188" s="138"/>
      <c r="D188" s="138"/>
      <c r="E188" s="138"/>
      <c r="F188" s="138"/>
      <c r="G188" s="138"/>
      <c r="H188" s="138"/>
      <c r="T188" s="30"/>
    </row>
    <row r="189" spans="1:20" x14ac:dyDescent="0.25">
      <c r="A189" s="123" t="s">
        <v>60</v>
      </c>
      <c r="B189" s="123"/>
      <c r="C189" s="123"/>
      <c r="D189" s="123"/>
      <c r="E189" s="123"/>
      <c r="F189" s="123"/>
      <c r="G189" s="123"/>
      <c r="H189" s="123"/>
      <c r="T189" s="30"/>
    </row>
    <row r="190" spans="1:20" x14ac:dyDescent="0.25">
      <c r="A190" s="123" t="s">
        <v>61</v>
      </c>
      <c r="B190" s="123"/>
      <c r="C190" s="123"/>
      <c r="D190" s="123"/>
      <c r="E190" s="123"/>
      <c r="F190" s="123"/>
      <c r="G190" s="123"/>
      <c r="H190" s="123"/>
      <c r="T190" s="30"/>
    </row>
    <row r="191" spans="1:20" x14ac:dyDescent="0.25">
      <c r="A191" s="123" t="s">
        <v>123</v>
      </c>
      <c r="B191" s="123"/>
      <c r="C191" s="123"/>
      <c r="D191" s="123"/>
      <c r="E191" s="123"/>
      <c r="F191" s="123"/>
      <c r="G191" s="123"/>
      <c r="H191" s="123"/>
      <c r="T191" s="30"/>
    </row>
    <row r="192" spans="1:20" ht="33.950000000000003" customHeight="1" x14ac:dyDescent="0.25">
      <c r="A192" s="111" t="s">
        <v>124</v>
      </c>
      <c r="B192" s="111"/>
      <c r="C192" s="111"/>
      <c r="D192" s="111"/>
      <c r="E192" s="111"/>
      <c r="F192" s="111"/>
      <c r="G192" s="111"/>
      <c r="H192" s="111"/>
    </row>
    <row r="193" spans="1:8" x14ac:dyDescent="0.25">
      <c r="A193" s="157" t="s">
        <v>73</v>
      </c>
      <c r="B193" s="157"/>
      <c r="C193" s="157" t="s">
        <v>389</v>
      </c>
      <c r="D193" s="157"/>
      <c r="E193" s="157" t="s">
        <v>101</v>
      </c>
      <c r="F193" s="157"/>
      <c r="G193" s="157" t="s">
        <v>408</v>
      </c>
      <c r="H193" s="157"/>
    </row>
    <row r="194" spans="1:8" x14ac:dyDescent="0.25">
      <c r="A194" s="156" t="s">
        <v>75</v>
      </c>
      <c r="B194" s="156"/>
      <c r="C194" s="156"/>
      <c r="D194" s="156"/>
      <c r="E194" s="156"/>
      <c r="F194" s="156"/>
      <c r="G194" s="156"/>
      <c r="H194" s="156"/>
    </row>
    <row r="195" spans="1:8" x14ac:dyDescent="0.25">
      <c r="A195" s="156"/>
      <c r="B195" s="156"/>
      <c r="C195" s="156"/>
      <c r="D195" s="156"/>
      <c r="E195" s="156"/>
      <c r="F195" s="156"/>
      <c r="G195" s="156"/>
      <c r="H195" s="156"/>
    </row>
    <row r="196" spans="1:8" x14ac:dyDescent="0.25">
      <c r="A196" s="156"/>
      <c r="B196" s="156"/>
      <c r="C196" s="156"/>
      <c r="D196" s="156"/>
      <c r="E196" s="156"/>
      <c r="F196" s="156"/>
      <c r="G196" s="156"/>
      <c r="H196" s="156"/>
    </row>
    <row r="197" spans="1:8" x14ac:dyDescent="0.25">
      <c r="A197" s="156"/>
      <c r="B197" s="156"/>
      <c r="C197" s="156"/>
      <c r="D197" s="156"/>
      <c r="E197" s="156"/>
      <c r="F197" s="156"/>
      <c r="G197" s="156"/>
      <c r="H197" s="156"/>
    </row>
    <row r="198" spans="1:8" x14ac:dyDescent="0.25">
      <c r="A198" s="33" t="s">
        <v>62</v>
      </c>
      <c r="B198" s="34"/>
      <c r="C198" s="34"/>
      <c r="D198" s="33" t="str">
        <f>E9</f>
        <v>City Tower</v>
      </c>
      <c r="F198" s="34"/>
      <c r="G198" s="34"/>
      <c r="H198" s="34"/>
    </row>
    <row r="199" spans="1:8" x14ac:dyDescent="0.25">
      <c r="A199" s="34"/>
      <c r="B199" s="34"/>
      <c r="C199" s="34"/>
      <c r="D199" s="34"/>
      <c r="E199" s="34"/>
      <c r="F199" s="34"/>
      <c r="G199" s="34"/>
      <c r="H199" s="34"/>
    </row>
    <row r="200" spans="1:8" x14ac:dyDescent="0.25">
      <c r="A200" s="34"/>
      <c r="B200" s="34"/>
      <c r="C200" s="34"/>
      <c r="D200" s="34"/>
      <c r="E200" s="34"/>
      <c r="F200" s="34"/>
      <c r="G200" s="34"/>
      <c r="H200" s="34"/>
    </row>
    <row r="201" spans="1:8" ht="15" customHeight="1" x14ac:dyDescent="0.25"/>
    <row r="241" spans="1:1" x14ac:dyDescent="0.25">
      <c r="A241" s="36" t="s">
        <v>163</v>
      </c>
    </row>
    <row r="278" spans="1:1" x14ac:dyDescent="0.25">
      <c r="A278" s="36" t="s">
        <v>63</v>
      </c>
    </row>
  </sheetData>
  <mergeCells count="351">
    <mergeCell ref="L131:M131"/>
    <mergeCell ref="A142:B142"/>
    <mergeCell ref="A143:B143"/>
    <mergeCell ref="B182:H182"/>
    <mergeCell ref="A133:H133"/>
    <mergeCell ref="L133:M133"/>
    <mergeCell ref="A134:B134"/>
    <mergeCell ref="A135:B135"/>
    <mergeCell ref="A137:H137"/>
    <mergeCell ref="A138:B138"/>
    <mergeCell ref="A139:B139"/>
    <mergeCell ref="A140:B140"/>
    <mergeCell ref="A141:B141"/>
    <mergeCell ref="B176:H176"/>
    <mergeCell ref="A163:B163"/>
    <mergeCell ref="L149:M149"/>
    <mergeCell ref="L148:M148"/>
    <mergeCell ref="L145:M145"/>
    <mergeCell ref="L146:M146"/>
    <mergeCell ref="L147:M147"/>
    <mergeCell ref="B177:H177"/>
    <mergeCell ref="B174:H174"/>
    <mergeCell ref="B175:H175"/>
    <mergeCell ref="A75:B75"/>
    <mergeCell ref="A73:B73"/>
    <mergeCell ref="C73:H73"/>
    <mergeCell ref="A118:B118"/>
    <mergeCell ref="L118:M118"/>
    <mergeCell ref="A119:B119"/>
    <mergeCell ref="L119:M119"/>
    <mergeCell ref="A120:B120"/>
    <mergeCell ref="L120:M120"/>
    <mergeCell ref="L116:M116"/>
    <mergeCell ref="A117:B117"/>
    <mergeCell ref="L117:M117"/>
    <mergeCell ref="C112:C113"/>
    <mergeCell ref="E104:F104"/>
    <mergeCell ref="G104:H104"/>
    <mergeCell ref="G112:G113"/>
    <mergeCell ref="A79:B79"/>
    <mergeCell ref="E77:F86"/>
    <mergeCell ref="G77:H86"/>
    <mergeCell ref="A90:E90"/>
    <mergeCell ref="F90:H90"/>
    <mergeCell ref="A76:B76"/>
    <mergeCell ref="A84:B84"/>
    <mergeCell ref="C107:D107"/>
    <mergeCell ref="E107:F107"/>
    <mergeCell ref="G107:H107"/>
    <mergeCell ref="A88:E88"/>
    <mergeCell ref="A121:H121"/>
    <mergeCell ref="E112:E113"/>
    <mergeCell ref="F89:H89"/>
    <mergeCell ref="A89:E89"/>
    <mergeCell ref="D112:D113"/>
    <mergeCell ref="A92:E92"/>
    <mergeCell ref="A108:B108"/>
    <mergeCell ref="E108:F108"/>
    <mergeCell ref="A97:E97"/>
    <mergeCell ref="G108:H108"/>
    <mergeCell ref="C103:D103"/>
    <mergeCell ref="F87:H87"/>
    <mergeCell ref="A95:E95"/>
    <mergeCell ref="F91:H91"/>
    <mergeCell ref="L126:M126"/>
    <mergeCell ref="L125:M125"/>
    <mergeCell ref="L124:M124"/>
    <mergeCell ref="L123:M123"/>
    <mergeCell ref="C122:G122"/>
    <mergeCell ref="A122:B122"/>
    <mergeCell ref="H123:H124"/>
    <mergeCell ref="C123:G124"/>
    <mergeCell ref="A94:E94"/>
    <mergeCell ref="A91:E91"/>
    <mergeCell ref="C102:D102"/>
    <mergeCell ref="E102:F102"/>
    <mergeCell ref="C109:D109"/>
    <mergeCell ref="E109:F109"/>
    <mergeCell ref="A126:B126"/>
    <mergeCell ref="A125:B125"/>
    <mergeCell ref="C101:D101"/>
    <mergeCell ref="C108:D108"/>
    <mergeCell ref="A114:H114"/>
    <mergeCell ref="A115:H115"/>
    <mergeCell ref="A116:B116"/>
    <mergeCell ref="A40:B40"/>
    <mergeCell ref="C40:H40"/>
    <mergeCell ref="C55:H55"/>
    <mergeCell ref="C53:H53"/>
    <mergeCell ref="E103:F103"/>
    <mergeCell ref="G103:H103"/>
    <mergeCell ref="A104:B104"/>
    <mergeCell ref="C104:D104"/>
    <mergeCell ref="A93:E93"/>
    <mergeCell ref="F93:H93"/>
    <mergeCell ref="A66:C66"/>
    <mergeCell ref="A67:C67"/>
    <mergeCell ref="D66:H66"/>
    <mergeCell ref="D67:H67"/>
    <mergeCell ref="A68:C68"/>
    <mergeCell ref="D68:H68"/>
    <mergeCell ref="C75:H75"/>
    <mergeCell ref="A69:C69"/>
    <mergeCell ref="D69:H69"/>
    <mergeCell ref="A72:C72"/>
    <mergeCell ref="D72:H72"/>
    <mergeCell ref="A71:C71"/>
    <mergeCell ref="A87:E87"/>
    <mergeCell ref="F92:H92"/>
    <mergeCell ref="A38:H38"/>
    <mergeCell ref="A37:B37"/>
    <mergeCell ref="C37:E37"/>
    <mergeCell ref="A42:D42"/>
    <mergeCell ref="E42:H42"/>
    <mergeCell ref="A41:H41"/>
    <mergeCell ref="C57:H57"/>
    <mergeCell ref="C59:H59"/>
    <mergeCell ref="A48:H48"/>
    <mergeCell ref="A49:B49"/>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E43:H43"/>
    <mergeCell ref="A43:D43"/>
    <mergeCell ref="A44:D44"/>
    <mergeCell ref="E44:H44"/>
    <mergeCell ref="E45:H45"/>
    <mergeCell ref="E46:H46"/>
    <mergeCell ref="E47:H47"/>
    <mergeCell ref="A45:D45"/>
    <mergeCell ref="A65:C65"/>
    <mergeCell ref="C49:H49"/>
    <mergeCell ref="G52:H52"/>
    <mergeCell ref="A61:H61"/>
    <mergeCell ref="A62:C62"/>
    <mergeCell ref="A63:C63"/>
    <mergeCell ref="D64:H64"/>
    <mergeCell ref="A64:C64"/>
    <mergeCell ref="A47:D47"/>
    <mergeCell ref="D65:H65"/>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6:B36"/>
    <mergeCell ref="C36:E36"/>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94:H197"/>
    <mergeCell ref="A193:B193"/>
    <mergeCell ref="E193:F193"/>
    <mergeCell ref="C193:D193"/>
    <mergeCell ref="G193:H193"/>
    <mergeCell ref="A100:H100"/>
    <mergeCell ref="A98:E98"/>
    <mergeCell ref="F98:H98"/>
    <mergeCell ref="A99:E99"/>
    <mergeCell ref="F99:H99"/>
    <mergeCell ref="A149:H149"/>
    <mergeCell ref="A107:B107"/>
    <mergeCell ref="A158:B158"/>
    <mergeCell ref="A102:B102"/>
    <mergeCell ref="A189:H189"/>
    <mergeCell ref="A105:H105"/>
    <mergeCell ref="A192:H192"/>
    <mergeCell ref="A190:H190"/>
    <mergeCell ref="A187:H187"/>
    <mergeCell ref="A186:H186"/>
    <mergeCell ref="B184:H184"/>
    <mergeCell ref="B183:H183"/>
    <mergeCell ref="B180:H180"/>
    <mergeCell ref="A191:H191"/>
    <mergeCell ref="A127:H127"/>
    <mergeCell ref="E106:F106"/>
    <mergeCell ref="A110:H110"/>
    <mergeCell ref="A128:A129"/>
    <mergeCell ref="F128:F129"/>
    <mergeCell ref="A156:B156"/>
    <mergeCell ref="A123:B123"/>
    <mergeCell ref="A106:B106"/>
    <mergeCell ref="A154:B154"/>
    <mergeCell ref="C132:G132"/>
    <mergeCell ref="A136:B136"/>
    <mergeCell ref="C136:G136"/>
    <mergeCell ref="A132:B132"/>
    <mergeCell ref="B128:B129"/>
    <mergeCell ref="G106:H106"/>
    <mergeCell ref="A153:B153"/>
    <mergeCell ref="F112:F113"/>
    <mergeCell ref="B112:B113"/>
    <mergeCell ref="A112:A113"/>
    <mergeCell ref="C128:C129"/>
    <mergeCell ref="G128:G129"/>
    <mergeCell ref="G109:H109"/>
    <mergeCell ref="A151:B151"/>
    <mergeCell ref="A109:B109"/>
    <mergeCell ref="A130:H130"/>
    <mergeCell ref="A131:B131"/>
    <mergeCell ref="A188:H188"/>
    <mergeCell ref="A150:B150"/>
    <mergeCell ref="D128:D129"/>
    <mergeCell ref="E128:E129"/>
    <mergeCell ref="B179:H179"/>
    <mergeCell ref="A164:B164"/>
    <mergeCell ref="A160:B160"/>
    <mergeCell ref="B185:H185"/>
    <mergeCell ref="B181:H181"/>
    <mergeCell ref="A152:B152"/>
    <mergeCell ref="A162:B162"/>
    <mergeCell ref="A146:B146"/>
    <mergeCell ref="A147:B147"/>
    <mergeCell ref="A148:B148"/>
    <mergeCell ref="A145:B145"/>
    <mergeCell ref="A144:H144"/>
    <mergeCell ref="A159:B159"/>
    <mergeCell ref="B178:H178"/>
    <mergeCell ref="A168:B168"/>
    <mergeCell ref="A169:B169"/>
    <mergeCell ref="A172:B172"/>
    <mergeCell ref="A171:B171"/>
    <mergeCell ref="I15:P15"/>
    <mergeCell ref="F97:H97"/>
    <mergeCell ref="F95:H95"/>
    <mergeCell ref="A157:B157"/>
    <mergeCell ref="A111:H111"/>
    <mergeCell ref="G101:H101"/>
    <mergeCell ref="A96:E96"/>
    <mergeCell ref="A124:B124"/>
    <mergeCell ref="A60:B60"/>
    <mergeCell ref="C60:E60"/>
    <mergeCell ref="D62:H62"/>
    <mergeCell ref="F96:H96"/>
    <mergeCell ref="E101:F101"/>
    <mergeCell ref="A101:B101"/>
    <mergeCell ref="A103:B103"/>
    <mergeCell ref="C106:D106"/>
    <mergeCell ref="D70:H70"/>
    <mergeCell ref="D63:H63"/>
    <mergeCell ref="G60:H60"/>
    <mergeCell ref="A54:B55"/>
    <mergeCell ref="C54:E54"/>
    <mergeCell ref="G54:H54"/>
    <mergeCell ref="A56:B57"/>
    <mergeCell ref="C56:E56"/>
    <mergeCell ref="A82:B82"/>
    <mergeCell ref="A50:B50"/>
    <mergeCell ref="C52:E52"/>
    <mergeCell ref="A173:H173"/>
    <mergeCell ref="A165:B165"/>
    <mergeCell ref="A166:B166"/>
    <mergeCell ref="A161:H161"/>
    <mergeCell ref="A155:H155"/>
    <mergeCell ref="A170:B170"/>
    <mergeCell ref="A167:H167"/>
    <mergeCell ref="A70:C70"/>
    <mergeCell ref="D71:H71"/>
    <mergeCell ref="A77:B77"/>
    <mergeCell ref="G76:H76"/>
    <mergeCell ref="A85:B85"/>
    <mergeCell ref="A86:B86"/>
    <mergeCell ref="A81:B81"/>
    <mergeCell ref="A78:B78"/>
    <mergeCell ref="A80:B80"/>
    <mergeCell ref="E76:F76"/>
    <mergeCell ref="A83:B83"/>
    <mergeCell ref="F88:H88"/>
    <mergeCell ref="G102:H102"/>
    <mergeCell ref="F94:H94"/>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2:E113" xr:uid="{00000000-0002-0000-0000-000003000000}">
      <formula1>"Attached Loft area,Attached Otla area,Attached Mezzanine area"</formula1>
    </dataValidation>
    <dataValidation type="list" allowBlank="1" showInputMessage="1" showErrorMessage="1" sqref="G193:H193" xr:uid="{00000000-0002-0000-0000-000004000000}">
      <formula1>"Kunal Kadam,Pranita Mhatre,Shruti Fule,Pooja Kawale,Gaurav Panchal,Shruti Tathare, Hitakshi Mhatre, Sachin Sawant"</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F98:H98" xr:uid="{00000000-0002-0000-0000-000006000000}">
      <formula1>OFFSET($S$87,1,MATCH($G20,$S$87:$W$87,0)-1,15,1)</formula1>
    </dataValidation>
    <dataValidation type="list" allowBlank="1" showInputMessage="1" showErrorMessage="1" sqref="B112:B113" xr:uid="{00000000-0002-0000-0000-000007000000}">
      <formula1>"Shop No. (Sale Plan),Sale / Rehab,Sale / Mhada"</formula1>
    </dataValidation>
    <dataValidation type="list" allowBlank="1" showInputMessage="1" showErrorMessage="1" sqref="B128:B129"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8:E129" xr:uid="{00000000-0002-0000-0000-00000B000000}">
      <formula1>"Fungible area,Encl. Bal.+ Balcony +WS Area,Chajja Area,Cornice Area,AP Area,WS Area"</formula1>
    </dataValidation>
    <dataValidation type="list" allowBlank="1" showInputMessage="1" showErrorMessage="1" sqref="H113 H129"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2 H128" xr:uid="{00000000-0002-0000-0000-00000F000000}">
      <formula1>"Saleable area Loading :,Builder Saleable Area"</formula1>
    </dataValidation>
    <dataValidation type="list" allowBlank="1" showInputMessage="1" showErrorMessage="1" sqref="D112:D113 D128:D129"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7" man="1"/>
    <brk id="197" max="16383" man="1"/>
    <brk id="240" max="16383" man="1"/>
    <brk id="27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1" sqref="C21"/>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5" t="s">
        <v>102</v>
      </c>
      <c r="C3" s="235"/>
      <c r="D3" s="235"/>
      <c r="E3" s="235"/>
      <c r="F3" s="235"/>
      <c r="G3" s="235"/>
      <c r="H3" s="235"/>
    </row>
    <row r="4" spans="1:9" x14ac:dyDescent="0.25">
      <c r="A4" s="2"/>
      <c r="B4" s="3" t="s">
        <v>103</v>
      </c>
      <c r="C4" s="3" t="s">
        <v>104</v>
      </c>
      <c r="D4" s="3" t="s">
        <v>65</v>
      </c>
      <c r="E4" s="3" t="s">
        <v>105</v>
      </c>
      <c r="F4" s="3" t="s">
        <v>111</v>
      </c>
      <c r="G4" s="3" t="s">
        <v>112</v>
      </c>
      <c r="H4" s="3" t="s">
        <v>106</v>
      </c>
    </row>
    <row r="5" spans="1:9" ht="15" customHeight="1" x14ac:dyDescent="0.25">
      <c r="A5" s="2"/>
      <c r="B5" s="5" t="s">
        <v>107</v>
      </c>
      <c r="C5" s="6"/>
      <c r="D5" s="5"/>
      <c r="E5" s="5"/>
      <c r="F5" s="7">
        <f>E5*1.6</f>
        <v>0</v>
      </c>
      <c r="G5" s="7" t="e">
        <f>H5/F5</f>
        <v>#DIV/0!</v>
      </c>
      <c r="H5" s="8"/>
    </row>
    <row r="6" spans="1:9" x14ac:dyDescent="0.25">
      <c r="A6" s="2"/>
      <c r="B6" s="5" t="s">
        <v>107</v>
      </c>
      <c r="C6" s="9"/>
      <c r="D6" s="5"/>
      <c r="E6" s="5"/>
      <c r="F6" s="7">
        <f t="shared" ref="F6:F11" si="0">E6*1.6</f>
        <v>0</v>
      </c>
      <c r="G6" s="7" t="e">
        <f t="shared" ref="G6:G11" si="1">H6/F6</f>
        <v>#DIV/0!</v>
      </c>
      <c r="H6" s="8"/>
    </row>
    <row r="7" spans="1:9" ht="15" customHeight="1" x14ac:dyDescent="0.25">
      <c r="A7" s="2"/>
      <c r="B7" s="5" t="s">
        <v>107</v>
      </c>
      <c r="C7" s="6"/>
      <c r="D7" s="5"/>
      <c r="E7" s="5"/>
      <c r="F7" s="7">
        <f t="shared" si="0"/>
        <v>0</v>
      </c>
      <c r="G7" s="7" t="e">
        <f t="shared" si="1"/>
        <v>#DIV/0!</v>
      </c>
      <c r="H7" s="8"/>
    </row>
    <row r="8" spans="1:9" x14ac:dyDescent="0.25">
      <c r="A8" s="2"/>
      <c r="B8" s="5" t="s">
        <v>107</v>
      </c>
      <c r="C8" s="9"/>
      <c r="D8" s="5"/>
      <c r="E8" s="5"/>
      <c r="F8" s="7">
        <f t="shared" si="0"/>
        <v>0</v>
      </c>
      <c r="G8" s="7" t="e">
        <f t="shared" si="1"/>
        <v>#DIV/0!</v>
      </c>
      <c r="H8" s="8"/>
    </row>
    <row r="9" spans="1:9" ht="15" customHeight="1" x14ac:dyDescent="0.25">
      <c r="A9" s="2"/>
      <c r="B9" s="5" t="s">
        <v>107</v>
      </c>
      <c r="C9" s="9"/>
      <c r="D9" s="5"/>
      <c r="E9" s="5"/>
      <c r="F9" s="7">
        <f t="shared" si="0"/>
        <v>0</v>
      </c>
      <c r="G9" s="7" t="e">
        <f t="shared" si="1"/>
        <v>#DIV/0!</v>
      </c>
      <c r="H9" s="8"/>
    </row>
    <row r="10" spans="1:9" ht="15" customHeight="1" x14ac:dyDescent="0.25">
      <c r="A10" s="2"/>
      <c r="B10" s="5" t="s">
        <v>108</v>
      </c>
      <c r="C10" s="6"/>
      <c r="D10" s="5"/>
      <c r="E10" s="5"/>
      <c r="F10" s="7">
        <f t="shared" si="0"/>
        <v>0</v>
      </c>
      <c r="G10" s="7" t="e">
        <f t="shared" si="1"/>
        <v>#DIV/0!</v>
      </c>
      <c r="H10" s="8"/>
    </row>
    <row r="11" spans="1:9" ht="15" customHeight="1" x14ac:dyDescent="0.25">
      <c r="A11" s="2"/>
      <c r="B11" s="5" t="s">
        <v>108</v>
      </c>
      <c r="C11" s="6"/>
      <c r="D11" s="5"/>
      <c r="E11" s="5"/>
      <c r="F11" s="7">
        <f t="shared" si="0"/>
        <v>0</v>
      </c>
      <c r="G11" s="7" t="e">
        <f t="shared" si="1"/>
        <v>#DIV/0!</v>
      </c>
      <c r="H11" s="8"/>
    </row>
    <row r="12" spans="1:9" ht="15" customHeight="1" x14ac:dyDescent="0.25">
      <c r="A12" s="2"/>
      <c r="B12" s="10" t="s">
        <v>109</v>
      </c>
      <c r="C12" s="5"/>
      <c r="D12" s="5"/>
      <c r="E12" s="5"/>
      <c r="F12" s="5"/>
      <c r="G12" s="11" t="e">
        <f>AVERAGE(G5:G11)</f>
        <v>#DIV/0!</v>
      </c>
      <c r="H12" s="5"/>
    </row>
    <row r="13" spans="1:9" ht="15" customHeight="1" x14ac:dyDescent="0.25">
      <c r="B13" s="10" t="s">
        <v>110</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4"/>
      <c r="C4" s="44" t="s">
        <v>11</v>
      </c>
      <c r="D4" s="45" t="s">
        <v>178</v>
      </c>
      <c r="E4" s="45" t="s">
        <v>188</v>
      </c>
      <c r="F4" s="45" t="s">
        <v>172</v>
      </c>
      <c r="G4" s="45" t="s">
        <v>193</v>
      </c>
      <c r="H4" s="45" t="s">
        <v>211</v>
      </c>
      <c r="J4" t="s">
        <v>193</v>
      </c>
      <c r="K4" t="s">
        <v>209</v>
      </c>
    </row>
    <row r="5" spans="2:11" x14ac:dyDescent="0.25">
      <c r="B5" s="44"/>
      <c r="C5" s="44"/>
      <c r="D5" s="45" t="s">
        <v>179</v>
      </c>
      <c r="E5" s="45" t="s">
        <v>186</v>
      </c>
      <c r="F5" s="45" t="s">
        <v>208</v>
      </c>
      <c r="G5" s="45" t="s">
        <v>194</v>
      </c>
      <c r="H5" s="45" t="s">
        <v>212</v>
      </c>
    </row>
    <row r="6" spans="2:11" x14ac:dyDescent="0.25">
      <c r="B6" s="44"/>
      <c r="C6" s="44"/>
      <c r="D6" s="45" t="s">
        <v>180</v>
      </c>
      <c r="E6" s="45" t="s">
        <v>187</v>
      </c>
      <c r="F6" s="45" t="s">
        <v>209</v>
      </c>
      <c r="G6" s="45" t="s">
        <v>195</v>
      </c>
      <c r="H6" s="45" t="s">
        <v>225</v>
      </c>
    </row>
    <row r="7" spans="2:11" x14ac:dyDescent="0.25">
      <c r="B7" s="44"/>
      <c r="C7" s="44"/>
      <c r="D7" s="45" t="s">
        <v>181</v>
      </c>
      <c r="E7" s="45" t="s">
        <v>189</v>
      </c>
      <c r="F7" s="45" t="s">
        <v>210</v>
      </c>
      <c r="G7" s="45" t="s">
        <v>196</v>
      </c>
      <c r="H7" s="45" t="s">
        <v>213</v>
      </c>
    </row>
    <row r="8" spans="2:11" x14ac:dyDescent="0.25">
      <c r="B8" s="44"/>
      <c r="C8" s="44"/>
      <c r="D8" s="45" t="s">
        <v>182</v>
      </c>
      <c r="E8" s="45" t="s">
        <v>190</v>
      </c>
      <c r="F8" s="45"/>
      <c r="G8" s="45" t="s">
        <v>197</v>
      </c>
      <c r="H8" s="45" t="s">
        <v>214</v>
      </c>
    </row>
    <row r="9" spans="2:11" x14ac:dyDescent="0.25">
      <c r="B9" s="44"/>
      <c r="C9" s="44"/>
      <c r="D9" s="45" t="s">
        <v>183</v>
      </c>
      <c r="E9" s="45" t="s">
        <v>188</v>
      </c>
      <c r="F9" s="45"/>
      <c r="G9" s="45" t="s">
        <v>198</v>
      </c>
      <c r="H9" s="45" t="s">
        <v>215</v>
      </c>
    </row>
    <row r="10" spans="2:11" x14ac:dyDescent="0.25">
      <c r="B10" s="44"/>
      <c r="C10" s="44"/>
      <c r="D10" s="45" t="s">
        <v>184</v>
      </c>
      <c r="E10" s="45" t="s">
        <v>191</v>
      </c>
      <c r="F10" s="45"/>
      <c r="G10" s="45" t="s">
        <v>199</v>
      </c>
      <c r="H10" s="45" t="s">
        <v>216</v>
      </c>
    </row>
    <row r="11" spans="2:11" x14ac:dyDescent="0.25">
      <c r="B11" s="44"/>
      <c r="C11" s="44"/>
      <c r="D11" s="45" t="s">
        <v>185</v>
      </c>
      <c r="E11" s="45" t="s">
        <v>192</v>
      </c>
      <c r="F11" s="45"/>
      <c r="G11" s="45" t="s">
        <v>200</v>
      </c>
      <c r="H11" s="45" t="s">
        <v>217</v>
      </c>
    </row>
    <row r="12" spans="2:11" x14ac:dyDescent="0.25">
      <c r="B12" s="44"/>
      <c r="C12" s="44"/>
      <c r="D12" s="45"/>
      <c r="E12" s="45"/>
      <c r="F12" s="45"/>
      <c r="G12" s="45" t="s">
        <v>201</v>
      </c>
      <c r="H12" s="45" t="s">
        <v>218</v>
      </c>
    </row>
    <row r="13" spans="2:11" x14ac:dyDescent="0.25">
      <c r="B13" s="44"/>
      <c r="C13" s="44"/>
      <c r="D13" s="45"/>
      <c r="E13" s="45"/>
      <c r="F13" s="45"/>
      <c r="G13" s="45" t="s">
        <v>202</v>
      </c>
      <c r="H13" s="45" t="s">
        <v>219</v>
      </c>
    </row>
    <row r="14" spans="2:11" x14ac:dyDescent="0.25">
      <c r="B14" s="44"/>
      <c r="C14" s="44"/>
      <c r="D14" s="45"/>
      <c r="E14" s="45"/>
      <c r="F14" s="45"/>
      <c r="G14" s="45" t="s">
        <v>203</v>
      </c>
      <c r="H14" s="45" t="s">
        <v>220</v>
      </c>
    </row>
    <row r="15" spans="2:11" x14ac:dyDescent="0.25">
      <c r="B15" s="44"/>
      <c r="C15" s="44"/>
      <c r="D15" s="45"/>
      <c r="E15" s="45"/>
      <c r="F15" s="45"/>
      <c r="G15" s="45" t="s">
        <v>204</v>
      </c>
      <c r="H15" s="45" t="s">
        <v>221</v>
      </c>
    </row>
    <row r="16" spans="2:11" x14ac:dyDescent="0.25">
      <c r="B16" s="44"/>
      <c r="C16" s="44"/>
      <c r="D16" s="45"/>
      <c r="E16" s="45"/>
      <c r="F16" s="45"/>
      <c r="G16" s="45" t="s">
        <v>205</v>
      </c>
      <c r="H16" s="45" t="s">
        <v>222</v>
      </c>
    </row>
    <row r="17" spans="2:8" x14ac:dyDescent="0.25">
      <c r="B17" s="44"/>
      <c r="C17" s="44"/>
      <c r="D17" s="45"/>
      <c r="E17" s="45"/>
      <c r="F17" s="45"/>
      <c r="G17" s="45" t="s">
        <v>206</v>
      </c>
      <c r="H17" s="45" t="s">
        <v>223</v>
      </c>
    </row>
    <row r="18" spans="2:8" x14ac:dyDescent="0.25">
      <c r="B18" s="44"/>
      <c r="C18" s="44"/>
      <c r="D18" s="45"/>
      <c r="E18" s="45"/>
      <c r="F18" s="45"/>
      <c r="G18" s="45" t="s">
        <v>207</v>
      </c>
      <c r="H18" s="45"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48" t="s">
        <v>236</v>
      </c>
      <c r="D34" s="45" t="s">
        <v>234</v>
      </c>
      <c r="E34" s="45" t="s">
        <v>239</v>
      </c>
      <c r="F34" s="45" t="s">
        <v>237</v>
      </c>
      <c r="G34" s="45" t="s">
        <v>238</v>
      </c>
      <c r="H34" s="45" t="s">
        <v>240</v>
      </c>
      <c r="J34" t="s">
        <v>193</v>
      </c>
      <c r="K34" t="s">
        <v>209</v>
      </c>
    </row>
    <row r="35" spans="3:11" x14ac:dyDescent="0.25">
      <c r="C35" s="44" t="s">
        <v>235</v>
      </c>
      <c r="D35" s="45" t="s">
        <v>170</v>
      </c>
      <c r="E35" s="45" t="s">
        <v>244</v>
      </c>
      <c r="F35" s="45" t="s">
        <v>246</v>
      </c>
      <c r="G35" s="45" t="s">
        <v>248</v>
      </c>
      <c r="H35" s="45"/>
    </row>
    <row r="36" spans="3:11" x14ac:dyDescent="0.25">
      <c r="C36" s="44"/>
      <c r="D36" s="45" t="s">
        <v>241</v>
      </c>
      <c r="E36" s="45" t="s">
        <v>245</v>
      </c>
      <c r="F36" s="45" t="s">
        <v>247</v>
      </c>
      <c r="G36" s="45" t="s">
        <v>249</v>
      </c>
      <c r="H36" s="45"/>
    </row>
    <row r="37" spans="3:11" x14ac:dyDescent="0.25">
      <c r="C37" s="44"/>
      <c r="D37" s="45" t="s">
        <v>242</v>
      </c>
      <c r="E37" s="45"/>
      <c r="F37" s="45"/>
      <c r="G37" s="45" t="s">
        <v>250</v>
      </c>
      <c r="H37" s="45"/>
    </row>
    <row r="38" spans="3:11" x14ac:dyDescent="0.25">
      <c r="C38" s="44"/>
      <c r="D38" s="45" t="s">
        <v>243</v>
      </c>
      <c r="E38" s="45"/>
      <c r="F38" s="45"/>
      <c r="G38" s="45" t="s">
        <v>250</v>
      </c>
      <c r="H38" s="45"/>
    </row>
    <row r="39" spans="3:11" x14ac:dyDescent="0.25">
      <c r="C39" s="44"/>
      <c r="D39" s="45"/>
      <c r="E39" s="45"/>
      <c r="F39" s="45"/>
      <c r="G39" s="45" t="s">
        <v>251</v>
      </c>
      <c r="H39" s="45"/>
    </row>
    <row r="40" spans="3:11" x14ac:dyDescent="0.25">
      <c r="C40" s="44"/>
      <c r="D40" s="45"/>
      <c r="E40" s="45"/>
      <c r="F40" s="45"/>
      <c r="G40" s="45" t="s">
        <v>252</v>
      </c>
      <c r="H40" s="45"/>
    </row>
    <row r="41" spans="3:11" x14ac:dyDescent="0.25">
      <c r="C41" s="44"/>
      <c r="D41" s="45"/>
      <c r="E41" s="45"/>
      <c r="F41" s="45"/>
      <c r="G41" s="45"/>
      <c r="H41" s="45"/>
    </row>
    <row r="43" spans="3:11" x14ac:dyDescent="0.25">
      <c r="C43" t="s">
        <v>253</v>
      </c>
    </row>
    <row r="44" spans="3:11" x14ac:dyDescent="0.25">
      <c r="C44" t="s">
        <v>172</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topLeftCell="A16" workbookViewId="0">
      <selection activeCell="C31" sqref="C31"/>
    </sheetView>
  </sheetViews>
  <sheetFormatPr defaultRowHeight="15" x14ac:dyDescent="0.25"/>
  <cols>
    <col min="2" max="2" width="3" bestFit="1" customWidth="1"/>
    <col min="3" max="3" width="155.28515625" customWidth="1"/>
  </cols>
  <sheetData>
    <row r="2" spans="2:3" ht="15" customHeight="1" x14ac:dyDescent="0.25">
      <c r="B2" s="49">
        <v>1</v>
      </c>
      <c r="C2" s="52" t="s">
        <v>284</v>
      </c>
    </row>
    <row r="3" spans="2:3" x14ac:dyDescent="0.25">
      <c r="B3" s="49">
        <v>2</v>
      </c>
      <c r="C3" s="50" t="s">
        <v>285</v>
      </c>
    </row>
    <row r="4" spans="2:3" x14ac:dyDescent="0.25">
      <c r="B4" s="49">
        <v>3</v>
      </c>
      <c r="C4" s="51" t="s">
        <v>286</v>
      </c>
    </row>
    <row r="5" spans="2:3" x14ac:dyDescent="0.25">
      <c r="B5" s="49">
        <v>4</v>
      </c>
      <c r="C5" s="50" t="s">
        <v>287</v>
      </c>
    </row>
    <row r="6" spans="2:3" x14ac:dyDescent="0.25">
      <c r="B6" s="49">
        <v>5</v>
      </c>
      <c r="C6" s="51" t="s">
        <v>288</v>
      </c>
    </row>
    <row r="7" spans="2:3" ht="30" x14ac:dyDescent="0.25">
      <c r="B7" s="49">
        <v>6</v>
      </c>
      <c r="C7" s="50" t="s">
        <v>289</v>
      </c>
    </row>
    <row r="8" spans="2:3" ht="75" x14ac:dyDescent="0.25">
      <c r="B8" s="49">
        <v>7</v>
      </c>
      <c r="C8" s="50" t="s">
        <v>290</v>
      </c>
    </row>
    <row r="9" spans="2:3" x14ac:dyDescent="0.25">
      <c r="B9" s="49">
        <v>8</v>
      </c>
      <c r="C9" s="51" t="s">
        <v>291</v>
      </c>
    </row>
    <row r="10" spans="2:3" x14ac:dyDescent="0.25">
      <c r="B10" s="49">
        <v>9</v>
      </c>
      <c r="C10" s="51" t="s">
        <v>292</v>
      </c>
    </row>
    <row r="11" spans="2:3" x14ac:dyDescent="0.25">
      <c r="B11" s="49">
        <v>10</v>
      </c>
      <c r="C11" s="51" t="s">
        <v>293</v>
      </c>
    </row>
    <row r="12" spans="2:3" x14ac:dyDescent="0.25">
      <c r="B12" s="49">
        <v>11</v>
      </c>
      <c r="C12" s="51" t="s">
        <v>294</v>
      </c>
    </row>
    <row r="13" spans="2:3" x14ac:dyDescent="0.25">
      <c r="B13" s="49">
        <v>12</v>
      </c>
      <c r="C13" s="51" t="s">
        <v>295</v>
      </c>
    </row>
    <row r="14" spans="2:3" x14ac:dyDescent="0.25">
      <c r="B14" s="49">
        <v>13</v>
      </c>
      <c r="C14" s="51" t="s">
        <v>296</v>
      </c>
    </row>
    <row r="15" spans="2:3" x14ac:dyDescent="0.25">
      <c r="B15" s="49">
        <v>14</v>
      </c>
      <c r="C15" s="51" t="s">
        <v>286</v>
      </c>
    </row>
    <row r="16" spans="2:3" x14ac:dyDescent="0.25">
      <c r="B16" s="49">
        <v>15</v>
      </c>
      <c r="C16" s="51" t="s">
        <v>298</v>
      </c>
    </row>
    <row r="17" spans="2:3" x14ac:dyDescent="0.25">
      <c r="B17" s="73">
        <v>16</v>
      </c>
      <c r="C17" s="57" t="s">
        <v>299</v>
      </c>
    </row>
    <row r="18" spans="2:3" x14ac:dyDescent="0.25">
      <c r="B18" s="56">
        <v>17</v>
      </c>
      <c r="C18" s="57" t="s">
        <v>300</v>
      </c>
    </row>
    <row r="19" spans="2:3" x14ac:dyDescent="0.25">
      <c r="B19" s="55">
        <v>18</v>
      </c>
      <c r="C19" s="49" t="s">
        <v>301</v>
      </c>
    </row>
    <row r="20" spans="2:3" x14ac:dyDescent="0.25">
      <c r="B20" s="56">
        <v>19</v>
      </c>
      <c r="C20" s="49" t="s">
        <v>337</v>
      </c>
    </row>
    <row r="21" spans="2:3" x14ac:dyDescent="0.25">
      <c r="B21" s="58">
        <v>20</v>
      </c>
      <c r="C21" s="49" t="s">
        <v>302</v>
      </c>
    </row>
    <row r="22" spans="2:3" x14ac:dyDescent="0.25">
      <c r="B22" s="56">
        <v>21</v>
      </c>
      <c r="C22" s="49" t="s">
        <v>301</v>
      </c>
    </row>
    <row r="23" spans="2:3" s="67" customFormat="1" ht="29.25" customHeight="1" x14ac:dyDescent="0.25">
      <c r="B23" s="66">
        <v>22</v>
      </c>
      <c r="C23" s="52" t="s">
        <v>329</v>
      </c>
    </row>
    <row r="24" spans="2:3" s="67" customFormat="1" ht="30.75" customHeight="1" x14ac:dyDescent="0.25">
      <c r="B24" s="68">
        <v>23</v>
      </c>
      <c r="C24" s="52" t="s">
        <v>330</v>
      </c>
    </row>
    <row r="25" spans="2:3" x14ac:dyDescent="0.25">
      <c r="B25" s="58">
        <v>24</v>
      </c>
      <c r="C25" s="49" t="s">
        <v>333</v>
      </c>
    </row>
    <row r="26" spans="2:3" x14ac:dyDescent="0.25">
      <c r="B26" s="56">
        <v>25</v>
      </c>
      <c r="C26" s="49" t="s">
        <v>331</v>
      </c>
    </row>
    <row r="27" spans="2:3" x14ac:dyDescent="0.25">
      <c r="B27" s="68">
        <v>26</v>
      </c>
      <c r="C27" s="58" t="s">
        <v>332</v>
      </c>
    </row>
    <row r="28" spans="2:3" x14ac:dyDescent="0.25">
      <c r="B28" s="69">
        <v>27</v>
      </c>
      <c r="C28" s="49" t="s">
        <v>334</v>
      </c>
    </row>
    <row r="29" spans="2:3" ht="60" x14ac:dyDescent="0.25">
      <c r="B29" s="72">
        <v>28</v>
      </c>
      <c r="C29" s="50" t="s">
        <v>335</v>
      </c>
    </row>
    <row r="30" spans="2:3" x14ac:dyDescent="0.25">
      <c r="B30" s="68">
        <v>29</v>
      </c>
      <c r="C30" s="49" t="s">
        <v>336</v>
      </c>
    </row>
    <row r="31" spans="2:3" ht="30" x14ac:dyDescent="0.25">
      <c r="B31" s="74">
        <v>30</v>
      </c>
      <c r="C31" s="50" t="s">
        <v>338</v>
      </c>
    </row>
    <row r="32" spans="2:3" x14ac:dyDescent="0.25">
      <c r="B32" s="68">
        <v>31</v>
      </c>
      <c r="C32" s="49" t="s">
        <v>339</v>
      </c>
    </row>
    <row r="33" spans="2:3" x14ac:dyDescent="0.25">
      <c r="B33" s="68">
        <v>32</v>
      </c>
      <c r="C33" s="49" t="s">
        <v>340</v>
      </c>
    </row>
    <row r="34" spans="2:3" ht="36.75" customHeight="1" x14ac:dyDescent="0.25">
      <c r="B34" s="74">
        <v>33</v>
      </c>
      <c r="C34" s="57" t="s">
        <v>341</v>
      </c>
    </row>
    <row r="35" spans="2:3" x14ac:dyDescent="0.25">
      <c r="B35" s="68">
        <v>34</v>
      </c>
      <c r="C35"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44"/>
    <col min="2" max="2" width="12.28515625" style="44" customWidth="1"/>
    <col min="3" max="16384" width="9.140625" style="44"/>
  </cols>
  <sheetData>
    <row r="2" spans="1:12" x14ac:dyDescent="0.25">
      <c r="B2" s="60" t="s">
        <v>303</v>
      </c>
      <c r="C2" s="236"/>
      <c r="D2" s="236"/>
    </row>
    <row r="3" spans="1:12" x14ac:dyDescent="0.25">
      <c r="D3" s="61"/>
      <c r="E3" s="61"/>
      <c r="F3" s="61"/>
      <c r="G3" s="61"/>
      <c r="H3" s="61"/>
      <c r="I3" s="61"/>
    </row>
    <row r="4" spans="1:12" x14ac:dyDescent="0.25">
      <c r="A4" s="60" t="s">
        <v>65</v>
      </c>
      <c r="B4" s="62" t="s">
        <v>304</v>
      </c>
      <c r="C4" s="237" t="s">
        <v>305</v>
      </c>
      <c r="D4" s="237"/>
      <c r="E4" s="237"/>
      <c r="F4" s="62"/>
      <c r="G4" s="238" t="s">
        <v>306</v>
      </c>
      <c r="H4" s="238"/>
      <c r="I4" s="238"/>
      <c r="J4" s="239" t="s">
        <v>307</v>
      </c>
      <c r="K4" s="239"/>
      <c r="L4" s="239"/>
    </row>
    <row r="5" spans="1:12" x14ac:dyDescent="0.25">
      <c r="A5" s="60"/>
      <c r="B5" s="62"/>
      <c r="C5" s="62" t="s">
        <v>308</v>
      </c>
      <c r="D5" s="62" t="s">
        <v>309</v>
      </c>
      <c r="E5" s="62" t="s">
        <v>310</v>
      </c>
      <c r="F5" s="62"/>
      <c r="G5" s="62" t="s">
        <v>308</v>
      </c>
      <c r="H5" s="62" t="s">
        <v>309</v>
      </c>
      <c r="I5" s="62" t="s">
        <v>310</v>
      </c>
      <c r="J5" s="62" t="s">
        <v>308</v>
      </c>
      <c r="K5" s="62" t="s">
        <v>309</v>
      </c>
      <c r="L5" s="62" t="s">
        <v>310</v>
      </c>
    </row>
    <row r="6" spans="1:12" x14ac:dyDescent="0.25">
      <c r="B6" s="45" t="s">
        <v>311</v>
      </c>
      <c r="C6" s="45"/>
      <c r="D6" s="45"/>
      <c r="E6" s="45">
        <f>C6*D6</f>
        <v>0</v>
      </c>
      <c r="F6" s="45" t="s">
        <v>328</v>
      </c>
      <c r="G6" s="45"/>
      <c r="H6" s="45"/>
      <c r="I6" s="45">
        <f>G6*H6</f>
        <v>0</v>
      </c>
      <c r="J6" s="45"/>
      <c r="K6" s="45"/>
      <c r="L6" s="45">
        <f>J6*K6</f>
        <v>0</v>
      </c>
    </row>
    <row r="7" spans="1:12" x14ac:dyDescent="0.25">
      <c r="B7" s="45"/>
      <c r="C7" s="45"/>
      <c r="D7" s="45"/>
      <c r="E7" s="45">
        <f t="shared" ref="E7:E41" si="0">C7*D7</f>
        <v>0</v>
      </c>
      <c r="F7" s="45" t="s">
        <v>328</v>
      </c>
      <c r="G7" s="45"/>
      <c r="H7" s="45"/>
      <c r="I7" s="45">
        <f t="shared" ref="I7:I35" si="1">G7*H7</f>
        <v>0</v>
      </c>
      <c r="J7" s="45"/>
      <c r="K7" s="45"/>
      <c r="L7" s="45">
        <f t="shared" ref="L7:L35" si="2">J7*K7</f>
        <v>0</v>
      </c>
    </row>
    <row r="8" spans="1:12" x14ac:dyDescent="0.25">
      <c r="B8" s="45"/>
      <c r="C8" s="45"/>
      <c r="D8" s="45"/>
      <c r="E8" s="45">
        <f t="shared" si="0"/>
        <v>0</v>
      </c>
      <c r="F8" s="45"/>
      <c r="G8" s="45"/>
      <c r="H8" s="45"/>
      <c r="I8" s="45">
        <f t="shared" si="1"/>
        <v>0</v>
      </c>
      <c r="J8" s="45"/>
      <c r="K8" s="45"/>
      <c r="L8" s="45">
        <f t="shared" si="2"/>
        <v>0</v>
      </c>
    </row>
    <row r="9" spans="1:12" x14ac:dyDescent="0.25">
      <c r="B9" s="45"/>
      <c r="C9" s="45"/>
      <c r="D9" s="45"/>
      <c r="E9" s="45">
        <f t="shared" si="0"/>
        <v>0</v>
      </c>
      <c r="F9" s="45" t="s">
        <v>312</v>
      </c>
      <c r="G9" s="45"/>
      <c r="H9" s="45"/>
      <c r="I9" s="45">
        <f t="shared" si="1"/>
        <v>0</v>
      </c>
      <c r="J9" s="45"/>
      <c r="K9" s="45"/>
      <c r="L9" s="45">
        <f t="shared" si="2"/>
        <v>0</v>
      </c>
    </row>
    <row r="10" spans="1:12" x14ac:dyDescent="0.25">
      <c r="B10" s="45" t="s">
        <v>313</v>
      </c>
      <c r="C10" s="45"/>
      <c r="D10" s="45"/>
      <c r="E10" s="45">
        <f t="shared" si="0"/>
        <v>0</v>
      </c>
      <c r="F10" s="45" t="s">
        <v>312</v>
      </c>
      <c r="G10" s="45"/>
      <c r="H10" s="45"/>
      <c r="I10" s="45">
        <f t="shared" si="1"/>
        <v>0</v>
      </c>
      <c r="J10" s="45"/>
      <c r="K10" s="45"/>
      <c r="L10" s="45">
        <f t="shared" si="2"/>
        <v>0</v>
      </c>
    </row>
    <row r="11" spans="1:12" x14ac:dyDescent="0.25">
      <c r="B11" s="45"/>
      <c r="C11" s="45"/>
      <c r="D11" s="45"/>
      <c r="E11" s="45">
        <f t="shared" si="0"/>
        <v>0</v>
      </c>
      <c r="F11" s="45" t="s">
        <v>314</v>
      </c>
      <c r="G11" s="45"/>
      <c r="H11" s="45"/>
      <c r="I11" s="45">
        <f t="shared" si="1"/>
        <v>0</v>
      </c>
      <c r="J11" s="45"/>
      <c r="K11" s="45"/>
      <c r="L11" s="45">
        <f t="shared" si="2"/>
        <v>0</v>
      </c>
    </row>
    <row r="12" spans="1:12" x14ac:dyDescent="0.25">
      <c r="B12" s="45"/>
      <c r="C12" s="45"/>
      <c r="D12" s="45"/>
      <c r="E12" s="45">
        <f t="shared" si="0"/>
        <v>0</v>
      </c>
      <c r="F12" s="45"/>
      <c r="G12" s="45"/>
      <c r="H12" s="45"/>
      <c r="I12" s="45">
        <f t="shared" si="1"/>
        <v>0</v>
      </c>
      <c r="J12" s="45"/>
      <c r="K12" s="45"/>
      <c r="L12" s="45">
        <f t="shared" si="2"/>
        <v>0</v>
      </c>
    </row>
    <row r="13" spans="1:12" x14ac:dyDescent="0.25">
      <c r="B13" s="45"/>
      <c r="C13" s="45"/>
      <c r="D13" s="45"/>
      <c r="E13" s="45">
        <f t="shared" si="0"/>
        <v>0</v>
      </c>
      <c r="F13" s="45"/>
      <c r="G13" s="45"/>
      <c r="H13" s="45"/>
      <c r="I13" s="45">
        <f t="shared" si="1"/>
        <v>0</v>
      </c>
      <c r="J13" s="45"/>
      <c r="K13" s="45"/>
      <c r="L13" s="45">
        <f t="shared" si="2"/>
        <v>0</v>
      </c>
    </row>
    <row r="14" spans="1:12" x14ac:dyDescent="0.25">
      <c r="B14" s="45" t="s">
        <v>315</v>
      </c>
      <c r="C14" s="45"/>
      <c r="D14" s="45"/>
      <c r="E14" s="45">
        <f t="shared" si="0"/>
        <v>0</v>
      </c>
      <c r="F14" s="45" t="s">
        <v>312</v>
      </c>
      <c r="G14" s="45"/>
      <c r="H14" s="45"/>
      <c r="I14" s="45">
        <f t="shared" si="1"/>
        <v>0</v>
      </c>
      <c r="J14" s="45"/>
      <c r="K14" s="45"/>
      <c r="L14" s="45">
        <f t="shared" si="2"/>
        <v>0</v>
      </c>
    </row>
    <row r="15" spans="1:12" x14ac:dyDescent="0.25">
      <c r="B15" s="45"/>
      <c r="C15" s="45"/>
      <c r="D15" s="45"/>
      <c r="E15" s="45">
        <f t="shared" si="0"/>
        <v>0</v>
      </c>
      <c r="F15" s="45" t="s">
        <v>314</v>
      </c>
      <c r="G15" s="45"/>
      <c r="H15" s="45"/>
      <c r="I15" s="45">
        <f t="shared" si="1"/>
        <v>0</v>
      </c>
      <c r="J15" s="45"/>
      <c r="K15" s="45"/>
      <c r="L15" s="45">
        <f t="shared" si="2"/>
        <v>0</v>
      </c>
    </row>
    <row r="16" spans="1:12" x14ac:dyDescent="0.25">
      <c r="B16" s="45"/>
      <c r="C16" s="45"/>
      <c r="D16" s="45"/>
      <c r="E16" s="45">
        <f t="shared" si="0"/>
        <v>0</v>
      </c>
      <c r="F16" s="45"/>
      <c r="G16" s="45"/>
      <c r="H16" s="45"/>
      <c r="I16" s="45">
        <f t="shared" si="1"/>
        <v>0</v>
      </c>
      <c r="J16" s="45"/>
      <c r="K16" s="45"/>
      <c r="L16" s="45">
        <f t="shared" si="2"/>
        <v>0</v>
      </c>
    </row>
    <row r="17" spans="2:12" x14ac:dyDescent="0.25">
      <c r="B17" s="45"/>
      <c r="C17" s="45"/>
      <c r="D17" s="45"/>
      <c r="E17" s="45">
        <f t="shared" si="0"/>
        <v>0</v>
      </c>
      <c r="F17" s="45"/>
      <c r="G17" s="45"/>
      <c r="H17" s="45"/>
      <c r="I17" s="45">
        <f t="shared" si="1"/>
        <v>0</v>
      </c>
      <c r="J17" s="45"/>
      <c r="K17" s="45"/>
      <c r="L17" s="45">
        <f t="shared" si="2"/>
        <v>0</v>
      </c>
    </row>
    <row r="18" spans="2:12" x14ac:dyDescent="0.25">
      <c r="B18" s="45" t="s">
        <v>316</v>
      </c>
      <c r="C18" s="45"/>
      <c r="D18" s="45"/>
      <c r="E18" s="45">
        <f t="shared" si="0"/>
        <v>0</v>
      </c>
      <c r="F18" s="45" t="s">
        <v>312</v>
      </c>
      <c r="G18" s="45"/>
      <c r="H18" s="45"/>
      <c r="I18" s="45">
        <f t="shared" si="1"/>
        <v>0</v>
      </c>
      <c r="J18" s="45"/>
      <c r="K18" s="45"/>
      <c r="L18" s="45">
        <f t="shared" si="2"/>
        <v>0</v>
      </c>
    </row>
    <row r="19" spans="2:12" x14ac:dyDescent="0.25">
      <c r="B19" s="45"/>
      <c r="C19" s="45"/>
      <c r="D19" s="45"/>
      <c r="E19" s="45">
        <f t="shared" si="0"/>
        <v>0</v>
      </c>
      <c r="F19" s="45" t="s">
        <v>314</v>
      </c>
      <c r="G19" s="45"/>
      <c r="H19" s="45"/>
      <c r="I19" s="45">
        <f t="shared" si="1"/>
        <v>0</v>
      </c>
      <c r="J19" s="45"/>
      <c r="K19" s="45"/>
      <c r="L19" s="45">
        <f t="shared" si="2"/>
        <v>0</v>
      </c>
    </row>
    <row r="20" spans="2:12" x14ac:dyDescent="0.25">
      <c r="B20" s="45"/>
      <c r="C20" s="45"/>
      <c r="D20" s="45"/>
      <c r="E20" s="45">
        <f t="shared" si="0"/>
        <v>0</v>
      </c>
      <c r="F20" s="45"/>
      <c r="G20" s="45"/>
      <c r="H20" s="45"/>
      <c r="I20" s="45">
        <f t="shared" si="1"/>
        <v>0</v>
      </c>
      <c r="J20" s="45"/>
      <c r="K20" s="45"/>
      <c r="L20" s="45">
        <f t="shared" si="2"/>
        <v>0</v>
      </c>
    </row>
    <row r="21" spans="2:12" x14ac:dyDescent="0.25">
      <c r="B21" s="45" t="s">
        <v>317</v>
      </c>
      <c r="C21" s="45"/>
      <c r="D21" s="45"/>
      <c r="E21" s="45">
        <f t="shared" si="0"/>
        <v>0</v>
      </c>
      <c r="F21" s="45" t="s">
        <v>312</v>
      </c>
      <c r="G21" s="45"/>
      <c r="H21" s="45"/>
      <c r="I21" s="45">
        <f t="shared" si="1"/>
        <v>0</v>
      </c>
      <c r="J21" s="45"/>
      <c r="K21" s="45"/>
      <c r="L21" s="45">
        <f t="shared" si="2"/>
        <v>0</v>
      </c>
    </row>
    <row r="22" spans="2:12" x14ac:dyDescent="0.25">
      <c r="B22" s="45"/>
      <c r="C22" s="45"/>
      <c r="D22" s="45"/>
      <c r="E22" s="45">
        <f t="shared" si="0"/>
        <v>0</v>
      </c>
      <c r="F22" s="45" t="s">
        <v>314</v>
      </c>
      <c r="G22" s="45"/>
      <c r="H22" s="45"/>
      <c r="I22" s="45">
        <f t="shared" si="1"/>
        <v>0</v>
      </c>
      <c r="J22" s="45"/>
      <c r="K22" s="45"/>
      <c r="L22" s="45">
        <f t="shared" si="2"/>
        <v>0</v>
      </c>
    </row>
    <row r="23" spans="2:12" x14ac:dyDescent="0.25">
      <c r="B23" s="45"/>
      <c r="C23" s="45"/>
      <c r="D23" s="45"/>
      <c r="E23" s="45">
        <f t="shared" si="0"/>
        <v>0</v>
      </c>
      <c r="F23" s="45"/>
      <c r="G23" s="45"/>
      <c r="H23" s="45"/>
      <c r="I23" s="45">
        <f t="shared" si="1"/>
        <v>0</v>
      </c>
      <c r="J23" s="45"/>
      <c r="K23" s="45"/>
      <c r="L23" s="45">
        <f t="shared" si="2"/>
        <v>0</v>
      </c>
    </row>
    <row r="24" spans="2:12" x14ac:dyDescent="0.25">
      <c r="B24" s="45" t="s">
        <v>318</v>
      </c>
      <c r="C24" s="45"/>
      <c r="D24" s="45"/>
      <c r="E24" s="45">
        <f t="shared" si="0"/>
        <v>0</v>
      </c>
      <c r="F24" s="45" t="s">
        <v>319</v>
      </c>
      <c r="G24" s="45"/>
      <c r="H24" s="45"/>
      <c r="I24" s="45">
        <f t="shared" si="1"/>
        <v>0</v>
      </c>
      <c r="J24" s="45"/>
      <c r="K24" s="45"/>
      <c r="L24" s="45">
        <f t="shared" si="2"/>
        <v>0</v>
      </c>
    </row>
    <row r="25" spans="2:12" x14ac:dyDescent="0.25">
      <c r="B25" s="45"/>
      <c r="C25" s="45"/>
      <c r="D25" s="45"/>
      <c r="E25" s="45">
        <f t="shared" ref="E25:E27" si="3">C25*D25</f>
        <v>0</v>
      </c>
      <c r="F25" s="45" t="s">
        <v>319</v>
      </c>
      <c r="G25" s="45"/>
      <c r="H25" s="45"/>
      <c r="I25" s="45">
        <f t="shared" ref="I25:I27" si="4">G25*H25</f>
        <v>0</v>
      </c>
      <c r="J25" s="45"/>
      <c r="K25" s="45"/>
      <c r="L25" s="45">
        <f t="shared" ref="L25:L27" si="5">J25*K25</f>
        <v>0</v>
      </c>
    </row>
    <row r="26" spans="2:12" x14ac:dyDescent="0.25">
      <c r="B26" s="45"/>
      <c r="C26" s="45"/>
      <c r="D26" s="45"/>
      <c r="E26" s="45">
        <f t="shared" si="3"/>
        <v>0</v>
      </c>
      <c r="F26" s="45" t="s">
        <v>319</v>
      </c>
      <c r="G26" s="45"/>
      <c r="H26" s="45"/>
      <c r="I26" s="45">
        <f t="shared" si="4"/>
        <v>0</v>
      </c>
      <c r="J26" s="45"/>
      <c r="K26" s="45"/>
      <c r="L26" s="45">
        <f t="shared" si="5"/>
        <v>0</v>
      </c>
    </row>
    <row r="27" spans="2:12" x14ac:dyDescent="0.25">
      <c r="B27" s="45"/>
      <c r="C27" s="45"/>
      <c r="D27" s="45"/>
      <c r="E27" s="45">
        <f t="shared" si="3"/>
        <v>0</v>
      </c>
      <c r="F27" s="45" t="s">
        <v>319</v>
      </c>
      <c r="G27" s="45"/>
      <c r="H27" s="45"/>
      <c r="I27" s="45">
        <f t="shared" si="4"/>
        <v>0</v>
      </c>
      <c r="J27" s="45"/>
      <c r="K27" s="45"/>
      <c r="L27" s="45">
        <f t="shared" si="5"/>
        <v>0</v>
      </c>
    </row>
    <row r="28" spans="2:12" x14ac:dyDescent="0.25">
      <c r="B28" s="45" t="s">
        <v>320</v>
      </c>
      <c r="C28" s="45"/>
      <c r="D28" s="45"/>
      <c r="E28" s="45">
        <f t="shared" si="0"/>
        <v>0</v>
      </c>
      <c r="F28" s="45" t="s">
        <v>319</v>
      </c>
      <c r="G28" s="45"/>
      <c r="H28" s="45"/>
      <c r="I28" s="45">
        <f t="shared" si="1"/>
        <v>0</v>
      </c>
      <c r="J28" s="45"/>
      <c r="K28" s="45"/>
      <c r="L28" s="45">
        <f t="shared" si="2"/>
        <v>0</v>
      </c>
    </row>
    <row r="29" spans="2:12" x14ac:dyDescent="0.25">
      <c r="B29" s="45" t="s">
        <v>321</v>
      </c>
      <c r="C29" s="45"/>
      <c r="D29" s="45"/>
      <c r="E29" s="45">
        <f t="shared" si="0"/>
        <v>0</v>
      </c>
      <c r="F29" s="45" t="s">
        <v>319</v>
      </c>
      <c r="G29" s="45"/>
      <c r="H29" s="45"/>
      <c r="I29" s="45">
        <f t="shared" si="1"/>
        <v>0</v>
      </c>
      <c r="J29" s="45"/>
      <c r="K29" s="45"/>
      <c r="L29" s="45">
        <f t="shared" si="2"/>
        <v>0</v>
      </c>
    </row>
    <row r="30" spans="2:12" x14ac:dyDescent="0.25">
      <c r="B30" s="45" t="s">
        <v>325</v>
      </c>
      <c r="C30" s="45"/>
      <c r="D30" s="45"/>
      <c r="E30" s="45">
        <f t="shared" si="0"/>
        <v>0</v>
      </c>
      <c r="F30" s="45"/>
      <c r="G30" s="45"/>
      <c r="H30" s="45"/>
      <c r="I30" s="45">
        <f t="shared" si="1"/>
        <v>0</v>
      </c>
      <c r="J30" s="45"/>
      <c r="K30" s="45"/>
      <c r="L30" s="45">
        <f t="shared" si="2"/>
        <v>0</v>
      </c>
    </row>
    <row r="31" spans="2:12" x14ac:dyDescent="0.25">
      <c r="B31" s="45"/>
      <c r="C31" s="45"/>
      <c r="D31" s="45"/>
      <c r="E31" s="45">
        <f t="shared" ref="E31:E32" si="6">C31*D31</f>
        <v>0</v>
      </c>
      <c r="F31" s="45"/>
      <c r="G31" s="45"/>
      <c r="H31" s="45"/>
      <c r="I31" s="45">
        <f t="shared" ref="I31:I32" si="7">G31*H31</f>
        <v>0</v>
      </c>
      <c r="J31" s="45"/>
      <c r="K31" s="45"/>
      <c r="L31" s="45">
        <f t="shared" ref="L31:L32" si="8">J31*K31</f>
        <v>0</v>
      </c>
    </row>
    <row r="32" spans="2:12" x14ac:dyDescent="0.25">
      <c r="B32" s="45"/>
      <c r="C32" s="45"/>
      <c r="D32" s="45"/>
      <c r="E32" s="45">
        <f t="shared" si="6"/>
        <v>0</v>
      </c>
      <c r="F32" s="45"/>
      <c r="G32" s="45"/>
      <c r="H32" s="45"/>
      <c r="I32" s="45">
        <f t="shared" si="7"/>
        <v>0</v>
      </c>
      <c r="J32" s="45"/>
      <c r="K32" s="45"/>
      <c r="L32" s="45">
        <f t="shared" si="8"/>
        <v>0</v>
      </c>
    </row>
    <row r="33" spans="2:12" x14ac:dyDescent="0.25">
      <c r="B33" s="45" t="s">
        <v>322</v>
      </c>
      <c r="C33" s="45"/>
      <c r="D33" s="45"/>
      <c r="E33" s="45">
        <f t="shared" si="0"/>
        <v>0</v>
      </c>
      <c r="F33" s="45"/>
      <c r="G33" s="45"/>
      <c r="H33" s="45"/>
      <c r="I33" s="45">
        <f t="shared" si="1"/>
        <v>0</v>
      </c>
      <c r="J33" s="45"/>
      <c r="K33" s="45"/>
      <c r="L33" s="45">
        <f t="shared" si="2"/>
        <v>0</v>
      </c>
    </row>
    <row r="34" spans="2:12" x14ac:dyDescent="0.25">
      <c r="B34" s="45" t="s">
        <v>326</v>
      </c>
      <c r="C34" s="45"/>
      <c r="D34" s="45"/>
      <c r="E34" s="45">
        <f t="shared" si="0"/>
        <v>0</v>
      </c>
      <c r="F34" s="45"/>
      <c r="G34" s="45"/>
      <c r="H34" s="45"/>
      <c r="I34" s="45">
        <f t="shared" si="1"/>
        <v>0</v>
      </c>
      <c r="J34" s="45"/>
      <c r="K34" s="45"/>
      <c r="L34" s="45">
        <f t="shared" si="2"/>
        <v>0</v>
      </c>
    </row>
    <row r="35" spans="2:12" x14ac:dyDescent="0.25">
      <c r="B35" s="45" t="s">
        <v>323</v>
      </c>
      <c r="C35" s="45"/>
      <c r="D35" s="45"/>
      <c r="E35" s="45">
        <f t="shared" si="0"/>
        <v>0</v>
      </c>
      <c r="F35" s="45"/>
      <c r="G35" s="45"/>
      <c r="H35" s="45"/>
      <c r="I35" s="45">
        <f t="shared" si="1"/>
        <v>0</v>
      </c>
      <c r="J35" s="45"/>
      <c r="K35" s="45"/>
      <c r="L35" s="45">
        <f t="shared" si="2"/>
        <v>0</v>
      </c>
    </row>
    <row r="36" spans="2:12" x14ac:dyDescent="0.25">
      <c r="B36" s="45" t="s">
        <v>324</v>
      </c>
      <c r="C36" s="45"/>
      <c r="D36" s="45"/>
      <c r="E36" s="45">
        <f t="shared" si="0"/>
        <v>0</v>
      </c>
      <c r="F36" s="45"/>
      <c r="G36" s="45"/>
      <c r="H36" s="45"/>
      <c r="I36" s="45">
        <f>G36*H36</f>
        <v>0</v>
      </c>
      <c r="J36" s="45"/>
      <c r="K36" s="45"/>
      <c r="L36" s="45">
        <f>J36*K36</f>
        <v>0</v>
      </c>
    </row>
    <row r="37" spans="2:12" x14ac:dyDescent="0.25">
      <c r="B37" s="45"/>
      <c r="C37" s="45"/>
      <c r="D37" s="45"/>
      <c r="E37" s="45">
        <f t="shared" ref="E37:E38" si="9">C37*D37</f>
        <v>0</v>
      </c>
      <c r="F37" s="45"/>
      <c r="G37" s="45"/>
      <c r="H37" s="45"/>
      <c r="I37" s="45">
        <f t="shared" ref="I37:I38" si="10">G37*H37</f>
        <v>0</v>
      </c>
      <c r="J37" s="45"/>
      <c r="K37" s="45"/>
      <c r="L37" s="45">
        <f t="shared" ref="L37:L38" si="11">J37*K37</f>
        <v>0</v>
      </c>
    </row>
    <row r="38" spans="2:12" x14ac:dyDescent="0.25">
      <c r="B38" s="45" t="s">
        <v>327</v>
      </c>
      <c r="C38" s="45"/>
      <c r="D38" s="45"/>
      <c r="E38" s="45">
        <f t="shared" si="9"/>
        <v>0</v>
      </c>
      <c r="F38" s="45"/>
      <c r="G38" s="45"/>
      <c r="H38" s="45"/>
      <c r="I38" s="45">
        <f t="shared" si="10"/>
        <v>0</v>
      </c>
      <c r="J38" s="45"/>
      <c r="K38" s="45"/>
      <c r="L38" s="45">
        <f t="shared" si="11"/>
        <v>0</v>
      </c>
    </row>
    <row r="39" spans="2:12" x14ac:dyDescent="0.25">
      <c r="B39" s="45"/>
      <c r="C39" s="45"/>
      <c r="D39" s="45"/>
      <c r="E39" s="45">
        <f t="shared" si="0"/>
        <v>0</v>
      </c>
      <c r="F39" s="45"/>
      <c r="G39" s="45"/>
      <c r="H39" s="45"/>
      <c r="I39" s="45">
        <f>G39*H39</f>
        <v>0</v>
      </c>
      <c r="J39" s="45"/>
      <c r="K39" s="45"/>
      <c r="L39" s="45">
        <f>J39*K39</f>
        <v>0</v>
      </c>
    </row>
    <row r="40" spans="2:12" x14ac:dyDescent="0.25">
      <c r="B40" s="45"/>
      <c r="C40" s="45"/>
      <c r="D40" s="45"/>
      <c r="E40" s="45">
        <f t="shared" si="0"/>
        <v>0</v>
      </c>
      <c r="F40" s="45"/>
      <c r="G40" s="45"/>
      <c r="H40" s="45"/>
      <c r="I40" s="45">
        <f>G40*H40</f>
        <v>0</v>
      </c>
      <c r="J40" s="45"/>
      <c r="K40" s="45"/>
      <c r="L40" s="45">
        <f>J40*K40</f>
        <v>0</v>
      </c>
    </row>
    <row r="41" spans="2:12" x14ac:dyDescent="0.25">
      <c r="B41" s="45"/>
      <c r="C41" s="45"/>
      <c r="D41" s="45"/>
      <c r="E41" s="45">
        <f t="shared" si="0"/>
        <v>0</v>
      </c>
      <c r="F41" s="45"/>
      <c r="G41" s="45"/>
      <c r="H41" s="45"/>
      <c r="I41" s="45">
        <f>G41*H41</f>
        <v>0</v>
      </c>
      <c r="J41" s="45"/>
      <c r="K41" s="45"/>
      <c r="L41" s="45">
        <f>J41*K41</f>
        <v>0</v>
      </c>
    </row>
    <row r="42" spans="2:12" x14ac:dyDescent="0.25">
      <c r="B42" s="45" t="s">
        <v>150</v>
      </c>
      <c r="C42" s="45"/>
      <c r="D42" s="45">
        <f>E42*10.764</f>
        <v>0</v>
      </c>
      <c r="E42" s="65">
        <f>SUM(E6:E41)</f>
        <v>0</v>
      </c>
      <c r="F42" s="45"/>
      <c r="G42" s="45"/>
      <c r="H42" s="45">
        <f>I42*10.764</f>
        <v>0</v>
      </c>
      <c r="I42" s="64">
        <f>SUM(I6:I41)</f>
        <v>0</v>
      </c>
      <c r="J42" s="45"/>
      <c r="K42" s="45">
        <f>L42*10.764</f>
        <v>0</v>
      </c>
      <c r="L42" s="63">
        <f>SUM(L6:L41)</f>
        <v>0</v>
      </c>
    </row>
    <row r="44" spans="2:12" x14ac:dyDescent="0.25">
      <c r="D44" s="44">
        <f>D42+H42</f>
        <v>0</v>
      </c>
      <c r="E44" s="4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2025-08-18T11:11:15Z</cp:lastPrinted>
  <dcterms:created xsi:type="dcterms:W3CDTF">2019-07-16T09:29:46Z</dcterms:created>
  <dcterms:modified xsi:type="dcterms:W3CDTF">2025-08-18T11:14:44Z</dcterms:modified>
</cp:coreProperties>
</file>