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51\Downloads\"/>
    </mc:Choice>
  </mc:AlternateContent>
  <bookViews>
    <workbookView xWindow="0" yWindow="0" windowWidth="20460" windowHeight="6780" tabRatio="725"/>
  </bookViews>
  <sheets>
    <sheet name="Report" sheetId="1" r:id="rId1"/>
    <sheet name="valuation" sheetId="5" r:id="rId2"/>
    <sheet name="Research" sheetId="4" r:id="rId3"/>
    <sheet name="Remarks" sheetId="6" r:id="rId4"/>
  </sheets>
  <definedNames>
    <definedName name="_xlnm.Print_Area" localSheetId="0">Report!$A$1:$H$444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9" i="1" l="1"/>
  <c r="C168" i="1"/>
  <c r="F202" i="1" l="1"/>
  <c r="F213" i="1"/>
  <c r="F234" i="1"/>
  <c r="D149" i="1"/>
  <c r="D165" i="1"/>
  <c r="D170" i="1"/>
  <c r="D202" i="1"/>
  <c r="D213" i="1"/>
  <c r="D234" i="1"/>
  <c r="D242" i="1"/>
  <c r="C243" i="1"/>
  <c r="F243" i="1" s="1"/>
  <c r="C242" i="1"/>
  <c r="F242" i="1" s="1"/>
  <c r="C241" i="1"/>
  <c r="F241" i="1" s="1"/>
  <c r="C240" i="1"/>
  <c r="F240" i="1" s="1"/>
  <c r="C239" i="1"/>
  <c r="F239" i="1" s="1"/>
  <c r="C238" i="1"/>
  <c r="F238" i="1" s="1"/>
  <c r="C237" i="1"/>
  <c r="F237" i="1" s="1"/>
  <c r="C236" i="1"/>
  <c r="F236" i="1" s="1"/>
  <c r="C235" i="1"/>
  <c r="F235" i="1" s="1"/>
  <c r="C234" i="1"/>
  <c r="C233" i="1"/>
  <c r="F233" i="1" s="1"/>
  <c r="C232" i="1"/>
  <c r="F232" i="1" s="1"/>
  <c r="C231" i="1"/>
  <c r="F231" i="1" s="1"/>
  <c r="C230" i="1"/>
  <c r="F230" i="1" s="1"/>
  <c r="C229" i="1"/>
  <c r="D229" i="1" s="1"/>
  <c r="C228" i="1"/>
  <c r="F228" i="1" s="1"/>
  <c r="C227" i="1"/>
  <c r="F227" i="1" s="1"/>
  <c r="C226" i="1"/>
  <c r="F226" i="1" s="1"/>
  <c r="C225" i="1"/>
  <c r="F225" i="1" s="1"/>
  <c r="C224" i="1"/>
  <c r="F224" i="1" s="1"/>
  <c r="C223" i="1"/>
  <c r="F223" i="1" s="1"/>
  <c r="C222" i="1"/>
  <c r="F222" i="1" s="1"/>
  <c r="C221" i="1"/>
  <c r="F221" i="1" s="1"/>
  <c r="C220" i="1"/>
  <c r="F220" i="1" s="1"/>
  <c r="C219" i="1"/>
  <c r="F219" i="1" s="1"/>
  <c r="C218" i="1"/>
  <c r="F218" i="1" s="1"/>
  <c r="C217" i="1"/>
  <c r="F217" i="1" s="1"/>
  <c r="C216" i="1"/>
  <c r="F216" i="1" s="1"/>
  <c r="C215" i="1"/>
  <c r="F215" i="1" s="1"/>
  <c r="C214" i="1"/>
  <c r="F214" i="1" s="1"/>
  <c r="C213" i="1"/>
  <c r="C212" i="1"/>
  <c r="F212" i="1" s="1"/>
  <c r="C211" i="1"/>
  <c r="F211" i="1" s="1"/>
  <c r="C210" i="1"/>
  <c r="F210" i="1" s="1"/>
  <c r="C209" i="1"/>
  <c r="F209" i="1" s="1"/>
  <c r="C208" i="1"/>
  <c r="F208" i="1" s="1"/>
  <c r="C207" i="1"/>
  <c r="F207" i="1" s="1"/>
  <c r="C206" i="1"/>
  <c r="F206" i="1" s="1"/>
  <c r="C205" i="1"/>
  <c r="F205" i="1" s="1"/>
  <c r="C204" i="1"/>
  <c r="F204" i="1" s="1"/>
  <c r="C203" i="1"/>
  <c r="F203" i="1" s="1"/>
  <c r="C202" i="1"/>
  <c r="C201" i="1"/>
  <c r="F201" i="1" s="1"/>
  <c r="C200" i="1"/>
  <c r="F200" i="1" s="1"/>
  <c r="C199" i="1"/>
  <c r="F199" i="1" s="1"/>
  <c r="C198" i="1"/>
  <c r="F198" i="1" s="1"/>
  <c r="C197" i="1"/>
  <c r="D197" i="1" s="1"/>
  <c r="C196" i="1"/>
  <c r="F196" i="1" s="1"/>
  <c r="C195" i="1"/>
  <c r="F195" i="1" s="1"/>
  <c r="C194" i="1"/>
  <c r="F194" i="1" s="1"/>
  <c r="C193" i="1"/>
  <c r="F193" i="1" s="1"/>
  <c r="C192" i="1"/>
  <c r="F192" i="1" s="1"/>
  <c r="C191" i="1"/>
  <c r="F191" i="1" s="1"/>
  <c r="C190" i="1"/>
  <c r="F190" i="1" s="1"/>
  <c r="C189" i="1"/>
  <c r="F189" i="1" s="1"/>
  <c r="C188" i="1"/>
  <c r="F188" i="1" s="1"/>
  <c r="C187" i="1"/>
  <c r="F187" i="1" s="1"/>
  <c r="C186" i="1"/>
  <c r="F186" i="1" s="1"/>
  <c r="C185" i="1"/>
  <c r="F185" i="1" s="1"/>
  <c r="C184" i="1"/>
  <c r="F184" i="1" s="1"/>
  <c r="C183" i="1"/>
  <c r="F183" i="1" s="1"/>
  <c r="C182" i="1"/>
  <c r="F182" i="1" s="1"/>
  <c r="C181" i="1"/>
  <c r="D181" i="1" s="1"/>
  <c r="C180" i="1"/>
  <c r="F180" i="1" s="1"/>
  <c r="C179" i="1"/>
  <c r="F179" i="1" s="1"/>
  <c r="C178" i="1"/>
  <c r="F178" i="1" s="1"/>
  <c r="C177" i="1"/>
  <c r="F177" i="1" s="1"/>
  <c r="C176" i="1"/>
  <c r="F176" i="1" s="1"/>
  <c r="C175" i="1"/>
  <c r="F175" i="1" s="1"/>
  <c r="C174" i="1"/>
  <c r="F174" i="1" s="1"/>
  <c r="C173" i="1"/>
  <c r="F173" i="1" s="1"/>
  <c r="C172" i="1"/>
  <c r="F172" i="1" s="1"/>
  <c r="C171" i="1"/>
  <c r="F171" i="1" s="1"/>
  <c r="C170" i="1"/>
  <c r="F170" i="1" s="1"/>
  <c r="C169" i="1"/>
  <c r="F169" i="1" s="1"/>
  <c r="F168" i="1"/>
  <c r="C167" i="1"/>
  <c r="F167" i="1" s="1"/>
  <c r="C166" i="1"/>
  <c r="F166" i="1" s="1"/>
  <c r="C165" i="1"/>
  <c r="F165" i="1" s="1"/>
  <c r="C164" i="1"/>
  <c r="F164" i="1" s="1"/>
  <c r="C163" i="1"/>
  <c r="F163" i="1" s="1"/>
  <c r="C162" i="1"/>
  <c r="F162" i="1" s="1"/>
  <c r="C161" i="1"/>
  <c r="F161" i="1" s="1"/>
  <c r="C160" i="1"/>
  <c r="F160" i="1" s="1"/>
  <c r="C159" i="1"/>
  <c r="F159" i="1" s="1"/>
  <c r="C158" i="1"/>
  <c r="F158" i="1" s="1"/>
  <c r="C157" i="1"/>
  <c r="F157" i="1" s="1"/>
  <c r="C156" i="1"/>
  <c r="F156" i="1" s="1"/>
  <c r="C155" i="1"/>
  <c r="F155" i="1" s="1"/>
  <c r="C154" i="1"/>
  <c r="F154" i="1" s="1"/>
  <c r="C153" i="1"/>
  <c r="F153" i="1" s="1"/>
  <c r="C152" i="1"/>
  <c r="D152" i="1" s="1"/>
  <c r="C151" i="1"/>
  <c r="D151" i="1" s="1"/>
  <c r="C150" i="1"/>
  <c r="F150" i="1" s="1"/>
  <c r="C149" i="1"/>
  <c r="F149" i="1" s="1"/>
  <c r="C148" i="1"/>
  <c r="F148" i="1" s="1"/>
  <c r="F197" i="1" l="1"/>
  <c r="F229" i="1"/>
  <c r="F181" i="1"/>
  <c r="D210" i="1"/>
  <c r="D178" i="1"/>
  <c r="D237" i="1"/>
  <c r="D205" i="1"/>
  <c r="D173" i="1"/>
  <c r="D226" i="1"/>
  <c r="D194" i="1"/>
  <c r="D162" i="1"/>
  <c r="D221" i="1"/>
  <c r="D189" i="1"/>
  <c r="D157" i="1"/>
  <c r="D218" i="1"/>
  <c r="D186" i="1"/>
  <c r="D154" i="1"/>
  <c r="D243" i="1"/>
  <c r="D235" i="1"/>
  <c r="D227" i="1"/>
  <c r="D219" i="1"/>
  <c r="D211" i="1"/>
  <c r="D203" i="1"/>
  <c r="D195" i="1"/>
  <c r="D187" i="1"/>
  <c r="D179" i="1"/>
  <c r="D171" i="1"/>
  <c r="D163" i="1"/>
  <c r="D155" i="1"/>
  <c r="D241" i="1"/>
  <c r="D233" i="1"/>
  <c r="D225" i="1"/>
  <c r="D217" i="1"/>
  <c r="D209" i="1"/>
  <c r="D201" i="1"/>
  <c r="D193" i="1"/>
  <c r="D185" i="1"/>
  <c r="D177" i="1"/>
  <c r="D169" i="1"/>
  <c r="D161" i="1"/>
  <c r="D153" i="1"/>
  <c r="F152" i="1"/>
  <c r="D240" i="1"/>
  <c r="D232" i="1"/>
  <c r="D224" i="1"/>
  <c r="D216" i="1"/>
  <c r="D208" i="1"/>
  <c r="D200" i="1"/>
  <c r="D192" i="1"/>
  <c r="D184" i="1"/>
  <c r="D176" i="1"/>
  <c r="D168" i="1"/>
  <c r="D160" i="1"/>
  <c r="F151" i="1"/>
  <c r="D239" i="1"/>
  <c r="D231" i="1"/>
  <c r="D223" i="1"/>
  <c r="D215" i="1"/>
  <c r="D207" i="1"/>
  <c r="D199" i="1"/>
  <c r="D191" i="1"/>
  <c r="D183" i="1"/>
  <c r="D175" i="1"/>
  <c r="D167" i="1"/>
  <c r="D159" i="1"/>
  <c r="D238" i="1"/>
  <c r="D230" i="1"/>
  <c r="D222" i="1"/>
  <c r="D214" i="1"/>
  <c r="D206" i="1"/>
  <c r="D198" i="1"/>
  <c r="D190" i="1"/>
  <c r="D182" i="1"/>
  <c r="D174" i="1"/>
  <c r="D166" i="1"/>
  <c r="D158" i="1"/>
  <c r="D150" i="1"/>
  <c r="C132" i="1"/>
  <c r="D148" i="1"/>
  <c r="D236" i="1"/>
  <c r="D228" i="1"/>
  <c r="D220" i="1"/>
  <c r="D212" i="1"/>
  <c r="D204" i="1"/>
  <c r="D196" i="1"/>
  <c r="D188" i="1"/>
  <c r="D180" i="1"/>
  <c r="D172" i="1"/>
  <c r="D164" i="1"/>
  <c r="D156" i="1"/>
  <c r="I31" i="1"/>
  <c r="G132" i="1" l="1"/>
  <c r="K168" i="1"/>
  <c r="J168" i="1"/>
  <c r="I168" i="1"/>
  <c r="L168" i="1" s="1"/>
  <c r="E132" i="1"/>
  <c r="I45" i="1"/>
  <c r="B246" i="1" l="1"/>
  <c r="F142" i="1" l="1"/>
  <c r="H142" i="1" s="1"/>
  <c r="F143" i="1"/>
  <c r="H143" i="1" s="1"/>
  <c r="F144" i="1"/>
  <c r="H144" i="1" s="1"/>
  <c r="F141" i="1"/>
  <c r="H141" i="1" s="1"/>
  <c r="G58" i="1" l="1"/>
  <c r="C58" i="1"/>
  <c r="G56" i="1"/>
  <c r="C56" i="1"/>
  <c r="C54" i="1"/>
  <c r="S33" i="1" l="1"/>
  <c r="F11" i="5" l="1"/>
  <c r="G11" i="5" s="1"/>
  <c r="F10" i="5"/>
  <c r="G10" i="5" s="1"/>
  <c r="F9" i="5"/>
  <c r="G9" i="5" s="1"/>
  <c r="F8" i="5"/>
  <c r="G8" i="5" s="1"/>
  <c r="F7" i="5"/>
  <c r="G7" i="5" s="1"/>
  <c r="F6" i="5"/>
  <c r="G6" i="5" s="1"/>
  <c r="F5" i="5"/>
  <c r="G5" i="5" s="1"/>
  <c r="G12" i="5" s="1"/>
  <c r="D269" i="1"/>
  <c r="B247" i="1"/>
  <c r="A149" i="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142" i="1"/>
  <c r="A143" i="1" s="1"/>
  <c r="A144" i="1" s="1"/>
  <c r="G135" i="1"/>
  <c r="E135" i="1"/>
  <c r="C135" i="1"/>
  <c r="F129" i="1"/>
  <c r="C103" i="1"/>
  <c r="C89" i="1"/>
  <c r="C75" i="1"/>
  <c r="D69" i="1"/>
  <c r="D62" i="1"/>
  <c r="G51" i="1"/>
  <c r="G52" i="1" s="1"/>
  <c r="C51" i="1"/>
  <c r="C52" i="1" s="1"/>
  <c r="E44" i="1"/>
  <c r="E45" i="1" s="1"/>
  <c r="E28" i="1"/>
  <c r="E26" i="1"/>
  <c r="C16" i="1"/>
  <c r="I15" i="1"/>
  <c r="Z13" i="1"/>
  <c r="E8" i="1"/>
  <c r="E3" i="1"/>
  <c r="H104" i="1"/>
  <c r="H76" i="1"/>
  <c r="H90" i="1"/>
  <c r="J75" i="1" l="1"/>
  <c r="J77" i="1" s="1"/>
  <c r="J78" i="1"/>
  <c r="J79" i="1"/>
  <c r="J80" i="1"/>
  <c r="C79" i="1" s="1"/>
  <c r="J94" i="1"/>
  <c r="E93" i="1"/>
  <c r="D98" i="1"/>
  <c r="D100" i="1"/>
  <c r="D94"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C93" i="1" l="1"/>
  <c r="D93" i="1" s="1"/>
  <c r="I90" i="1" s="1"/>
  <c r="I91" i="1" s="1"/>
  <c r="D79" i="1"/>
  <c r="D109" i="1"/>
  <c r="J114" i="1"/>
  <c r="J111" i="1"/>
  <c r="J113" i="1"/>
  <c r="J112" i="1"/>
  <c r="J109" i="1"/>
  <c r="J110" i="1" s="1"/>
  <c r="J115" i="1" s="1"/>
  <c r="J116" i="1" s="1"/>
  <c r="C108" i="1" s="1"/>
  <c r="E107" i="1" s="1"/>
  <c r="J100" i="1"/>
  <c r="J97" i="1"/>
  <c r="J99" i="1"/>
  <c r="J98" i="1"/>
  <c r="J95" i="1"/>
  <c r="J96" i="1" s="1"/>
  <c r="J85" i="1"/>
  <c r="J83" i="1"/>
  <c r="J84" i="1"/>
  <c r="J82" i="1"/>
  <c r="J87" i="1" s="1"/>
  <c r="J88" i="1" s="1"/>
  <c r="C80" i="1" s="1"/>
  <c r="J86" i="1"/>
  <c r="G93" i="1" l="1"/>
  <c r="J76" i="1"/>
  <c r="J101" i="1"/>
  <c r="J102" i="1" s="1"/>
  <c r="J90" i="1" s="1"/>
  <c r="I89" i="1" s="1"/>
  <c r="C91" i="1" s="1"/>
  <c r="D108" i="1"/>
  <c r="I104" i="1" s="1"/>
  <c r="J104" i="1"/>
  <c r="G107" i="1"/>
  <c r="E79" i="1"/>
  <c r="D80" i="1"/>
  <c r="I76" i="1" s="1"/>
  <c r="G79" i="1"/>
  <c r="D73" i="1" s="1"/>
  <c r="F74" i="1" l="1"/>
  <c r="D74" i="1"/>
  <c r="I105" i="1"/>
  <c r="I103" i="1" s="1"/>
  <c r="C105" i="1" s="1"/>
  <c r="I77" i="1"/>
  <c r="I75" i="1" s="1"/>
  <c r="C77"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<sst xmlns="http://schemas.openxmlformats.org/spreadsheetml/2006/main" count="781" uniqueCount="350">
  <si>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</si>
  <si>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</si>
  <si>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</si>
  <si>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</si>
  <si>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</si>
  <si>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</si>
  <si>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</si>
  <si>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</si>
  <si>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</si>
  <si>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</si>
  <si>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</si>
  <si>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</si>
  <si>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</si>
  <si>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</si>
  <si>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</si>
  <si>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</si>
  <si>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</si>
  <si>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</si>
  <si>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</si>
  <si>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</si>
  <si>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</si>
  <si>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</si>
  <si>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</si>
  <si>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</si>
  <si>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</si>
  <si>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</si>
  <si>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</si>
  <si>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</si>
  <si>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</si>
  <si>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</si>
  <si>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</si>
  <si>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</si>
  <si>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</si>
  <si>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</si>
  <si>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</si>
  <si>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</si>
  <si>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</si>
  <si>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</si>
  <si>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</si>
  <si>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</si>
  <si>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</si>
  <si>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</si>
  <si>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</si>
  <si>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</si>
  <si>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</si>
  <si>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</si>
  <si>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</si>
  <si>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</si>
  <si>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</si>
  <si>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</si>
  <si>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</si>
  <si>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</si>
  <si>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</si>
  <si>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</si>
  <si>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</si>
  <si>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</si>
  <si>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</si>
  <si>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</si>
  <si>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</si>
  <si>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</si>
  <si>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</si>
  <si>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</si>
  <si>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</si>
  <si>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</si>
  <si>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</si>
  <si>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</si>
  <si>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</si>
  <si>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</si>
  <si>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</si>
  <si>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</si>
  <si>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</si>
  <si>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</si>
  <si>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</si>
  <si>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</si>
  <si>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</si>
  <si>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</si>
  <si>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</si>
  <si>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</si>
  <si>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</si>
  <si>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</si>
  <si>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</si>
  <si>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</si>
  <si>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</si>
  <si>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</si>
  <si>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</si>
  <si>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</si>
  <si>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Club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</si>
  <si>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</si>
  <si>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</si>
  <si>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</si>
  <si>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</si>
  <si>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</si>
  <si>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</si>
  <si>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</si>
  <si>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</si>
  <si>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</si>
  <si>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</si>
  <si>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</si>
  <si>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</si>
  <si>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</si>
  <si>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</si>
  <si>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</si>
  <si>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</si>
  <si>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</si>
  <si>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</si>
  <si>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</si>
  <si>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</si>
  <si>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</si>
  <si>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</si>
  <si>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</si>
  <si>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</si>
  <si>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t>Nearby Landmark</t>
  </si>
  <si>
    <t>We considered Carpet area as per Approved Plan.</t>
  </si>
  <si>
    <t>We considered Gross carpet area = Net carpet + Enclose balcony + D.B Area + F.B Area.</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</si>
  <si>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</si>
  <si>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</si>
  <si>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</si>
  <si>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</si>
  <si>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</si>
  <si>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</si>
  <si>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</si>
  <si>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</si>
  <si>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</si>
  <si>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</si>
  <si>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</si>
  <si>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</si>
  <si>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</si>
  <si>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</si>
  <si>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</si>
  <si>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</si>
  <si>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</si>
  <si>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</si>
  <si>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</si>
  <si>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</si>
  <si>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</si>
  <si>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</si>
  <si>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</si>
  <si>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</si>
  <si>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</si>
  <si>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</si>
  <si>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</si>
  <si>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</si>
  <si>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</si>
  <si>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</si>
  <si>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</si>
  <si>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</si>
  <si>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</si>
  <si>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</si>
  <si>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Office Per Sq. Ft.</t>
  </si>
  <si>
    <t>Location Link</t>
  </si>
  <si>
    <t>Locality</t>
  </si>
  <si>
    <t>Layout :</t>
  </si>
  <si>
    <t>Latitude, Longitude</t>
  </si>
  <si>
    <t>Grand Total</t>
  </si>
  <si>
    <t>Provided Contact Details (Name &amp; Contact No.)</t>
  </si>
  <si>
    <t>Site Person - Contact Details (Name &amp; Contact No.)</t>
  </si>
  <si>
    <t>Building No.1 (A Wing) = 1B + G + 1st to 20th Floor</t>
  </si>
  <si>
    <t>C Wing = 1B + G + 1st to 20th Floor</t>
  </si>
  <si>
    <t>Approved Plans, CC, Sale Plans, Builder Saleable Area, Cost Sheet, Airport Noc, Railway Noc, OC</t>
  </si>
  <si>
    <t>Axis Goregaon</t>
  </si>
  <si>
    <t>Name / No of the Existing Building</t>
  </si>
  <si>
    <t>Mumbai</t>
  </si>
  <si>
    <t>As per Layout</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</si>
  <si>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</si>
  <si>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</si>
  <si>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</si>
  <si>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</si>
  <si>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</si>
  <si>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</si>
  <si>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</si>
  <si>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</si>
  <si>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</si>
  <si>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</si>
  <si>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</si>
  <si>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</si>
  <si>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</si>
  <si>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</si>
  <si>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</si>
  <si>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</si>
  <si>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</si>
  <si>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</si>
  <si>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</si>
  <si>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</si>
  <si>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</si>
  <si>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</si>
  <si>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</si>
  <si>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</si>
  <si>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</si>
  <si>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</si>
  <si>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</si>
  <si>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</si>
  <si>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</si>
  <si>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</si>
  <si>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</si>
  <si>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</si>
  <si>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</si>
  <si>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</si>
  <si>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</si>
  <si>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</si>
  <si>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</si>
  <si>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</si>
  <si>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</si>
  <si>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</si>
  <si>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</si>
  <si>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</si>
  <si>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</si>
  <si>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</si>
  <si>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</si>
  <si>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</si>
  <si>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</si>
  <si>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</si>
  <si>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</si>
  <si>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</si>
  <si>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</si>
  <si>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</si>
  <si>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</si>
  <si>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</si>
  <si>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</si>
  <si>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</si>
  <si>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</si>
  <si>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</si>
  <si>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</si>
  <si>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</si>
  <si>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</si>
  <si>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</si>
  <si>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</si>
  <si>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</si>
  <si>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</si>
  <si>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</si>
  <si>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</si>
  <si>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</si>
  <si>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</si>
  <si>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</si>
  <si>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</si>
  <si>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</si>
  <si>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</si>
  <si>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</si>
  <si>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</si>
  <si>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</si>
  <si>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</si>
  <si>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</si>
  <si>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</si>
  <si>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</si>
  <si>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</si>
  <si>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</si>
  <si>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</si>
  <si>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</si>
  <si>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</si>
  <si>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</si>
  <si>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</si>
  <si>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</si>
  <si>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</si>
  <si>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</si>
  <si>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</si>
  <si>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</si>
  <si>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</si>
  <si>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</si>
  <si>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</si>
  <si>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</si>
  <si>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</si>
  <si>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</si>
  <si>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</si>
  <si>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</si>
  <si>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</si>
  <si>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</si>
  <si>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</si>
  <si>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</si>
  <si>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</si>
  <si>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</si>
  <si>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</si>
  <si>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</si>
  <si>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</si>
  <si>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</si>
  <si>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</si>
  <si>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</si>
  <si>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</si>
  <si>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</si>
  <si>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</si>
  <si>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</si>
  <si>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</si>
  <si>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</si>
  <si>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</si>
  <si>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</si>
  <si>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</si>
  <si>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</si>
  <si>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</si>
  <si>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</si>
  <si>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</si>
  <si>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Residential</t>
  </si>
  <si>
    <t>Plot Area Details :</t>
  </si>
  <si>
    <t>Plot/
Bunglow
No</t>
  </si>
  <si>
    <t>Plot Type</t>
  </si>
  <si>
    <t>Plot Area
(Sq.Mt.)</t>
  </si>
  <si>
    <t>Plot Area
(Sq.Ft.)</t>
  </si>
  <si>
    <t>Carpet Area</t>
  </si>
  <si>
    <t xml:space="preserve">Demarkation
Status
</t>
  </si>
  <si>
    <t>Godrej Hillside Properties Private Limited</t>
  </si>
  <si>
    <t>Godrej Golf Side Estate</t>
  </si>
  <si>
    <t>Not Provided</t>
  </si>
  <si>
    <t>P52000054914</t>
  </si>
  <si>
    <t>3/1, 3/2, 21/1, 21/3, 21/4 &amp; 21/6</t>
  </si>
  <si>
    <t>Survey No</t>
  </si>
  <si>
    <t>Talegaon</t>
  </si>
  <si>
    <t>Old Mumbai Pune Higway</t>
  </si>
  <si>
    <t>12.90KM from Panvel Railway Station</t>
  </si>
  <si>
    <t>Other Plot</t>
  </si>
  <si>
    <t>Building</t>
  </si>
  <si>
    <t>Open Plot</t>
  </si>
  <si>
    <t>Internal Road</t>
  </si>
  <si>
    <t>The Highland Godrej City</t>
  </si>
  <si>
    <t>18.927089,73.185581</t>
  </si>
  <si>
    <t>https://maps.app.goo.gl/jPRz1gzWBS46gk789</t>
  </si>
  <si>
    <t>96 Plots</t>
  </si>
  <si>
    <t>MSRDC/LF/2024/APL/00002</t>
  </si>
  <si>
    <t>Commencement-CC No</t>
  </si>
  <si>
    <t>NA Order No.</t>
  </si>
  <si>
    <t>Approved area of Plots (Sq.Mt)</t>
  </si>
  <si>
    <t>As per RERA - 30/09/2026</t>
  </si>
  <si>
    <t>Health Club, Golf Club, Hill View, Curated Greens, Kids Play Area, Reflexology Path, Sand Pit, Treehouse, Badminton Court, Swimming pool, etc.</t>
  </si>
  <si>
    <r>
      <t xml:space="preserve">Proposed Amenities :                                                                                                                                                                                                                         </t>
    </r>
    <r>
      <rPr>
        <b/>
        <sz val="12"/>
        <rFont val="Times New Roman"/>
        <family val="1"/>
      </rPr>
      <t xml:space="preserve">                                               </t>
    </r>
  </si>
  <si>
    <t>Semi Detached</t>
  </si>
  <si>
    <t>No of Plots</t>
  </si>
  <si>
    <t>Per Built-up Area
Assigned (Sq.ft.)</t>
  </si>
  <si>
    <t>Plots</t>
  </si>
  <si>
    <t>Plot - 96</t>
  </si>
  <si>
    <t>Approved Plans, CC, NA Order &amp; Cost Sheet.</t>
  </si>
  <si>
    <t>The Highlands Godrej City</t>
  </si>
  <si>
    <t>MS/Jaminbab/KT-1/Talegaon/Layout Permission/2024/559</t>
  </si>
  <si>
    <t>Recommended rate of the Plot Per Sq. Ft.</t>
  </si>
  <si>
    <t>Permissible Built up Area on Pro rata FSI
(In Sq.ft)</t>
  </si>
  <si>
    <t>Plot Demarkation is done on some plot but at the time of visit proper info was not provided.</t>
  </si>
  <si>
    <t>Visit Date</t>
  </si>
  <si>
    <t>Plot No.</t>
  </si>
  <si>
    <t>Site Inspection</t>
  </si>
  <si>
    <t>70, 71 &amp; 74</t>
  </si>
  <si>
    <t>Demarkation/Plot marking has
completed.</t>
  </si>
  <si>
    <t>Mr. Sandeep 9271808528</t>
  </si>
  <si>
    <t>Office No. 1031, Wing J, Akshar Business Park, Plot No. 03 Sector 25, Near APMC Market, Vashi, 
Navi Mumbai, Maharashtra 400703 TEL: 022-46090378/79/80
E mail : vsjcapf@gmail.com. Web site : www.vsjadon.com</t>
  </si>
  <si>
    <t>On Plot Area</t>
  </si>
  <si>
    <t>Common area amenities and facilities development charges Per Sq. Ft.</t>
  </si>
  <si>
    <t>Basic Infrastructure Charges Per Sq. Ft.</t>
  </si>
  <si>
    <t>Corpus Fund</t>
  </si>
  <si>
    <t>All type of extra charges are added by viraj &amp; sanjay on 15/04/2025 (Cost Sheet on mail)(For Plot No. 21)</t>
  </si>
  <si>
    <t>Remark No. 06 :</t>
  </si>
  <si>
    <t xml:space="preserve">Recommended Rates/Other Charges of the Property have been revised on 15/04/2025, with reference to the costsheet provided by bank officials on the mail. Costsheet attached below.
</t>
  </si>
  <si>
    <t>Gaurav Panchal</t>
  </si>
  <si>
    <t>Nitesh Patil</t>
  </si>
  <si>
    <t>-</t>
  </si>
  <si>
    <t>below photo send by mr sandeep on 21/08/2025</t>
  </si>
  <si>
    <t>Plot Demarkation work 80 to 90% done and Internal Road work is in process at the time of Visit.
(Internal visit not allowed)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</si>
</sst>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1"/>
      <color indexed="8"/>
      <name val="Times New Roman"/>
      <family val="1"/>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17" fillId="0" borderId="3" xfId="1" applyNumberFormat="1" applyFont="1" applyBorder="1" applyAlignment="1" applyProtection="1">
      <alignment horizontal="center" vertical="top" wrapText="1"/>
      <protection locked="0"/>
    </xf>
    <xf numFmtId="164" fontId="7" fillId="0" borderId="0" xfId="1" applyNumberFormat="1" applyFont="1"/>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1" fontId="8"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7"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1" fontId="31" fillId="0" borderId="3" xfId="1" applyNumberFormat="1" applyFont="1" applyBorder="1" applyAlignment="1" applyProtection="1">
      <alignment horizontal="center" vertical="center"/>
      <protection locked="0"/>
    </xf>
    <xf numFmtId="2" fontId="6" fillId="0" borderId="1" xfId="1" applyNumberFormat="1" applyFont="1" applyBorder="1" applyAlignment="1" applyProtection="1">
      <alignment horizontal="center" vertical="center" wrapText="1"/>
      <protection locked="0"/>
    </xf>
    <xf numFmtId="1" fontId="31" fillId="0" borderId="1" xfId="1" applyNumberFormat="1" applyFont="1" applyBorder="1" applyAlignment="1" applyProtection="1">
      <alignment horizontal="center" vertical="center"/>
      <protection locked="0"/>
    </xf>
    <xf numFmtId="1" fontId="32" fillId="0" borderId="3" xfId="1" applyNumberFormat="1" applyFont="1" applyBorder="1" applyAlignment="1" applyProtection="1">
      <alignment horizontal="center" vertical="top" wrapText="1"/>
      <protection locked="0"/>
    </xf>
    <xf numFmtId="14" fontId="7" fillId="0" borderId="0" xfId="0" applyNumberFormat="1" applyFont="1" applyAlignment="1">
      <alignment horizontal="center" vertical="center"/>
    </xf>
    <xf numFmtId="0" fontId="7" fillId="0" borderId="0" xfId="0"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7" fillId="0" borderId="1" xfId="0" applyNumberFormat="1" applyFont="1" applyFill="1" applyBorder="1" applyAlignment="1" applyProtection="1">
      <alignment horizontal="center" vertical="center" wrapText="1"/>
      <protection locked="0"/>
    </xf>
    <xf numFmtId="1" fontId="10" fillId="0" borderId="1" xfId="0" applyNumberFormat="1" applyFont="1" applyFill="1" applyBorder="1" applyAlignment="1" applyProtection="1">
      <alignment horizontal="center" vertical="top" wrapText="1"/>
      <protection locked="0"/>
    </xf>
    <xf numFmtId="0" fontId="7" fillId="0" borderId="0" xfId="0" applyFont="1" applyFill="1" applyAlignment="1">
      <alignment horizontal="center" vertical="center"/>
    </xf>
    <xf numFmtId="14" fontId="10" fillId="0" borderId="1" xfId="0" applyNumberFormat="1" applyFont="1" applyFill="1" applyBorder="1" applyAlignment="1" applyProtection="1">
      <alignment horizontal="center" vertical="center"/>
      <protection locked="0"/>
    </xf>
    <xf numFmtId="1" fontId="7" fillId="2" borderId="0" xfId="1" applyNumberFormat="1" applyFont="1" applyFill="1" applyAlignment="1">
      <alignment horizontal="center" vertical="center"/>
    </xf>
    <xf numFmtId="0" fontId="7" fillId="2" borderId="0" xfId="1" applyFont="1" applyFill="1" applyAlignment="1">
      <alignment horizontal="center" vertical="center"/>
    </xf>
    <xf numFmtId="0" fontId="7" fillId="2" borderId="0" xfId="1" applyFont="1" applyFill="1"/>
    <xf numFmtId="1" fontId="6" fillId="0" borderId="17" xfId="1" applyNumberFormat="1" applyFont="1" applyFill="1" applyBorder="1" applyAlignment="1" applyProtection="1">
      <alignment horizontal="center" vertical="center" wrapText="1"/>
      <protection locked="0"/>
    </xf>
    <xf numFmtId="1" fontId="31" fillId="0" borderId="3" xfId="1" applyNumberFormat="1" applyFont="1" applyFill="1" applyBorder="1" applyAlignment="1" applyProtection="1">
      <alignment horizontal="center" vertical="center"/>
      <protection locked="0"/>
    </xf>
    <xf numFmtId="2" fontId="6" fillId="0" borderId="1" xfId="1" applyNumberFormat="1" applyFont="1" applyFill="1" applyBorder="1" applyAlignment="1" applyProtection="1">
      <alignment horizontal="center" vertical="center" wrapText="1"/>
      <protection locked="0"/>
    </xf>
    <xf numFmtId="1" fontId="10" fillId="0" borderId="1" xfId="0" applyNumberFormat="1" applyFont="1" applyFill="1" applyBorder="1" applyAlignment="1" applyProtection="1">
      <alignment horizontal="center" vertical="top" wrapText="1"/>
      <protection locked="0"/>
    </xf>
    <xf numFmtId="1" fontId="10" fillId="0" borderId="1" xfId="0" applyNumberFormat="1" applyFont="1" applyFill="1" applyBorder="1" applyAlignment="1" applyProtection="1">
      <alignment horizontal="center" vertical="center"/>
      <protection locked="0"/>
    </xf>
    <xf numFmtId="1" fontId="10" fillId="0" borderId="1" xfId="0" applyNumberFormat="1" applyFont="1" applyFill="1" applyBorder="1" applyAlignment="1" applyProtection="1">
      <alignment horizontal="center" vertical="center" wrapText="1"/>
      <protection locked="0"/>
    </xf>
    <xf numFmtId="1" fontId="31" fillId="0" borderId="8" xfId="1" applyNumberFormat="1" applyFont="1" applyBorder="1" applyAlignment="1" applyProtection="1">
      <alignment horizontal="center" vertical="center" wrapText="1"/>
      <protection locked="0"/>
    </xf>
    <xf numFmtId="1" fontId="31"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7" fillId="2" borderId="0" xfId="1" applyNumberFormat="1" applyFont="1" applyFill="1" applyAlignment="1">
      <alignment horizontal="center" vertical="center"/>
    </xf>
    <xf numFmtId="0" fontId="7" fillId="2" borderId="0" xfId="1" applyFont="1" applyFill="1" applyAlignment="1">
      <alignment horizontal="center" vertical="center"/>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6" fillId="0" borderId="1" xfId="1" applyFont="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5" fillId="0" borderId="17" xfId="1" applyFont="1" applyBorder="1" applyAlignment="1" applyProtection="1">
      <alignment horizontal="left" vertical="top"/>
      <protection locked="0"/>
    </xf>
    <xf numFmtId="0" fontId="15" fillId="0" borderId="24" xfId="1" applyFont="1" applyBorder="1" applyAlignment="1" applyProtection="1">
      <alignment horizontal="left" vertical="top"/>
      <protection locked="0"/>
    </xf>
    <xf numFmtId="0" fontId="15" fillId="0" borderId="18"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10" fillId="0" borderId="33" xfId="0" applyFont="1" applyBorder="1" applyAlignment="1" applyProtection="1">
      <alignment horizontal="center"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8" fillId="0" borderId="16" xfId="1" applyFont="1" applyBorder="1" applyAlignment="1" applyProtection="1">
      <alignment horizontal="center" vertical="top"/>
      <protection locked="0"/>
    </xf>
    <xf numFmtId="1" fontId="6" fillId="0" borderId="2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15"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4" fillId="0" borderId="8" xfId="1" applyNumberFormat="1" applyFont="1" applyBorder="1" applyAlignment="1" applyProtection="1">
      <alignment horizontal="center" vertical="top" wrapText="1"/>
      <protection locked="0"/>
    </xf>
    <xf numFmtId="1" fontId="4" fillId="0" borderId="9"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5" fillId="0" borderId="3" xfId="1" applyFont="1" applyBorder="1" applyAlignment="1" applyProtection="1">
      <alignment horizontal="left" vertical="top" wrapText="1"/>
      <protection locked="0"/>
    </xf>
    <xf numFmtId="0" fontId="15" fillId="0" borderId="3" xfId="1" applyFont="1" applyBorder="1" applyAlignment="1" applyProtection="1">
      <alignment horizontal="left" vertical="top"/>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12" fillId="0" borderId="18"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4" fontId="31" fillId="0" borderId="8" xfId="1" applyNumberFormat="1" applyFont="1" applyBorder="1" applyAlignment="1" applyProtection="1">
      <alignment horizontal="center" vertical="center" wrapText="1"/>
      <protection locked="0"/>
    </xf>
    <xf numFmtId="14" fontId="31" fillId="0" borderId="9" xfId="1" applyNumberFormat="1" applyFont="1" applyBorder="1" applyAlignment="1" applyProtection="1">
      <alignment horizontal="center" vertical="center" wrapText="1"/>
      <protection locked="0"/>
    </xf>
    <xf numFmtId="0" fontId="7" fillId="0" borderId="25" xfId="0" applyFont="1" applyBorder="1" applyAlignment="1">
      <alignment horizontal="center" vertical="center" wrapText="1"/>
    </xf>
    <xf numFmtId="0" fontId="7" fillId="0" borderId="0" xfId="0" applyFont="1" applyAlignment="1">
      <alignment horizontal="center" vertical="center"/>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xdr:from>
      <xdr:col>0</xdr:col>
      <xdr:colOff>306457</xdr:colOff>
      <xdr:row>402</xdr:row>
      <xdr:rowOff>24848</xdr:rowOff>
    </xdr:from>
    <xdr:to>
      <xdr:col>7</xdr:col>
      <xdr:colOff>422414</xdr:colOff>
      <xdr:row>441</xdr:row>
      <xdr:rowOff>115957</xdr:rowOff>
    </xdr:to>
    <xdr:grpSp>
      <xdr:nvGrpSpPr>
        <xdr:cNvPr id="20" name="Group 19">
          <a:extLst>
            <a:ext uri="{FF2B5EF4-FFF2-40B4-BE49-F238E27FC236}">
              <a16:creationId xmlns:a16="http://schemas.microsoft.com/office/drawing/2014/main" xmlns="" id="{00000000-0008-0000-0000-000014000000}"/>
            </a:ext>
          </a:extLst>
        </xdr:cNvPr>
        <xdr:cNvGrpSpPr/>
      </xdr:nvGrpSpPr>
      <xdr:grpSpPr>
        <a:xfrm>
          <a:off x="306457" y="68728673"/>
          <a:ext cx="5850007" cy="7892084"/>
          <a:chOff x="2080533" y="83526246"/>
          <a:chExt cx="6701098" cy="9242748"/>
        </a:xfrm>
      </xdr:grpSpPr>
      <xdr:pic>
        <xdr:nvPicPr>
          <xdr:cNvPr id="21" name="Picture 20">
            <a:extLst>
              <a:ext uri="{FF2B5EF4-FFF2-40B4-BE49-F238E27FC236}">
                <a16:creationId xmlns:a16="http://schemas.microsoft.com/office/drawing/2014/main" xmlns="" id="{00000000-0008-0000-0000-000015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291414" y="88199986"/>
            <a:ext cx="6116609" cy="4569008"/>
          </a:xfrm>
          <a:prstGeom prst="rect">
            <a:avLst/>
          </a:prstGeom>
          <a:ln>
            <a:solidFill>
              <a:schemeClr val="tx1"/>
            </a:solidFill>
          </a:ln>
        </xdr:spPr>
      </xdr:pic>
      <xdr:grpSp>
        <xdr:nvGrpSpPr>
          <xdr:cNvPr id="22" name="Group 21">
            <a:extLst>
              <a:ext uri="{FF2B5EF4-FFF2-40B4-BE49-F238E27FC236}">
                <a16:creationId xmlns:a16="http://schemas.microsoft.com/office/drawing/2014/main" xmlns="" id="{00000000-0008-0000-0000-000016000000}"/>
              </a:ext>
            </a:extLst>
          </xdr:cNvPr>
          <xdr:cNvGrpSpPr/>
        </xdr:nvGrpSpPr>
        <xdr:grpSpPr>
          <a:xfrm>
            <a:off x="2080533" y="83526246"/>
            <a:ext cx="6701098" cy="4462749"/>
            <a:chOff x="60384" y="207033"/>
            <a:chExt cx="7200000" cy="4477157"/>
          </a:xfrm>
        </xdr:grpSpPr>
        <xdr:pic>
          <xdr:nvPicPr>
            <xdr:cNvPr id="23" name="Picture 22">
              <a:extLst>
                <a:ext uri="{FF2B5EF4-FFF2-40B4-BE49-F238E27FC236}">
                  <a16:creationId xmlns:a16="http://schemas.microsoft.com/office/drawing/2014/main" xmlns="" id="{00000000-0008-0000-0000-000017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60384" y="207033"/>
              <a:ext cx="7200000" cy="4477157"/>
            </a:xfrm>
            <a:prstGeom prst="rect">
              <a:avLst/>
            </a:prstGeom>
            <a:ln>
              <a:solidFill>
                <a:schemeClr val="tx1"/>
              </a:solidFill>
            </a:ln>
          </xdr:spPr>
        </xdr:pic>
        <xdr:sp macro="" textlink="">
          <xdr:nvSpPr>
            <xdr:cNvPr id="24" name="Rectangle 23">
              <a:extLst>
                <a:ext uri="{FF2B5EF4-FFF2-40B4-BE49-F238E27FC236}">
                  <a16:creationId xmlns:a16="http://schemas.microsoft.com/office/drawing/2014/main" xmlns="" id="{00000000-0008-0000-0000-000018000000}"/>
                </a:ext>
              </a:extLst>
            </xdr:cNvPr>
            <xdr:cNvSpPr/>
          </xdr:nvSpPr>
          <xdr:spPr>
            <a:xfrm rot="2098242">
              <a:off x="2800623" y="894825"/>
              <a:ext cx="2415538" cy="2486559"/>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1</xdr:col>
      <xdr:colOff>332134</xdr:colOff>
      <xdr:row>358</xdr:row>
      <xdr:rowOff>27334</xdr:rowOff>
    </xdr:from>
    <xdr:to>
      <xdr:col>6</xdr:col>
      <xdr:colOff>408334</xdr:colOff>
      <xdr:row>398</xdr:row>
      <xdr:rowOff>17808</xdr:rowOff>
    </xdr:to>
    <xdr:grpSp>
      <xdr:nvGrpSpPr>
        <xdr:cNvPr id="27" name="Group 26">
          <a:extLst>
            <a:ext uri="{FF2B5EF4-FFF2-40B4-BE49-F238E27FC236}">
              <a16:creationId xmlns:a16="http://schemas.microsoft.com/office/drawing/2014/main" xmlns="" id="{00000000-0008-0000-0000-00001B000000}"/>
            </a:ext>
          </a:extLst>
        </xdr:cNvPr>
        <xdr:cNvGrpSpPr/>
      </xdr:nvGrpSpPr>
      <xdr:grpSpPr>
        <a:xfrm>
          <a:off x="1046509" y="59930059"/>
          <a:ext cx="4362450" cy="7991474"/>
          <a:chOff x="1044438" y="52141508"/>
          <a:chExt cx="4358309" cy="7941778"/>
        </a:xfrm>
      </xdr:grpSpPr>
      <xdr:grpSp>
        <xdr:nvGrpSpPr>
          <xdr:cNvPr id="11" name="Group 10">
            <a:extLst>
              <a:ext uri="{FF2B5EF4-FFF2-40B4-BE49-F238E27FC236}">
                <a16:creationId xmlns:a16="http://schemas.microsoft.com/office/drawing/2014/main" xmlns="" id="{00000000-0008-0000-0000-00000B000000}"/>
              </a:ext>
            </a:extLst>
          </xdr:cNvPr>
          <xdr:cNvGrpSpPr/>
        </xdr:nvGrpSpPr>
        <xdr:grpSpPr>
          <a:xfrm>
            <a:off x="1044438" y="52141508"/>
            <a:ext cx="4358309" cy="7941778"/>
            <a:chOff x="537547" y="-1339187"/>
            <a:chExt cx="5760000" cy="9742189"/>
          </a:xfrm>
        </xdr:grpSpPr>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977547" y="4920211"/>
              <a:ext cx="2880000" cy="3482791"/>
            </a:xfrm>
            <a:prstGeom prst="rect">
              <a:avLst/>
            </a:prstGeom>
            <a:ln>
              <a:solidFill>
                <a:schemeClr val="tx1"/>
              </a:solidFill>
            </a:ln>
          </xdr:spPr>
        </xdr:pic>
        <xdr:pic>
          <xdr:nvPicPr>
            <xdr:cNvPr id="13" name="Picture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4"/>
            <a:stretch>
              <a:fillRect/>
            </a:stretch>
          </xdr:blipFill>
          <xdr:spPr>
            <a:xfrm>
              <a:off x="537547" y="-1339187"/>
              <a:ext cx="5760000" cy="6127380"/>
            </a:xfrm>
            <a:prstGeom prst="rect">
              <a:avLst/>
            </a:prstGeom>
            <a:ln>
              <a:solidFill>
                <a:schemeClr val="tx1"/>
              </a:solidFill>
            </a:ln>
          </xdr:spPr>
        </xdr:pic>
      </xdr:grpSp>
      <xdr:sp macro="" textlink="">
        <xdr:nvSpPr>
          <xdr:cNvPr id="14" name="TextBox 13">
            <a:extLst>
              <a:ext uri="{FF2B5EF4-FFF2-40B4-BE49-F238E27FC236}">
                <a16:creationId xmlns:a16="http://schemas.microsoft.com/office/drawing/2014/main" xmlns="" id="{00000000-0008-0000-0000-00000E000000}"/>
              </a:ext>
            </a:extLst>
          </xdr:cNvPr>
          <xdr:cNvSpPr txBox="1"/>
        </xdr:nvSpPr>
        <xdr:spPr>
          <a:xfrm>
            <a:off x="2998305" y="55352674"/>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solidFill>
                  <a:srgbClr val="FF0000"/>
                </a:solidFill>
              </a:rPr>
              <a:t>1</a:t>
            </a:r>
          </a:p>
        </xdr:txBody>
      </xdr:sp>
      <xdr:sp macro="" textlink="">
        <xdr:nvSpPr>
          <xdr:cNvPr id="15" name="TextBox 14">
            <a:extLst>
              <a:ext uri="{FF2B5EF4-FFF2-40B4-BE49-F238E27FC236}">
                <a16:creationId xmlns:a16="http://schemas.microsoft.com/office/drawing/2014/main" xmlns="" id="{00000000-0008-0000-0000-00000F000000}"/>
              </a:ext>
            </a:extLst>
          </xdr:cNvPr>
          <xdr:cNvSpPr txBox="1"/>
        </xdr:nvSpPr>
        <xdr:spPr>
          <a:xfrm>
            <a:off x="2960206" y="52465357"/>
            <a:ext cx="3276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solidFill>
                  <a:srgbClr val="FF0000"/>
                </a:solidFill>
              </a:rPr>
              <a:t>96</a:t>
            </a:r>
          </a:p>
        </xdr:txBody>
      </xdr:sp>
      <xdr:sp macro="" textlink="">
        <xdr:nvSpPr>
          <xdr:cNvPr id="16" name="TextBox 15">
            <a:extLst>
              <a:ext uri="{FF2B5EF4-FFF2-40B4-BE49-F238E27FC236}">
                <a16:creationId xmlns:a16="http://schemas.microsoft.com/office/drawing/2014/main" xmlns="" id="{00000000-0008-0000-0000-000010000000}"/>
              </a:ext>
            </a:extLst>
          </xdr:cNvPr>
          <xdr:cNvSpPr txBox="1"/>
        </xdr:nvSpPr>
        <xdr:spPr>
          <a:xfrm>
            <a:off x="1911628" y="54332257"/>
            <a:ext cx="3276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solidFill>
                  <a:srgbClr val="FF0000"/>
                </a:solidFill>
              </a:rPr>
              <a:t>57</a:t>
            </a:r>
          </a:p>
        </xdr:txBody>
      </xdr:sp>
      <xdr:sp macro="" textlink="">
        <xdr:nvSpPr>
          <xdr:cNvPr id="17" name="TextBox 16">
            <a:extLst>
              <a:ext uri="{FF2B5EF4-FFF2-40B4-BE49-F238E27FC236}">
                <a16:creationId xmlns:a16="http://schemas.microsoft.com/office/drawing/2014/main" xmlns="" id="{00000000-0008-0000-0000-000011000000}"/>
              </a:ext>
            </a:extLst>
          </xdr:cNvPr>
          <xdr:cNvSpPr txBox="1"/>
        </xdr:nvSpPr>
        <xdr:spPr>
          <a:xfrm>
            <a:off x="1575353" y="55627657"/>
            <a:ext cx="3276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solidFill>
                  <a:srgbClr val="FF0000"/>
                </a:solidFill>
              </a:rPr>
              <a:t>20</a:t>
            </a:r>
          </a:p>
        </xdr:txBody>
      </xdr:sp>
      <xdr:sp macro="" textlink="">
        <xdr:nvSpPr>
          <xdr:cNvPr id="18" name="TextBox 17">
            <a:extLst>
              <a:ext uri="{FF2B5EF4-FFF2-40B4-BE49-F238E27FC236}">
                <a16:creationId xmlns:a16="http://schemas.microsoft.com/office/drawing/2014/main" xmlns="" id="{00000000-0008-0000-0000-000012000000}"/>
              </a:ext>
            </a:extLst>
          </xdr:cNvPr>
          <xdr:cNvSpPr txBox="1"/>
        </xdr:nvSpPr>
        <xdr:spPr>
          <a:xfrm>
            <a:off x="3877919" y="54145070"/>
            <a:ext cx="3276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solidFill>
                  <a:srgbClr val="FF0000"/>
                </a:solidFill>
              </a:rPr>
              <a:t>46</a:t>
            </a:r>
          </a:p>
        </xdr:txBody>
      </xdr:sp>
      <xdr:sp macro="" textlink="">
        <xdr:nvSpPr>
          <xdr:cNvPr id="25" name="TextBox 24">
            <a:extLst>
              <a:ext uri="{FF2B5EF4-FFF2-40B4-BE49-F238E27FC236}">
                <a16:creationId xmlns:a16="http://schemas.microsoft.com/office/drawing/2014/main" xmlns="" id="{00000000-0008-0000-0000-000019000000}"/>
              </a:ext>
            </a:extLst>
          </xdr:cNvPr>
          <xdr:cNvSpPr txBox="1"/>
        </xdr:nvSpPr>
        <xdr:spPr>
          <a:xfrm>
            <a:off x="1422954" y="53031887"/>
            <a:ext cx="3276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solidFill>
                  <a:srgbClr val="FF0000"/>
                </a:solidFill>
              </a:rPr>
              <a:t>86</a:t>
            </a:r>
          </a:p>
        </xdr:txBody>
      </xdr:sp>
      <xdr:sp macro="" textlink="">
        <xdr:nvSpPr>
          <xdr:cNvPr id="26" name="TextBox 25">
            <a:extLst>
              <a:ext uri="{FF2B5EF4-FFF2-40B4-BE49-F238E27FC236}">
                <a16:creationId xmlns:a16="http://schemas.microsoft.com/office/drawing/2014/main" xmlns="" id="{00000000-0008-0000-0000-00001A000000}"/>
              </a:ext>
            </a:extLst>
          </xdr:cNvPr>
          <xdr:cNvSpPr txBox="1"/>
        </xdr:nvSpPr>
        <xdr:spPr>
          <a:xfrm>
            <a:off x="3240158" y="53233983"/>
            <a:ext cx="3276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solidFill>
                  <a:srgbClr val="FF0000"/>
                </a:solidFill>
              </a:rPr>
              <a:t>74</a:t>
            </a:r>
          </a:p>
        </xdr:txBody>
      </xdr:sp>
    </xdr:grpSp>
    <xdr:clientData/>
  </xdr:twoCellAnchor>
  <xdr:twoCellAnchor>
    <xdr:from>
      <xdr:col>8</xdr:col>
      <xdr:colOff>140806</xdr:colOff>
      <xdr:row>269</xdr:row>
      <xdr:rowOff>190501</xdr:rowOff>
    </xdr:from>
    <xdr:to>
      <xdr:col>15</xdr:col>
      <xdr:colOff>417496</xdr:colOff>
      <xdr:row>307</xdr:row>
      <xdr:rowOff>47218</xdr:rowOff>
    </xdr:to>
    <xdr:grpSp>
      <xdr:nvGrpSpPr>
        <xdr:cNvPr id="3" name="Group 2">
          <a:extLst>
            <a:ext uri="{FF2B5EF4-FFF2-40B4-BE49-F238E27FC236}">
              <a16:creationId xmlns:a16="http://schemas.microsoft.com/office/drawing/2014/main" xmlns="" id="{00000000-0008-0000-0000-000003000000}"/>
            </a:ext>
          </a:extLst>
        </xdr:cNvPr>
        <xdr:cNvGrpSpPr/>
      </xdr:nvGrpSpPr>
      <xdr:grpSpPr>
        <a:xfrm>
          <a:off x="7313131" y="42300526"/>
          <a:ext cx="6267915" cy="7448142"/>
          <a:chOff x="99392" y="40170653"/>
          <a:chExt cx="6265016" cy="7402174"/>
        </a:xfrm>
      </xdr:grpSpPr>
      <xdr:pic>
        <xdr:nvPicPr>
          <xdr:cNvPr id="29" name="Picture 28" descr="insp-218408-1525.jpg (719×960)">
            <a:extLst>
              <a:ext uri="{FF2B5EF4-FFF2-40B4-BE49-F238E27FC236}">
                <a16:creationId xmlns:a16="http://schemas.microsoft.com/office/drawing/2014/main" xmlns="" id="{00000000-0008-0000-0000-00001D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4746658" y="45412827"/>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insp-218408-843.jpg (719×540)">
            <a:extLst>
              <a:ext uri="{FF2B5EF4-FFF2-40B4-BE49-F238E27FC236}">
                <a16:creationId xmlns:a16="http://schemas.microsoft.com/office/drawing/2014/main" xmlns="" id="{00000000-0008-0000-0000-00001E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2442625" y="40170653"/>
            <a:ext cx="3834666"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insp-218408-845.jpg (719×540)">
            <a:extLst>
              <a:ext uri="{FF2B5EF4-FFF2-40B4-BE49-F238E27FC236}">
                <a16:creationId xmlns:a16="http://schemas.microsoft.com/office/drawing/2014/main" xmlns="" id="{00000000-0008-0000-0000-00001F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99392" y="45412827"/>
            <a:ext cx="2876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insp-218408-847.jpg (719×960)">
            <a:extLst>
              <a:ext uri="{FF2B5EF4-FFF2-40B4-BE49-F238E27FC236}">
                <a16:creationId xmlns:a16="http://schemas.microsoft.com/office/drawing/2014/main" xmlns="" id="{00000000-0008-0000-0000-000020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3052150" y="45412827"/>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insp-218408-861.jpg (719×540)">
            <a:extLst>
              <a:ext uri="{FF2B5EF4-FFF2-40B4-BE49-F238E27FC236}">
                <a16:creationId xmlns:a16="http://schemas.microsoft.com/office/drawing/2014/main" xmlns="" id="{00000000-0008-0000-0000-000021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3231900" y="43151740"/>
            <a:ext cx="2876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insp-218408-862.jpg (719×540)">
            <a:extLst>
              <a:ext uri="{FF2B5EF4-FFF2-40B4-BE49-F238E27FC236}">
                <a16:creationId xmlns:a16="http://schemas.microsoft.com/office/drawing/2014/main" xmlns="" id="{00000000-0008-0000-0000-000022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275072" y="43151740"/>
            <a:ext cx="2876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insp-218408-877.jpg (719×960)">
            <a:extLst>
              <a:ext uri="{FF2B5EF4-FFF2-40B4-BE49-F238E27FC236}">
                <a16:creationId xmlns:a16="http://schemas.microsoft.com/office/drawing/2014/main" xmlns="" id="{00000000-0008-0000-0000-000023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192145" y="40170653"/>
            <a:ext cx="215700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8</xdr:col>
      <xdr:colOff>644338</xdr:colOff>
      <xdr:row>267</xdr:row>
      <xdr:rowOff>163606</xdr:rowOff>
    </xdr:from>
    <xdr:to>
      <xdr:col>17</xdr:col>
      <xdr:colOff>81592</xdr:colOff>
      <xdr:row>306</xdr:row>
      <xdr:rowOff>89376</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7816663" y="41873581"/>
          <a:ext cx="6819129" cy="7717220"/>
          <a:chOff x="168088" y="40800618"/>
          <a:chExt cx="6822491" cy="7779412"/>
        </a:xfrm>
      </xdr:grpSpPr>
      <xdr:pic>
        <xdr:nvPicPr>
          <xdr:cNvPr id="36" name="Picture 35" descr="insp-221430-1525.jpg (959×1280)">
            <a:extLst>
              <a:ext uri="{FF2B5EF4-FFF2-40B4-BE49-F238E27FC236}">
                <a16:creationId xmlns:a16="http://schemas.microsoft.com/office/drawing/2014/main" xmlns="" id="{00000000-0008-0000-0000-000024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3633691" y="46060030"/>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insp-221430-843.jpg (1079×810)">
            <a:extLst>
              <a:ext uri="{FF2B5EF4-FFF2-40B4-BE49-F238E27FC236}">
                <a16:creationId xmlns:a16="http://schemas.microsoft.com/office/drawing/2014/main" xmlns="" id="{00000000-0008-0000-0000-000025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168088" y="43430324"/>
            <a:ext cx="3356888"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insp-221430-844.jpg (1079×810)">
            <a:extLst>
              <a:ext uri="{FF2B5EF4-FFF2-40B4-BE49-F238E27FC236}">
                <a16:creationId xmlns:a16="http://schemas.microsoft.com/office/drawing/2014/main" xmlns="" id="{00000000-0008-0000-0000-00002E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3633691" y="40807230"/>
            <a:ext cx="3356888"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insp-221430-849.jpg (1079×810)">
            <a:extLst>
              <a:ext uri="{FF2B5EF4-FFF2-40B4-BE49-F238E27FC236}">
                <a16:creationId xmlns:a16="http://schemas.microsoft.com/office/drawing/2014/main" xmlns="" id="{00000000-0008-0000-0000-00002F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3633691" y="43430324"/>
            <a:ext cx="3356888"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insp-221430-880.jpg (1079×810)">
            <a:extLst>
              <a:ext uri="{FF2B5EF4-FFF2-40B4-BE49-F238E27FC236}">
                <a16:creationId xmlns:a16="http://schemas.microsoft.com/office/drawing/2014/main" xmlns="" id="{00000000-0008-0000-0000-000030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68088" y="40800618"/>
            <a:ext cx="3356888"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insp-221430-931.jpg (959×1280)">
            <a:extLst>
              <a:ext uri="{FF2B5EF4-FFF2-40B4-BE49-F238E27FC236}">
                <a16:creationId xmlns:a16="http://schemas.microsoft.com/office/drawing/2014/main" xmlns="" id="{00000000-0008-0000-0000-000031000000}"/>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1636945" y="46060030"/>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514350</xdr:colOff>
      <xdr:row>314</xdr:row>
      <xdr:rowOff>19050</xdr:rowOff>
    </xdr:from>
    <xdr:to>
      <xdr:col>7</xdr:col>
      <xdr:colOff>835346</xdr:colOff>
      <xdr:row>350</xdr:row>
      <xdr:rowOff>18150</xdr:rowOff>
    </xdr:to>
    <xdr:pic>
      <xdr:nvPicPr>
        <xdr:cNvPr id="53" name="Picture 52">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514350" y="51282600"/>
          <a:ext cx="6055046" cy="7200000"/>
        </a:xfrm>
        <a:prstGeom prst="rect">
          <a:avLst/>
        </a:prstGeom>
        <a:ln>
          <a:solidFill>
            <a:schemeClr val="tx1"/>
          </a:solidFill>
        </a:ln>
      </xdr:spPr>
    </xdr:pic>
    <xdr:clientData/>
  </xdr:twoCellAnchor>
  <xdr:twoCellAnchor>
    <xdr:from>
      <xdr:col>0</xdr:col>
      <xdr:colOff>323850</xdr:colOff>
      <xdr:row>269</xdr:row>
      <xdr:rowOff>161924</xdr:rowOff>
    </xdr:from>
    <xdr:to>
      <xdr:col>7</xdr:col>
      <xdr:colOff>1219201</xdr:colOff>
      <xdr:row>306</xdr:row>
      <xdr:rowOff>171450</xdr:rowOff>
    </xdr:to>
    <xdr:grpSp>
      <xdr:nvGrpSpPr>
        <xdr:cNvPr id="38" name="Group 37">
          <a:extLst>
            <a:ext uri="{FF2B5EF4-FFF2-40B4-BE49-F238E27FC236}">
              <a16:creationId xmlns:a16="http://schemas.microsoft.com/office/drawing/2014/main" xmlns="" id="{0DD416DF-4304-4E30-BDF2-851ECA8526C8}"/>
            </a:ext>
          </a:extLst>
        </xdr:cNvPr>
        <xdr:cNvGrpSpPr/>
      </xdr:nvGrpSpPr>
      <xdr:grpSpPr>
        <a:xfrm>
          <a:off x="323850" y="42271949"/>
          <a:ext cx="6629401" cy="7400926"/>
          <a:chOff x="347662" y="357050"/>
          <a:chExt cx="5957338" cy="6660001"/>
        </a:xfrm>
      </xdr:grpSpPr>
      <xdr:pic>
        <xdr:nvPicPr>
          <xdr:cNvPr id="39" name="Picture 38">
            <a:extLst>
              <a:ext uri="{FF2B5EF4-FFF2-40B4-BE49-F238E27FC236}">
                <a16:creationId xmlns:a16="http://schemas.microsoft.com/office/drawing/2014/main" xmlns="" id="{BC832670-2723-4D70-92F4-BE77A0FB7823}"/>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347662" y="357050"/>
            <a:ext cx="2876000" cy="2160000"/>
          </a:xfrm>
          <a:prstGeom prst="rect">
            <a:avLst/>
          </a:prstGeom>
          <a:ln>
            <a:solidFill>
              <a:schemeClr val="tx1"/>
            </a:solidFill>
          </a:ln>
        </xdr:spPr>
      </xdr:pic>
      <xdr:pic>
        <xdr:nvPicPr>
          <xdr:cNvPr id="40" name="Picture 39">
            <a:extLst>
              <a:ext uri="{FF2B5EF4-FFF2-40B4-BE49-F238E27FC236}">
                <a16:creationId xmlns:a16="http://schemas.microsoft.com/office/drawing/2014/main" xmlns="" id="{1B6FEC61-7C41-444B-A6DF-D952CC35B909}"/>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428999" y="357050"/>
            <a:ext cx="2876000" cy="2160000"/>
          </a:xfrm>
          <a:prstGeom prst="rect">
            <a:avLst/>
          </a:prstGeom>
          <a:ln>
            <a:solidFill>
              <a:schemeClr val="tx1"/>
            </a:solidFill>
          </a:ln>
        </xdr:spPr>
      </xdr:pic>
      <xdr:pic>
        <xdr:nvPicPr>
          <xdr:cNvPr id="41" name="Picture 40">
            <a:extLst>
              <a:ext uri="{FF2B5EF4-FFF2-40B4-BE49-F238E27FC236}">
                <a16:creationId xmlns:a16="http://schemas.microsoft.com/office/drawing/2014/main" xmlns="" id="{33BCB811-F1D6-455A-BFE0-BEE4800FB8B3}"/>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347662" y="2697050"/>
            <a:ext cx="2876000" cy="2160000"/>
          </a:xfrm>
          <a:prstGeom prst="rect">
            <a:avLst/>
          </a:prstGeom>
          <a:ln>
            <a:solidFill>
              <a:schemeClr val="tx1"/>
            </a:solidFill>
          </a:ln>
        </xdr:spPr>
      </xdr:pic>
      <xdr:pic>
        <xdr:nvPicPr>
          <xdr:cNvPr id="42" name="Picture 41">
            <a:extLst>
              <a:ext uri="{FF2B5EF4-FFF2-40B4-BE49-F238E27FC236}">
                <a16:creationId xmlns:a16="http://schemas.microsoft.com/office/drawing/2014/main" xmlns="" id="{55D62939-9431-48FF-89A7-3A56D93F3FA9}"/>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3429000" y="2697050"/>
            <a:ext cx="2876000" cy="2160000"/>
          </a:xfrm>
          <a:prstGeom prst="rect">
            <a:avLst/>
          </a:prstGeom>
          <a:ln>
            <a:solidFill>
              <a:schemeClr val="tx1"/>
            </a:solidFill>
          </a:ln>
        </xdr:spPr>
      </xdr:pic>
      <xdr:pic>
        <xdr:nvPicPr>
          <xdr:cNvPr id="43" name="Picture 42">
            <a:extLst>
              <a:ext uri="{FF2B5EF4-FFF2-40B4-BE49-F238E27FC236}">
                <a16:creationId xmlns:a16="http://schemas.microsoft.com/office/drawing/2014/main" xmlns="" id="{C8655DC4-6082-43E9-82D0-DEE31DA308B7}"/>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1740724" y="5037051"/>
            <a:ext cx="1482938" cy="1980000"/>
          </a:xfrm>
          <a:prstGeom prst="rect">
            <a:avLst/>
          </a:prstGeom>
          <a:ln>
            <a:solidFill>
              <a:schemeClr val="tx1"/>
            </a:solidFill>
          </a:ln>
        </xdr:spPr>
      </xdr:pic>
      <xdr:pic>
        <xdr:nvPicPr>
          <xdr:cNvPr id="44" name="Picture 43">
            <a:extLst>
              <a:ext uri="{FF2B5EF4-FFF2-40B4-BE49-F238E27FC236}">
                <a16:creationId xmlns:a16="http://schemas.microsoft.com/office/drawing/2014/main" xmlns="" id="{2273694E-D592-48E6-B9FA-1E57A1F58CD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3429000" y="5037050"/>
            <a:ext cx="1482938" cy="1980000"/>
          </a:xfrm>
          <a:prstGeom prst="rect">
            <a:avLst/>
          </a:prstGeom>
          <a:ln>
            <a:solidFill>
              <a:schemeClr val="tx1"/>
            </a:solidFill>
          </a:ln>
        </xdr:spPr>
      </xdr:pic>
    </xdr:grpSp>
    <xdr:clientData/>
  </xdr:twoCellAnchor>
  <xdr:twoCellAnchor editAs="oneCell">
    <xdr:from>
      <xdr:col>8</xdr:col>
      <xdr:colOff>249344</xdr:colOff>
      <xdr:row>252</xdr:row>
      <xdr:rowOff>123825</xdr:rowOff>
    </xdr:from>
    <xdr:to>
      <xdr:col>12</xdr:col>
      <xdr:colOff>53721</xdr:colOff>
      <xdr:row>265</xdr:row>
      <xdr:rowOff>33975</xdr:rowOff>
    </xdr:to>
    <xdr:pic>
      <xdr:nvPicPr>
        <xdr:cNvPr id="51" name="Picture 50"/>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7421669" y="38614350"/>
          <a:ext cx="3357202" cy="2520000"/>
        </a:xfrm>
        <a:prstGeom prst="rect">
          <a:avLst/>
        </a:prstGeom>
        <a:ln>
          <a:solidFill>
            <a:schemeClr val="tx1"/>
          </a:solidFill>
        </a:ln>
      </xdr:spPr>
    </xdr:pic>
    <xdr:clientData/>
  </xdr:twoCellAnchor>
  <xdr:twoCellAnchor editAs="oneCell">
    <xdr:from>
      <xdr:col>12</xdr:col>
      <xdr:colOff>131359</xdr:colOff>
      <xdr:row>252</xdr:row>
      <xdr:rowOff>123825</xdr:rowOff>
    </xdr:from>
    <xdr:to>
      <xdr:col>16</xdr:col>
      <xdr:colOff>269111</xdr:colOff>
      <xdr:row>265</xdr:row>
      <xdr:rowOff>33975</xdr:rowOff>
    </xdr:to>
    <xdr:pic>
      <xdr:nvPicPr>
        <xdr:cNvPr id="52" name="Picture 51"/>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0856509" y="38614350"/>
          <a:ext cx="3357202" cy="2520000"/>
        </a:xfrm>
        <a:prstGeom prst="rect">
          <a:avLst/>
        </a:prstGeom>
        <a:ln>
          <a:solidFill>
            <a:schemeClr val="tx1"/>
          </a:solidFill>
        </a:ln>
      </xdr:spPr>
    </xdr:pic>
    <xdr:clientData/>
  </xdr:twoCellAnchor>
  <xdr:twoCellAnchor editAs="oneCell">
    <xdr:from>
      <xdr:col>8</xdr:col>
      <xdr:colOff>238125</xdr:colOff>
      <xdr:row>265</xdr:row>
      <xdr:rowOff>197109</xdr:rowOff>
    </xdr:from>
    <xdr:to>
      <xdr:col>12</xdr:col>
      <xdr:colOff>53721</xdr:colOff>
      <xdr:row>278</xdr:row>
      <xdr:rowOff>126309</xdr:rowOff>
    </xdr:to>
    <xdr:pic>
      <xdr:nvPicPr>
        <xdr:cNvPr id="54" name="Picture 53"/>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7410450" y="41259384"/>
          <a:ext cx="3368421" cy="2520000"/>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jPRz1gzWBS46gk78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01"/>
  <sheetViews>
    <sheetView tabSelected="1" showWhiteSpace="0" view="pageBreakPreview" zoomScaleNormal="100" zoomScaleSheetLayoutView="100" zoomScalePageLayoutView="85" workbookViewId="0">
      <selection activeCell="I5" sqref="I5"/>
    </sheetView>
  </sheetViews>
  <sheetFormatPr defaultColWidth="9.140625" defaultRowHeight="15.75" x14ac:dyDescent="0.25"/>
  <cols>
    <col min="1" max="1" width="10.7109375" style="40" customWidth="1"/>
    <col min="2" max="2" width="14" style="40" customWidth="1"/>
    <col min="3" max="4" width="12.7109375" style="40" customWidth="1"/>
    <col min="5" max="5" width="11.7109375" style="40" customWidth="1"/>
    <col min="6" max="6" width="13.140625" style="40" customWidth="1"/>
    <col min="7" max="7" width="11" style="40" customWidth="1"/>
    <col min="8" max="8" width="21.5703125"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01" t="s">
        <v>337</v>
      </c>
      <c r="B1" s="201"/>
      <c r="C1" s="201"/>
      <c r="D1" s="201"/>
      <c r="E1" s="201"/>
      <c r="F1" s="201"/>
      <c r="G1" s="201"/>
      <c r="H1" s="201"/>
    </row>
    <row r="2" spans="1:26" ht="16.5" customHeight="1" x14ac:dyDescent="0.25">
      <c r="A2" s="202" t="s">
        <v>0</v>
      </c>
      <c r="B2" s="202"/>
      <c r="C2" s="202"/>
      <c r="D2" s="202"/>
      <c r="E2" s="202"/>
      <c r="F2" s="202"/>
      <c r="G2" s="202"/>
      <c r="H2" s="202"/>
    </row>
    <row r="3" spans="1:26" x14ac:dyDescent="0.25">
      <c r="A3" s="130" t="s">
        <v>1</v>
      </c>
      <c r="B3" s="130"/>
      <c r="C3" s="130"/>
      <c r="D3" s="130"/>
      <c r="E3" s="130" t="str">
        <f ca="1">TEXT(TODAY(),"DD/MM/YYYY")</f>
        <v>21/08/2025</v>
      </c>
      <c r="F3" s="130"/>
      <c r="G3" s="130"/>
      <c r="H3" s="130"/>
      <c r="K3" s="59" t="s">
        <v>221</v>
      </c>
      <c r="L3" s="56" t="s">
        <v>219</v>
      </c>
      <c r="M3" s="56" t="s">
        <v>224</v>
      </c>
      <c r="N3" s="56" t="s">
        <v>222</v>
      </c>
      <c r="O3" s="56" t="s">
        <v>223</v>
      </c>
      <c r="P3" s="56" t="s">
        <v>225</v>
      </c>
    </row>
    <row r="4" spans="1:26" ht="15" customHeight="1" x14ac:dyDescent="0.25">
      <c r="A4" s="130" t="s">
        <v>218</v>
      </c>
      <c r="B4" s="130"/>
      <c r="C4" s="130"/>
      <c r="D4" s="130"/>
      <c r="E4" s="130" t="s">
        <v>219</v>
      </c>
      <c r="F4" s="130"/>
      <c r="G4" s="130"/>
      <c r="H4" s="130"/>
      <c r="K4" s="55" t="s">
        <v>220</v>
      </c>
      <c r="L4" s="56" t="s">
        <v>159</v>
      </c>
      <c r="M4" s="56" t="s">
        <v>229</v>
      </c>
      <c r="N4" s="56" t="s">
        <v>231</v>
      </c>
      <c r="O4" s="56" t="s">
        <v>233</v>
      </c>
      <c r="P4" s="56"/>
    </row>
    <row r="5" spans="1:26" ht="15" customHeight="1" x14ac:dyDescent="0.25">
      <c r="A5" s="130" t="s">
        <v>2</v>
      </c>
      <c r="B5" s="130"/>
      <c r="C5" s="130"/>
      <c r="D5" s="130"/>
      <c r="E5" s="130" t="s">
        <v>159</v>
      </c>
      <c r="F5" s="130"/>
      <c r="G5" s="130"/>
      <c r="H5" s="130"/>
      <c r="K5" s="55"/>
      <c r="L5" s="56" t="s">
        <v>226</v>
      </c>
      <c r="M5" s="56" t="s">
        <v>230</v>
      </c>
      <c r="N5" s="56" t="s">
        <v>232</v>
      </c>
      <c r="O5" s="56" t="s">
        <v>234</v>
      </c>
      <c r="P5" s="56"/>
    </row>
    <row r="6" spans="1:26" x14ac:dyDescent="0.25">
      <c r="A6" s="130" t="s">
        <v>3</v>
      </c>
      <c r="B6" s="130"/>
      <c r="C6" s="130"/>
      <c r="D6" s="130"/>
      <c r="E6" s="203">
        <v>45882</v>
      </c>
      <c r="F6" s="130"/>
      <c r="G6" s="130"/>
      <c r="H6" s="130"/>
      <c r="K6" s="55"/>
      <c r="L6" s="56" t="s">
        <v>227</v>
      </c>
      <c r="M6" s="56"/>
      <c r="N6" s="56"/>
      <c r="O6" s="56" t="s">
        <v>235</v>
      </c>
      <c r="P6" s="56"/>
    </row>
    <row r="7" spans="1:26" ht="16.5" customHeight="1" x14ac:dyDescent="0.25">
      <c r="A7" s="130" t="s">
        <v>4</v>
      </c>
      <c r="B7" s="130"/>
      <c r="C7" s="130"/>
      <c r="D7" s="130"/>
      <c r="E7" s="130" t="s">
        <v>296</v>
      </c>
      <c r="F7" s="130"/>
      <c r="G7" s="130"/>
      <c r="H7" s="130"/>
      <c r="K7" s="55"/>
      <c r="L7" s="56" t="s">
        <v>228</v>
      </c>
      <c r="M7" s="56"/>
      <c r="N7" s="56"/>
      <c r="O7" s="56" t="s">
        <v>235</v>
      </c>
      <c r="P7" s="56"/>
    </row>
    <row r="8" spans="1:26" ht="15" customHeight="1" x14ac:dyDescent="0.25">
      <c r="A8" s="130" t="s">
        <v>5</v>
      </c>
      <c r="B8" s="130"/>
      <c r="C8" s="130"/>
      <c r="D8" s="130"/>
      <c r="E8" s="130" t="str">
        <f>E7</f>
        <v>Godrej Hillside Properties Private Limited</v>
      </c>
      <c r="F8" s="130"/>
      <c r="G8" s="130"/>
      <c r="H8" s="130"/>
      <c r="K8" s="55"/>
      <c r="L8" s="56"/>
      <c r="M8" s="56"/>
      <c r="N8" s="56"/>
      <c r="O8" s="56" t="s">
        <v>236</v>
      </c>
      <c r="P8" s="56"/>
    </row>
    <row r="9" spans="1:26" x14ac:dyDescent="0.25">
      <c r="A9" s="130" t="s">
        <v>6</v>
      </c>
      <c r="B9" s="130"/>
      <c r="C9" s="130"/>
      <c r="D9" s="130"/>
      <c r="E9" s="188" t="s">
        <v>297</v>
      </c>
      <c r="F9" s="188"/>
      <c r="G9" s="188"/>
      <c r="H9" s="188"/>
      <c r="K9" s="55"/>
      <c r="L9" s="56"/>
      <c r="M9" s="56"/>
      <c r="N9" s="56"/>
      <c r="O9" s="56" t="s">
        <v>237</v>
      </c>
      <c r="P9" s="56"/>
    </row>
    <row r="10" spans="1:26" x14ac:dyDescent="0.25">
      <c r="A10" s="130" t="s">
        <v>154</v>
      </c>
      <c r="B10" s="130"/>
      <c r="C10" s="130"/>
      <c r="D10" s="130"/>
      <c r="E10" s="130" t="s">
        <v>298</v>
      </c>
      <c r="F10" s="130"/>
      <c r="G10" s="130"/>
      <c r="H10" s="130"/>
      <c r="K10" s="55"/>
      <c r="L10" s="56"/>
      <c r="M10" s="56"/>
      <c r="N10" s="56"/>
      <c r="O10" s="56"/>
      <c r="P10" s="56"/>
    </row>
    <row r="11" spans="1:26" x14ac:dyDescent="0.25">
      <c r="A11" s="130" t="s">
        <v>155</v>
      </c>
      <c r="B11" s="130"/>
      <c r="C11" s="130"/>
      <c r="D11" s="130"/>
      <c r="E11" s="130" t="s">
        <v>28</v>
      </c>
      <c r="F11" s="130"/>
      <c r="G11" s="130"/>
      <c r="H11" s="130"/>
      <c r="I11" s="130" t="s">
        <v>336</v>
      </c>
      <c r="J11" s="130"/>
      <c r="K11" s="130"/>
      <c r="L11" s="130"/>
    </row>
    <row r="12" spans="1:26" x14ac:dyDescent="0.25">
      <c r="A12" s="130" t="s">
        <v>7</v>
      </c>
      <c r="B12" s="130"/>
      <c r="C12" s="130"/>
      <c r="D12" s="130"/>
      <c r="E12" s="130" t="s">
        <v>312</v>
      </c>
      <c r="F12" s="130"/>
      <c r="G12" s="130"/>
      <c r="H12" s="130"/>
    </row>
    <row r="13" spans="1:26" x14ac:dyDescent="0.25">
      <c r="A13" s="130" t="s">
        <v>160</v>
      </c>
      <c r="B13" s="130"/>
      <c r="C13" s="130"/>
      <c r="D13" s="130"/>
      <c r="E13" s="130" t="s">
        <v>28</v>
      </c>
      <c r="F13" s="130"/>
      <c r="G13" s="130"/>
      <c r="H13" s="130"/>
      <c r="S13" s="56" t="s">
        <v>164</v>
      </c>
      <c r="T13" s="56" t="s">
        <v>174</v>
      </c>
      <c r="U13" s="56" t="s">
        <v>161</v>
      </c>
      <c r="V13" s="56" t="s">
        <v>179</v>
      </c>
      <c r="W13" s="56" t="s">
        <v>197</v>
      </c>
      <c r="X13"/>
      <c r="Y13" t="s">
        <v>179</v>
      </c>
      <c r="Z13" t="e">
        <f ca="1">OFFSET($S$13,1,MATCH($G20,$S$13:$W$13,0)-1,15,1)</f>
        <v>#VALUE!</v>
      </c>
    </row>
    <row r="14" spans="1:26" x14ac:dyDescent="0.25">
      <c r="A14" s="117" t="s">
        <v>264</v>
      </c>
      <c r="B14" s="117"/>
      <c r="C14" s="117"/>
      <c r="D14" s="117"/>
      <c r="E14" s="129" t="s">
        <v>325</v>
      </c>
      <c r="F14" s="129"/>
      <c r="G14" s="129"/>
      <c r="H14" s="129"/>
      <c r="S14" s="56" t="s">
        <v>165</v>
      </c>
      <c r="T14" s="56" t="s">
        <v>172</v>
      </c>
      <c r="U14" s="56" t="s">
        <v>194</v>
      </c>
      <c r="V14" s="56" t="s">
        <v>180</v>
      </c>
      <c r="W14" s="56" t="s">
        <v>198</v>
      </c>
      <c r="X14"/>
      <c r="Y14"/>
      <c r="Z14"/>
    </row>
    <row r="15" spans="1:26" x14ac:dyDescent="0.25">
      <c r="A15" s="117" t="s">
        <v>8</v>
      </c>
      <c r="B15" s="117"/>
      <c r="C15" s="117"/>
      <c r="D15" s="117"/>
      <c r="E15" s="129" t="s">
        <v>299</v>
      </c>
      <c r="F15" s="130"/>
      <c r="G15" s="130"/>
      <c r="H15" s="130"/>
      <c r="I15" s="113" t="e">
        <f ca="1">OFFSET($D$5,1,MATCH($J13,$D$5:$H$5,0)-1,15,1)</f>
        <v>#N/A</v>
      </c>
      <c r="J15" s="114"/>
      <c r="K15" s="114"/>
      <c r="L15" s="114"/>
      <c r="M15" s="114"/>
      <c r="N15" s="114"/>
      <c r="O15" s="114"/>
      <c r="P15" s="114"/>
      <c r="S15" s="56" t="s">
        <v>166</v>
      </c>
      <c r="T15" s="56" t="s">
        <v>173</v>
      </c>
      <c r="U15" s="56" t="s">
        <v>195</v>
      </c>
      <c r="V15" s="56" t="s">
        <v>181</v>
      </c>
      <c r="W15" s="56" t="s">
        <v>211</v>
      </c>
      <c r="X15"/>
      <c r="Y15"/>
      <c r="Z15"/>
    </row>
    <row r="16" spans="1:26" ht="33.75" customHeight="1" x14ac:dyDescent="0.25">
      <c r="A16" s="124" t="s">
        <v>9</v>
      </c>
      <c r="B16" s="124"/>
      <c r="C16" s="124" t="str">
        <f>CONCATENATE((IF(OR(E9="",E9="NA"),"",E9)),", ",(IF(OR(A17="",A17="NA"),"",A17)),".",(IF(OR(C17="",C17="NA"),"",C17)),", near ",(IF(OR(C22="",C22="NA"),"",C22)),", ",(IF(OR(C19="",C19="NA"),"",C19)),", ",(IF(OR(C18="",C18="NA"),"",C18)),", ",(IF(OR(G19="",G19="NA"),"",G19)),", ",(IF(OR(C20="",C20="NA"),"",C20)),", ",(IF(OR(C21="",C21="NA"),"",C21)),", ",(IF(OR(G20="",G20="NA"),"",G20))," - ",(IF(OR(G21="",G21="NA"),"",G21)),".")</f>
        <v>Godrej Golf Side Estate, Survey No.3/1, 3/2, 21/1, 21/3, 21/4 &amp; 21/6, near The Highlands Godrej City, Old Mumbai Pune Higway, , Talegaon, Panvel, Khalapur, Raigad - 410506.</v>
      </c>
      <c r="D16" s="124"/>
      <c r="E16" s="124"/>
      <c r="F16" s="124"/>
      <c r="G16" s="124"/>
      <c r="H16" s="124"/>
      <c r="S16" s="56" t="s">
        <v>167</v>
      </c>
      <c r="T16" s="56" t="s">
        <v>175</v>
      </c>
      <c r="U16" s="56" t="s">
        <v>196</v>
      </c>
      <c r="V16" s="56" t="s">
        <v>182</v>
      </c>
      <c r="W16" s="56" t="s">
        <v>199</v>
      </c>
      <c r="X16"/>
      <c r="Y16"/>
      <c r="Z16"/>
    </row>
    <row r="17" spans="1:26" x14ac:dyDescent="0.25">
      <c r="A17" s="129" t="s">
        <v>301</v>
      </c>
      <c r="B17" s="129"/>
      <c r="C17" s="129" t="s">
        <v>300</v>
      </c>
      <c r="D17" s="129"/>
      <c r="E17" s="129"/>
      <c r="F17" s="129"/>
      <c r="G17" s="129"/>
      <c r="H17" s="129"/>
      <c r="S17" s="56" t="s">
        <v>168</v>
      </c>
      <c r="T17" s="56" t="s">
        <v>176</v>
      </c>
      <c r="U17" s="56" t="s">
        <v>161</v>
      </c>
      <c r="V17" s="56" t="s">
        <v>183</v>
      </c>
      <c r="W17" s="56" t="s">
        <v>200</v>
      </c>
      <c r="X17"/>
      <c r="Y17"/>
      <c r="Z17"/>
    </row>
    <row r="18" spans="1:26" ht="15.75" customHeight="1" x14ac:dyDescent="0.25">
      <c r="A18" s="129" t="s">
        <v>150</v>
      </c>
      <c r="B18" s="129"/>
      <c r="C18" s="129" t="s">
        <v>28</v>
      </c>
      <c r="D18" s="129"/>
      <c r="E18" s="129"/>
      <c r="F18" s="129"/>
      <c r="G18" s="129"/>
      <c r="H18" s="129"/>
      <c r="S18" s="56" t="s">
        <v>169</v>
      </c>
      <c r="T18" s="56" t="s">
        <v>174</v>
      </c>
      <c r="U18" s="56"/>
      <c r="V18" s="56" t="s">
        <v>184</v>
      </c>
      <c r="W18" s="56" t="s">
        <v>201</v>
      </c>
      <c r="X18"/>
      <c r="Y18"/>
      <c r="Z18"/>
    </row>
    <row r="19" spans="1:26" ht="15.75" customHeight="1" x14ac:dyDescent="0.25">
      <c r="A19" s="124" t="s">
        <v>10</v>
      </c>
      <c r="B19" s="124"/>
      <c r="C19" s="130" t="s">
        <v>303</v>
      </c>
      <c r="D19" s="130"/>
      <c r="E19" s="124" t="s">
        <v>67</v>
      </c>
      <c r="F19" s="124"/>
      <c r="G19" s="129" t="s">
        <v>302</v>
      </c>
      <c r="H19" s="129"/>
      <c r="S19" s="56" t="s">
        <v>170</v>
      </c>
      <c r="T19" s="56" t="s">
        <v>177</v>
      </c>
      <c r="U19" s="56"/>
      <c r="V19" s="56" t="s">
        <v>185</v>
      </c>
      <c r="W19" s="56" t="s">
        <v>202</v>
      </c>
      <c r="X19"/>
      <c r="Y19"/>
      <c r="Z19"/>
    </row>
    <row r="20" spans="1:26" x14ac:dyDescent="0.25">
      <c r="A20" s="117" t="s">
        <v>12</v>
      </c>
      <c r="B20" s="117"/>
      <c r="C20" s="129" t="s">
        <v>181</v>
      </c>
      <c r="D20" s="129"/>
      <c r="E20" s="129" t="s">
        <v>11</v>
      </c>
      <c r="F20" s="129"/>
      <c r="G20" s="204" t="s">
        <v>179</v>
      </c>
      <c r="H20" s="204"/>
      <c r="S20" s="56" t="s">
        <v>171</v>
      </c>
      <c r="T20" s="56" t="s">
        <v>178</v>
      </c>
      <c r="U20" s="56"/>
      <c r="V20" s="56" t="s">
        <v>186</v>
      </c>
      <c r="W20" s="56" t="s">
        <v>203</v>
      </c>
      <c r="X20"/>
      <c r="Y20"/>
      <c r="Z20"/>
    </row>
    <row r="21" spans="1:26" x14ac:dyDescent="0.25">
      <c r="A21" s="117" t="s">
        <v>68</v>
      </c>
      <c r="B21" s="117"/>
      <c r="C21" s="129" t="s">
        <v>184</v>
      </c>
      <c r="D21" s="129"/>
      <c r="E21" s="129" t="s">
        <v>13</v>
      </c>
      <c r="F21" s="129"/>
      <c r="G21" s="129">
        <v>410506</v>
      </c>
      <c r="H21" s="129"/>
      <c r="S21" s="56"/>
      <c r="T21" s="56"/>
      <c r="U21" s="56"/>
      <c r="V21" s="56" t="s">
        <v>187</v>
      </c>
      <c r="W21" s="56" t="s">
        <v>204</v>
      </c>
      <c r="X21"/>
      <c r="Y21"/>
      <c r="Z21"/>
    </row>
    <row r="22" spans="1:26" ht="32.25" customHeight="1" x14ac:dyDescent="0.25">
      <c r="A22" s="117" t="s">
        <v>111</v>
      </c>
      <c r="B22" s="117"/>
      <c r="C22" s="129" t="s">
        <v>326</v>
      </c>
      <c r="D22" s="129"/>
      <c r="E22" s="129" t="s">
        <v>14</v>
      </c>
      <c r="F22" s="129"/>
      <c r="G22" s="129" t="s">
        <v>304</v>
      </c>
      <c r="H22" s="129"/>
      <c r="S22" s="56"/>
      <c r="T22" s="56"/>
      <c r="U22" s="56"/>
      <c r="V22" s="56" t="s">
        <v>188</v>
      </c>
      <c r="W22" s="56" t="s">
        <v>205</v>
      </c>
      <c r="X22"/>
      <c r="Y22"/>
      <c r="Z22"/>
    </row>
    <row r="23" spans="1:26" ht="15" customHeight="1" x14ac:dyDescent="0.25">
      <c r="A23" s="124" t="s">
        <v>69</v>
      </c>
      <c r="B23" s="124"/>
      <c r="C23" s="124"/>
      <c r="D23" s="124"/>
      <c r="E23" s="130" t="s">
        <v>15</v>
      </c>
      <c r="F23" s="130"/>
      <c r="G23" s="130"/>
      <c r="H23" s="130"/>
      <c r="S23" s="56"/>
      <c r="T23" s="56"/>
      <c r="U23" s="56"/>
      <c r="V23" s="56" t="s">
        <v>189</v>
      </c>
      <c r="W23" s="56" t="s">
        <v>206</v>
      </c>
      <c r="X23"/>
      <c r="Y23"/>
      <c r="Z23"/>
    </row>
    <row r="24" spans="1:26" ht="18.75" customHeight="1" x14ac:dyDescent="0.25">
      <c r="A24" s="124"/>
      <c r="B24" s="124"/>
      <c r="C24" s="124"/>
      <c r="D24" s="124"/>
      <c r="E24" s="130"/>
      <c r="F24" s="130"/>
      <c r="G24" s="130"/>
      <c r="H24" s="130"/>
      <c r="S24" s="56"/>
      <c r="T24" s="56"/>
      <c r="U24" s="56"/>
      <c r="V24" s="56" t="s">
        <v>190</v>
      </c>
      <c r="W24" s="56" t="s">
        <v>207</v>
      </c>
      <c r="X24"/>
      <c r="Y24"/>
      <c r="Z24"/>
    </row>
    <row r="25" spans="1:26" ht="15" customHeight="1" x14ac:dyDescent="0.25">
      <c r="A25" s="124" t="s">
        <v>16</v>
      </c>
      <c r="B25" s="124"/>
      <c r="C25" s="124"/>
      <c r="D25" s="124"/>
      <c r="E25" s="129" t="s">
        <v>17</v>
      </c>
      <c r="F25" s="129"/>
      <c r="G25" s="129"/>
      <c r="H25" s="129"/>
      <c r="S25" s="56"/>
      <c r="T25" s="56"/>
      <c r="U25" s="56"/>
      <c r="V25" s="56" t="s">
        <v>191</v>
      </c>
      <c r="W25" s="56" t="s">
        <v>208</v>
      </c>
      <c r="X25"/>
      <c r="Y25"/>
      <c r="Z25"/>
    </row>
    <row r="26" spans="1:26" ht="15" customHeight="1" x14ac:dyDescent="0.25">
      <c r="A26" s="117" t="s">
        <v>18</v>
      </c>
      <c r="B26" s="117"/>
      <c r="C26" s="117"/>
      <c r="D26" s="117"/>
      <c r="E26" s="129" t="str">
        <f>IF(AND(G20="Mumbai"),"Upper Class","Middle Class")</f>
        <v>Middle Class</v>
      </c>
      <c r="F26" s="129"/>
      <c r="G26" s="129"/>
      <c r="H26" s="129"/>
      <c r="S26" s="56"/>
      <c r="T26" s="56"/>
      <c r="U26" s="56"/>
      <c r="V26" s="56" t="s">
        <v>192</v>
      </c>
      <c r="W26" s="56" t="s">
        <v>209</v>
      </c>
      <c r="X26"/>
      <c r="Y26"/>
      <c r="Z26"/>
    </row>
    <row r="27" spans="1:26" x14ac:dyDescent="0.25">
      <c r="A27" s="117" t="s">
        <v>19</v>
      </c>
      <c r="B27" s="117"/>
      <c r="C27" s="117"/>
      <c r="D27" s="117"/>
      <c r="E27" s="129" t="s">
        <v>20</v>
      </c>
      <c r="F27" s="129"/>
      <c r="G27" s="129"/>
      <c r="H27" s="129"/>
      <c r="S27" s="56"/>
      <c r="T27" s="56"/>
      <c r="U27" s="56"/>
      <c r="V27" s="56" t="s">
        <v>193</v>
      </c>
      <c r="W27" s="56" t="s">
        <v>210</v>
      </c>
      <c r="X27"/>
      <c r="Y27"/>
      <c r="Z27"/>
    </row>
    <row r="28" spans="1:26" ht="15.75" customHeight="1" x14ac:dyDescent="0.25">
      <c r="A28" s="117" t="s">
        <v>21</v>
      </c>
      <c r="B28" s="117"/>
      <c r="C28" s="117"/>
      <c r="D28" s="117"/>
      <c r="E28" s="129" t="str">
        <f>IF(AND(G20="Mumbai"),"Developed","Developing")</f>
        <v>Developing</v>
      </c>
      <c r="F28" s="129"/>
      <c r="G28" s="129"/>
      <c r="H28" s="129"/>
    </row>
    <row r="29" spans="1:26" x14ac:dyDescent="0.25">
      <c r="A29" s="117" t="s">
        <v>22</v>
      </c>
      <c r="B29" s="117"/>
      <c r="C29" s="117"/>
      <c r="D29" s="117"/>
      <c r="E29" s="129" t="s">
        <v>23</v>
      </c>
      <c r="F29" s="129"/>
      <c r="G29" s="129"/>
      <c r="H29" s="129"/>
    </row>
    <row r="30" spans="1:26" ht="15.75" customHeight="1" x14ac:dyDescent="0.25">
      <c r="A30" s="117" t="s">
        <v>73</v>
      </c>
      <c r="B30" s="117"/>
      <c r="C30" s="117"/>
      <c r="D30" s="117"/>
      <c r="E30" s="129" t="s">
        <v>74</v>
      </c>
      <c r="F30" s="129"/>
      <c r="G30" s="129"/>
      <c r="H30" s="129"/>
    </row>
    <row r="31" spans="1:26" ht="15" customHeight="1" x14ac:dyDescent="0.25">
      <c r="A31" s="117" t="s">
        <v>30</v>
      </c>
      <c r="B31" s="117"/>
      <c r="C31" s="117"/>
      <c r="D31" s="117"/>
      <c r="E31" s="129" t="s">
        <v>288</v>
      </c>
      <c r="F31" s="129"/>
      <c r="G31" s="129"/>
      <c r="H31" s="129"/>
      <c r="I31" s="21" t="b">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0</v>
      </c>
    </row>
    <row r="32" spans="1:26" ht="15.75" customHeight="1" x14ac:dyDescent="0.25">
      <c r="A32" s="117" t="s">
        <v>84</v>
      </c>
      <c r="B32" s="117"/>
      <c r="C32" s="117"/>
      <c r="D32" s="117"/>
      <c r="E32" s="129" t="s">
        <v>31</v>
      </c>
      <c r="F32" s="129"/>
      <c r="G32" s="129"/>
      <c r="H32" s="129"/>
    </row>
    <row r="33" spans="1:19" s="22" customFormat="1" x14ac:dyDescent="0.25">
      <c r="A33" s="212" t="s">
        <v>85</v>
      </c>
      <c r="B33" s="212"/>
      <c r="C33" s="209" t="s">
        <v>162</v>
      </c>
      <c r="D33" s="210"/>
      <c r="E33" s="211"/>
      <c r="F33" s="209" t="s">
        <v>29</v>
      </c>
      <c r="G33" s="210"/>
      <c r="H33" s="211"/>
      <c r="S33" s="22" t="e">
        <f ca="1">OFFSET($S$13,1,MATCH($G20,$S$13:$W$13,0)-1,15,1)</f>
        <v>#VALUE!</v>
      </c>
    </row>
    <row r="34" spans="1:19" s="22" customFormat="1" x14ac:dyDescent="0.25">
      <c r="A34" s="205" t="s">
        <v>24</v>
      </c>
      <c r="B34" s="205" t="s">
        <v>28</v>
      </c>
      <c r="C34" s="206" t="s">
        <v>305</v>
      </c>
      <c r="D34" s="207"/>
      <c r="E34" s="208"/>
      <c r="F34" s="206" t="s">
        <v>308</v>
      </c>
      <c r="G34" s="207"/>
      <c r="H34" s="208"/>
    </row>
    <row r="35" spans="1:19" x14ac:dyDescent="0.25">
      <c r="A35" s="205" t="s">
        <v>25</v>
      </c>
      <c r="B35" s="205" t="s">
        <v>28</v>
      </c>
      <c r="C35" s="206" t="s">
        <v>305</v>
      </c>
      <c r="D35" s="207"/>
      <c r="E35" s="208"/>
      <c r="F35" s="206" t="s">
        <v>309</v>
      </c>
      <c r="G35" s="207"/>
      <c r="H35" s="208"/>
    </row>
    <row r="36" spans="1:19" s="22" customFormat="1" x14ac:dyDescent="0.25">
      <c r="A36" s="205" t="s">
        <v>27</v>
      </c>
      <c r="B36" s="205" t="s">
        <v>28</v>
      </c>
      <c r="C36" s="206" t="s">
        <v>305</v>
      </c>
      <c r="D36" s="207"/>
      <c r="E36" s="208"/>
      <c r="F36" s="206" t="s">
        <v>306</v>
      </c>
      <c r="G36" s="207"/>
      <c r="H36" s="208"/>
    </row>
    <row r="37" spans="1:19" x14ac:dyDescent="0.25">
      <c r="A37" s="205" t="s">
        <v>26</v>
      </c>
      <c r="B37" s="205" t="s">
        <v>28</v>
      </c>
      <c r="C37" s="206" t="s">
        <v>305</v>
      </c>
      <c r="D37" s="207"/>
      <c r="E37" s="208"/>
      <c r="F37" s="206" t="s">
        <v>307</v>
      </c>
      <c r="G37" s="207"/>
      <c r="H37" s="208"/>
    </row>
    <row r="38" spans="1:19" x14ac:dyDescent="0.25">
      <c r="A38" s="117" t="s">
        <v>265</v>
      </c>
      <c r="B38" s="117"/>
      <c r="C38" s="117"/>
      <c r="D38" s="117"/>
      <c r="E38" s="117"/>
      <c r="F38" s="117"/>
      <c r="G38" s="117"/>
      <c r="H38" s="117"/>
    </row>
    <row r="39" spans="1:19" ht="15.75" customHeight="1" x14ac:dyDescent="0.25">
      <c r="A39" s="117" t="s">
        <v>152</v>
      </c>
      <c r="B39" s="117"/>
      <c r="C39" s="192" t="s">
        <v>310</v>
      </c>
      <c r="D39" s="192"/>
      <c r="E39" s="192"/>
      <c r="F39" s="192"/>
      <c r="G39" s="192"/>
      <c r="H39" s="192"/>
    </row>
    <row r="40" spans="1:19" x14ac:dyDescent="0.25">
      <c r="A40" s="117" t="s">
        <v>149</v>
      </c>
      <c r="B40" s="117"/>
      <c r="C40" s="234" t="s">
        <v>311</v>
      </c>
      <c r="D40" s="129"/>
      <c r="E40" s="129"/>
      <c r="F40" s="129"/>
      <c r="G40" s="129"/>
      <c r="H40" s="129"/>
    </row>
    <row r="41" spans="1:19" x14ac:dyDescent="0.25">
      <c r="A41" s="192" t="s">
        <v>32</v>
      </c>
      <c r="B41" s="192"/>
      <c r="C41" s="192"/>
      <c r="D41" s="192"/>
      <c r="E41" s="192"/>
      <c r="F41" s="192"/>
      <c r="G41" s="192"/>
      <c r="H41" s="192"/>
    </row>
    <row r="42" spans="1:19" x14ac:dyDescent="0.25">
      <c r="A42" s="117" t="s">
        <v>33</v>
      </c>
      <c r="B42" s="117"/>
      <c r="C42" s="117"/>
      <c r="D42" s="117"/>
      <c r="E42" s="226">
        <v>28861.59</v>
      </c>
      <c r="F42" s="226"/>
      <c r="G42" s="226"/>
      <c r="H42" s="226"/>
    </row>
    <row r="43" spans="1:19" x14ac:dyDescent="0.25">
      <c r="A43" s="117" t="s">
        <v>34</v>
      </c>
      <c r="B43" s="117"/>
      <c r="C43" s="117"/>
      <c r="D43" s="117"/>
      <c r="E43" s="126">
        <v>1.1000000000000001</v>
      </c>
      <c r="F43" s="126"/>
      <c r="G43" s="126"/>
      <c r="H43" s="126"/>
    </row>
    <row r="44" spans="1:19" hidden="1" x14ac:dyDescent="0.25">
      <c r="A44" s="117" t="s">
        <v>35</v>
      </c>
      <c r="B44" s="117"/>
      <c r="C44" s="117"/>
      <c r="D44" s="117"/>
      <c r="E44" s="126">
        <f>E46/E42-E43</f>
        <v>-5.1573388714898361E-3</v>
      </c>
      <c r="F44" s="126"/>
      <c r="G44" s="126"/>
      <c r="H44" s="126"/>
    </row>
    <row r="45" spans="1:19" hidden="1" x14ac:dyDescent="0.25">
      <c r="A45" s="117" t="s">
        <v>36</v>
      </c>
      <c r="B45" s="117"/>
      <c r="C45" s="117"/>
      <c r="D45" s="117"/>
      <c r="E45" s="126">
        <f>E43+E44</f>
        <v>1.0948426611285103</v>
      </c>
      <c r="F45" s="126"/>
      <c r="G45" s="126"/>
      <c r="H45" s="126"/>
      <c r="I45" s="75">
        <f>E46/E42</f>
        <v>1.0948426611285103</v>
      </c>
    </row>
    <row r="46" spans="1:19" x14ac:dyDescent="0.25">
      <c r="A46" s="117" t="s">
        <v>83</v>
      </c>
      <c r="B46" s="117"/>
      <c r="C46" s="117"/>
      <c r="D46" s="117"/>
      <c r="E46" s="229">
        <v>31598.9</v>
      </c>
      <c r="F46" s="229"/>
      <c r="G46" s="229"/>
      <c r="H46" s="229"/>
    </row>
    <row r="47" spans="1:19" x14ac:dyDescent="0.25">
      <c r="A47" s="130" t="s">
        <v>37</v>
      </c>
      <c r="B47" s="130"/>
      <c r="C47" s="130"/>
      <c r="D47" s="130"/>
      <c r="E47" s="130" t="s">
        <v>312</v>
      </c>
      <c r="F47" s="130"/>
      <c r="G47" s="130"/>
      <c r="H47" s="130"/>
    </row>
    <row r="48" spans="1:19" x14ac:dyDescent="0.25">
      <c r="A48" s="192" t="s">
        <v>38</v>
      </c>
      <c r="B48" s="192"/>
      <c r="C48" s="192"/>
      <c r="D48" s="192"/>
      <c r="E48" s="192"/>
      <c r="F48" s="192"/>
      <c r="G48" s="192"/>
      <c r="H48" s="192"/>
    </row>
    <row r="49" spans="1:24" ht="33.75" customHeight="1" x14ac:dyDescent="0.25">
      <c r="A49" s="131" t="s">
        <v>141</v>
      </c>
      <c r="B49" s="132"/>
      <c r="C49" s="240" t="s">
        <v>243</v>
      </c>
      <c r="D49" s="241"/>
      <c r="E49" s="241"/>
      <c r="F49" s="241"/>
      <c r="G49" s="241"/>
      <c r="H49" s="242"/>
      <c r="R49" t="s">
        <v>238</v>
      </c>
      <c r="S49" t="s">
        <v>161</v>
      </c>
      <c r="T49" t="s">
        <v>164</v>
      </c>
      <c r="U49" t="s">
        <v>179</v>
      </c>
      <c r="V49" t="s">
        <v>174</v>
      </c>
    </row>
    <row r="50" spans="1:24" ht="15.75" customHeight="1" x14ac:dyDescent="0.25">
      <c r="A50" s="131" t="s">
        <v>39</v>
      </c>
      <c r="B50" s="132"/>
      <c r="C50" s="131" t="s">
        <v>313</v>
      </c>
      <c r="D50" s="133"/>
      <c r="E50" s="132"/>
      <c r="F50" s="18" t="s">
        <v>40</v>
      </c>
      <c r="G50" s="134">
        <v>45330</v>
      </c>
      <c r="H50" s="132"/>
      <c r="R50"/>
      <c r="S50" t="s">
        <v>239</v>
      </c>
      <c r="T50" t="s">
        <v>244</v>
      </c>
      <c r="U50" t="s">
        <v>255</v>
      </c>
      <c r="V50" t="s">
        <v>260</v>
      </c>
    </row>
    <row r="51" spans="1:24" x14ac:dyDescent="0.25">
      <c r="A51" s="131" t="s">
        <v>41</v>
      </c>
      <c r="B51" s="132"/>
      <c r="C51" s="131" t="str">
        <f>C50</f>
        <v>MSRDC/LF/2024/APL/00002</v>
      </c>
      <c r="D51" s="133"/>
      <c r="E51" s="132"/>
      <c r="F51" s="18" t="s">
        <v>40</v>
      </c>
      <c r="G51" s="134">
        <f>G50</f>
        <v>45330</v>
      </c>
      <c r="H51" s="132"/>
      <c r="R51"/>
      <c r="S51" t="s">
        <v>240</v>
      </c>
      <c r="T51" t="s">
        <v>245</v>
      </c>
      <c r="U51" t="s">
        <v>253</v>
      </c>
      <c r="V51" t="s">
        <v>261</v>
      </c>
    </row>
    <row r="52" spans="1:24" s="23" customFormat="1" x14ac:dyDescent="0.25">
      <c r="A52" s="131" t="s">
        <v>314</v>
      </c>
      <c r="B52" s="132"/>
      <c r="C52" s="131" t="str">
        <f>C51</f>
        <v>MSRDC/LF/2024/APL/00002</v>
      </c>
      <c r="D52" s="133"/>
      <c r="E52" s="132"/>
      <c r="F52" s="18" t="s">
        <v>40</v>
      </c>
      <c r="G52" s="134">
        <f>G51</f>
        <v>45330</v>
      </c>
      <c r="H52" s="132"/>
      <c r="R52"/>
      <c r="S52" t="s">
        <v>241</v>
      </c>
      <c r="T52" t="s">
        <v>246</v>
      </c>
      <c r="U52" t="s">
        <v>243</v>
      </c>
      <c r="V52" t="s">
        <v>262</v>
      </c>
    </row>
    <row r="53" spans="1:24" s="23" customFormat="1" ht="36" customHeight="1" x14ac:dyDescent="0.25">
      <c r="A53" s="136" t="s">
        <v>315</v>
      </c>
      <c r="B53" s="137"/>
      <c r="C53" s="131" t="s">
        <v>327</v>
      </c>
      <c r="D53" s="133"/>
      <c r="E53" s="132"/>
      <c r="F53" s="18" t="s">
        <v>40</v>
      </c>
      <c r="G53" s="134">
        <v>45327</v>
      </c>
      <c r="H53" s="132"/>
      <c r="R53"/>
      <c r="S53" t="s">
        <v>242</v>
      </c>
      <c r="T53" t="s">
        <v>249</v>
      </c>
      <c r="U53" t="s">
        <v>256</v>
      </c>
    </row>
    <row r="54" spans="1:24" s="23" customFormat="1" hidden="1" x14ac:dyDescent="0.25">
      <c r="A54" s="140" t="s">
        <v>266</v>
      </c>
      <c r="B54" s="141"/>
      <c r="C54" s="131" t="str">
        <f>C53</f>
        <v>MS/Jaminbab/KT-1/Talegaon/Layout Permission/2024/559</v>
      </c>
      <c r="D54" s="133"/>
      <c r="E54" s="132"/>
      <c r="F54" s="18" t="s">
        <v>40</v>
      </c>
      <c r="G54" s="131"/>
      <c r="H54" s="132"/>
      <c r="R54"/>
      <c r="S54" t="s">
        <v>241</v>
      </c>
      <c r="T54" t="s">
        <v>246</v>
      </c>
      <c r="U54" t="s">
        <v>243</v>
      </c>
      <c r="V54" t="s">
        <v>262</v>
      </c>
    </row>
    <row r="55" spans="1:24" s="23" customFormat="1" ht="32.25" hidden="1" customHeight="1" x14ac:dyDescent="0.25">
      <c r="A55" s="142"/>
      <c r="B55" s="143"/>
      <c r="C55" s="237"/>
      <c r="D55" s="238"/>
      <c r="E55" s="238"/>
      <c r="F55" s="238"/>
      <c r="G55" s="238"/>
      <c r="H55" s="239"/>
      <c r="R55"/>
      <c r="S55" t="s">
        <v>243</v>
      </c>
      <c r="T55" t="s">
        <v>247</v>
      </c>
      <c r="U55" t="s">
        <v>257</v>
      </c>
      <c r="V55" s="21"/>
      <c r="W55" s="21"/>
      <c r="X55" s="21"/>
    </row>
    <row r="56" spans="1:24" s="23" customFormat="1" ht="34.5" hidden="1" customHeight="1" x14ac:dyDescent="0.25">
      <c r="A56" s="140" t="s">
        <v>267</v>
      </c>
      <c r="B56" s="141"/>
      <c r="C56" s="131">
        <f>C55</f>
        <v>0</v>
      </c>
      <c r="D56" s="133"/>
      <c r="E56" s="132"/>
      <c r="F56" s="18" t="s">
        <v>40</v>
      </c>
      <c r="G56" s="131">
        <f>G55</f>
        <v>0</v>
      </c>
      <c r="H56" s="132"/>
      <c r="R56"/>
      <c r="S56" s="21"/>
      <c r="T56" t="s">
        <v>248</v>
      </c>
      <c r="U56" t="s">
        <v>258</v>
      </c>
      <c r="V56" s="21"/>
      <c r="W56" s="21"/>
      <c r="X56" s="21"/>
    </row>
    <row r="57" spans="1:24" s="23" customFormat="1" ht="41.25" hidden="1" customHeight="1" x14ac:dyDescent="0.25">
      <c r="A57" s="142"/>
      <c r="B57" s="143"/>
      <c r="C57" s="131"/>
      <c r="D57" s="133"/>
      <c r="E57" s="133"/>
      <c r="F57" s="133"/>
      <c r="G57" s="133"/>
      <c r="H57" s="132"/>
      <c r="R57"/>
      <c r="S57" s="21"/>
      <c r="T57" t="s">
        <v>250</v>
      </c>
      <c r="U57" t="s">
        <v>259</v>
      </c>
      <c r="V57" s="21"/>
      <c r="W57" s="21"/>
      <c r="X57" s="21"/>
    </row>
    <row r="58" spans="1:24" s="23" customFormat="1" ht="15.75" hidden="1" customHeight="1" x14ac:dyDescent="0.25">
      <c r="A58" s="140" t="s">
        <v>268</v>
      </c>
      <c r="B58" s="141"/>
      <c r="C58" s="131">
        <f>C57</f>
        <v>0</v>
      </c>
      <c r="D58" s="133"/>
      <c r="E58" s="132"/>
      <c r="F58" s="18" t="s">
        <v>40</v>
      </c>
      <c r="G58" s="131">
        <f>G57</f>
        <v>0</v>
      </c>
      <c r="H58" s="132"/>
      <c r="R58"/>
      <c r="S58" s="21"/>
      <c r="T58" t="s">
        <v>251</v>
      </c>
      <c r="U58" s="21" t="s">
        <v>282</v>
      </c>
      <c r="V58" s="21"/>
      <c r="W58" s="21"/>
      <c r="X58" s="21"/>
    </row>
    <row r="59" spans="1:24" s="23" customFormat="1" ht="33.75" hidden="1" customHeight="1" x14ac:dyDescent="0.25">
      <c r="A59" s="142"/>
      <c r="B59" s="143"/>
      <c r="C59" s="131"/>
      <c r="D59" s="133"/>
      <c r="E59" s="133"/>
      <c r="F59" s="133"/>
      <c r="G59" s="133"/>
      <c r="H59" s="132"/>
      <c r="R59"/>
      <c r="S59" s="21"/>
      <c r="T59" t="s">
        <v>252</v>
      </c>
      <c r="U59" s="21"/>
      <c r="V59" s="21"/>
      <c r="W59" s="21"/>
      <c r="X59" s="21"/>
    </row>
    <row r="60" spans="1:24" x14ac:dyDescent="0.25">
      <c r="A60" s="120" t="s">
        <v>42</v>
      </c>
      <c r="B60" s="121"/>
      <c r="C60" s="120" t="s">
        <v>95</v>
      </c>
      <c r="D60" s="122"/>
      <c r="E60" s="121"/>
      <c r="F60" s="45" t="s">
        <v>40</v>
      </c>
      <c r="G60" s="138" t="s">
        <v>28</v>
      </c>
      <c r="H60" s="139"/>
      <c r="R60"/>
      <c r="T60" t="s">
        <v>254</v>
      </c>
    </row>
    <row r="61" spans="1:24" x14ac:dyDescent="0.25">
      <c r="A61" s="135" t="s">
        <v>44</v>
      </c>
      <c r="B61" s="135"/>
      <c r="C61" s="135"/>
      <c r="D61" s="135"/>
      <c r="E61" s="135"/>
      <c r="F61" s="135"/>
      <c r="G61" s="135"/>
      <c r="H61" s="135"/>
      <c r="T61" t="s">
        <v>263</v>
      </c>
    </row>
    <row r="62" spans="1:24" x14ac:dyDescent="0.25">
      <c r="A62" s="124" t="s">
        <v>316</v>
      </c>
      <c r="B62" s="124"/>
      <c r="C62" s="124"/>
      <c r="D62" s="117">
        <f>E46</f>
        <v>31598.9</v>
      </c>
      <c r="E62" s="117"/>
      <c r="F62" s="117"/>
      <c r="G62" s="117"/>
      <c r="H62" s="117"/>
      <c r="R62"/>
    </row>
    <row r="63" spans="1:24" x14ac:dyDescent="0.25">
      <c r="A63" s="129" t="s">
        <v>45</v>
      </c>
      <c r="B63" s="130"/>
      <c r="C63" s="130"/>
      <c r="D63" s="130" t="s">
        <v>324</v>
      </c>
      <c r="E63" s="130"/>
      <c r="F63" s="130"/>
      <c r="G63" s="130"/>
      <c r="H63" s="130"/>
      <c r="I63" s="24"/>
      <c r="R63"/>
    </row>
    <row r="64" spans="1:24" ht="48.75" hidden="1" customHeight="1" x14ac:dyDescent="0.25">
      <c r="A64" s="144" t="s">
        <v>46</v>
      </c>
      <c r="B64" s="145"/>
      <c r="C64" s="233"/>
      <c r="D64" s="218" t="s">
        <v>109</v>
      </c>
      <c r="E64" s="219"/>
      <c r="F64" s="219"/>
      <c r="G64" s="219"/>
      <c r="H64" s="219"/>
      <c r="R64"/>
    </row>
    <row r="65" spans="1:19" ht="15.75" hidden="1" customHeight="1" x14ac:dyDescent="0.25">
      <c r="A65" s="144" t="s">
        <v>81</v>
      </c>
      <c r="B65" s="145"/>
      <c r="C65" s="145"/>
      <c r="D65" s="150" t="s">
        <v>156</v>
      </c>
      <c r="E65" s="151"/>
      <c r="F65" s="151"/>
      <c r="G65" s="151"/>
      <c r="H65" s="152"/>
      <c r="R65"/>
    </row>
    <row r="66" spans="1:19" ht="15.75" hidden="1" customHeight="1" x14ac:dyDescent="0.25">
      <c r="A66" s="146"/>
      <c r="B66" s="147"/>
      <c r="C66" s="147"/>
      <c r="D66" s="153" t="s">
        <v>283</v>
      </c>
      <c r="E66" s="154"/>
      <c r="F66" s="154"/>
      <c r="G66" s="154"/>
      <c r="H66" s="155"/>
      <c r="R66"/>
    </row>
    <row r="67" spans="1:19" ht="15.75" hidden="1" customHeight="1" x14ac:dyDescent="0.25">
      <c r="A67" s="148"/>
      <c r="B67" s="149"/>
      <c r="C67" s="149"/>
      <c r="D67" s="220" t="s">
        <v>157</v>
      </c>
      <c r="E67" s="221"/>
      <c r="F67" s="221"/>
      <c r="G67" s="221"/>
      <c r="H67" s="222"/>
      <c r="S67"/>
    </row>
    <row r="68" spans="1:19" ht="15.75" customHeight="1" x14ac:dyDescent="0.25">
      <c r="A68" s="117" t="s">
        <v>43</v>
      </c>
      <c r="B68" s="117"/>
      <c r="C68" s="117"/>
      <c r="D68" s="227" t="s">
        <v>317</v>
      </c>
      <c r="E68" s="227"/>
      <c r="F68" s="227"/>
      <c r="G68" s="227"/>
      <c r="H68" s="227"/>
      <c r="J68" s="25"/>
      <c r="K68" s="24"/>
      <c r="N68" s="24"/>
      <c r="S68"/>
    </row>
    <row r="69" spans="1:19" ht="15.75" customHeight="1" x14ac:dyDescent="0.25">
      <c r="A69" s="117" t="s">
        <v>79</v>
      </c>
      <c r="B69" s="117"/>
      <c r="C69" s="117"/>
      <c r="D69" s="228" t="str">
        <f>(IF(G60="NA","60 Years After Completion",IF(G60&lt;&gt;"NA",""&amp;60-ROUNDDOWN((E3-G60)/360,0)&amp;" Years"," ")))</f>
        <v>60 Years After Completion</v>
      </c>
      <c r="E69" s="228"/>
      <c r="F69" s="228"/>
      <c r="G69" s="228"/>
      <c r="H69" s="228"/>
      <c r="N69" s="24"/>
      <c r="S69"/>
    </row>
    <row r="70" spans="1:19" ht="15.75" customHeight="1" x14ac:dyDescent="0.25">
      <c r="A70" s="117" t="s">
        <v>80</v>
      </c>
      <c r="B70" s="117"/>
      <c r="C70" s="117"/>
      <c r="D70" s="124" t="s">
        <v>23</v>
      </c>
      <c r="E70" s="124"/>
      <c r="F70" s="124"/>
      <c r="G70" s="124"/>
      <c r="H70" s="124"/>
      <c r="J70" s="26"/>
      <c r="K70" s="26"/>
      <c r="S70"/>
    </row>
    <row r="71" spans="1:19" ht="33" customHeight="1" x14ac:dyDescent="0.25">
      <c r="A71" s="130" t="s">
        <v>319</v>
      </c>
      <c r="B71" s="130"/>
      <c r="C71" s="130"/>
      <c r="D71" s="129" t="s">
        <v>318</v>
      </c>
      <c r="E71" s="129"/>
      <c r="F71" s="129"/>
      <c r="G71" s="129"/>
      <c r="H71" s="129"/>
      <c r="S71"/>
    </row>
    <row r="72" spans="1:19" x14ac:dyDescent="0.25">
      <c r="A72" s="124" t="s">
        <v>138</v>
      </c>
      <c r="B72" s="124"/>
      <c r="C72" s="124"/>
      <c r="D72" s="124" t="s">
        <v>28</v>
      </c>
      <c r="E72" s="124"/>
      <c r="F72" s="124"/>
      <c r="G72" s="124"/>
      <c r="H72" s="124"/>
      <c r="I72" s="27"/>
      <c r="J72" s="27"/>
      <c r="K72" s="27"/>
      <c r="L72" s="27"/>
      <c r="M72" s="27"/>
      <c r="N72" s="27"/>
    </row>
    <row r="73" spans="1:19" ht="15.75" customHeight="1" x14ac:dyDescent="0.25">
      <c r="A73" s="125" t="s">
        <v>78</v>
      </c>
      <c r="B73" s="125"/>
      <c r="C73" s="125"/>
      <c r="D73" s="217" t="str">
        <f ca="1">(IF(G79&gt;95%,"Nothing",IF(G79&gt;0%,"Cement, Aggregate, Steel, etc",IF(G79=0%,"Work not yet Started"))))</f>
        <v>Cement, Aggregate, Steel, etc</v>
      </c>
      <c r="E73" s="217"/>
      <c r="F73" s="217"/>
      <c r="G73" s="217"/>
      <c r="H73" s="217"/>
      <c r="J73" s="26"/>
      <c r="S73"/>
    </row>
    <row r="74" spans="1:19" ht="32.25" customHeight="1" thickBot="1" x14ac:dyDescent="0.3">
      <c r="A74" s="215" t="s">
        <v>108</v>
      </c>
      <c r="B74" s="215"/>
      <c r="C74" s="215"/>
      <c r="D74" s="216" t="str">
        <f ca="1">(IF(D73="Nothing","Yes",IF(D73="Cement, Aggregate, Steel, etc","Under Construction",IF(D73="Work not yet Started","Work not yet Started"))))</f>
        <v>Under Construction</v>
      </c>
      <c r="E74" s="216"/>
      <c r="F74" s="216" t="str">
        <f ca="1">(IF(D73="Nothing","Yes",IF(D73="Cement, Aggregate, Steel, etc","Under Construction",IF(D73="Work not yet Started","Work not yet Started"))))</f>
        <v>Under Construction</v>
      </c>
      <c r="G74" s="216"/>
      <c r="H74" s="216"/>
      <c r="S74"/>
    </row>
    <row r="75" spans="1:19" ht="15.75" hidden="1" customHeight="1" x14ac:dyDescent="0.25">
      <c r="A75" s="127" t="s">
        <v>130</v>
      </c>
      <c r="B75" s="128"/>
      <c r="C75" s="169" t="str">
        <f>D65</f>
        <v>Building No.1 (A Wing) = 1B + G + 1st to 20th Floor</v>
      </c>
      <c r="D75" s="170"/>
      <c r="E75" s="170"/>
      <c r="F75" s="170"/>
      <c r="G75" s="170"/>
      <c r="H75" s="171"/>
      <c r="I75" s="49" t="str">
        <f ca="1">IF(D88=100%,"All work Completed. Possession granted to the Building.",IF(D87=100%,"All work Completed, Waiting for OC",I76&amp;""&amp;I77&amp;""&amp;J76&amp;""&amp;J75&amp;" "&amp;J77))</f>
        <v xml:space="preserve">Excavation, Plinth Completed </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hidden="1" x14ac:dyDescent="0.25">
      <c r="A76" s="16" t="s">
        <v>132</v>
      </c>
      <c r="B76" s="53">
        <f>IF(AND(ISNUMBER(SEARCH("1B",C75))),1,IF(AND(ISNUMBER(SEARCH("2B",C75))),2,IF(AND(ISNUMBER(SEARCH("3B",C75))),3,IF(AND(ISNUMBER(SEARCH("4B",C75))),4,IF(ISNUMBER(SEARCH("5B",C75)),5,0)))))</f>
        <v>1</v>
      </c>
      <c r="C76" s="47" t="s">
        <v>66</v>
      </c>
      <c r="D76" s="47">
        <v>1</v>
      </c>
      <c r="E76" s="47" t="s">
        <v>65</v>
      </c>
      <c r="F76" s="14">
        <v>0</v>
      </c>
      <c r="G76" s="48" t="s">
        <v>72</v>
      </c>
      <c r="H76" s="17">
        <f ca="1">--TRIM(RIGHT(SUBSTITUTE(LEFT(C75,_xlfn.AGGREGATE(16,6,FIND({0,1,2,3,4,5,6,7,8,9},C75,ROW(INDIRECT("1:"&amp;LEN(C75)))),1))," ",REPT(" ",LEN(C75))),LEN(C75)))</f>
        <v>20</v>
      </c>
      <c r="I76" s="51" t="str">
        <f ca="1">IF(D79=100%,"Excavation","")&amp;IF(D80=100%,", Plinth","")&amp;IF(D81=100%,", RCC Slab","")&amp;IF(D82=100%,", Brickwork","")&amp;IF(D83=100%,", Internal Plaster","")&amp;IF(D84=100%,", External Plaster","")&amp;IF(D85=100%,", Flooring","")&amp;IF(D86=100%,", Painting","")&amp;IF(D87=100%,", Building common Amenities","")</f>
        <v>Excavation, Plinth</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6.75" hidden="1" customHeight="1" x14ac:dyDescent="0.25">
      <c r="A77" s="187" t="s">
        <v>82</v>
      </c>
      <c r="B77" s="188"/>
      <c r="C77" s="213" t="str">
        <f ca="1">I75</f>
        <v xml:space="preserve">Excavation, Plinth Completed </v>
      </c>
      <c r="D77" s="213"/>
      <c r="E77" s="213"/>
      <c r="F77" s="213"/>
      <c r="G77" s="213"/>
      <c r="H77" s="214"/>
      <c r="I77" s="51" t="str">
        <f ca="1">IF(I76&lt;&gt;""," Completed","")</f>
        <v xml:space="preserve"> Completed</v>
      </c>
      <c r="J77" s="52" t="str">
        <f ca="1">IF(J75&lt;&gt;"","Completed","")</f>
        <v/>
      </c>
      <c r="S77"/>
    </row>
    <row r="78" spans="1:19" ht="15.75" hidden="1" customHeight="1" x14ac:dyDescent="0.25">
      <c r="A78" s="157" t="s">
        <v>47</v>
      </c>
      <c r="B78" s="158"/>
      <c r="C78" s="43" t="s">
        <v>129</v>
      </c>
      <c r="D78" s="43" t="s">
        <v>75</v>
      </c>
      <c r="E78" s="158" t="s">
        <v>77</v>
      </c>
      <c r="F78" s="158"/>
      <c r="G78" s="158" t="s">
        <v>76</v>
      </c>
      <c r="H78" s="179"/>
      <c r="I78" s="13" t="s">
        <v>131</v>
      </c>
      <c r="J78" s="28">
        <f ca="1">H76*25%</f>
        <v>5</v>
      </c>
      <c r="S78"/>
    </row>
    <row r="79" spans="1:19" hidden="1" x14ac:dyDescent="0.25">
      <c r="A79" s="157" t="s">
        <v>118</v>
      </c>
      <c r="B79" s="158"/>
      <c r="C79" s="66">
        <f ca="1">J80</f>
        <v>20</v>
      </c>
      <c r="D79" s="19">
        <f ca="1">((100/H76)*C79)/100</f>
        <v>1</v>
      </c>
      <c r="E79" s="180">
        <f ca="1">(((C80/H76*10)+(40/(D76+F76+H76)*C81)+(7.5/(H76)*C82)+(7.5/(H76)*C83)+(10/H76*C84)+(10/H76*C85)+(5/H76*C86)+(5/H76*C87)+(5/H76*C88))/100)</f>
        <v>0.1</v>
      </c>
      <c r="F79" s="181"/>
      <c r="G79" s="180">
        <f ca="1">((((C79/H76)*20)+((C80/H76)*25)+(30/(H76+F76+D76)*C81)+(5/H76*C82)+(5/H76*C83)+(5/H76*C84)+(5/H76*C85)+(0/H76*C86)+(0/H76*C87)+(5/H76*C88))/100)</f>
        <v>0.45</v>
      </c>
      <c r="H79" s="223"/>
      <c r="I79" s="13" t="s">
        <v>90</v>
      </c>
      <c r="J79" s="29">
        <f ca="1">H76*50%</f>
        <v>10</v>
      </c>
    </row>
    <row r="80" spans="1:19" hidden="1" x14ac:dyDescent="0.25">
      <c r="A80" s="157" t="s">
        <v>48</v>
      </c>
      <c r="B80" s="158"/>
      <c r="C80" s="43">
        <f ca="1">J88</f>
        <v>20</v>
      </c>
      <c r="D80" s="19">
        <f ca="1">((100/H76)*C80)/100</f>
        <v>1</v>
      </c>
      <c r="E80" s="182"/>
      <c r="F80" s="183"/>
      <c r="G80" s="182"/>
      <c r="H80" s="224"/>
      <c r="I80" s="13" t="s">
        <v>91</v>
      </c>
      <c r="J80" s="29">
        <f ca="1">H76</f>
        <v>20</v>
      </c>
      <c r="S80"/>
    </row>
    <row r="81" spans="1:19" ht="15.75" hidden="1" customHeight="1" x14ac:dyDescent="0.25">
      <c r="A81" s="157" t="s">
        <v>119</v>
      </c>
      <c r="B81" s="158"/>
      <c r="C81" s="43">
        <v>0</v>
      </c>
      <c r="D81" s="19">
        <f ca="1">((100/(D76+F76+H76))*C81)/100</f>
        <v>0</v>
      </c>
      <c r="E81" s="182"/>
      <c r="F81" s="183"/>
      <c r="G81" s="182"/>
      <c r="H81" s="224"/>
      <c r="I81" s="13" t="s">
        <v>92</v>
      </c>
      <c r="J81" s="30">
        <f ca="1">(IF(B76&gt;1,(H76/(B76+2)),H76/4))</f>
        <v>5</v>
      </c>
      <c r="S81"/>
    </row>
    <row r="82" spans="1:19" ht="15.75" hidden="1" customHeight="1" x14ac:dyDescent="0.25">
      <c r="A82" s="157" t="s">
        <v>126</v>
      </c>
      <c r="B82" s="158" t="s">
        <v>120</v>
      </c>
      <c r="C82" s="43">
        <v>0</v>
      </c>
      <c r="D82" s="19">
        <f ca="1">((100/H76)*C82)/100</f>
        <v>0</v>
      </c>
      <c r="E82" s="182"/>
      <c r="F82" s="183"/>
      <c r="G82" s="182"/>
      <c r="H82" s="224"/>
      <c r="I82" s="13" t="s">
        <v>93</v>
      </c>
      <c r="J82" s="30">
        <f ca="1">(IF(B76&gt;1,(H76/(B76+2)+J81),H76/4+J81))</f>
        <v>10</v>
      </c>
    </row>
    <row r="83" spans="1:19" ht="15.75" hidden="1" customHeight="1" x14ac:dyDescent="0.25">
      <c r="A83" s="157" t="s">
        <v>127</v>
      </c>
      <c r="B83" s="158" t="s">
        <v>120</v>
      </c>
      <c r="C83" s="43">
        <v>0</v>
      </c>
      <c r="D83" s="19">
        <f ca="1">((100/H76)*C83)/100</f>
        <v>0</v>
      </c>
      <c r="E83" s="182"/>
      <c r="F83" s="183"/>
      <c r="G83" s="182"/>
      <c r="H83" s="224"/>
      <c r="I83" s="13" t="s">
        <v>136</v>
      </c>
      <c r="J83" s="30">
        <f>(IF(B76&gt;1,(H76/(B76+2)+J82),0))</f>
        <v>0</v>
      </c>
    </row>
    <row r="84" spans="1:19" ht="15" hidden="1" customHeight="1" x14ac:dyDescent="0.25">
      <c r="A84" s="157" t="s">
        <v>125</v>
      </c>
      <c r="B84" s="158" t="s">
        <v>122</v>
      </c>
      <c r="C84" s="65">
        <v>0</v>
      </c>
      <c r="D84" s="19">
        <f ca="1">((100/(H76))*C84)/100</f>
        <v>0</v>
      </c>
      <c r="E84" s="182"/>
      <c r="F84" s="183"/>
      <c r="G84" s="182"/>
      <c r="H84" s="224"/>
      <c r="I84" s="13" t="s">
        <v>133</v>
      </c>
      <c r="J84" s="30">
        <f>(IF(B76&gt;2,(H76/(B76+2)+J83),0))</f>
        <v>0</v>
      </c>
    </row>
    <row r="85" spans="1:19" ht="15.75" hidden="1" customHeight="1" x14ac:dyDescent="0.25">
      <c r="A85" s="157" t="s">
        <v>121</v>
      </c>
      <c r="B85" s="158" t="s">
        <v>121</v>
      </c>
      <c r="C85" s="43">
        <v>0</v>
      </c>
      <c r="D85" s="19">
        <f ca="1">((100/H76)*C85)/100</f>
        <v>0</v>
      </c>
      <c r="E85" s="182"/>
      <c r="F85" s="183"/>
      <c r="G85" s="182"/>
      <c r="H85" s="224"/>
      <c r="I85" s="13" t="s">
        <v>134</v>
      </c>
      <c r="J85" s="31">
        <f>(IF(B76&gt;3,(H76/(B76+2)+J84),0))</f>
        <v>0</v>
      </c>
    </row>
    <row r="86" spans="1:19" ht="15.75" hidden="1" customHeight="1" x14ac:dyDescent="0.25">
      <c r="A86" s="157" t="s">
        <v>128</v>
      </c>
      <c r="B86" s="158"/>
      <c r="C86" s="43">
        <v>0</v>
      </c>
      <c r="D86" s="19">
        <f ca="1">((100/H76)*C86)/100</f>
        <v>0</v>
      </c>
      <c r="E86" s="182"/>
      <c r="F86" s="183"/>
      <c r="G86" s="182"/>
      <c r="H86" s="224"/>
      <c r="I86" s="13" t="s">
        <v>135</v>
      </c>
      <c r="J86" s="30">
        <f>(IF(B76&gt;4,(H76/(B76+2)+J85),0))</f>
        <v>0</v>
      </c>
    </row>
    <row r="87" spans="1:19" ht="15.75" hidden="1" customHeight="1" x14ac:dyDescent="0.25">
      <c r="A87" s="157" t="s">
        <v>123</v>
      </c>
      <c r="B87" s="158" t="s">
        <v>123</v>
      </c>
      <c r="C87" s="43">
        <v>0</v>
      </c>
      <c r="D87" s="19">
        <f ca="1">((100/(H76))*C87)/100</f>
        <v>0</v>
      </c>
      <c r="E87" s="182"/>
      <c r="F87" s="183"/>
      <c r="G87" s="182"/>
      <c r="H87" s="224"/>
      <c r="I87" s="13" t="s">
        <v>137</v>
      </c>
      <c r="J87" s="30">
        <f ca="1">(IF(B76=1,(H76/(B76+3)+J82),IF(B76=0,(H76/4+J82),IF(B76&gt;1,0))))</f>
        <v>15</v>
      </c>
    </row>
    <row r="88" spans="1:19" ht="16.5" hidden="1" thickBot="1" x14ac:dyDescent="0.3">
      <c r="A88" s="159" t="s">
        <v>124</v>
      </c>
      <c r="B88" s="160"/>
      <c r="C88" s="44">
        <v>0</v>
      </c>
      <c r="D88" s="20">
        <f ca="1">((100/(H76))*C88)/100</f>
        <v>0</v>
      </c>
      <c r="E88" s="184"/>
      <c r="F88" s="185"/>
      <c r="G88" s="184"/>
      <c r="H88" s="225"/>
      <c r="I88" s="15" t="s">
        <v>94</v>
      </c>
      <c r="J88" s="32">
        <f ca="1">(IF(B76&gt;1.5,(H76/(B76+2)+J82+MAX(0,J83-J82)+MAX(0,J84-J83)+MAX(0,J85-J84)+MAX(0,J86-J85)+MAX(0,J87-J86)),IF(B76=1,(H76/(B76+3)+J87),IF(B76=0,H76/4+J87))))</f>
        <v>20</v>
      </c>
    </row>
    <row r="89" spans="1:19" ht="15.75" hidden="1" customHeight="1" x14ac:dyDescent="0.25">
      <c r="A89" s="127" t="s">
        <v>130</v>
      </c>
      <c r="B89" s="128"/>
      <c r="C89" s="169" t="str">
        <f>D66</f>
        <v>B Wing = 1B + G + 1st to 19th Floor</v>
      </c>
      <c r="D89" s="170"/>
      <c r="E89" s="170"/>
      <c r="F89" s="170"/>
      <c r="G89" s="170"/>
      <c r="H89" s="171"/>
      <c r="I89" s="49" t="str">
        <f ca="1">IF(D102=100%,"All work Completed. Possession granted to the Building.",IF(D101=100%,"All work Completed, Waiting for OC",I90&amp;""&amp;I91&amp;""&amp;J90&amp;""&amp;J89&amp;" "&amp;J91))</f>
        <v xml:space="preserve">Excavation, Plinth Completed </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25">
      <c r="A90" s="16" t="s">
        <v>132</v>
      </c>
      <c r="B90" s="54">
        <f>IF(AND(ISNUMBER(SEARCH("1B",C89))),1,IF(AND(ISNUMBER(SEARCH("2B",C89))),2,IF(AND(ISNUMBER(SEARCH("3B",C89))),3,IF(AND(ISNUMBER(SEARCH("4B",C89))),4,IF(ISNUMBER(SEARCH("5B",C89)),5,0)))))</f>
        <v>1</v>
      </c>
      <c r="C90" s="47" t="s">
        <v>66</v>
      </c>
      <c r="D90" s="47">
        <v>1</v>
      </c>
      <c r="E90" s="47" t="s">
        <v>65</v>
      </c>
      <c r="F90" s="14">
        <v>0</v>
      </c>
      <c r="G90" s="48" t="s">
        <v>72</v>
      </c>
      <c r="H90" s="17">
        <f ca="1">--TRIM(RIGHT(SUBSTITUTE(LEFT(C89,_xlfn.AGGREGATE(16,6,FIND({0,1,2,3,4,5,6,7,8,9},C89,ROW(INDIRECT("1:"&amp;LEN(C89)))),1))," ",REPT(" ",LEN(C89))),LEN(C89)))</f>
        <v>19</v>
      </c>
      <c r="I90" s="51" t="str">
        <f ca="1">IF(D93=100%,"Excavation","")&amp;IF(D94=100%,", Plinth","")&amp;IF(D95=100%,", RCC Slab","")&amp;IF(D96=100%,", Brickwork","")&amp;IF(D97=100%,", Internal Plaster","")&amp;IF(D98=100%,", External Plaster","")&amp;IF(D99=100%,", Flooring","")&amp;IF(D100=100%,", Painting","")&amp;IF(D101=100%,", Building common Amenities","")</f>
        <v>Excavation, Plinth</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idden="1" x14ac:dyDescent="0.25">
      <c r="A91" s="187" t="s">
        <v>82</v>
      </c>
      <c r="B91" s="188"/>
      <c r="C91" s="213" t="str">
        <f ca="1">(IF($G$60="NA",I89,"All work Completed. OC Received."))</f>
        <v xml:space="preserve">Excavation, Plinth Completed </v>
      </c>
      <c r="D91" s="213"/>
      <c r="E91" s="213"/>
      <c r="F91" s="213"/>
      <c r="G91" s="213"/>
      <c r="H91" s="214"/>
      <c r="I91" s="51" t="str">
        <f ca="1">IF(I90&lt;&gt;""," Completed","")</f>
        <v xml:space="preserve"> Completed</v>
      </c>
      <c r="J91" s="52" t="str">
        <f ca="1">IF(J89&lt;&gt;"","Completed","")</f>
        <v/>
      </c>
    </row>
    <row r="92" spans="1:19" ht="15.75" hidden="1" customHeight="1" x14ac:dyDescent="0.25">
      <c r="A92" s="157" t="s">
        <v>47</v>
      </c>
      <c r="B92" s="158"/>
      <c r="C92" s="43" t="s">
        <v>129</v>
      </c>
      <c r="D92" s="43" t="s">
        <v>75</v>
      </c>
      <c r="E92" s="158" t="s">
        <v>77</v>
      </c>
      <c r="F92" s="158"/>
      <c r="G92" s="158" t="s">
        <v>76</v>
      </c>
      <c r="H92" s="179"/>
      <c r="I92" s="13" t="s">
        <v>131</v>
      </c>
      <c r="J92" s="28">
        <f ca="1">H90*25%</f>
        <v>4.75</v>
      </c>
    </row>
    <row r="93" spans="1:19" hidden="1" x14ac:dyDescent="0.25">
      <c r="A93" s="157" t="s">
        <v>118</v>
      </c>
      <c r="B93" s="158"/>
      <c r="C93" s="66">
        <f ca="1">J94</f>
        <v>19</v>
      </c>
      <c r="D93" s="19">
        <f ca="1">((100/H90)*C93)/100</f>
        <v>1</v>
      </c>
      <c r="E93" s="180">
        <f ca="1">(((C94/H90*10)+(40/(D90+F90+H90)*C95)+(7.5/(H90)*C96)+(7.5/(H90)*C97)+(10/H90*C98)+(10/H90*C99)+(5/H90*C100)+(5/H90*C101)+(5/H90*C102))/100)</f>
        <v>0.1</v>
      </c>
      <c r="F93" s="181"/>
      <c r="G93" s="180">
        <f ca="1">((((C93/H90)*20)+((C94/H90)*25)+(30/(H90+F90+D90)*C95)+(5/H90*C96)+(5/H90*C97)+(5/H90*C98)+(5/H90*C99)+(0/H90*C100)+(0/H90*C101)+(5/H90*C102))/100)</f>
        <v>0.45</v>
      </c>
      <c r="H93" s="223"/>
      <c r="I93" s="13" t="s">
        <v>90</v>
      </c>
      <c r="J93" s="29">
        <f ca="1">H90*50%</f>
        <v>9.5</v>
      </c>
    </row>
    <row r="94" spans="1:19" hidden="1" x14ac:dyDescent="0.25">
      <c r="A94" s="157" t="s">
        <v>48</v>
      </c>
      <c r="B94" s="158"/>
      <c r="C94" s="67">
        <v>19</v>
      </c>
      <c r="D94" s="19">
        <f ca="1">((100/H90)*C94)/100</f>
        <v>1</v>
      </c>
      <c r="E94" s="182"/>
      <c r="F94" s="183"/>
      <c r="G94" s="182"/>
      <c r="H94" s="224"/>
      <c r="I94" s="13" t="s">
        <v>91</v>
      </c>
      <c r="J94" s="29">
        <f ca="1">H90</f>
        <v>19</v>
      </c>
    </row>
    <row r="95" spans="1:19" ht="15.75" hidden="1" customHeight="1" x14ac:dyDescent="0.25">
      <c r="A95" s="157" t="s">
        <v>119</v>
      </c>
      <c r="B95" s="158"/>
      <c r="C95" s="43">
        <v>0</v>
      </c>
      <c r="D95" s="19">
        <f ca="1">((100/(D90+F90+H90))*C95)/100</f>
        <v>0</v>
      </c>
      <c r="E95" s="182"/>
      <c r="F95" s="183"/>
      <c r="G95" s="182"/>
      <c r="H95" s="224"/>
      <c r="I95" s="13" t="s">
        <v>92</v>
      </c>
      <c r="J95" s="30">
        <f ca="1">(IF(B90&gt;1,(H90/(B90+2)),H90/4))</f>
        <v>4.75</v>
      </c>
    </row>
    <row r="96" spans="1:19" ht="15.75" hidden="1" customHeight="1" x14ac:dyDescent="0.25">
      <c r="A96" s="157" t="s">
        <v>126</v>
      </c>
      <c r="B96" s="158" t="s">
        <v>120</v>
      </c>
      <c r="C96" s="64">
        <v>0</v>
      </c>
      <c r="D96" s="19">
        <f ca="1">((100/H90)*C96)/100</f>
        <v>0</v>
      </c>
      <c r="E96" s="182"/>
      <c r="F96" s="183"/>
      <c r="G96" s="182"/>
      <c r="H96" s="224"/>
      <c r="I96" s="13" t="s">
        <v>93</v>
      </c>
      <c r="J96" s="30">
        <f ca="1">(IF(B90&gt;1,(H90/(B90+2)+J95),H90/4+J95))</f>
        <v>9.5</v>
      </c>
    </row>
    <row r="97" spans="1:10" ht="15.75" hidden="1" customHeight="1" x14ac:dyDescent="0.25">
      <c r="A97" s="157" t="s">
        <v>127</v>
      </c>
      <c r="B97" s="158" t="s">
        <v>120</v>
      </c>
      <c r="C97" s="64">
        <v>0</v>
      </c>
      <c r="D97" s="19">
        <f ca="1">((100/H90)*C97)/100</f>
        <v>0</v>
      </c>
      <c r="E97" s="182"/>
      <c r="F97" s="183"/>
      <c r="G97" s="182"/>
      <c r="H97" s="224"/>
      <c r="I97" s="13" t="s">
        <v>136</v>
      </c>
      <c r="J97" s="30">
        <f>(IF(B90&gt;1,(H90/(B90+2)+J96),0))</f>
        <v>0</v>
      </c>
    </row>
    <row r="98" spans="1:10" ht="15" hidden="1" customHeight="1" x14ac:dyDescent="0.25">
      <c r="A98" s="157" t="s">
        <v>125</v>
      </c>
      <c r="B98" s="158" t="s">
        <v>122</v>
      </c>
      <c r="C98" s="64">
        <v>0</v>
      </c>
      <c r="D98" s="19">
        <f ca="1">((100/(H90))*C98)/100</f>
        <v>0</v>
      </c>
      <c r="E98" s="182"/>
      <c r="F98" s="183"/>
      <c r="G98" s="182"/>
      <c r="H98" s="224"/>
      <c r="I98" s="13" t="s">
        <v>133</v>
      </c>
      <c r="J98" s="30">
        <f>(IF(B90&gt;2,(H90/(B90+2)+J97),0))</f>
        <v>0</v>
      </c>
    </row>
    <row r="99" spans="1:10" ht="15.75" hidden="1" customHeight="1" x14ac:dyDescent="0.25">
      <c r="A99" s="157" t="s">
        <v>121</v>
      </c>
      <c r="B99" s="158" t="s">
        <v>121</v>
      </c>
      <c r="C99" s="64">
        <v>0</v>
      </c>
      <c r="D99" s="19">
        <f ca="1">((100/H90)*C99)/100</f>
        <v>0</v>
      </c>
      <c r="E99" s="182"/>
      <c r="F99" s="183"/>
      <c r="G99" s="182"/>
      <c r="H99" s="224"/>
      <c r="I99" s="13" t="s">
        <v>134</v>
      </c>
      <c r="J99" s="31">
        <f>(IF(B90&gt;3,(H90/(B90+2)+J98),0))</f>
        <v>0</v>
      </c>
    </row>
    <row r="100" spans="1:10" ht="15.75" hidden="1" customHeight="1" x14ac:dyDescent="0.25">
      <c r="A100" s="157" t="s">
        <v>128</v>
      </c>
      <c r="B100" s="158"/>
      <c r="C100" s="43">
        <v>0</v>
      </c>
      <c r="D100" s="19">
        <f ca="1">((100/H90)*C100)/100</f>
        <v>0</v>
      </c>
      <c r="E100" s="182"/>
      <c r="F100" s="183"/>
      <c r="G100" s="182"/>
      <c r="H100" s="224"/>
      <c r="I100" s="13" t="s">
        <v>135</v>
      </c>
      <c r="J100" s="30">
        <f>(IF(B90&gt;4,(H90/(B90+2)+J99),0))</f>
        <v>0</v>
      </c>
    </row>
    <row r="101" spans="1:10" ht="15.75" hidden="1" customHeight="1" x14ac:dyDescent="0.25">
      <c r="A101" s="157" t="s">
        <v>123</v>
      </c>
      <c r="B101" s="158" t="s">
        <v>123</v>
      </c>
      <c r="C101" s="43">
        <v>0</v>
      </c>
      <c r="D101" s="19">
        <f ca="1">((100/(H90))*C101)/100</f>
        <v>0</v>
      </c>
      <c r="E101" s="182"/>
      <c r="F101" s="183"/>
      <c r="G101" s="182"/>
      <c r="H101" s="224"/>
      <c r="I101" s="13" t="s">
        <v>137</v>
      </c>
      <c r="J101" s="30">
        <f ca="1">(IF(B90=1,(H90/(B90+3)+J96),IF(B90=0,(H90/4+J96),IF(B90&gt;1,0))))</f>
        <v>14.25</v>
      </c>
    </row>
    <row r="102" spans="1:10" ht="16.5" hidden="1" thickBot="1" x14ac:dyDescent="0.3">
      <c r="A102" s="159" t="s">
        <v>124</v>
      </c>
      <c r="B102" s="160"/>
      <c r="C102" s="44">
        <v>0</v>
      </c>
      <c r="D102" s="20">
        <f ca="1">((100/(H90))*C102)/100</f>
        <v>0</v>
      </c>
      <c r="E102" s="184"/>
      <c r="F102" s="185"/>
      <c r="G102" s="184"/>
      <c r="H102" s="225"/>
      <c r="I102" s="15" t="s">
        <v>94</v>
      </c>
      <c r="J102" s="32">
        <f ca="1">(IF(B90&gt;1.5,(H90/(B90+2)+J96+MAX(0,J97-J96)+MAX(0,J98-J97)+MAX(0,J99-J98)+MAX(0,J100-J99)+MAX(0,J101-J100)),IF(B90=1,(H90/(B90+3)+J101),IF(B90=0,H90/4+J101))))</f>
        <v>19</v>
      </c>
    </row>
    <row r="103" spans="1:10" ht="15.75" hidden="1" customHeight="1" x14ac:dyDescent="0.25">
      <c r="A103" s="127" t="s">
        <v>130</v>
      </c>
      <c r="B103" s="128"/>
      <c r="C103" s="169" t="str">
        <f>D67</f>
        <v>C Wing = 1B + G + 1st to 20th Floor</v>
      </c>
      <c r="D103" s="170"/>
      <c r="E103" s="170"/>
      <c r="F103" s="170"/>
      <c r="G103" s="170"/>
      <c r="H103" s="171"/>
      <c r="I103" s="49" t="str">
        <f ca="1">IF(D116=100%,"All work Completed. Possession granted to the Building.",IF(D115=100%,"All work Completed, Waiting for OC",I104&amp;""&amp;I105&amp;""&amp;J104&amp;""&amp;J103&amp;" "&amp;J105))</f>
        <v xml:space="preserve">Excavation, Plinth, RCC Slab Completed </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25">
      <c r="A104" s="16" t="s">
        <v>132</v>
      </c>
      <c r="B104" s="54">
        <f>IF(AND(ISNUMBER(SEARCH("1B",C103))),1,IF(AND(ISNUMBER(SEARCH("2B",C103))),2,IF(AND(ISNUMBER(SEARCH("3B",C103))),3,IF(AND(ISNUMBER(SEARCH("4B",C103))),4,IF(ISNUMBER(SEARCH("5B",C103)),5,0)))))</f>
        <v>1</v>
      </c>
      <c r="C104" s="47" t="s">
        <v>66</v>
      </c>
      <c r="D104" s="47">
        <v>1</v>
      </c>
      <c r="E104" s="47" t="s">
        <v>65</v>
      </c>
      <c r="F104" s="14">
        <v>0</v>
      </c>
      <c r="G104" s="48" t="s">
        <v>72</v>
      </c>
      <c r="H104" s="17">
        <f ca="1">--TRIM(RIGHT(SUBSTITUTE(LEFT(C103,_xlfn.AGGREGATE(16,6,FIND({0,1,2,3,4,5,6,7,8,9},C103,ROW(INDIRECT("1:"&amp;LEN(C103)))),1))," ",REPT(" ",LEN(C103))),LEN(C103)))</f>
        <v>20</v>
      </c>
      <c r="I104" s="51" t="str">
        <f ca="1">IF(D107=100%,"Excavation","")&amp;IF(D108=100%,", Plinth","")&amp;IF(D109=100%,", RCC Slab","")&amp;IF(D110=100%,", Brickwork","")&amp;IF(D111=100%,", Internal Plaster","")&amp;IF(D112=100%,", External Plaster","")&amp;IF(D113=100%,", Flooring","")&amp;IF(D114=100%,", Painting","")&amp;IF(D115=100%,", Building common Amenities","")</f>
        <v>Excavation, Plinth, RCC Slab</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idden="1" x14ac:dyDescent="0.25">
      <c r="A105" s="187" t="s">
        <v>82</v>
      </c>
      <c r="B105" s="188"/>
      <c r="C105" s="213" t="str">
        <f ca="1">(IF($G$60="NA",I103,"All work Completed. OC Received."))</f>
        <v xml:space="preserve">Excavation, Plinth, RCC Slab Completed </v>
      </c>
      <c r="D105" s="213"/>
      <c r="E105" s="213"/>
      <c r="F105" s="213"/>
      <c r="G105" s="213"/>
      <c r="H105" s="214"/>
      <c r="I105" s="51" t="str">
        <f ca="1">IF(I104&lt;&gt;""," Completed","")</f>
        <v xml:space="preserve"> Completed</v>
      </c>
      <c r="J105" s="52" t="str">
        <f ca="1">IF(J103&lt;&gt;"","Completed","")</f>
        <v/>
      </c>
    </row>
    <row r="106" spans="1:10" ht="15.75" hidden="1" customHeight="1" x14ac:dyDescent="0.25">
      <c r="A106" s="157" t="s">
        <v>47</v>
      </c>
      <c r="B106" s="158"/>
      <c r="C106" s="43" t="s">
        <v>129</v>
      </c>
      <c r="D106" s="43" t="s">
        <v>75</v>
      </c>
      <c r="E106" s="158" t="s">
        <v>77</v>
      </c>
      <c r="F106" s="158"/>
      <c r="G106" s="158" t="s">
        <v>76</v>
      </c>
      <c r="H106" s="179"/>
      <c r="I106" s="13" t="s">
        <v>131</v>
      </c>
      <c r="J106" s="28">
        <f ca="1">H104*25%</f>
        <v>5</v>
      </c>
    </row>
    <row r="107" spans="1:10" hidden="1" x14ac:dyDescent="0.25">
      <c r="A107" s="157" t="s">
        <v>118</v>
      </c>
      <c r="B107" s="158"/>
      <c r="C107" s="43">
        <f ca="1">J108</f>
        <v>20</v>
      </c>
      <c r="D107" s="19">
        <f ca="1">((100/H104)*C107)/100</f>
        <v>1</v>
      </c>
      <c r="E107" s="180">
        <f ca="1">(((C108/H104*10)+(40/(D104+F104+H104)*C109)+(7.5/(H104)*C110)+(7.5/(H104)*C111)+(10/H104*C112)+(10/H104*C113)+(5/H104*C114)+(5/H104*C115)+(5/H104*C116))/100)</f>
        <v>0.5</v>
      </c>
      <c r="F107" s="181"/>
      <c r="G107" s="180">
        <f ca="1">((((C107/H104)*20)+((C108/H104)*25)+(30/(H104+F104+D104)*C109)+(5/H104*C110)+(5/H104*C111)+(5/H104*C112)+(5/H104*C113)+(0/H104*C114)+(0/H104*C115)+(5/H104*C116))/100)</f>
        <v>0.75</v>
      </c>
      <c r="H107" s="223"/>
      <c r="I107" s="13" t="s">
        <v>90</v>
      </c>
      <c r="J107" s="29">
        <f ca="1">H104*50%</f>
        <v>10</v>
      </c>
    </row>
    <row r="108" spans="1:10" hidden="1" x14ac:dyDescent="0.25">
      <c r="A108" s="157" t="s">
        <v>48</v>
      </c>
      <c r="B108" s="158"/>
      <c r="C108" s="43">
        <f ca="1">J116</f>
        <v>20</v>
      </c>
      <c r="D108" s="19">
        <f ca="1">((100/H104)*C108)/100</f>
        <v>1</v>
      </c>
      <c r="E108" s="182"/>
      <c r="F108" s="183"/>
      <c r="G108" s="182"/>
      <c r="H108" s="224"/>
      <c r="I108" s="13" t="s">
        <v>91</v>
      </c>
      <c r="J108" s="29">
        <f ca="1">H104</f>
        <v>20</v>
      </c>
    </row>
    <row r="109" spans="1:10" ht="15.75" hidden="1" customHeight="1" x14ac:dyDescent="0.25">
      <c r="A109" s="157" t="s">
        <v>119</v>
      </c>
      <c r="B109" s="158"/>
      <c r="C109" s="43">
        <f ca="1">D104+H104</f>
        <v>21</v>
      </c>
      <c r="D109" s="19">
        <f ca="1">((100/(D104+F104+H104))*C109)/100</f>
        <v>1</v>
      </c>
      <c r="E109" s="182"/>
      <c r="F109" s="183"/>
      <c r="G109" s="182"/>
      <c r="H109" s="224"/>
      <c r="I109" s="13" t="s">
        <v>92</v>
      </c>
      <c r="J109" s="30">
        <f ca="1">(IF(B104&gt;1,(H104/(B104+2)),H104/4))</f>
        <v>5</v>
      </c>
    </row>
    <row r="110" spans="1:10" ht="15.75" hidden="1" customHeight="1" x14ac:dyDescent="0.25">
      <c r="A110" s="157" t="s">
        <v>126</v>
      </c>
      <c r="B110" s="158" t="s">
        <v>120</v>
      </c>
      <c r="C110" s="43">
        <v>0</v>
      </c>
      <c r="D110" s="19">
        <f ca="1">((100/H104)*C110)/100</f>
        <v>0</v>
      </c>
      <c r="E110" s="182"/>
      <c r="F110" s="183"/>
      <c r="G110" s="182"/>
      <c r="H110" s="224"/>
      <c r="I110" s="13" t="s">
        <v>93</v>
      </c>
      <c r="J110" s="30">
        <f ca="1">(IF(B104&gt;1,(H104/(B104+2)+J109),H104/4+J109))</f>
        <v>10</v>
      </c>
    </row>
    <row r="111" spans="1:10" ht="15.75" hidden="1" customHeight="1" x14ac:dyDescent="0.25">
      <c r="A111" s="157" t="s">
        <v>127</v>
      </c>
      <c r="B111" s="158" t="s">
        <v>120</v>
      </c>
      <c r="C111" s="43">
        <v>0</v>
      </c>
      <c r="D111" s="19">
        <f ca="1">((100/H104)*C111)/100</f>
        <v>0</v>
      </c>
      <c r="E111" s="182"/>
      <c r="F111" s="183"/>
      <c r="G111" s="182"/>
      <c r="H111" s="224"/>
      <c r="I111" s="13" t="s">
        <v>136</v>
      </c>
      <c r="J111" s="30">
        <f>(IF(B104&gt;1,(H104/(B104+2)+J110),0))</f>
        <v>0</v>
      </c>
    </row>
    <row r="112" spans="1:10" ht="15" hidden="1" customHeight="1" x14ac:dyDescent="0.25">
      <c r="A112" s="157" t="s">
        <v>125</v>
      </c>
      <c r="B112" s="158" t="s">
        <v>122</v>
      </c>
      <c r="C112" s="43">
        <v>0</v>
      </c>
      <c r="D112" s="19">
        <f ca="1">((100/(H104))*C112)/100</f>
        <v>0</v>
      </c>
      <c r="E112" s="182"/>
      <c r="F112" s="183"/>
      <c r="G112" s="182"/>
      <c r="H112" s="224"/>
      <c r="I112" s="13" t="s">
        <v>133</v>
      </c>
      <c r="J112" s="30">
        <f>(IF(B104&gt;2,(H104/(B104+2)+J111),0))</f>
        <v>0</v>
      </c>
    </row>
    <row r="113" spans="1:22" ht="15.75" hidden="1" customHeight="1" x14ac:dyDescent="0.25">
      <c r="A113" s="157" t="s">
        <v>121</v>
      </c>
      <c r="B113" s="158" t="s">
        <v>121</v>
      </c>
      <c r="C113" s="43">
        <v>0</v>
      </c>
      <c r="D113" s="19">
        <f ca="1">((100/H104)*C113)/100</f>
        <v>0</v>
      </c>
      <c r="E113" s="182"/>
      <c r="F113" s="183"/>
      <c r="G113" s="182"/>
      <c r="H113" s="224"/>
      <c r="I113" s="13" t="s">
        <v>134</v>
      </c>
      <c r="J113" s="31">
        <f>(IF(B104&gt;3,(H104/(B104+2)+J112),0))</f>
        <v>0</v>
      </c>
    </row>
    <row r="114" spans="1:22" ht="15.75" hidden="1" customHeight="1" x14ac:dyDescent="0.25">
      <c r="A114" s="157" t="s">
        <v>128</v>
      </c>
      <c r="B114" s="158"/>
      <c r="C114" s="43">
        <v>0</v>
      </c>
      <c r="D114" s="19">
        <f ca="1">((100/H104)*C114)/100</f>
        <v>0</v>
      </c>
      <c r="E114" s="182"/>
      <c r="F114" s="183"/>
      <c r="G114" s="182"/>
      <c r="H114" s="224"/>
      <c r="I114" s="13" t="s">
        <v>135</v>
      </c>
      <c r="J114" s="30">
        <f>(IF(B104&gt;4,(H104/(B104+2)+J113),0))</f>
        <v>0</v>
      </c>
    </row>
    <row r="115" spans="1:22" ht="15.75" hidden="1" customHeight="1" x14ac:dyDescent="0.25">
      <c r="A115" s="157" t="s">
        <v>123</v>
      </c>
      <c r="B115" s="158" t="s">
        <v>123</v>
      </c>
      <c r="C115" s="43">
        <v>0</v>
      </c>
      <c r="D115" s="19">
        <f ca="1">((100/(H104))*C115)/100</f>
        <v>0</v>
      </c>
      <c r="E115" s="182"/>
      <c r="F115" s="183"/>
      <c r="G115" s="182"/>
      <c r="H115" s="224"/>
      <c r="I115" s="13" t="s">
        <v>137</v>
      </c>
      <c r="J115" s="30">
        <f ca="1">(IF(B104=1,(H104/(B104+3)+J110),IF(B104=0,(H104/4+J110),IF(B104&gt;1,0))))</f>
        <v>15</v>
      </c>
    </row>
    <row r="116" spans="1:22" ht="16.5" hidden="1" thickBot="1" x14ac:dyDescent="0.3">
      <c r="A116" s="159" t="s">
        <v>124</v>
      </c>
      <c r="B116" s="160"/>
      <c r="C116" s="44">
        <v>0</v>
      </c>
      <c r="D116" s="20">
        <f ca="1">((100/(H104))*C116)/100</f>
        <v>0</v>
      </c>
      <c r="E116" s="184"/>
      <c r="F116" s="185"/>
      <c r="G116" s="184"/>
      <c r="H116" s="225"/>
      <c r="I116" s="15" t="s">
        <v>94</v>
      </c>
      <c r="J116" s="32">
        <f ca="1">(IF(B104&gt;1.5,(H104/(B104+2)+J110+MAX(0,J111-J110)+MAX(0,J112-J111)+MAX(0,J113-J112)+MAX(0,J114-J113)+MAX(0,J115-J114)),IF(B104=1,(H104/(B104+3)+J115),IF(B104=0,H104/4+J115))))</f>
        <v>20</v>
      </c>
    </row>
    <row r="117" spans="1:22" x14ac:dyDescent="0.25">
      <c r="A117" s="186" t="s">
        <v>146</v>
      </c>
      <c r="B117" s="186"/>
      <c r="C117" s="186"/>
      <c r="D117" s="186"/>
      <c r="E117" s="186"/>
      <c r="F117" s="176" t="s">
        <v>338</v>
      </c>
      <c r="G117" s="176"/>
      <c r="H117" s="176"/>
      <c r="R117" t="s">
        <v>238</v>
      </c>
      <c r="S117" t="s">
        <v>161</v>
      </c>
      <c r="T117" t="s">
        <v>164</v>
      </c>
      <c r="U117" t="s">
        <v>179</v>
      </c>
      <c r="V117" t="s">
        <v>174</v>
      </c>
    </row>
    <row r="118" spans="1:22" x14ac:dyDescent="0.25">
      <c r="A118" s="117" t="s">
        <v>328</v>
      </c>
      <c r="B118" s="117"/>
      <c r="C118" s="117"/>
      <c r="D118" s="117"/>
      <c r="E118" s="117"/>
      <c r="F118" s="115">
        <v>8000</v>
      </c>
      <c r="G118" s="115"/>
      <c r="H118" s="115"/>
      <c r="I118" s="21" t="s">
        <v>342</v>
      </c>
      <c r="R118"/>
      <c r="S118">
        <v>800000</v>
      </c>
      <c r="T118">
        <v>150000</v>
      </c>
      <c r="U118">
        <v>100000</v>
      </c>
      <c r="V118">
        <v>100000</v>
      </c>
    </row>
    <row r="119" spans="1:22" hidden="1" x14ac:dyDescent="0.25">
      <c r="A119" s="117" t="s">
        <v>147</v>
      </c>
      <c r="B119" s="117"/>
      <c r="C119" s="117"/>
      <c r="D119" s="117"/>
      <c r="E119" s="117"/>
      <c r="F119" s="115"/>
      <c r="G119" s="115"/>
      <c r="H119" s="115"/>
      <c r="R119"/>
      <c r="S119">
        <v>900000</v>
      </c>
      <c r="T119">
        <v>200000</v>
      </c>
      <c r="U119">
        <v>150000</v>
      </c>
      <c r="V119">
        <v>150000</v>
      </c>
    </row>
    <row r="120" spans="1:22" hidden="1" x14ac:dyDescent="0.25">
      <c r="A120" s="117" t="s">
        <v>148</v>
      </c>
      <c r="B120" s="117"/>
      <c r="C120" s="117"/>
      <c r="D120" s="117"/>
      <c r="E120" s="117"/>
      <c r="F120" s="115"/>
      <c r="G120" s="115"/>
      <c r="H120" s="115"/>
      <c r="R120"/>
      <c r="S120">
        <v>1000000</v>
      </c>
      <c r="T120">
        <v>250000</v>
      </c>
      <c r="U120">
        <v>200000</v>
      </c>
      <c r="V120">
        <v>200000</v>
      </c>
    </row>
    <row r="121" spans="1:22" s="33" customFormat="1" x14ac:dyDescent="0.25">
      <c r="A121" s="117" t="s">
        <v>339</v>
      </c>
      <c r="B121" s="117"/>
      <c r="C121" s="117"/>
      <c r="D121" s="117"/>
      <c r="E121" s="117"/>
      <c r="F121" s="115">
        <v>500</v>
      </c>
      <c r="G121" s="115"/>
      <c r="H121" s="115"/>
      <c r="R121"/>
      <c r="S121">
        <v>1100000</v>
      </c>
      <c r="T121">
        <v>300000</v>
      </c>
      <c r="U121">
        <v>250000</v>
      </c>
      <c r="V121" s="23">
        <v>250000</v>
      </c>
    </row>
    <row r="122" spans="1:22" s="33" customFormat="1" x14ac:dyDescent="0.25">
      <c r="A122" s="117" t="s">
        <v>340</v>
      </c>
      <c r="B122" s="117"/>
      <c r="C122" s="117"/>
      <c r="D122" s="117"/>
      <c r="E122" s="117"/>
      <c r="F122" s="115">
        <v>2050</v>
      </c>
      <c r="G122" s="115"/>
      <c r="H122" s="115"/>
      <c r="R122"/>
      <c r="S122">
        <v>1200000</v>
      </c>
      <c r="T122">
        <v>350000</v>
      </c>
      <c r="U122">
        <v>300000</v>
      </c>
      <c r="V122">
        <v>300000</v>
      </c>
    </row>
    <row r="123" spans="1:22" s="33" customFormat="1" x14ac:dyDescent="0.25">
      <c r="A123" s="117" t="s">
        <v>86</v>
      </c>
      <c r="B123" s="117"/>
      <c r="C123" s="117"/>
      <c r="D123" s="117"/>
      <c r="E123" s="117"/>
      <c r="F123" s="115">
        <v>90000</v>
      </c>
      <c r="G123" s="115"/>
      <c r="H123" s="115"/>
      <c r="R123"/>
      <c r="S123">
        <v>1300000</v>
      </c>
      <c r="T123">
        <v>400000</v>
      </c>
      <c r="U123">
        <v>350000</v>
      </c>
      <c r="V123" s="23">
        <v>400000</v>
      </c>
    </row>
    <row r="124" spans="1:22" s="33" customFormat="1" x14ac:dyDescent="0.25">
      <c r="A124" s="117" t="s">
        <v>341</v>
      </c>
      <c r="B124" s="117"/>
      <c r="C124" s="117"/>
      <c r="D124" s="117"/>
      <c r="E124" s="117"/>
      <c r="F124" s="115">
        <v>50000</v>
      </c>
      <c r="G124" s="115"/>
      <c r="H124" s="115"/>
      <c r="R124"/>
      <c r="S124">
        <v>1400000</v>
      </c>
      <c r="T124">
        <v>500000</v>
      </c>
      <c r="U124">
        <v>400000</v>
      </c>
      <c r="V124"/>
    </row>
    <row r="125" spans="1:22" s="33" customFormat="1" hidden="1" x14ac:dyDescent="0.25">
      <c r="A125" s="117" t="s">
        <v>87</v>
      </c>
      <c r="B125" s="117"/>
      <c r="C125" s="117"/>
      <c r="D125" s="117"/>
      <c r="E125" s="117"/>
      <c r="F125" s="115"/>
      <c r="G125" s="115"/>
      <c r="H125" s="115"/>
      <c r="R125"/>
      <c r="S125">
        <v>1500000</v>
      </c>
      <c r="T125">
        <v>600000</v>
      </c>
      <c r="U125">
        <v>500000</v>
      </c>
      <c r="V125" s="23"/>
    </row>
    <row r="126" spans="1:22" s="33" customFormat="1" x14ac:dyDescent="0.25">
      <c r="A126" s="117" t="s">
        <v>88</v>
      </c>
      <c r="B126" s="117"/>
      <c r="C126" s="117"/>
      <c r="D126" s="117"/>
      <c r="E126" s="117"/>
      <c r="F126" s="115">
        <v>7000</v>
      </c>
      <c r="G126" s="115"/>
      <c r="H126" s="115"/>
      <c r="R126"/>
      <c r="S126">
        <v>1600000</v>
      </c>
      <c r="T126">
        <v>700000</v>
      </c>
      <c r="U126">
        <v>600000</v>
      </c>
      <c r="V126"/>
    </row>
    <row r="127" spans="1:22" s="33" customFormat="1" x14ac:dyDescent="0.25">
      <c r="A127" s="117" t="s">
        <v>89</v>
      </c>
      <c r="B127" s="117"/>
      <c r="C127" s="117"/>
      <c r="D127" s="117"/>
      <c r="E127" s="117"/>
      <c r="F127" s="115">
        <v>300000</v>
      </c>
      <c r="G127" s="115"/>
      <c r="H127" s="115"/>
      <c r="R127"/>
      <c r="S127">
        <v>1700000</v>
      </c>
      <c r="T127">
        <v>800000</v>
      </c>
      <c r="U127"/>
      <c r="V127" s="23"/>
    </row>
    <row r="128" spans="1:22" hidden="1" x14ac:dyDescent="0.25">
      <c r="A128" s="117" t="s">
        <v>49</v>
      </c>
      <c r="B128" s="117"/>
      <c r="C128" s="117"/>
      <c r="D128" s="117"/>
      <c r="E128" s="117"/>
      <c r="F128" s="191">
        <v>600000</v>
      </c>
      <c r="G128" s="191"/>
      <c r="H128" s="191"/>
      <c r="R128"/>
      <c r="S128">
        <v>1800000</v>
      </c>
      <c r="T128">
        <v>900000</v>
      </c>
      <c r="U128"/>
    </row>
    <row r="129" spans="1:22" s="34" customFormat="1" x14ac:dyDescent="0.25">
      <c r="A129" s="192" t="s">
        <v>50</v>
      </c>
      <c r="B129" s="192"/>
      <c r="C129" s="192"/>
      <c r="D129" s="192"/>
      <c r="E129" s="192"/>
      <c r="F129" s="115">
        <f>F118*0.8</f>
        <v>6400</v>
      </c>
      <c r="G129" s="115"/>
      <c r="H129" s="115"/>
      <c r="R129" s="21"/>
      <c r="S129" s="21"/>
      <c r="T129">
        <v>1000000</v>
      </c>
      <c r="U129"/>
      <c r="V129" s="21"/>
    </row>
    <row r="130" spans="1:22" s="35" customFormat="1" x14ac:dyDescent="0.25">
      <c r="A130" s="193" t="s">
        <v>289</v>
      </c>
      <c r="B130" s="193"/>
      <c r="C130" s="193"/>
      <c r="D130" s="193"/>
      <c r="E130" s="193"/>
      <c r="F130" s="193"/>
      <c r="G130" s="193"/>
      <c r="H130" s="193"/>
      <c r="T130"/>
    </row>
    <row r="131" spans="1:22" s="35" customFormat="1" ht="33" customHeight="1" x14ac:dyDescent="0.25">
      <c r="A131" s="80" t="s">
        <v>51</v>
      </c>
      <c r="B131" s="80" t="s">
        <v>291</v>
      </c>
      <c r="C131" s="123" t="s">
        <v>321</v>
      </c>
      <c r="D131" s="123"/>
      <c r="E131" s="178" t="s">
        <v>293</v>
      </c>
      <c r="F131" s="178"/>
      <c r="G131" s="194" t="s">
        <v>322</v>
      </c>
      <c r="H131" s="194"/>
      <c r="T131"/>
    </row>
    <row r="132" spans="1:22" s="35" customFormat="1" ht="28.5" customHeight="1" x14ac:dyDescent="0.25">
      <c r="A132" s="81" t="s">
        <v>323</v>
      </c>
      <c r="B132" s="87" t="s">
        <v>320</v>
      </c>
      <c r="C132" s="230">
        <f>COUNT(C148:C243)</f>
        <v>96</v>
      </c>
      <c r="D132" s="230"/>
      <c r="E132" s="230">
        <f>SUM(D148:D243)</f>
        <v>184053.31307999999</v>
      </c>
      <c r="F132" s="230"/>
      <c r="G132" s="230">
        <f>SUM(F148:F243)</f>
        <v>309209.56597440003</v>
      </c>
      <c r="H132" s="230"/>
      <c r="T132"/>
    </row>
    <row r="133" spans="1:22" s="35" customFormat="1" hidden="1" x14ac:dyDescent="0.25">
      <c r="A133" s="231"/>
      <c r="B133" s="231"/>
      <c r="C133" s="232"/>
      <c r="D133" s="232"/>
      <c r="E133" s="248"/>
      <c r="F133" s="248"/>
      <c r="G133" s="249"/>
      <c r="H133" s="249"/>
      <c r="T133"/>
    </row>
    <row r="134" spans="1:22" s="35" customFormat="1" ht="16.5" hidden="1" thickBot="1" x14ac:dyDescent="0.3">
      <c r="A134" s="245" t="s">
        <v>140</v>
      </c>
      <c r="B134" s="245"/>
      <c r="C134" s="161"/>
      <c r="D134" s="161"/>
      <c r="E134" s="246"/>
      <c r="F134" s="246"/>
      <c r="G134" s="247"/>
      <c r="H134" s="247"/>
      <c r="T134"/>
    </row>
    <row r="135" spans="1:22" s="35" customFormat="1" ht="16.5" hidden="1" thickBot="1" x14ac:dyDescent="0.3">
      <c r="A135" s="165" t="s">
        <v>153</v>
      </c>
      <c r="B135" s="166"/>
      <c r="C135" s="167" t="e">
        <f>#REF!+C134</f>
        <v>#REF!</v>
      </c>
      <c r="D135" s="167"/>
      <c r="E135" s="168" t="e">
        <f>#REF!+E134</f>
        <v>#REF!</v>
      </c>
      <c r="F135" s="168"/>
      <c r="G135" s="235" t="e">
        <f>#REF!+G134</f>
        <v>#REF!</v>
      </c>
      <c r="H135" s="236"/>
      <c r="T135"/>
    </row>
    <row r="136" spans="1:22" s="34" customFormat="1" hidden="1" x14ac:dyDescent="0.25">
      <c r="A136" s="176" t="s">
        <v>52</v>
      </c>
      <c r="B136" s="176"/>
      <c r="C136" s="176"/>
      <c r="D136" s="176"/>
      <c r="E136" s="176"/>
      <c r="F136" s="176"/>
      <c r="G136" s="176"/>
      <c r="H136" s="176"/>
      <c r="T136" s="35"/>
    </row>
    <row r="137" spans="1:22" x14ac:dyDescent="0.25">
      <c r="A137" s="116"/>
      <c r="B137" s="116"/>
      <c r="C137" s="116"/>
      <c r="D137" s="116"/>
      <c r="E137" s="116"/>
      <c r="F137" s="116"/>
      <c r="G137" s="116"/>
      <c r="H137" s="116"/>
      <c r="T137" s="35"/>
    </row>
    <row r="138" spans="1:22" ht="47.25" hidden="1" customHeight="1" x14ac:dyDescent="0.25">
      <c r="A138" s="195" t="s">
        <v>110</v>
      </c>
      <c r="B138" s="195" t="s">
        <v>163</v>
      </c>
      <c r="C138" s="195" t="s">
        <v>53</v>
      </c>
      <c r="D138" s="243" t="s">
        <v>217</v>
      </c>
      <c r="E138" s="197" t="s">
        <v>145</v>
      </c>
      <c r="F138" s="195" t="s">
        <v>54</v>
      </c>
      <c r="G138" s="197" t="s">
        <v>55</v>
      </c>
      <c r="H138" s="74" t="s">
        <v>139</v>
      </c>
      <c r="T138" s="35"/>
    </row>
    <row r="139" spans="1:22" s="37" customFormat="1" hidden="1" x14ac:dyDescent="0.25">
      <c r="A139" s="196"/>
      <c r="B139" s="196"/>
      <c r="C139" s="196"/>
      <c r="D139" s="244"/>
      <c r="E139" s="198"/>
      <c r="F139" s="196"/>
      <c r="G139" s="198"/>
      <c r="H139" s="58">
        <v>0.45</v>
      </c>
      <c r="T139" s="35"/>
    </row>
    <row r="140" spans="1:22" s="37" customFormat="1" hidden="1" x14ac:dyDescent="0.25">
      <c r="A140" s="162" t="s">
        <v>109</v>
      </c>
      <c r="B140" s="163"/>
      <c r="C140" s="163"/>
      <c r="D140" s="163"/>
      <c r="E140" s="163"/>
      <c r="F140" s="163"/>
      <c r="G140" s="163"/>
      <c r="H140" s="164"/>
      <c r="J140" s="36"/>
      <c r="T140" s="35"/>
    </row>
    <row r="141" spans="1:22" s="37" customFormat="1" ht="15.75" hidden="1" customHeight="1" x14ac:dyDescent="0.25">
      <c r="A141" s="118">
        <v>1</v>
      </c>
      <c r="B141" s="119"/>
      <c r="C141" s="42"/>
      <c r="D141" s="42">
        <v>0</v>
      </c>
      <c r="E141" s="42">
        <v>0</v>
      </c>
      <c r="F141" s="68">
        <f>D141+(IF(E141&lt;201,E141,IF(E141&lt;301,E141/2,E141/3)))</f>
        <v>0</v>
      </c>
      <c r="G141" s="69">
        <v>0</v>
      </c>
      <c r="H141" s="68">
        <f>(F141+(IF(G141&lt;101,G141,IF(G141&lt;201,G141/2,IF(G141&lt;=301,G141/3,G141/4)))))*(($H$139)+1)</f>
        <v>0</v>
      </c>
      <c r="I141" s="36"/>
      <c r="L141" s="107"/>
      <c r="M141" s="107"/>
      <c r="N141" s="36"/>
      <c r="T141" s="35"/>
    </row>
    <row r="142" spans="1:22" s="37" customFormat="1" ht="15.75" hidden="1" customHeight="1" x14ac:dyDescent="0.25">
      <c r="A142" s="118">
        <f>A141+1</f>
        <v>2</v>
      </c>
      <c r="B142" s="119"/>
      <c r="C142" s="42"/>
      <c r="D142" s="42"/>
      <c r="E142" s="42">
        <v>0</v>
      </c>
      <c r="F142" s="68">
        <f t="shared" ref="F142:F144" si="0">D142+(IF(E142&lt;201,E142,IF(E142&lt;301,E142/2,E142/3)))</f>
        <v>0</v>
      </c>
      <c r="G142" s="57">
        <v>0</v>
      </c>
      <c r="H142" s="68">
        <f t="shared" ref="H142:H144" si="1">(F142+(IF(G142&lt;101,G142,IF(G142&lt;201,G142/2,IF(G142&lt;=301,G142/3,G142/4)))))*(($H$139)+1)</f>
        <v>0</v>
      </c>
      <c r="I142" s="36"/>
      <c r="L142" s="107"/>
      <c r="M142" s="107"/>
      <c r="N142" s="36"/>
      <c r="T142" s="34"/>
    </row>
    <row r="143" spans="1:22" s="37" customFormat="1" ht="15.75" hidden="1" customHeight="1" x14ac:dyDescent="0.25">
      <c r="A143" s="118">
        <f>A142+1</f>
        <v>3</v>
      </c>
      <c r="B143" s="119"/>
      <c r="C143" s="42"/>
      <c r="D143" s="42"/>
      <c r="E143" s="42">
        <v>0</v>
      </c>
      <c r="F143" s="68">
        <f t="shared" si="0"/>
        <v>0</v>
      </c>
      <c r="G143" s="57">
        <v>0</v>
      </c>
      <c r="H143" s="68">
        <f t="shared" si="1"/>
        <v>0</v>
      </c>
      <c r="I143" s="36"/>
      <c r="L143" s="107"/>
      <c r="M143" s="107"/>
      <c r="N143" s="36"/>
      <c r="T143" s="21"/>
    </row>
    <row r="144" spans="1:22" s="37" customFormat="1" ht="15.75" hidden="1" customHeight="1" x14ac:dyDescent="0.25">
      <c r="A144" s="118">
        <f>A143+1</f>
        <v>4</v>
      </c>
      <c r="B144" s="119"/>
      <c r="C144" s="42"/>
      <c r="D144" s="42"/>
      <c r="E144" s="42">
        <v>0</v>
      </c>
      <c r="F144" s="68">
        <f t="shared" si="0"/>
        <v>0</v>
      </c>
      <c r="G144" s="57">
        <v>0</v>
      </c>
      <c r="H144" s="68">
        <f t="shared" si="1"/>
        <v>0</v>
      </c>
      <c r="I144" s="36"/>
      <c r="L144" s="107"/>
      <c r="M144" s="107"/>
      <c r="N144" s="36"/>
      <c r="T144" s="21"/>
    </row>
    <row r="145" spans="1:20" s="37" customFormat="1" hidden="1" x14ac:dyDescent="0.25">
      <c r="A145" s="118"/>
      <c r="B145" s="177"/>
      <c r="C145" s="177"/>
      <c r="D145" s="177"/>
      <c r="E145" s="177"/>
      <c r="F145" s="177"/>
      <c r="G145" s="177"/>
      <c r="H145" s="119"/>
      <c r="I145" s="36"/>
      <c r="N145" s="36"/>
    </row>
    <row r="146" spans="1:20" ht="76.5" customHeight="1" x14ac:dyDescent="0.25">
      <c r="A146" s="78" t="s">
        <v>290</v>
      </c>
      <c r="B146" s="77" t="s">
        <v>291</v>
      </c>
      <c r="C146" s="77" t="s">
        <v>292</v>
      </c>
      <c r="D146" s="84" t="s">
        <v>293</v>
      </c>
      <c r="E146" s="77" t="s">
        <v>294</v>
      </c>
      <c r="F146" s="88" t="s">
        <v>329</v>
      </c>
      <c r="G146" s="199" t="s">
        <v>295</v>
      </c>
      <c r="H146" s="200"/>
      <c r="I146" s="36"/>
      <c r="T146" s="37"/>
    </row>
    <row r="147" spans="1:20" s="37" customFormat="1" hidden="1" x14ac:dyDescent="0.25">
      <c r="A147" s="162" t="s">
        <v>109</v>
      </c>
      <c r="B147" s="163"/>
      <c r="C147" s="163"/>
      <c r="D147" s="163"/>
      <c r="E147" s="163"/>
      <c r="F147" s="163"/>
      <c r="G147" s="163"/>
      <c r="H147" s="164"/>
      <c r="J147" s="36"/>
    </row>
    <row r="148" spans="1:20" s="37" customFormat="1" ht="15.75" customHeight="1" x14ac:dyDescent="0.25">
      <c r="A148" s="83">
        <v>1</v>
      </c>
      <c r="B148" s="85" t="s">
        <v>320</v>
      </c>
      <c r="C148" s="86">
        <f>139.28</f>
        <v>139.28</v>
      </c>
      <c r="D148" s="76">
        <f>C148*10.764</f>
        <v>1499.20992</v>
      </c>
      <c r="E148" s="76">
        <v>0</v>
      </c>
      <c r="F148" s="76">
        <f>(C148*1.68)*10.764</f>
        <v>2518.6726655999996</v>
      </c>
      <c r="G148" s="105" t="s">
        <v>347</v>
      </c>
      <c r="H148" s="106"/>
      <c r="I148" s="36"/>
      <c r="L148" s="107"/>
      <c r="M148" s="107"/>
      <c r="N148" s="36"/>
    </row>
    <row r="149" spans="1:20" s="37" customFormat="1" ht="15.75" customHeight="1" x14ac:dyDescent="0.25">
      <c r="A149" s="83">
        <f>A148+1</f>
        <v>2</v>
      </c>
      <c r="B149" s="85" t="s">
        <v>320</v>
      </c>
      <c r="C149" s="86">
        <f>185.22</f>
        <v>185.22</v>
      </c>
      <c r="D149" s="76">
        <f t="shared" ref="D149:D212" si="2">C149*10.764</f>
        <v>1993.7080799999999</v>
      </c>
      <c r="E149" s="76">
        <v>0</v>
      </c>
      <c r="F149" s="76">
        <f t="shared" ref="F149:F212" si="3">(C149*1.68)*10.764</f>
        <v>3349.4295743999996</v>
      </c>
      <c r="G149" s="105" t="s">
        <v>347</v>
      </c>
      <c r="H149" s="106"/>
      <c r="I149" s="36"/>
      <c r="L149" s="107"/>
      <c r="M149" s="107"/>
      <c r="N149" s="36"/>
    </row>
    <row r="150" spans="1:20" s="37" customFormat="1" ht="15.75" customHeight="1" x14ac:dyDescent="0.25">
      <c r="A150" s="83">
        <f>A149+1</f>
        <v>3</v>
      </c>
      <c r="B150" s="85" t="s">
        <v>320</v>
      </c>
      <c r="C150" s="86">
        <f>164.07</f>
        <v>164.07</v>
      </c>
      <c r="D150" s="76">
        <f t="shared" si="2"/>
        <v>1766.0494799999999</v>
      </c>
      <c r="E150" s="76">
        <v>0</v>
      </c>
      <c r="F150" s="76">
        <f>(C150*1.68)*10.764</f>
        <v>2966.9631263999995</v>
      </c>
      <c r="G150" s="105" t="s">
        <v>347</v>
      </c>
      <c r="H150" s="106"/>
      <c r="I150" s="36"/>
      <c r="L150" s="107"/>
      <c r="M150" s="107"/>
      <c r="N150" s="36"/>
    </row>
    <row r="151" spans="1:20" s="37" customFormat="1" ht="15.75" customHeight="1" x14ac:dyDescent="0.25">
      <c r="A151" s="83">
        <f>A150+1</f>
        <v>4</v>
      </c>
      <c r="B151" s="85" t="s">
        <v>320</v>
      </c>
      <c r="C151" s="86">
        <f>164.07</f>
        <v>164.07</v>
      </c>
      <c r="D151" s="76">
        <f t="shared" si="2"/>
        <v>1766.0494799999999</v>
      </c>
      <c r="E151" s="76">
        <v>0</v>
      </c>
      <c r="F151" s="76">
        <f t="shared" si="3"/>
        <v>2966.9631263999995</v>
      </c>
      <c r="G151" s="105" t="s">
        <v>347</v>
      </c>
      <c r="H151" s="106"/>
      <c r="I151" s="36"/>
      <c r="L151" s="107"/>
      <c r="M151" s="107"/>
      <c r="N151" s="36"/>
      <c r="T151" s="21"/>
    </row>
    <row r="152" spans="1:20" s="79" customFormat="1" ht="15.75" customHeight="1" x14ac:dyDescent="0.25">
      <c r="A152" s="83">
        <f t="shared" ref="A152:A215" si="4">A151+1</f>
        <v>5</v>
      </c>
      <c r="B152" s="85" t="s">
        <v>320</v>
      </c>
      <c r="C152" s="86">
        <f>164.07</f>
        <v>164.07</v>
      </c>
      <c r="D152" s="76">
        <f t="shared" si="2"/>
        <v>1766.0494799999999</v>
      </c>
      <c r="E152" s="76">
        <v>0</v>
      </c>
      <c r="F152" s="76">
        <f t="shared" si="3"/>
        <v>2966.9631263999995</v>
      </c>
      <c r="G152" s="105" t="s">
        <v>347</v>
      </c>
      <c r="H152" s="106"/>
      <c r="I152" s="36"/>
      <c r="L152" s="107"/>
      <c r="M152" s="107"/>
      <c r="N152" s="36"/>
      <c r="T152" s="21"/>
    </row>
    <row r="153" spans="1:20" s="79" customFormat="1" ht="15.75" customHeight="1" x14ac:dyDescent="0.25">
      <c r="A153" s="83">
        <f t="shared" si="4"/>
        <v>6</v>
      </c>
      <c r="B153" s="85" t="s">
        <v>320</v>
      </c>
      <c r="C153" s="86">
        <f>143.51</f>
        <v>143.51</v>
      </c>
      <c r="D153" s="76">
        <f t="shared" si="2"/>
        <v>1544.7416399999997</v>
      </c>
      <c r="E153" s="76">
        <v>0</v>
      </c>
      <c r="F153" s="76">
        <f>(C153*1.68)*10.764</f>
        <v>2595.1659551999996</v>
      </c>
      <c r="G153" s="105" t="s">
        <v>347</v>
      </c>
      <c r="H153" s="106"/>
      <c r="I153" s="36"/>
      <c r="L153" s="107"/>
      <c r="M153" s="107"/>
      <c r="N153" s="36"/>
      <c r="T153" s="21"/>
    </row>
    <row r="154" spans="1:20" s="79" customFormat="1" ht="15.75" customHeight="1" x14ac:dyDescent="0.25">
      <c r="A154" s="83">
        <f t="shared" si="4"/>
        <v>7</v>
      </c>
      <c r="B154" s="85" t="s">
        <v>320</v>
      </c>
      <c r="C154" s="86">
        <f>130.5</f>
        <v>130.5</v>
      </c>
      <c r="D154" s="76">
        <f t="shared" si="2"/>
        <v>1404.702</v>
      </c>
      <c r="E154" s="76">
        <v>0</v>
      </c>
      <c r="F154" s="76">
        <f t="shared" si="3"/>
        <v>2359.8993599999994</v>
      </c>
      <c r="G154" s="105" t="s">
        <v>347</v>
      </c>
      <c r="H154" s="106"/>
      <c r="I154" s="36"/>
      <c r="L154" s="107"/>
      <c r="M154" s="107"/>
      <c r="N154" s="36"/>
      <c r="T154" s="21"/>
    </row>
    <row r="155" spans="1:20" s="79" customFormat="1" ht="15.75" customHeight="1" x14ac:dyDescent="0.25">
      <c r="A155" s="83">
        <f t="shared" si="4"/>
        <v>8</v>
      </c>
      <c r="B155" s="85" t="s">
        <v>320</v>
      </c>
      <c r="C155" s="86">
        <f>130.5</f>
        <v>130.5</v>
      </c>
      <c r="D155" s="76">
        <f t="shared" si="2"/>
        <v>1404.702</v>
      </c>
      <c r="E155" s="76">
        <v>0</v>
      </c>
      <c r="F155" s="76">
        <f t="shared" si="3"/>
        <v>2359.8993599999994</v>
      </c>
      <c r="G155" s="105" t="s">
        <v>347</v>
      </c>
      <c r="H155" s="106"/>
      <c r="I155" s="36"/>
      <c r="L155" s="107"/>
      <c r="M155" s="107"/>
      <c r="N155" s="36"/>
      <c r="T155" s="21"/>
    </row>
    <row r="156" spans="1:20" s="79" customFormat="1" ht="15.75" customHeight="1" x14ac:dyDescent="0.25">
      <c r="A156" s="83">
        <f t="shared" si="4"/>
        <v>9</v>
      </c>
      <c r="B156" s="85" t="s">
        <v>320</v>
      </c>
      <c r="C156" s="86">
        <f>287.09</f>
        <v>287.08999999999997</v>
      </c>
      <c r="D156" s="76">
        <f t="shared" si="2"/>
        <v>3090.2367599999993</v>
      </c>
      <c r="E156" s="76">
        <v>0</v>
      </c>
      <c r="F156" s="76">
        <f t="shared" si="3"/>
        <v>5191.5977567999989</v>
      </c>
      <c r="G156" s="105" t="s">
        <v>347</v>
      </c>
      <c r="H156" s="106"/>
      <c r="I156" s="36"/>
      <c r="L156" s="107"/>
      <c r="M156" s="107"/>
      <c r="N156" s="36"/>
      <c r="T156" s="21"/>
    </row>
    <row r="157" spans="1:20" s="79" customFormat="1" ht="15.75" customHeight="1" x14ac:dyDescent="0.25">
      <c r="A157" s="83">
        <f t="shared" si="4"/>
        <v>10</v>
      </c>
      <c r="B157" s="85" t="s">
        <v>320</v>
      </c>
      <c r="C157" s="86">
        <f>120.76</f>
        <v>120.76</v>
      </c>
      <c r="D157" s="76">
        <f t="shared" si="2"/>
        <v>1299.8606399999999</v>
      </c>
      <c r="E157" s="76">
        <v>0</v>
      </c>
      <c r="F157" s="76">
        <f t="shared" si="3"/>
        <v>2183.7658751999998</v>
      </c>
      <c r="G157" s="105" t="s">
        <v>347</v>
      </c>
      <c r="H157" s="106"/>
      <c r="I157" s="36"/>
      <c r="L157" s="107"/>
      <c r="M157" s="107"/>
      <c r="N157" s="36"/>
      <c r="T157" s="21"/>
    </row>
    <row r="158" spans="1:20" s="79" customFormat="1" ht="15.75" customHeight="1" x14ac:dyDescent="0.25">
      <c r="A158" s="83">
        <f t="shared" si="4"/>
        <v>11</v>
      </c>
      <c r="B158" s="85" t="s">
        <v>320</v>
      </c>
      <c r="C158" s="86">
        <f>184.64</f>
        <v>184.64</v>
      </c>
      <c r="D158" s="76">
        <f t="shared" si="2"/>
        <v>1987.4649599999998</v>
      </c>
      <c r="E158" s="76">
        <v>0</v>
      </c>
      <c r="F158" s="76">
        <f t="shared" si="3"/>
        <v>3338.9411327999992</v>
      </c>
      <c r="G158" s="105" t="s">
        <v>347</v>
      </c>
      <c r="H158" s="106"/>
      <c r="I158" s="36"/>
      <c r="L158" s="107"/>
      <c r="M158" s="107"/>
      <c r="N158" s="36"/>
      <c r="T158" s="21"/>
    </row>
    <row r="159" spans="1:20" s="79" customFormat="1" ht="15.75" customHeight="1" x14ac:dyDescent="0.25">
      <c r="A159" s="83">
        <f t="shared" si="4"/>
        <v>12</v>
      </c>
      <c r="B159" s="85" t="s">
        <v>320</v>
      </c>
      <c r="C159" s="86">
        <f>185.32</f>
        <v>185.32</v>
      </c>
      <c r="D159" s="76">
        <f t="shared" si="2"/>
        <v>1994.7844799999998</v>
      </c>
      <c r="E159" s="76">
        <v>0</v>
      </c>
      <c r="F159" s="76">
        <f t="shared" si="3"/>
        <v>3351.2379263999992</v>
      </c>
      <c r="G159" s="105" t="s">
        <v>347</v>
      </c>
      <c r="H159" s="106"/>
      <c r="I159" s="36"/>
      <c r="L159" s="107"/>
      <c r="M159" s="107"/>
      <c r="N159" s="36"/>
      <c r="T159" s="21"/>
    </row>
    <row r="160" spans="1:20" s="79" customFormat="1" ht="15.75" customHeight="1" x14ac:dyDescent="0.25">
      <c r="A160" s="83">
        <f t="shared" si="4"/>
        <v>13</v>
      </c>
      <c r="B160" s="85" t="s">
        <v>320</v>
      </c>
      <c r="C160" s="86">
        <f>175.96</f>
        <v>175.96</v>
      </c>
      <c r="D160" s="76">
        <f t="shared" si="2"/>
        <v>1894.0334399999999</v>
      </c>
      <c r="E160" s="76">
        <v>0</v>
      </c>
      <c r="F160" s="76">
        <f t="shared" si="3"/>
        <v>3181.9761791999999</v>
      </c>
      <c r="G160" s="105" t="s">
        <v>347</v>
      </c>
      <c r="H160" s="106"/>
      <c r="I160" s="36"/>
      <c r="L160" s="107"/>
      <c r="M160" s="107"/>
      <c r="N160" s="36"/>
      <c r="T160" s="21"/>
    </row>
    <row r="161" spans="1:20" s="79" customFormat="1" ht="15.75" customHeight="1" x14ac:dyDescent="0.25">
      <c r="A161" s="83">
        <f t="shared" si="4"/>
        <v>14</v>
      </c>
      <c r="B161" s="85" t="s">
        <v>320</v>
      </c>
      <c r="C161" s="86">
        <f>165.11</f>
        <v>165.11</v>
      </c>
      <c r="D161" s="76">
        <f t="shared" si="2"/>
        <v>1777.24404</v>
      </c>
      <c r="E161" s="76">
        <v>0</v>
      </c>
      <c r="F161" s="76">
        <f t="shared" si="3"/>
        <v>2985.7699871999998</v>
      </c>
      <c r="G161" s="105" t="s">
        <v>347</v>
      </c>
      <c r="H161" s="106"/>
      <c r="I161" s="36"/>
      <c r="L161" s="107"/>
      <c r="M161" s="107"/>
      <c r="N161" s="36"/>
      <c r="T161" s="21"/>
    </row>
    <row r="162" spans="1:20" s="79" customFormat="1" ht="15.75" customHeight="1" x14ac:dyDescent="0.25">
      <c r="A162" s="83">
        <f t="shared" si="4"/>
        <v>15</v>
      </c>
      <c r="B162" s="85" t="s">
        <v>320</v>
      </c>
      <c r="C162" s="86">
        <f>174.61</f>
        <v>174.61</v>
      </c>
      <c r="D162" s="76">
        <f t="shared" si="2"/>
        <v>1879.5020400000001</v>
      </c>
      <c r="E162" s="76">
        <v>0</v>
      </c>
      <c r="F162" s="76">
        <f t="shared" si="3"/>
        <v>3157.5634272000002</v>
      </c>
      <c r="G162" s="105" t="s">
        <v>347</v>
      </c>
      <c r="H162" s="106"/>
      <c r="I162" s="36"/>
      <c r="L162" s="107"/>
      <c r="M162" s="107"/>
      <c r="N162" s="36"/>
      <c r="T162" s="21"/>
    </row>
    <row r="163" spans="1:20" s="79" customFormat="1" ht="15.75" customHeight="1" x14ac:dyDescent="0.25">
      <c r="A163" s="83">
        <f t="shared" si="4"/>
        <v>16</v>
      </c>
      <c r="B163" s="85" t="s">
        <v>320</v>
      </c>
      <c r="C163" s="86">
        <f>258</f>
        <v>258</v>
      </c>
      <c r="D163" s="76">
        <f t="shared" si="2"/>
        <v>2777.1119999999996</v>
      </c>
      <c r="E163" s="76">
        <v>0</v>
      </c>
      <c r="F163" s="76">
        <f t="shared" si="3"/>
        <v>4665.5481599999994</v>
      </c>
      <c r="G163" s="105" t="s">
        <v>347</v>
      </c>
      <c r="H163" s="106"/>
      <c r="I163" s="36"/>
      <c r="L163" s="107"/>
      <c r="M163" s="107"/>
      <c r="N163" s="36"/>
      <c r="T163" s="21"/>
    </row>
    <row r="164" spans="1:20" s="79" customFormat="1" ht="15.75" customHeight="1" x14ac:dyDescent="0.25">
      <c r="A164" s="83">
        <f t="shared" si="4"/>
        <v>17</v>
      </c>
      <c r="B164" s="85" t="s">
        <v>320</v>
      </c>
      <c r="C164" s="86">
        <f>210.32</f>
        <v>210.32</v>
      </c>
      <c r="D164" s="76">
        <f t="shared" si="2"/>
        <v>2263.8844799999997</v>
      </c>
      <c r="E164" s="76">
        <v>0</v>
      </c>
      <c r="F164" s="76">
        <f t="shared" si="3"/>
        <v>3803.3259263999994</v>
      </c>
      <c r="G164" s="105" t="s">
        <v>347</v>
      </c>
      <c r="H164" s="106"/>
      <c r="I164" s="36"/>
      <c r="L164" s="107"/>
      <c r="M164" s="107"/>
      <c r="N164" s="36"/>
      <c r="T164" s="21"/>
    </row>
    <row r="165" spans="1:20" s="79" customFormat="1" ht="15.75" customHeight="1" x14ac:dyDescent="0.25">
      <c r="A165" s="83">
        <f t="shared" si="4"/>
        <v>18</v>
      </c>
      <c r="B165" s="85" t="s">
        <v>320</v>
      </c>
      <c r="C165" s="86">
        <f>199.03</f>
        <v>199.03</v>
      </c>
      <c r="D165" s="76">
        <f t="shared" si="2"/>
        <v>2142.3589199999997</v>
      </c>
      <c r="E165" s="76">
        <v>0</v>
      </c>
      <c r="F165" s="76">
        <f t="shared" si="3"/>
        <v>3599.1629856</v>
      </c>
      <c r="G165" s="105" t="s">
        <v>347</v>
      </c>
      <c r="H165" s="106"/>
      <c r="I165" s="36"/>
      <c r="L165" s="107"/>
      <c r="M165" s="107"/>
      <c r="N165" s="36"/>
      <c r="T165" s="21"/>
    </row>
    <row r="166" spans="1:20" s="79" customFormat="1" ht="15.75" customHeight="1" x14ac:dyDescent="0.25">
      <c r="A166" s="83">
        <f t="shared" si="4"/>
        <v>19</v>
      </c>
      <c r="B166" s="85" t="s">
        <v>320</v>
      </c>
      <c r="C166" s="86">
        <f>259.3</f>
        <v>259.3</v>
      </c>
      <c r="D166" s="76">
        <f t="shared" si="2"/>
        <v>2791.1052</v>
      </c>
      <c r="E166" s="76">
        <v>0</v>
      </c>
      <c r="F166" s="76">
        <f t="shared" si="3"/>
        <v>4689.0567359999995</v>
      </c>
      <c r="G166" s="105" t="s">
        <v>347</v>
      </c>
      <c r="H166" s="106"/>
      <c r="I166" s="36"/>
      <c r="L166" s="107"/>
      <c r="M166" s="107"/>
      <c r="N166" s="36"/>
      <c r="T166" s="21"/>
    </row>
    <row r="167" spans="1:20" s="79" customFormat="1" ht="15.75" customHeight="1" x14ac:dyDescent="0.25">
      <c r="A167" s="83">
        <f t="shared" si="4"/>
        <v>20</v>
      </c>
      <c r="B167" s="85" t="s">
        <v>320</v>
      </c>
      <c r="C167" s="86">
        <f>279.11</f>
        <v>279.11</v>
      </c>
      <c r="D167" s="76">
        <f t="shared" si="2"/>
        <v>3004.34004</v>
      </c>
      <c r="E167" s="76">
        <v>0</v>
      </c>
      <c r="F167" s="76">
        <f t="shared" si="3"/>
        <v>5047.2912672000002</v>
      </c>
      <c r="G167" s="105" t="s">
        <v>347</v>
      </c>
      <c r="H167" s="106"/>
      <c r="I167" s="36"/>
      <c r="L167" s="107"/>
      <c r="M167" s="107"/>
      <c r="N167" s="36"/>
      <c r="T167" s="21"/>
    </row>
    <row r="168" spans="1:20" s="97" customFormat="1" ht="15.75" customHeight="1" x14ac:dyDescent="0.25">
      <c r="A168" s="99">
        <f t="shared" si="4"/>
        <v>21</v>
      </c>
      <c r="B168" s="100" t="s">
        <v>320</v>
      </c>
      <c r="C168" s="101">
        <f>230.19</f>
        <v>230.19</v>
      </c>
      <c r="D168" s="69">
        <f t="shared" si="2"/>
        <v>2477.7651599999999</v>
      </c>
      <c r="E168" s="69">
        <v>0</v>
      </c>
      <c r="F168" s="69">
        <f t="shared" si="3"/>
        <v>4162.6454687999994</v>
      </c>
      <c r="G168" s="105" t="s">
        <v>347</v>
      </c>
      <c r="H168" s="106"/>
      <c r="I168" s="96">
        <f>18723589/D168</f>
        <v>7556.643907286194</v>
      </c>
      <c r="J168" s="96">
        <f>1401207/D168</f>
        <v>565.51243137182541</v>
      </c>
      <c r="K168" s="96">
        <f>6013824/D168</f>
        <v>2427.1162162922656</v>
      </c>
      <c r="L168" s="108">
        <f>SUM(I168:K168)</f>
        <v>10549.272554950285</v>
      </c>
      <c r="M168" s="109"/>
      <c r="N168" s="96"/>
      <c r="T168" s="98"/>
    </row>
    <row r="169" spans="1:20" s="79" customFormat="1" ht="15.75" customHeight="1" x14ac:dyDescent="0.25">
      <c r="A169" s="83">
        <f t="shared" si="4"/>
        <v>22</v>
      </c>
      <c r="B169" s="85" t="s">
        <v>320</v>
      </c>
      <c r="C169" s="86">
        <f>226.2</f>
        <v>226.2</v>
      </c>
      <c r="D169" s="76">
        <f t="shared" si="2"/>
        <v>2434.8167999999996</v>
      </c>
      <c r="E169" s="76">
        <v>0</v>
      </c>
      <c r="F169" s="76">
        <f t="shared" si="3"/>
        <v>4090.4922239999992</v>
      </c>
      <c r="G169" s="105" t="s">
        <v>347</v>
      </c>
      <c r="H169" s="106"/>
      <c r="I169" s="36">
        <v>8000</v>
      </c>
      <c r="J169" s="79">
        <v>500</v>
      </c>
      <c r="K169" s="79">
        <v>2050</v>
      </c>
      <c r="L169" s="108">
        <f>SUM(I169:K169)</f>
        <v>10550</v>
      </c>
      <c r="M169" s="109"/>
      <c r="N169" s="36"/>
      <c r="T169" s="21"/>
    </row>
    <row r="170" spans="1:20" s="79" customFormat="1" ht="15.75" customHeight="1" x14ac:dyDescent="0.25">
      <c r="A170" s="83">
        <f t="shared" si="4"/>
        <v>23</v>
      </c>
      <c r="B170" s="85" t="s">
        <v>320</v>
      </c>
      <c r="C170" s="86">
        <f>239.69</f>
        <v>239.69</v>
      </c>
      <c r="D170" s="76">
        <f t="shared" si="2"/>
        <v>2580.0231599999997</v>
      </c>
      <c r="E170" s="76">
        <v>0</v>
      </c>
      <c r="F170" s="76">
        <f t="shared" si="3"/>
        <v>4334.4389087999998</v>
      </c>
      <c r="G170" s="105" t="s">
        <v>347</v>
      </c>
      <c r="H170" s="106"/>
      <c r="I170" s="36"/>
      <c r="L170" s="107"/>
      <c r="M170" s="107"/>
      <c r="N170" s="36"/>
      <c r="T170" s="21"/>
    </row>
    <row r="171" spans="1:20" s="79" customFormat="1" ht="15.75" customHeight="1" x14ac:dyDescent="0.25">
      <c r="A171" s="83">
        <f t="shared" si="4"/>
        <v>24</v>
      </c>
      <c r="B171" s="85" t="s">
        <v>320</v>
      </c>
      <c r="C171" s="86">
        <f>242.58</f>
        <v>242.58</v>
      </c>
      <c r="D171" s="76">
        <f t="shared" si="2"/>
        <v>2611.13112</v>
      </c>
      <c r="E171" s="76">
        <v>0</v>
      </c>
      <c r="F171" s="76">
        <f t="shared" si="3"/>
        <v>4386.7002815999995</v>
      </c>
      <c r="G171" s="105" t="s">
        <v>347</v>
      </c>
      <c r="H171" s="106"/>
      <c r="I171" s="36"/>
      <c r="L171" s="107"/>
      <c r="M171" s="107"/>
      <c r="N171" s="36"/>
      <c r="T171" s="21"/>
    </row>
    <row r="172" spans="1:20" s="79" customFormat="1" ht="15.75" customHeight="1" x14ac:dyDescent="0.25">
      <c r="A172" s="83">
        <f t="shared" si="4"/>
        <v>25</v>
      </c>
      <c r="B172" s="85" t="s">
        <v>320</v>
      </c>
      <c r="C172" s="86">
        <f>285.59</f>
        <v>285.58999999999997</v>
      </c>
      <c r="D172" s="76">
        <f t="shared" si="2"/>
        <v>3074.0907599999996</v>
      </c>
      <c r="E172" s="76">
        <v>0</v>
      </c>
      <c r="F172" s="76">
        <f t="shared" si="3"/>
        <v>5164.4724767999987</v>
      </c>
      <c r="G172" s="105" t="s">
        <v>347</v>
      </c>
      <c r="H172" s="106"/>
      <c r="I172" s="36"/>
      <c r="L172" s="107"/>
      <c r="M172" s="107"/>
      <c r="N172" s="36"/>
      <c r="T172" s="21"/>
    </row>
    <row r="173" spans="1:20" s="79" customFormat="1" ht="15.75" customHeight="1" x14ac:dyDescent="0.25">
      <c r="A173" s="83">
        <f t="shared" si="4"/>
        <v>26</v>
      </c>
      <c r="B173" s="85" t="s">
        <v>320</v>
      </c>
      <c r="C173" s="86">
        <f>156.58</f>
        <v>156.58000000000001</v>
      </c>
      <c r="D173" s="76">
        <f t="shared" si="2"/>
        <v>1685.4271200000001</v>
      </c>
      <c r="E173" s="76">
        <v>0</v>
      </c>
      <c r="F173" s="76">
        <f t="shared" si="3"/>
        <v>2831.5175615999997</v>
      </c>
      <c r="G173" s="105" t="s">
        <v>347</v>
      </c>
      <c r="H173" s="106"/>
      <c r="I173" s="36"/>
      <c r="L173" s="107"/>
      <c r="M173" s="107"/>
      <c r="N173" s="36"/>
      <c r="T173" s="21"/>
    </row>
    <row r="174" spans="1:20" s="79" customFormat="1" ht="15.75" customHeight="1" x14ac:dyDescent="0.25">
      <c r="A174" s="83">
        <f t="shared" si="4"/>
        <v>27</v>
      </c>
      <c r="B174" s="85" t="s">
        <v>320</v>
      </c>
      <c r="C174" s="86">
        <f>139.5</f>
        <v>139.5</v>
      </c>
      <c r="D174" s="76">
        <f t="shared" si="2"/>
        <v>1501.578</v>
      </c>
      <c r="E174" s="76">
        <v>0</v>
      </c>
      <c r="F174" s="76">
        <f t="shared" si="3"/>
        <v>2522.6510399999997</v>
      </c>
      <c r="G174" s="105" t="s">
        <v>347</v>
      </c>
      <c r="H174" s="106"/>
      <c r="I174" s="36"/>
      <c r="L174" s="107"/>
      <c r="M174" s="107"/>
      <c r="N174" s="36"/>
      <c r="T174" s="21"/>
    </row>
    <row r="175" spans="1:20" s="79" customFormat="1" ht="15.75" customHeight="1" x14ac:dyDescent="0.25">
      <c r="A175" s="83">
        <f t="shared" si="4"/>
        <v>28</v>
      </c>
      <c r="B175" s="85" t="s">
        <v>320</v>
      </c>
      <c r="C175" s="86">
        <f>139.5</f>
        <v>139.5</v>
      </c>
      <c r="D175" s="76">
        <f t="shared" si="2"/>
        <v>1501.578</v>
      </c>
      <c r="E175" s="76">
        <v>0</v>
      </c>
      <c r="F175" s="76">
        <f t="shared" si="3"/>
        <v>2522.6510399999997</v>
      </c>
      <c r="G175" s="105" t="s">
        <v>347</v>
      </c>
      <c r="H175" s="106"/>
      <c r="I175" s="36"/>
      <c r="L175" s="107"/>
      <c r="M175" s="107"/>
      <c r="N175" s="36"/>
      <c r="T175" s="21"/>
    </row>
    <row r="176" spans="1:20" s="82" customFormat="1" ht="15.75" customHeight="1" x14ac:dyDescent="0.25">
      <c r="A176" s="83">
        <f t="shared" si="4"/>
        <v>29</v>
      </c>
      <c r="B176" s="85" t="s">
        <v>320</v>
      </c>
      <c r="C176" s="86">
        <f t="shared" ref="C176:C182" si="5">139.5</f>
        <v>139.5</v>
      </c>
      <c r="D176" s="76">
        <f t="shared" si="2"/>
        <v>1501.578</v>
      </c>
      <c r="E176" s="76">
        <v>0</v>
      </c>
      <c r="F176" s="76">
        <f t="shared" si="3"/>
        <v>2522.6510399999997</v>
      </c>
      <c r="G176" s="105" t="s">
        <v>347</v>
      </c>
      <c r="H176" s="106"/>
      <c r="I176" s="36"/>
      <c r="L176" s="107"/>
      <c r="M176" s="107"/>
      <c r="N176" s="36"/>
      <c r="T176" s="21"/>
    </row>
    <row r="177" spans="1:20" s="82" customFormat="1" ht="15.75" customHeight="1" x14ac:dyDescent="0.25">
      <c r="A177" s="83">
        <f t="shared" si="4"/>
        <v>30</v>
      </c>
      <c r="B177" s="85" t="s">
        <v>320</v>
      </c>
      <c r="C177" s="86">
        <f t="shared" si="5"/>
        <v>139.5</v>
      </c>
      <c r="D177" s="76">
        <f t="shared" si="2"/>
        <v>1501.578</v>
      </c>
      <c r="E177" s="76">
        <v>0</v>
      </c>
      <c r="F177" s="76">
        <f t="shared" si="3"/>
        <v>2522.6510399999997</v>
      </c>
      <c r="G177" s="105" t="s">
        <v>347</v>
      </c>
      <c r="H177" s="106"/>
      <c r="I177" s="36"/>
      <c r="L177" s="107"/>
      <c r="M177" s="107"/>
      <c r="N177" s="36"/>
      <c r="T177" s="21"/>
    </row>
    <row r="178" spans="1:20" s="82" customFormat="1" ht="15.75" customHeight="1" x14ac:dyDescent="0.25">
      <c r="A178" s="83">
        <f t="shared" si="4"/>
        <v>31</v>
      </c>
      <c r="B178" s="85" t="s">
        <v>320</v>
      </c>
      <c r="C178" s="86">
        <f t="shared" si="5"/>
        <v>139.5</v>
      </c>
      <c r="D178" s="76">
        <f t="shared" si="2"/>
        <v>1501.578</v>
      </c>
      <c r="E178" s="76">
        <v>0</v>
      </c>
      <c r="F178" s="76">
        <f t="shared" si="3"/>
        <v>2522.6510399999997</v>
      </c>
      <c r="G178" s="105" t="s">
        <v>347</v>
      </c>
      <c r="H178" s="106"/>
      <c r="I178" s="36"/>
      <c r="L178" s="107"/>
      <c r="M178" s="107"/>
      <c r="N178" s="36"/>
      <c r="T178" s="21"/>
    </row>
    <row r="179" spans="1:20" s="82" customFormat="1" ht="15.75" customHeight="1" x14ac:dyDescent="0.25">
      <c r="A179" s="83">
        <f t="shared" si="4"/>
        <v>32</v>
      </c>
      <c r="B179" s="85" t="s">
        <v>320</v>
      </c>
      <c r="C179" s="86">
        <f t="shared" si="5"/>
        <v>139.5</v>
      </c>
      <c r="D179" s="76">
        <f t="shared" si="2"/>
        <v>1501.578</v>
      </c>
      <c r="E179" s="76">
        <v>0</v>
      </c>
      <c r="F179" s="76">
        <f t="shared" si="3"/>
        <v>2522.6510399999997</v>
      </c>
      <c r="G179" s="105" t="s">
        <v>347</v>
      </c>
      <c r="H179" s="106"/>
      <c r="I179" s="36"/>
      <c r="L179" s="107"/>
      <c r="M179" s="107"/>
      <c r="N179" s="36"/>
      <c r="T179" s="21"/>
    </row>
    <row r="180" spans="1:20" s="82" customFormat="1" ht="15.75" customHeight="1" x14ac:dyDescent="0.25">
      <c r="A180" s="83">
        <f t="shared" si="4"/>
        <v>33</v>
      </c>
      <c r="B180" s="85" t="s">
        <v>320</v>
      </c>
      <c r="C180" s="86">
        <f t="shared" si="5"/>
        <v>139.5</v>
      </c>
      <c r="D180" s="76">
        <f t="shared" si="2"/>
        <v>1501.578</v>
      </c>
      <c r="E180" s="76">
        <v>0</v>
      </c>
      <c r="F180" s="76">
        <f t="shared" si="3"/>
        <v>2522.6510399999997</v>
      </c>
      <c r="G180" s="105" t="s">
        <v>347</v>
      </c>
      <c r="H180" s="106"/>
      <c r="I180" s="36"/>
      <c r="L180" s="107"/>
      <c r="M180" s="107"/>
      <c r="N180" s="36"/>
      <c r="T180" s="21"/>
    </row>
    <row r="181" spans="1:20" s="82" customFormat="1" ht="15.75" customHeight="1" x14ac:dyDescent="0.25">
      <c r="A181" s="83">
        <f t="shared" si="4"/>
        <v>34</v>
      </c>
      <c r="B181" s="85" t="s">
        <v>320</v>
      </c>
      <c r="C181" s="86">
        <f t="shared" si="5"/>
        <v>139.5</v>
      </c>
      <c r="D181" s="76">
        <f t="shared" si="2"/>
        <v>1501.578</v>
      </c>
      <c r="E181" s="76">
        <v>0</v>
      </c>
      <c r="F181" s="76">
        <f t="shared" si="3"/>
        <v>2522.6510399999997</v>
      </c>
      <c r="G181" s="105" t="s">
        <v>347</v>
      </c>
      <c r="H181" s="106"/>
      <c r="I181" s="36"/>
      <c r="L181" s="107"/>
      <c r="M181" s="107"/>
      <c r="N181" s="36"/>
      <c r="T181" s="21"/>
    </row>
    <row r="182" spans="1:20" s="82" customFormat="1" ht="15.75" customHeight="1" x14ac:dyDescent="0.25">
      <c r="A182" s="83">
        <f t="shared" si="4"/>
        <v>35</v>
      </c>
      <c r="B182" s="85" t="s">
        <v>320</v>
      </c>
      <c r="C182" s="86">
        <f t="shared" si="5"/>
        <v>139.5</v>
      </c>
      <c r="D182" s="76">
        <f t="shared" si="2"/>
        <v>1501.578</v>
      </c>
      <c r="E182" s="76">
        <v>0</v>
      </c>
      <c r="F182" s="76">
        <f t="shared" si="3"/>
        <v>2522.6510399999997</v>
      </c>
      <c r="G182" s="105" t="s">
        <v>347</v>
      </c>
      <c r="H182" s="106"/>
      <c r="I182" s="36"/>
      <c r="L182" s="107"/>
      <c r="M182" s="107"/>
      <c r="N182" s="36"/>
      <c r="T182" s="21"/>
    </row>
    <row r="183" spans="1:20" s="82" customFormat="1" ht="15.75" customHeight="1" x14ac:dyDescent="0.25">
      <c r="A183" s="83">
        <f t="shared" si="4"/>
        <v>36</v>
      </c>
      <c r="B183" s="85" t="s">
        <v>320</v>
      </c>
      <c r="C183" s="86">
        <f>253.63</f>
        <v>253.63</v>
      </c>
      <c r="D183" s="76">
        <f t="shared" si="2"/>
        <v>2730.07332</v>
      </c>
      <c r="E183" s="76">
        <v>0</v>
      </c>
      <c r="F183" s="76">
        <f t="shared" si="3"/>
        <v>4586.5231775999991</v>
      </c>
      <c r="G183" s="105" t="s">
        <v>347</v>
      </c>
      <c r="H183" s="106"/>
      <c r="I183" s="36"/>
      <c r="L183" s="107"/>
      <c r="M183" s="107"/>
      <c r="N183" s="36"/>
      <c r="T183" s="21"/>
    </row>
    <row r="184" spans="1:20" s="82" customFormat="1" ht="15.75" customHeight="1" x14ac:dyDescent="0.25">
      <c r="A184" s="83">
        <f t="shared" si="4"/>
        <v>37</v>
      </c>
      <c r="B184" s="85" t="s">
        <v>320</v>
      </c>
      <c r="C184" s="86">
        <f>178.32</f>
        <v>178.32</v>
      </c>
      <c r="D184" s="76">
        <f t="shared" si="2"/>
        <v>1919.4364799999998</v>
      </c>
      <c r="E184" s="76">
        <v>0</v>
      </c>
      <c r="F184" s="76">
        <f t="shared" si="3"/>
        <v>3224.6532863999992</v>
      </c>
      <c r="G184" s="105" t="s">
        <v>347</v>
      </c>
      <c r="H184" s="106"/>
      <c r="I184" s="36"/>
      <c r="L184" s="107"/>
      <c r="M184" s="107"/>
      <c r="N184" s="36"/>
      <c r="T184" s="21"/>
    </row>
    <row r="185" spans="1:20" s="82" customFormat="1" ht="15.75" customHeight="1" x14ac:dyDescent="0.25">
      <c r="A185" s="83">
        <f t="shared" si="4"/>
        <v>38</v>
      </c>
      <c r="B185" s="85" t="s">
        <v>320</v>
      </c>
      <c r="C185" s="86">
        <f>139.5</f>
        <v>139.5</v>
      </c>
      <c r="D185" s="76">
        <f t="shared" si="2"/>
        <v>1501.578</v>
      </c>
      <c r="E185" s="76">
        <v>0</v>
      </c>
      <c r="F185" s="76">
        <f t="shared" si="3"/>
        <v>2522.6510399999997</v>
      </c>
      <c r="G185" s="105" t="s">
        <v>347</v>
      </c>
      <c r="H185" s="106"/>
      <c r="I185" s="36"/>
      <c r="L185" s="107"/>
      <c r="M185" s="107"/>
      <c r="N185" s="36"/>
      <c r="T185" s="21"/>
    </row>
    <row r="186" spans="1:20" s="82" customFormat="1" ht="15.75" customHeight="1" x14ac:dyDescent="0.25">
      <c r="A186" s="83">
        <f t="shared" si="4"/>
        <v>39</v>
      </c>
      <c r="B186" s="85" t="s">
        <v>320</v>
      </c>
      <c r="C186" s="86">
        <f t="shared" ref="C186:C192" si="6">139.5</f>
        <v>139.5</v>
      </c>
      <c r="D186" s="76">
        <f t="shared" si="2"/>
        <v>1501.578</v>
      </c>
      <c r="E186" s="76">
        <v>0</v>
      </c>
      <c r="F186" s="76">
        <f t="shared" si="3"/>
        <v>2522.6510399999997</v>
      </c>
      <c r="G186" s="105" t="s">
        <v>347</v>
      </c>
      <c r="H186" s="106"/>
      <c r="I186" s="36"/>
      <c r="L186" s="107"/>
      <c r="M186" s="107"/>
      <c r="N186" s="36"/>
      <c r="T186" s="21"/>
    </row>
    <row r="187" spans="1:20" s="82" customFormat="1" ht="15.75" customHeight="1" x14ac:dyDescent="0.25">
      <c r="A187" s="83">
        <f t="shared" si="4"/>
        <v>40</v>
      </c>
      <c r="B187" s="85" t="s">
        <v>320</v>
      </c>
      <c r="C187" s="86">
        <f t="shared" si="6"/>
        <v>139.5</v>
      </c>
      <c r="D187" s="76">
        <f t="shared" si="2"/>
        <v>1501.578</v>
      </c>
      <c r="E187" s="76">
        <v>0</v>
      </c>
      <c r="F187" s="76">
        <f t="shared" si="3"/>
        <v>2522.6510399999997</v>
      </c>
      <c r="G187" s="105" t="s">
        <v>347</v>
      </c>
      <c r="H187" s="106"/>
      <c r="I187" s="36"/>
      <c r="L187" s="107"/>
      <c r="M187" s="107"/>
      <c r="N187" s="36"/>
      <c r="T187" s="21"/>
    </row>
    <row r="188" spans="1:20" s="82" customFormat="1" ht="15.75" customHeight="1" x14ac:dyDescent="0.25">
      <c r="A188" s="83">
        <f t="shared" si="4"/>
        <v>41</v>
      </c>
      <c r="B188" s="85" t="s">
        <v>320</v>
      </c>
      <c r="C188" s="86">
        <f t="shared" si="6"/>
        <v>139.5</v>
      </c>
      <c r="D188" s="76">
        <f t="shared" si="2"/>
        <v>1501.578</v>
      </c>
      <c r="E188" s="76">
        <v>0</v>
      </c>
      <c r="F188" s="76">
        <f t="shared" si="3"/>
        <v>2522.6510399999997</v>
      </c>
      <c r="G188" s="105" t="s">
        <v>347</v>
      </c>
      <c r="H188" s="106"/>
      <c r="I188" s="36"/>
      <c r="L188" s="107"/>
      <c r="M188" s="107"/>
      <c r="N188" s="36"/>
      <c r="T188" s="21"/>
    </row>
    <row r="189" spans="1:20" s="82" customFormat="1" ht="15.75" customHeight="1" x14ac:dyDescent="0.25">
      <c r="A189" s="83">
        <f t="shared" si="4"/>
        <v>42</v>
      </c>
      <c r="B189" s="85" t="s">
        <v>320</v>
      </c>
      <c r="C189" s="86">
        <f t="shared" si="6"/>
        <v>139.5</v>
      </c>
      <c r="D189" s="76">
        <f t="shared" si="2"/>
        <v>1501.578</v>
      </c>
      <c r="E189" s="76">
        <v>0</v>
      </c>
      <c r="F189" s="76">
        <f t="shared" si="3"/>
        <v>2522.6510399999997</v>
      </c>
      <c r="G189" s="105" t="s">
        <v>347</v>
      </c>
      <c r="H189" s="106"/>
      <c r="I189" s="36"/>
      <c r="L189" s="107"/>
      <c r="M189" s="107"/>
      <c r="N189" s="36"/>
      <c r="T189" s="21"/>
    </row>
    <row r="190" spans="1:20" s="82" customFormat="1" ht="15.75" customHeight="1" x14ac:dyDescent="0.25">
      <c r="A190" s="83">
        <f t="shared" si="4"/>
        <v>43</v>
      </c>
      <c r="B190" s="85" t="s">
        <v>320</v>
      </c>
      <c r="C190" s="86">
        <f t="shared" si="6"/>
        <v>139.5</v>
      </c>
      <c r="D190" s="76">
        <f t="shared" si="2"/>
        <v>1501.578</v>
      </c>
      <c r="E190" s="76">
        <v>0</v>
      </c>
      <c r="F190" s="76">
        <f t="shared" si="3"/>
        <v>2522.6510399999997</v>
      </c>
      <c r="G190" s="105" t="s">
        <v>347</v>
      </c>
      <c r="H190" s="106"/>
      <c r="I190" s="36"/>
      <c r="L190" s="107"/>
      <c r="M190" s="107"/>
      <c r="N190" s="36"/>
      <c r="T190" s="21"/>
    </row>
    <row r="191" spans="1:20" s="82" customFormat="1" ht="15.75" customHeight="1" x14ac:dyDescent="0.25">
      <c r="A191" s="83">
        <f t="shared" si="4"/>
        <v>44</v>
      </c>
      <c r="B191" s="85" t="s">
        <v>320</v>
      </c>
      <c r="C191" s="86">
        <f t="shared" si="6"/>
        <v>139.5</v>
      </c>
      <c r="D191" s="76">
        <f t="shared" si="2"/>
        <v>1501.578</v>
      </c>
      <c r="E191" s="76">
        <v>0</v>
      </c>
      <c r="F191" s="76">
        <f t="shared" si="3"/>
        <v>2522.6510399999997</v>
      </c>
      <c r="G191" s="105" t="s">
        <v>347</v>
      </c>
      <c r="H191" s="106"/>
      <c r="I191" s="36"/>
      <c r="L191" s="107"/>
      <c r="M191" s="107"/>
      <c r="N191" s="36"/>
      <c r="T191" s="21"/>
    </row>
    <row r="192" spans="1:20" s="82" customFormat="1" ht="15.75" customHeight="1" x14ac:dyDescent="0.25">
      <c r="A192" s="83">
        <f t="shared" si="4"/>
        <v>45</v>
      </c>
      <c r="B192" s="85" t="s">
        <v>320</v>
      </c>
      <c r="C192" s="86">
        <f t="shared" si="6"/>
        <v>139.5</v>
      </c>
      <c r="D192" s="76">
        <f t="shared" si="2"/>
        <v>1501.578</v>
      </c>
      <c r="E192" s="76">
        <v>0</v>
      </c>
      <c r="F192" s="76">
        <f t="shared" si="3"/>
        <v>2522.6510399999997</v>
      </c>
      <c r="G192" s="105" t="s">
        <v>347</v>
      </c>
      <c r="H192" s="106"/>
      <c r="I192" s="36"/>
      <c r="L192" s="107"/>
      <c r="M192" s="107"/>
      <c r="N192" s="36"/>
      <c r="T192" s="21"/>
    </row>
    <row r="193" spans="1:20" s="82" customFormat="1" ht="15.75" customHeight="1" x14ac:dyDescent="0.25">
      <c r="A193" s="83">
        <f t="shared" si="4"/>
        <v>46</v>
      </c>
      <c r="B193" s="85" t="s">
        <v>320</v>
      </c>
      <c r="C193" s="86">
        <f>307.13</f>
        <v>307.13</v>
      </c>
      <c r="D193" s="76">
        <f t="shared" si="2"/>
        <v>3305.9473199999998</v>
      </c>
      <c r="E193" s="76">
        <v>0</v>
      </c>
      <c r="F193" s="76">
        <f t="shared" si="3"/>
        <v>5553.9914975999991</v>
      </c>
      <c r="G193" s="105" t="s">
        <v>347</v>
      </c>
      <c r="H193" s="106"/>
      <c r="I193" s="36"/>
      <c r="L193" s="107"/>
      <c r="M193" s="107"/>
      <c r="N193" s="36"/>
      <c r="T193" s="21"/>
    </row>
    <row r="194" spans="1:20" s="82" customFormat="1" ht="15.75" customHeight="1" x14ac:dyDescent="0.25">
      <c r="A194" s="83">
        <f t="shared" si="4"/>
        <v>47</v>
      </c>
      <c r="B194" s="85" t="s">
        <v>320</v>
      </c>
      <c r="C194" s="86">
        <f>211.68</f>
        <v>211.68</v>
      </c>
      <c r="D194" s="76">
        <f t="shared" si="2"/>
        <v>2278.5235199999997</v>
      </c>
      <c r="E194" s="76">
        <v>0</v>
      </c>
      <c r="F194" s="76">
        <f t="shared" si="3"/>
        <v>3827.9195135999994</v>
      </c>
      <c r="G194" s="105" t="s">
        <v>347</v>
      </c>
      <c r="H194" s="106"/>
      <c r="I194" s="36"/>
      <c r="L194" s="107"/>
      <c r="M194" s="107"/>
      <c r="N194" s="36"/>
      <c r="T194" s="21"/>
    </row>
    <row r="195" spans="1:20" s="82" customFormat="1" ht="15.75" customHeight="1" x14ac:dyDescent="0.25">
      <c r="A195" s="83">
        <f t="shared" si="4"/>
        <v>48</v>
      </c>
      <c r="B195" s="85" t="s">
        <v>320</v>
      </c>
      <c r="C195" s="86">
        <f>157.5</f>
        <v>157.5</v>
      </c>
      <c r="D195" s="76">
        <f t="shared" si="2"/>
        <v>1695.33</v>
      </c>
      <c r="E195" s="76">
        <v>0</v>
      </c>
      <c r="F195" s="76">
        <f t="shared" si="3"/>
        <v>2848.1543999999994</v>
      </c>
      <c r="G195" s="105" t="s">
        <v>347</v>
      </c>
      <c r="H195" s="106"/>
      <c r="I195" s="36"/>
      <c r="L195" s="107"/>
      <c r="M195" s="107"/>
      <c r="N195" s="36"/>
      <c r="T195" s="21"/>
    </row>
    <row r="196" spans="1:20" s="82" customFormat="1" ht="15.75" customHeight="1" x14ac:dyDescent="0.25">
      <c r="A196" s="83">
        <f t="shared" si="4"/>
        <v>49</v>
      </c>
      <c r="B196" s="85" t="s">
        <v>320</v>
      </c>
      <c r="C196" s="86">
        <f>157.5</f>
        <v>157.5</v>
      </c>
      <c r="D196" s="76">
        <f t="shared" si="2"/>
        <v>1695.33</v>
      </c>
      <c r="E196" s="76">
        <v>0</v>
      </c>
      <c r="F196" s="76">
        <f t="shared" si="3"/>
        <v>2848.1543999999994</v>
      </c>
      <c r="G196" s="105" t="s">
        <v>347</v>
      </c>
      <c r="H196" s="106"/>
      <c r="I196" s="36"/>
      <c r="L196" s="107"/>
      <c r="M196" s="107"/>
      <c r="N196" s="36"/>
      <c r="T196" s="21"/>
    </row>
    <row r="197" spans="1:20" s="82" customFormat="1" ht="15.75" customHeight="1" x14ac:dyDescent="0.25">
      <c r="A197" s="83">
        <f t="shared" si="4"/>
        <v>50</v>
      </c>
      <c r="B197" s="85" t="s">
        <v>320</v>
      </c>
      <c r="C197" s="86">
        <f>157.5</f>
        <v>157.5</v>
      </c>
      <c r="D197" s="76">
        <f t="shared" si="2"/>
        <v>1695.33</v>
      </c>
      <c r="E197" s="76">
        <v>0</v>
      </c>
      <c r="F197" s="76">
        <f t="shared" si="3"/>
        <v>2848.1543999999994</v>
      </c>
      <c r="G197" s="105" t="s">
        <v>347</v>
      </c>
      <c r="H197" s="106"/>
      <c r="I197" s="36"/>
      <c r="L197" s="107"/>
      <c r="M197" s="107"/>
      <c r="N197" s="36"/>
      <c r="T197" s="21"/>
    </row>
    <row r="198" spans="1:20" s="82" customFormat="1" ht="15.75" customHeight="1" x14ac:dyDescent="0.25">
      <c r="A198" s="83">
        <f t="shared" si="4"/>
        <v>51</v>
      </c>
      <c r="B198" s="85" t="s">
        <v>320</v>
      </c>
      <c r="C198" s="86">
        <f>159.91</f>
        <v>159.91</v>
      </c>
      <c r="D198" s="76">
        <f t="shared" si="2"/>
        <v>1721.2712399999998</v>
      </c>
      <c r="E198" s="76">
        <v>0</v>
      </c>
      <c r="F198" s="76">
        <f t="shared" si="3"/>
        <v>2891.7356831999996</v>
      </c>
      <c r="G198" s="105" t="s">
        <v>347</v>
      </c>
      <c r="H198" s="106"/>
      <c r="I198" s="36"/>
      <c r="L198" s="107"/>
      <c r="M198" s="107"/>
      <c r="N198" s="36"/>
      <c r="T198" s="21"/>
    </row>
    <row r="199" spans="1:20" s="82" customFormat="1" ht="15.75" customHeight="1" x14ac:dyDescent="0.25">
      <c r="A199" s="83">
        <f t="shared" si="4"/>
        <v>52</v>
      </c>
      <c r="B199" s="85" t="s">
        <v>320</v>
      </c>
      <c r="C199" s="86">
        <f>173.67</f>
        <v>173.67</v>
      </c>
      <c r="D199" s="76">
        <f t="shared" si="2"/>
        <v>1869.3838799999999</v>
      </c>
      <c r="E199" s="76">
        <v>0</v>
      </c>
      <c r="F199" s="76">
        <f t="shared" si="3"/>
        <v>3140.5649183999994</v>
      </c>
      <c r="G199" s="105" t="s">
        <v>347</v>
      </c>
      <c r="H199" s="106"/>
      <c r="I199" s="36"/>
      <c r="L199" s="107"/>
      <c r="M199" s="107"/>
      <c r="N199" s="36"/>
      <c r="T199" s="21"/>
    </row>
    <row r="200" spans="1:20" s="82" customFormat="1" ht="15.75" customHeight="1" x14ac:dyDescent="0.25">
      <c r="A200" s="83">
        <f t="shared" si="4"/>
        <v>53</v>
      </c>
      <c r="B200" s="85" t="s">
        <v>320</v>
      </c>
      <c r="C200" s="86">
        <f>219.7</f>
        <v>219.7</v>
      </c>
      <c r="D200" s="76">
        <f t="shared" si="2"/>
        <v>2364.8507999999997</v>
      </c>
      <c r="E200" s="76">
        <v>0</v>
      </c>
      <c r="F200" s="76">
        <f t="shared" si="3"/>
        <v>3972.9493439999992</v>
      </c>
      <c r="G200" s="105" t="s">
        <v>347</v>
      </c>
      <c r="H200" s="106"/>
      <c r="I200" s="36"/>
      <c r="L200" s="107"/>
      <c r="M200" s="107"/>
      <c r="N200" s="36"/>
      <c r="T200" s="21"/>
    </row>
    <row r="201" spans="1:20" s="82" customFormat="1" ht="15.75" customHeight="1" x14ac:dyDescent="0.25">
      <c r="A201" s="83">
        <f t="shared" si="4"/>
        <v>54</v>
      </c>
      <c r="B201" s="85" t="s">
        <v>320</v>
      </c>
      <c r="C201" s="86">
        <f>157.5</f>
        <v>157.5</v>
      </c>
      <c r="D201" s="76">
        <f t="shared" si="2"/>
        <v>1695.33</v>
      </c>
      <c r="E201" s="76">
        <v>0</v>
      </c>
      <c r="F201" s="76">
        <f t="shared" si="3"/>
        <v>2848.1543999999994</v>
      </c>
      <c r="G201" s="105" t="s">
        <v>347</v>
      </c>
      <c r="H201" s="106"/>
      <c r="I201" s="36"/>
      <c r="L201" s="107"/>
      <c r="M201" s="107"/>
      <c r="N201" s="36"/>
      <c r="T201" s="21"/>
    </row>
    <row r="202" spans="1:20" s="82" customFormat="1" ht="15.75" customHeight="1" x14ac:dyDescent="0.25">
      <c r="A202" s="83">
        <f t="shared" si="4"/>
        <v>55</v>
      </c>
      <c r="B202" s="85" t="s">
        <v>320</v>
      </c>
      <c r="C202" s="86">
        <f>157.5</f>
        <v>157.5</v>
      </c>
      <c r="D202" s="76">
        <f t="shared" si="2"/>
        <v>1695.33</v>
      </c>
      <c r="E202" s="76">
        <v>0</v>
      </c>
      <c r="F202" s="76">
        <f t="shared" si="3"/>
        <v>2848.1543999999994</v>
      </c>
      <c r="G202" s="105" t="s">
        <v>347</v>
      </c>
      <c r="H202" s="106"/>
      <c r="I202" s="36"/>
      <c r="L202" s="107"/>
      <c r="M202" s="107"/>
      <c r="N202" s="36"/>
      <c r="T202" s="21"/>
    </row>
    <row r="203" spans="1:20" s="82" customFormat="1" ht="15.75" customHeight="1" x14ac:dyDescent="0.25">
      <c r="A203" s="83">
        <f t="shared" si="4"/>
        <v>56</v>
      </c>
      <c r="B203" s="85" t="s">
        <v>320</v>
      </c>
      <c r="C203" s="86">
        <f>266.77</f>
        <v>266.77</v>
      </c>
      <c r="D203" s="76">
        <f t="shared" si="2"/>
        <v>2871.5122799999995</v>
      </c>
      <c r="E203" s="76">
        <v>0</v>
      </c>
      <c r="F203" s="76">
        <f t="shared" si="3"/>
        <v>4824.1406303999993</v>
      </c>
      <c r="G203" s="105" t="s">
        <v>347</v>
      </c>
      <c r="H203" s="106"/>
      <c r="I203" s="36"/>
      <c r="L203" s="107"/>
      <c r="M203" s="107"/>
      <c r="N203" s="36"/>
      <c r="T203" s="21"/>
    </row>
    <row r="204" spans="1:20" s="82" customFormat="1" ht="15.75" customHeight="1" x14ac:dyDescent="0.25">
      <c r="A204" s="83">
        <f t="shared" si="4"/>
        <v>57</v>
      </c>
      <c r="B204" s="85" t="s">
        <v>320</v>
      </c>
      <c r="C204" s="86">
        <f>348.37</f>
        <v>348.37</v>
      </c>
      <c r="D204" s="76">
        <f t="shared" si="2"/>
        <v>3749.8546799999999</v>
      </c>
      <c r="E204" s="76">
        <v>0</v>
      </c>
      <c r="F204" s="76">
        <f t="shared" si="3"/>
        <v>6299.7558623999985</v>
      </c>
      <c r="G204" s="105" t="s">
        <v>347</v>
      </c>
      <c r="H204" s="106"/>
      <c r="I204" s="36"/>
      <c r="L204" s="107"/>
      <c r="M204" s="107"/>
      <c r="N204" s="36"/>
      <c r="T204" s="21"/>
    </row>
    <row r="205" spans="1:20" s="82" customFormat="1" ht="15.75" customHeight="1" x14ac:dyDescent="0.25">
      <c r="A205" s="83">
        <f t="shared" si="4"/>
        <v>58</v>
      </c>
      <c r="B205" s="85" t="s">
        <v>320</v>
      </c>
      <c r="C205" s="86">
        <f>148.22</f>
        <v>148.22</v>
      </c>
      <c r="D205" s="76">
        <f t="shared" si="2"/>
        <v>1595.4400799999999</v>
      </c>
      <c r="E205" s="76">
        <v>0</v>
      </c>
      <c r="F205" s="76">
        <f t="shared" si="3"/>
        <v>2680.3393343999996</v>
      </c>
      <c r="G205" s="105" t="s">
        <v>347</v>
      </c>
      <c r="H205" s="106"/>
      <c r="I205" s="36"/>
      <c r="L205" s="107"/>
      <c r="M205" s="107"/>
      <c r="N205" s="36"/>
      <c r="T205" s="21"/>
    </row>
    <row r="206" spans="1:20" s="82" customFormat="1" ht="15.75" customHeight="1" x14ac:dyDescent="0.25">
      <c r="A206" s="83">
        <f t="shared" si="4"/>
        <v>59</v>
      </c>
      <c r="B206" s="85" t="s">
        <v>320</v>
      </c>
      <c r="C206" s="86">
        <f>146.4</f>
        <v>146.4</v>
      </c>
      <c r="D206" s="76">
        <f t="shared" si="2"/>
        <v>1575.8496</v>
      </c>
      <c r="E206" s="76">
        <v>0</v>
      </c>
      <c r="F206" s="76">
        <f t="shared" si="3"/>
        <v>2647.4273279999998</v>
      </c>
      <c r="G206" s="105" t="s">
        <v>347</v>
      </c>
      <c r="H206" s="106"/>
      <c r="I206" s="36"/>
      <c r="L206" s="107"/>
      <c r="M206" s="107"/>
      <c r="N206" s="36"/>
      <c r="T206" s="21"/>
    </row>
    <row r="207" spans="1:20" s="82" customFormat="1" ht="15.75" customHeight="1" x14ac:dyDescent="0.25">
      <c r="A207" s="83">
        <f t="shared" si="4"/>
        <v>60</v>
      </c>
      <c r="B207" s="85" t="s">
        <v>320</v>
      </c>
      <c r="C207" s="86">
        <f>157.76</f>
        <v>157.76</v>
      </c>
      <c r="D207" s="76">
        <f t="shared" si="2"/>
        <v>1698.1286399999999</v>
      </c>
      <c r="E207" s="76">
        <v>0</v>
      </c>
      <c r="F207" s="76">
        <f t="shared" si="3"/>
        <v>2852.8561151999993</v>
      </c>
      <c r="G207" s="105" t="s">
        <v>347</v>
      </c>
      <c r="H207" s="106"/>
      <c r="I207" s="36"/>
      <c r="L207" s="107"/>
      <c r="M207" s="107"/>
      <c r="N207" s="36"/>
      <c r="T207" s="21"/>
    </row>
    <row r="208" spans="1:20" s="82" customFormat="1" ht="15.75" customHeight="1" x14ac:dyDescent="0.25">
      <c r="A208" s="83">
        <f t="shared" si="4"/>
        <v>61</v>
      </c>
      <c r="B208" s="85" t="s">
        <v>320</v>
      </c>
      <c r="C208" s="86">
        <f>169.44</f>
        <v>169.44</v>
      </c>
      <c r="D208" s="76">
        <f t="shared" si="2"/>
        <v>1823.8521599999999</v>
      </c>
      <c r="E208" s="76">
        <v>0</v>
      </c>
      <c r="F208" s="76">
        <f t="shared" si="3"/>
        <v>3064.0716287999999</v>
      </c>
      <c r="G208" s="105" t="s">
        <v>347</v>
      </c>
      <c r="H208" s="106"/>
      <c r="I208" s="36"/>
      <c r="L208" s="107"/>
      <c r="M208" s="107"/>
      <c r="N208" s="36"/>
      <c r="T208" s="21"/>
    </row>
    <row r="209" spans="1:20" s="82" customFormat="1" ht="15.75" customHeight="1" x14ac:dyDescent="0.25">
      <c r="A209" s="83">
        <f t="shared" si="4"/>
        <v>62</v>
      </c>
      <c r="B209" s="85" t="s">
        <v>320</v>
      </c>
      <c r="C209" s="86">
        <f>165.72</f>
        <v>165.72</v>
      </c>
      <c r="D209" s="76">
        <f t="shared" si="2"/>
        <v>1783.81008</v>
      </c>
      <c r="E209" s="76">
        <v>0</v>
      </c>
      <c r="F209" s="76">
        <f t="shared" si="3"/>
        <v>2996.8009343999997</v>
      </c>
      <c r="G209" s="105" t="s">
        <v>347</v>
      </c>
      <c r="H209" s="106"/>
      <c r="I209" s="36"/>
      <c r="L209" s="107"/>
      <c r="M209" s="107"/>
      <c r="N209" s="36"/>
      <c r="T209" s="21"/>
    </row>
    <row r="210" spans="1:20" s="82" customFormat="1" ht="15.75" customHeight="1" x14ac:dyDescent="0.25">
      <c r="A210" s="83">
        <f t="shared" si="4"/>
        <v>63</v>
      </c>
      <c r="B210" s="85" t="s">
        <v>320</v>
      </c>
      <c r="C210" s="86">
        <f>250.4</f>
        <v>250.4</v>
      </c>
      <c r="D210" s="76">
        <f t="shared" si="2"/>
        <v>2695.3055999999997</v>
      </c>
      <c r="E210" s="76">
        <v>0</v>
      </c>
      <c r="F210" s="76">
        <f t="shared" si="3"/>
        <v>4528.1134079999993</v>
      </c>
      <c r="G210" s="105" t="s">
        <v>347</v>
      </c>
      <c r="H210" s="106"/>
      <c r="I210" s="36"/>
      <c r="L210" s="107"/>
      <c r="M210" s="107"/>
      <c r="N210" s="36"/>
      <c r="T210" s="21"/>
    </row>
    <row r="211" spans="1:20" s="82" customFormat="1" ht="15.75" customHeight="1" x14ac:dyDescent="0.25">
      <c r="A211" s="83">
        <f t="shared" si="4"/>
        <v>64</v>
      </c>
      <c r="B211" s="85" t="s">
        <v>320</v>
      </c>
      <c r="C211" s="86">
        <f>174.81</f>
        <v>174.81</v>
      </c>
      <c r="D211" s="76">
        <f t="shared" si="2"/>
        <v>1881.6548399999999</v>
      </c>
      <c r="E211" s="76">
        <v>0</v>
      </c>
      <c r="F211" s="76">
        <f t="shared" si="3"/>
        <v>3161.1801311999998</v>
      </c>
      <c r="G211" s="105" t="s">
        <v>347</v>
      </c>
      <c r="H211" s="106"/>
      <c r="I211" s="36"/>
      <c r="L211" s="107"/>
      <c r="M211" s="107"/>
      <c r="N211" s="36"/>
      <c r="T211" s="21"/>
    </row>
    <row r="212" spans="1:20" s="82" customFormat="1" ht="15.75" customHeight="1" x14ac:dyDescent="0.25">
      <c r="A212" s="83">
        <f t="shared" si="4"/>
        <v>65</v>
      </c>
      <c r="B212" s="85" t="s">
        <v>320</v>
      </c>
      <c r="C212" s="86">
        <f>169.61</f>
        <v>169.61</v>
      </c>
      <c r="D212" s="76">
        <f t="shared" si="2"/>
        <v>1825.6820400000001</v>
      </c>
      <c r="E212" s="76">
        <v>0</v>
      </c>
      <c r="F212" s="76">
        <f t="shared" si="3"/>
        <v>3067.1458271999995</v>
      </c>
      <c r="G212" s="105" t="s">
        <v>347</v>
      </c>
      <c r="H212" s="106"/>
      <c r="I212" s="36"/>
      <c r="L212" s="107"/>
      <c r="M212" s="107"/>
      <c r="N212" s="36"/>
      <c r="T212" s="21"/>
    </row>
    <row r="213" spans="1:20" s="82" customFormat="1" ht="15.75" customHeight="1" x14ac:dyDescent="0.25">
      <c r="A213" s="83">
        <f t="shared" si="4"/>
        <v>66</v>
      </c>
      <c r="B213" s="85" t="s">
        <v>320</v>
      </c>
      <c r="C213" s="86">
        <f>155.99</f>
        <v>155.99</v>
      </c>
      <c r="D213" s="76">
        <f t="shared" ref="D213:D243" si="7">C213*10.764</f>
        <v>1679.07636</v>
      </c>
      <c r="E213" s="76">
        <v>0</v>
      </c>
      <c r="F213" s="76">
        <f t="shared" ref="F213:F243" si="8">(C213*1.68)*10.764</f>
        <v>2820.8482847999999</v>
      </c>
      <c r="G213" s="105" t="s">
        <v>347</v>
      </c>
      <c r="H213" s="106"/>
      <c r="I213" s="36"/>
      <c r="L213" s="107"/>
      <c r="M213" s="107"/>
      <c r="N213" s="36"/>
      <c r="T213" s="21"/>
    </row>
    <row r="214" spans="1:20" s="82" customFormat="1" ht="15.75" customHeight="1" x14ac:dyDescent="0.25">
      <c r="A214" s="83">
        <f t="shared" si="4"/>
        <v>67</v>
      </c>
      <c r="B214" s="85" t="s">
        <v>320</v>
      </c>
      <c r="C214" s="86">
        <f>149.48</f>
        <v>149.47999999999999</v>
      </c>
      <c r="D214" s="76">
        <f t="shared" si="7"/>
        <v>1609.0027199999997</v>
      </c>
      <c r="E214" s="76">
        <v>0</v>
      </c>
      <c r="F214" s="76">
        <f t="shared" si="8"/>
        <v>2703.1245695999996</v>
      </c>
      <c r="G214" s="105" t="s">
        <v>347</v>
      </c>
      <c r="H214" s="106"/>
      <c r="I214" s="36"/>
      <c r="L214" s="107"/>
      <c r="M214" s="107"/>
      <c r="N214" s="36"/>
      <c r="T214" s="21"/>
    </row>
    <row r="215" spans="1:20" s="82" customFormat="1" ht="15.75" customHeight="1" x14ac:dyDescent="0.25">
      <c r="A215" s="83">
        <f t="shared" si="4"/>
        <v>68</v>
      </c>
      <c r="B215" s="85" t="s">
        <v>320</v>
      </c>
      <c r="C215" s="86">
        <f>199.32</f>
        <v>199.32</v>
      </c>
      <c r="D215" s="76">
        <f t="shared" si="7"/>
        <v>2145.4804799999997</v>
      </c>
      <c r="E215" s="76">
        <v>0</v>
      </c>
      <c r="F215" s="76">
        <f t="shared" si="8"/>
        <v>3604.4072063999997</v>
      </c>
      <c r="G215" s="105" t="s">
        <v>347</v>
      </c>
      <c r="H215" s="106"/>
      <c r="I215" s="36"/>
      <c r="L215" s="107"/>
      <c r="M215" s="107"/>
      <c r="N215" s="36"/>
      <c r="T215" s="21"/>
    </row>
    <row r="216" spans="1:20" s="82" customFormat="1" ht="15.75" customHeight="1" x14ac:dyDescent="0.25">
      <c r="A216" s="83">
        <f t="shared" ref="A216:A243" si="9">A215+1</f>
        <v>69</v>
      </c>
      <c r="B216" s="85" t="s">
        <v>320</v>
      </c>
      <c r="C216" s="86">
        <f>139.23</f>
        <v>139.22999999999999</v>
      </c>
      <c r="D216" s="76">
        <f t="shared" si="7"/>
        <v>1498.6717199999998</v>
      </c>
      <c r="E216" s="76">
        <v>0</v>
      </c>
      <c r="F216" s="76">
        <f t="shared" si="8"/>
        <v>2517.7684895999996</v>
      </c>
      <c r="G216" s="105" t="s">
        <v>347</v>
      </c>
      <c r="H216" s="106"/>
      <c r="I216" s="36"/>
      <c r="L216" s="107"/>
      <c r="M216" s="107"/>
      <c r="N216" s="36"/>
      <c r="T216" s="21"/>
    </row>
    <row r="217" spans="1:20" s="82" customFormat="1" ht="15.75" customHeight="1" x14ac:dyDescent="0.25">
      <c r="A217" s="83">
        <f t="shared" si="9"/>
        <v>70</v>
      </c>
      <c r="B217" s="85" t="s">
        <v>320</v>
      </c>
      <c r="C217" s="86">
        <f>139.32</f>
        <v>139.32</v>
      </c>
      <c r="D217" s="76">
        <f t="shared" si="7"/>
        <v>1499.6404799999998</v>
      </c>
      <c r="E217" s="76">
        <v>0</v>
      </c>
      <c r="F217" s="76">
        <f t="shared" si="8"/>
        <v>2519.3960063999998</v>
      </c>
      <c r="G217" s="250">
        <v>45733</v>
      </c>
      <c r="H217" s="251"/>
      <c r="I217" s="36"/>
      <c r="L217" s="107"/>
      <c r="M217" s="107"/>
      <c r="N217" s="36"/>
      <c r="T217" s="21"/>
    </row>
    <row r="218" spans="1:20" s="82" customFormat="1" ht="15.75" customHeight="1" x14ac:dyDescent="0.25">
      <c r="A218" s="83">
        <f t="shared" si="9"/>
        <v>71</v>
      </c>
      <c r="B218" s="85" t="s">
        <v>320</v>
      </c>
      <c r="C218" s="86">
        <f>139.32</f>
        <v>139.32</v>
      </c>
      <c r="D218" s="76">
        <f t="shared" si="7"/>
        <v>1499.6404799999998</v>
      </c>
      <c r="E218" s="76">
        <v>0</v>
      </c>
      <c r="F218" s="76">
        <f t="shared" si="8"/>
        <v>2519.3960063999998</v>
      </c>
      <c r="G218" s="250">
        <v>45733</v>
      </c>
      <c r="H218" s="251"/>
      <c r="I218" s="36"/>
      <c r="L218" s="107"/>
      <c r="M218" s="107"/>
      <c r="N218" s="36"/>
      <c r="T218" s="21"/>
    </row>
    <row r="219" spans="1:20" s="82" customFormat="1" ht="15.75" customHeight="1" x14ac:dyDescent="0.25">
      <c r="A219" s="83">
        <f t="shared" si="9"/>
        <v>72</v>
      </c>
      <c r="B219" s="85" t="s">
        <v>320</v>
      </c>
      <c r="C219" s="86">
        <f>139.31</f>
        <v>139.31</v>
      </c>
      <c r="D219" s="76">
        <f t="shared" si="7"/>
        <v>1499.5328399999999</v>
      </c>
      <c r="E219" s="76">
        <v>0</v>
      </c>
      <c r="F219" s="76">
        <f t="shared" si="8"/>
        <v>2519.2151711999995</v>
      </c>
      <c r="G219" s="105" t="s">
        <v>347</v>
      </c>
      <c r="H219" s="106"/>
      <c r="I219" s="36"/>
      <c r="L219" s="107"/>
      <c r="M219" s="107"/>
      <c r="N219" s="36"/>
      <c r="T219" s="21"/>
    </row>
    <row r="220" spans="1:20" s="82" customFormat="1" ht="15.75" customHeight="1" x14ac:dyDescent="0.25">
      <c r="A220" s="83">
        <f t="shared" si="9"/>
        <v>73</v>
      </c>
      <c r="B220" s="85" t="s">
        <v>320</v>
      </c>
      <c r="C220" s="86">
        <f>139.27</f>
        <v>139.27000000000001</v>
      </c>
      <c r="D220" s="76">
        <f t="shared" si="7"/>
        <v>1499.1022800000001</v>
      </c>
      <c r="E220" s="76">
        <v>0</v>
      </c>
      <c r="F220" s="76">
        <f t="shared" si="8"/>
        <v>2518.4918303999998</v>
      </c>
      <c r="G220" s="105" t="s">
        <v>347</v>
      </c>
      <c r="H220" s="106"/>
      <c r="I220" s="36"/>
      <c r="L220" s="107"/>
      <c r="M220" s="107"/>
      <c r="N220" s="36"/>
      <c r="T220" s="21"/>
    </row>
    <row r="221" spans="1:20" s="82" customFormat="1" ht="15.75" customHeight="1" x14ac:dyDescent="0.25">
      <c r="A221" s="83">
        <f t="shared" si="9"/>
        <v>74</v>
      </c>
      <c r="B221" s="85" t="s">
        <v>320</v>
      </c>
      <c r="C221" s="86">
        <f>252.99</f>
        <v>252.99</v>
      </c>
      <c r="D221" s="76">
        <f t="shared" si="7"/>
        <v>2723.1843599999997</v>
      </c>
      <c r="E221" s="76">
        <v>0</v>
      </c>
      <c r="F221" s="76">
        <f t="shared" si="8"/>
        <v>4574.9497247999998</v>
      </c>
      <c r="G221" s="250">
        <v>45733</v>
      </c>
      <c r="H221" s="251"/>
      <c r="I221" s="36"/>
      <c r="L221" s="107"/>
      <c r="M221" s="107"/>
      <c r="N221" s="36"/>
      <c r="T221" s="21"/>
    </row>
    <row r="222" spans="1:20" s="82" customFormat="1" ht="15.75" customHeight="1" x14ac:dyDescent="0.25">
      <c r="A222" s="83">
        <f t="shared" si="9"/>
        <v>75</v>
      </c>
      <c r="B222" s="85" t="s">
        <v>320</v>
      </c>
      <c r="C222" s="86">
        <f>142.94</f>
        <v>142.94</v>
      </c>
      <c r="D222" s="76">
        <f t="shared" si="7"/>
        <v>1538.6061599999998</v>
      </c>
      <c r="E222" s="76">
        <v>0</v>
      </c>
      <c r="F222" s="76">
        <f t="shared" si="8"/>
        <v>2584.8583487999999</v>
      </c>
      <c r="G222" s="105" t="s">
        <v>347</v>
      </c>
      <c r="H222" s="106"/>
      <c r="I222" s="36"/>
      <c r="L222" s="107"/>
      <c r="M222" s="107"/>
      <c r="N222" s="36"/>
      <c r="T222" s="21"/>
    </row>
    <row r="223" spans="1:20" s="82" customFormat="1" ht="15.75" customHeight="1" x14ac:dyDescent="0.25">
      <c r="A223" s="83">
        <f t="shared" si="9"/>
        <v>76</v>
      </c>
      <c r="B223" s="85" t="s">
        <v>320</v>
      </c>
      <c r="C223" s="86">
        <f>140.5</f>
        <v>140.5</v>
      </c>
      <c r="D223" s="76">
        <f t="shared" si="7"/>
        <v>1512.3419999999999</v>
      </c>
      <c r="E223" s="76">
        <v>0</v>
      </c>
      <c r="F223" s="76">
        <f t="shared" si="8"/>
        <v>2540.7345599999999</v>
      </c>
      <c r="G223" s="105" t="s">
        <v>347</v>
      </c>
      <c r="H223" s="106"/>
      <c r="I223" s="36"/>
      <c r="L223" s="107"/>
      <c r="M223" s="107"/>
      <c r="N223" s="36"/>
      <c r="T223" s="21"/>
    </row>
    <row r="224" spans="1:20" s="82" customFormat="1" ht="15.75" customHeight="1" x14ac:dyDescent="0.25">
      <c r="A224" s="83">
        <f t="shared" si="9"/>
        <v>77</v>
      </c>
      <c r="B224" s="85" t="s">
        <v>320</v>
      </c>
      <c r="C224" s="86">
        <f>199.38</f>
        <v>199.38</v>
      </c>
      <c r="D224" s="76">
        <f t="shared" si="7"/>
        <v>2146.1263199999999</v>
      </c>
      <c r="E224" s="76">
        <v>0</v>
      </c>
      <c r="F224" s="76">
        <f t="shared" si="8"/>
        <v>3605.4922175999995</v>
      </c>
      <c r="G224" s="105" t="s">
        <v>347</v>
      </c>
      <c r="H224" s="106"/>
      <c r="I224" s="36"/>
      <c r="L224" s="107"/>
      <c r="M224" s="107"/>
      <c r="N224" s="36"/>
      <c r="T224" s="21"/>
    </row>
    <row r="225" spans="1:20" s="82" customFormat="1" ht="15.75" customHeight="1" x14ac:dyDescent="0.25">
      <c r="A225" s="83">
        <f t="shared" si="9"/>
        <v>78</v>
      </c>
      <c r="B225" s="85" t="s">
        <v>320</v>
      </c>
      <c r="C225" s="86">
        <f>139.27</f>
        <v>139.27000000000001</v>
      </c>
      <c r="D225" s="76">
        <f t="shared" si="7"/>
        <v>1499.1022800000001</v>
      </c>
      <c r="E225" s="76">
        <v>0</v>
      </c>
      <c r="F225" s="76">
        <f t="shared" si="8"/>
        <v>2518.4918303999998</v>
      </c>
      <c r="G225" s="105" t="s">
        <v>347</v>
      </c>
      <c r="H225" s="106"/>
      <c r="I225" s="36"/>
      <c r="L225" s="107"/>
      <c r="M225" s="107"/>
      <c r="N225" s="36"/>
      <c r="T225" s="21"/>
    </row>
    <row r="226" spans="1:20" s="82" customFormat="1" ht="15.75" customHeight="1" x14ac:dyDescent="0.25">
      <c r="A226" s="83">
        <f t="shared" si="9"/>
        <v>79</v>
      </c>
      <c r="B226" s="85" t="s">
        <v>320</v>
      </c>
      <c r="C226" s="86">
        <f>139.32</f>
        <v>139.32</v>
      </c>
      <c r="D226" s="76">
        <f t="shared" si="7"/>
        <v>1499.6404799999998</v>
      </c>
      <c r="E226" s="76">
        <v>0</v>
      </c>
      <c r="F226" s="76">
        <f t="shared" si="8"/>
        <v>2519.3960063999998</v>
      </c>
      <c r="G226" s="105" t="s">
        <v>347</v>
      </c>
      <c r="H226" s="106"/>
      <c r="I226" s="36"/>
      <c r="L226" s="107"/>
      <c r="M226" s="107"/>
      <c r="N226" s="36"/>
      <c r="T226" s="21"/>
    </row>
    <row r="227" spans="1:20" s="82" customFormat="1" ht="15.75" customHeight="1" x14ac:dyDescent="0.25">
      <c r="A227" s="83">
        <f t="shared" si="9"/>
        <v>80</v>
      </c>
      <c r="B227" s="85" t="s">
        <v>320</v>
      </c>
      <c r="C227" s="86">
        <f t="shared" ref="C227:C228" si="10">139.32</f>
        <v>139.32</v>
      </c>
      <c r="D227" s="76">
        <f t="shared" si="7"/>
        <v>1499.6404799999998</v>
      </c>
      <c r="E227" s="76">
        <v>0</v>
      </c>
      <c r="F227" s="76">
        <f t="shared" si="8"/>
        <v>2519.3960063999998</v>
      </c>
      <c r="G227" s="105" t="s">
        <v>347</v>
      </c>
      <c r="H227" s="106"/>
      <c r="I227" s="36"/>
      <c r="L227" s="107"/>
      <c r="M227" s="107"/>
      <c r="N227" s="36"/>
      <c r="T227" s="21"/>
    </row>
    <row r="228" spans="1:20" s="82" customFormat="1" ht="15.75" customHeight="1" x14ac:dyDescent="0.25">
      <c r="A228" s="83">
        <f t="shared" si="9"/>
        <v>81</v>
      </c>
      <c r="B228" s="85" t="s">
        <v>320</v>
      </c>
      <c r="C228" s="86">
        <f t="shared" si="10"/>
        <v>139.32</v>
      </c>
      <c r="D228" s="76">
        <f t="shared" si="7"/>
        <v>1499.6404799999998</v>
      </c>
      <c r="E228" s="76">
        <v>0</v>
      </c>
      <c r="F228" s="76">
        <f t="shared" si="8"/>
        <v>2519.3960063999998</v>
      </c>
      <c r="G228" s="105" t="s">
        <v>347</v>
      </c>
      <c r="H228" s="106"/>
      <c r="I228" s="36"/>
      <c r="L228" s="107"/>
      <c r="M228" s="107"/>
      <c r="N228" s="36"/>
      <c r="T228" s="21"/>
    </row>
    <row r="229" spans="1:20" s="82" customFormat="1" ht="15.75" customHeight="1" x14ac:dyDescent="0.25">
      <c r="A229" s="83">
        <f t="shared" si="9"/>
        <v>82</v>
      </c>
      <c r="B229" s="85" t="s">
        <v>320</v>
      </c>
      <c r="C229" s="86">
        <f>139.27</f>
        <v>139.27000000000001</v>
      </c>
      <c r="D229" s="76">
        <f t="shared" si="7"/>
        <v>1499.1022800000001</v>
      </c>
      <c r="E229" s="76">
        <v>0</v>
      </c>
      <c r="F229" s="76">
        <f t="shared" si="8"/>
        <v>2518.4918303999998</v>
      </c>
      <c r="G229" s="105" t="s">
        <v>347</v>
      </c>
      <c r="H229" s="106"/>
      <c r="I229" s="36"/>
      <c r="L229" s="107"/>
      <c r="M229" s="107"/>
      <c r="N229" s="36"/>
      <c r="T229" s="21"/>
    </row>
    <row r="230" spans="1:20" s="82" customFormat="1" ht="15.75" customHeight="1" x14ac:dyDescent="0.25">
      <c r="A230" s="83">
        <f t="shared" si="9"/>
        <v>83</v>
      </c>
      <c r="B230" s="85" t="s">
        <v>320</v>
      </c>
      <c r="C230" s="86">
        <f>276.12</f>
        <v>276.12</v>
      </c>
      <c r="D230" s="76">
        <f t="shared" si="7"/>
        <v>2972.1556799999998</v>
      </c>
      <c r="E230" s="76">
        <v>0</v>
      </c>
      <c r="F230" s="76">
        <f t="shared" si="8"/>
        <v>4993.2215423999996</v>
      </c>
      <c r="G230" s="105" t="s">
        <v>347</v>
      </c>
      <c r="H230" s="106"/>
      <c r="I230" s="36"/>
      <c r="L230" s="107"/>
      <c r="M230" s="107"/>
      <c r="N230" s="36"/>
      <c r="T230" s="21"/>
    </row>
    <row r="231" spans="1:20" s="82" customFormat="1" ht="15.75" customHeight="1" x14ac:dyDescent="0.25">
      <c r="A231" s="83">
        <f t="shared" si="9"/>
        <v>84</v>
      </c>
      <c r="B231" s="85" t="s">
        <v>320</v>
      </c>
      <c r="C231" s="86">
        <f>141.91</f>
        <v>141.91</v>
      </c>
      <c r="D231" s="76">
        <f t="shared" si="7"/>
        <v>1527.5192399999999</v>
      </c>
      <c r="E231" s="76">
        <v>0</v>
      </c>
      <c r="F231" s="76">
        <f t="shared" si="8"/>
        <v>2566.2323231999999</v>
      </c>
      <c r="G231" s="105" t="s">
        <v>347</v>
      </c>
      <c r="H231" s="106"/>
      <c r="I231" s="36"/>
      <c r="L231" s="107"/>
      <c r="M231" s="107"/>
      <c r="N231" s="36"/>
      <c r="T231" s="21"/>
    </row>
    <row r="232" spans="1:20" s="82" customFormat="1" ht="15.75" customHeight="1" x14ac:dyDescent="0.25">
      <c r="A232" s="83">
        <f t="shared" si="9"/>
        <v>85</v>
      </c>
      <c r="B232" s="85" t="s">
        <v>320</v>
      </c>
      <c r="C232" s="86">
        <f>143.43</f>
        <v>143.43</v>
      </c>
      <c r="D232" s="76">
        <f t="shared" si="7"/>
        <v>1543.8805199999999</v>
      </c>
      <c r="E232" s="76">
        <v>0</v>
      </c>
      <c r="F232" s="76">
        <f t="shared" si="8"/>
        <v>2593.7192735999997</v>
      </c>
      <c r="G232" s="105" t="s">
        <v>347</v>
      </c>
      <c r="H232" s="106"/>
      <c r="I232" s="36"/>
      <c r="L232" s="107"/>
      <c r="M232" s="107"/>
      <c r="N232" s="36"/>
      <c r="T232" s="21"/>
    </row>
    <row r="233" spans="1:20" s="82" customFormat="1" ht="15.75" customHeight="1" x14ac:dyDescent="0.25">
      <c r="A233" s="83">
        <f t="shared" si="9"/>
        <v>86</v>
      </c>
      <c r="B233" s="85" t="s">
        <v>320</v>
      </c>
      <c r="C233" s="86">
        <f>331.16</f>
        <v>331.16</v>
      </c>
      <c r="D233" s="76">
        <f t="shared" si="7"/>
        <v>3564.6062400000001</v>
      </c>
      <c r="E233" s="76">
        <v>0</v>
      </c>
      <c r="F233" s="76">
        <f t="shared" si="8"/>
        <v>5988.5384831999991</v>
      </c>
      <c r="G233" s="105" t="s">
        <v>347</v>
      </c>
      <c r="H233" s="106"/>
      <c r="I233" s="36"/>
      <c r="L233" s="107"/>
      <c r="M233" s="107"/>
      <c r="N233" s="36"/>
      <c r="T233" s="21"/>
    </row>
    <row r="234" spans="1:20" s="82" customFormat="1" ht="15.75" customHeight="1" x14ac:dyDescent="0.25">
      <c r="A234" s="83">
        <f t="shared" si="9"/>
        <v>87</v>
      </c>
      <c r="B234" s="85" t="s">
        <v>320</v>
      </c>
      <c r="C234" s="86">
        <f>310.87</f>
        <v>310.87</v>
      </c>
      <c r="D234" s="76">
        <f t="shared" si="7"/>
        <v>3346.2046799999998</v>
      </c>
      <c r="E234" s="76">
        <v>0</v>
      </c>
      <c r="F234" s="76">
        <f t="shared" si="8"/>
        <v>5621.6238623999998</v>
      </c>
      <c r="G234" s="105" t="s">
        <v>347</v>
      </c>
      <c r="H234" s="106"/>
      <c r="I234" s="36"/>
      <c r="L234" s="107"/>
      <c r="M234" s="107"/>
      <c r="N234" s="36"/>
      <c r="T234" s="21"/>
    </row>
    <row r="235" spans="1:20" s="82" customFormat="1" ht="15.75" customHeight="1" x14ac:dyDescent="0.25">
      <c r="A235" s="83">
        <f t="shared" si="9"/>
        <v>88</v>
      </c>
      <c r="B235" s="85" t="s">
        <v>320</v>
      </c>
      <c r="C235" s="86">
        <f>127.88</f>
        <v>127.88</v>
      </c>
      <c r="D235" s="76">
        <f t="shared" si="7"/>
        <v>1376.5003199999999</v>
      </c>
      <c r="E235" s="76">
        <v>0</v>
      </c>
      <c r="F235" s="76">
        <f t="shared" si="8"/>
        <v>2312.5205375999994</v>
      </c>
      <c r="G235" s="105" t="s">
        <v>347</v>
      </c>
      <c r="H235" s="106"/>
      <c r="I235" s="36"/>
      <c r="L235" s="107"/>
      <c r="M235" s="107"/>
      <c r="N235" s="36"/>
      <c r="T235" s="21"/>
    </row>
    <row r="236" spans="1:20" s="82" customFormat="1" ht="15.75" customHeight="1" x14ac:dyDescent="0.25">
      <c r="A236" s="83">
        <f t="shared" si="9"/>
        <v>89</v>
      </c>
      <c r="B236" s="85" t="s">
        <v>320</v>
      </c>
      <c r="C236" s="86">
        <f>127.62</f>
        <v>127.62</v>
      </c>
      <c r="D236" s="76">
        <f t="shared" si="7"/>
        <v>1373.7016799999999</v>
      </c>
      <c r="E236" s="76">
        <v>0</v>
      </c>
      <c r="F236" s="76">
        <f t="shared" si="8"/>
        <v>2307.8188224</v>
      </c>
      <c r="G236" s="105" t="s">
        <v>347</v>
      </c>
      <c r="H236" s="106"/>
      <c r="I236" s="36"/>
      <c r="L236" s="107"/>
      <c r="M236" s="107"/>
      <c r="N236" s="36"/>
      <c r="T236" s="21"/>
    </row>
    <row r="237" spans="1:20" s="82" customFormat="1" ht="15.75" customHeight="1" x14ac:dyDescent="0.25">
      <c r="A237" s="83">
        <f t="shared" si="9"/>
        <v>90</v>
      </c>
      <c r="B237" s="85" t="s">
        <v>320</v>
      </c>
      <c r="C237" s="86">
        <f>149.67</f>
        <v>149.66999999999999</v>
      </c>
      <c r="D237" s="76">
        <f t="shared" si="7"/>
        <v>1611.0478799999999</v>
      </c>
      <c r="E237" s="76">
        <v>0</v>
      </c>
      <c r="F237" s="76">
        <f t="shared" si="8"/>
        <v>2706.5604383999994</v>
      </c>
      <c r="G237" s="105" t="s">
        <v>347</v>
      </c>
      <c r="H237" s="106"/>
      <c r="I237" s="36"/>
      <c r="L237" s="107"/>
      <c r="M237" s="107"/>
      <c r="N237" s="36"/>
      <c r="T237" s="21"/>
    </row>
    <row r="238" spans="1:20" s="82" customFormat="1" ht="15.75" customHeight="1" x14ac:dyDescent="0.25">
      <c r="A238" s="83">
        <f t="shared" si="9"/>
        <v>91</v>
      </c>
      <c r="B238" s="85" t="s">
        <v>320</v>
      </c>
      <c r="C238" s="86">
        <f>139.49</f>
        <v>139.49</v>
      </c>
      <c r="D238" s="76">
        <f t="shared" si="7"/>
        <v>1501.47036</v>
      </c>
      <c r="E238" s="76">
        <v>0</v>
      </c>
      <c r="F238" s="76">
        <f t="shared" si="8"/>
        <v>2522.4702047999999</v>
      </c>
      <c r="G238" s="105" t="s">
        <v>347</v>
      </c>
      <c r="H238" s="106"/>
      <c r="I238" s="36"/>
      <c r="L238" s="107"/>
      <c r="M238" s="107"/>
      <c r="N238" s="36"/>
      <c r="T238" s="21"/>
    </row>
    <row r="239" spans="1:20" s="82" customFormat="1" ht="15.75" customHeight="1" x14ac:dyDescent="0.25">
      <c r="A239" s="83">
        <f t="shared" si="9"/>
        <v>92</v>
      </c>
      <c r="B239" s="85" t="s">
        <v>320</v>
      </c>
      <c r="C239" s="86">
        <f>139.5</f>
        <v>139.5</v>
      </c>
      <c r="D239" s="76">
        <f t="shared" si="7"/>
        <v>1501.578</v>
      </c>
      <c r="E239" s="76">
        <v>0</v>
      </c>
      <c r="F239" s="76">
        <f t="shared" si="8"/>
        <v>2522.6510399999997</v>
      </c>
      <c r="G239" s="105" t="s">
        <v>347</v>
      </c>
      <c r="H239" s="106"/>
      <c r="I239" s="36"/>
      <c r="L239" s="107"/>
      <c r="M239" s="107"/>
      <c r="N239" s="36"/>
      <c r="T239" s="21"/>
    </row>
    <row r="240" spans="1:20" s="82" customFormat="1" ht="15.75" customHeight="1" x14ac:dyDescent="0.25">
      <c r="A240" s="83">
        <f t="shared" si="9"/>
        <v>93</v>
      </c>
      <c r="B240" s="85" t="s">
        <v>320</v>
      </c>
      <c r="C240" s="86">
        <f>139.5</f>
        <v>139.5</v>
      </c>
      <c r="D240" s="76">
        <f t="shared" si="7"/>
        <v>1501.578</v>
      </c>
      <c r="E240" s="76">
        <v>0</v>
      </c>
      <c r="F240" s="76">
        <f t="shared" si="8"/>
        <v>2522.6510399999997</v>
      </c>
      <c r="G240" s="105" t="s">
        <v>347</v>
      </c>
      <c r="H240" s="106"/>
      <c r="I240" s="36"/>
      <c r="L240" s="107"/>
      <c r="M240" s="107"/>
      <c r="N240" s="36"/>
      <c r="T240" s="21"/>
    </row>
    <row r="241" spans="1:20" s="82" customFormat="1" ht="15.75" customHeight="1" x14ac:dyDescent="0.25">
      <c r="A241" s="83">
        <f t="shared" si="9"/>
        <v>94</v>
      </c>
      <c r="B241" s="85" t="s">
        <v>320</v>
      </c>
      <c r="C241" s="86">
        <f>139.46</f>
        <v>139.46</v>
      </c>
      <c r="D241" s="76">
        <f t="shared" si="7"/>
        <v>1501.14744</v>
      </c>
      <c r="E241" s="76">
        <v>0</v>
      </c>
      <c r="F241" s="76">
        <f t="shared" si="8"/>
        <v>2521.9276992</v>
      </c>
      <c r="G241" s="105" t="s">
        <v>347</v>
      </c>
      <c r="H241" s="106"/>
      <c r="I241" s="36"/>
      <c r="L241" s="107"/>
      <c r="M241" s="107"/>
      <c r="N241" s="36"/>
      <c r="T241" s="21"/>
    </row>
    <row r="242" spans="1:20" s="82" customFormat="1" ht="15.75" customHeight="1" x14ac:dyDescent="0.25">
      <c r="A242" s="83">
        <f t="shared" si="9"/>
        <v>95</v>
      </c>
      <c r="B242" s="85" t="s">
        <v>320</v>
      </c>
      <c r="C242" s="86">
        <f>285.23</f>
        <v>285.23</v>
      </c>
      <c r="D242" s="76">
        <f t="shared" si="7"/>
        <v>3070.2157200000001</v>
      </c>
      <c r="E242" s="76">
        <v>0</v>
      </c>
      <c r="F242" s="76">
        <f t="shared" si="8"/>
        <v>5157.9624095999998</v>
      </c>
      <c r="G242" s="105" t="s">
        <v>347</v>
      </c>
      <c r="H242" s="106"/>
      <c r="I242" s="36"/>
      <c r="L242" s="107"/>
      <c r="M242" s="107"/>
      <c r="N242" s="36"/>
      <c r="T242" s="21"/>
    </row>
    <row r="243" spans="1:20" s="82" customFormat="1" ht="15.75" customHeight="1" x14ac:dyDescent="0.25">
      <c r="A243" s="83">
        <f t="shared" si="9"/>
        <v>96</v>
      </c>
      <c r="B243" s="85" t="s">
        <v>320</v>
      </c>
      <c r="C243" s="86">
        <f>251.74</f>
        <v>251.74</v>
      </c>
      <c r="D243" s="76">
        <f t="shared" si="7"/>
        <v>2709.7293599999998</v>
      </c>
      <c r="E243" s="76">
        <v>0</v>
      </c>
      <c r="F243" s="76">
        <f t="shared" si="8"/>
        <v>4552.3453247999996</v>
      </c>
      <c r="G243" s="105" t="s">
        <v>347</v>
      </c>
      <c r="H243" s="106"/>
      <c r="I243" s="36"/>
      <c r="L243" s="107"/>
      <c r="M243" s="107"/>
      <c r="N243" s="36"/>
      <c r="T243" s="21"/>
    </row>
    <row r="244" spans="1:20" s="35" customFormat="1" x14ac:dyDescent="0.25">
      <c r="A244" s="175" t="s">
        <v>63</v>
      </c>
      <c r="B244" s="175"/>
      <c r="C244" s="175"/>
      <c r="D244" s="175"/>
      <c r="E244" s="175"/>
      <c r="F244" s="175"/>
      <c r="G244" s="175"/>
      <c r="H244" s="175"/>
      <c r="T244" s="37"/>
    </row>
    <row r="245" spans="1:20" s="35" customFormat="1" ht="32.25" customHeight="1" x14ac:dyDescent="0.25">
      <c r="A245" s="46">
        <v>1</v>
      </c>
      <c r="B245" s="172" t="s">
        <v>349</v>
      </c>
      <c r="C245" s="173"/>
      <c r="D245" s="173"/>
      <c r="E245" s="173"/>
      <c r="F245" s="173"/>
      <c r="G245" s="173"/>
      <c r="H245" s="174"/>
      <c r="I245" s="252"/>
      <c r="J245" s="253"/>
      <c r="K245" s="253"/>
      <c r="L245" s="253"/>
      <c r="M245" s="253"/>
      <c r="T245" s="37"/>
    </row>
    <row r="246" spans="1:20" s="35" customFormat="1" hidden="1" x14ac:dyDescent="0.25">
      <c r="A246" s="46" t="s">
        <v>143</v>
      </c>
      <c r="B246" s="172" t="str">
        <f>(IF(H146="Saleable area Loading :","We have considered Saleable area of Flats as per our Calculation.","We considered Saleable area of Flat as per Builder area Sheet."))</f>
        <v>We considered Saleable area of Flat as per Builder area Sheet.</v>
      </c>
      <c r="C246" s="173"/>
      <c r="D246" s="173"/>
      <c r="E246" s="173"/>
      <c r="F246" s="173"/>
      <c r="G246" s="173"/>
      <c r="H246" s="174"/>
      <c r="T246" s="37"/>
    </row>
    <row r="247" spans="1:20" s="35" customFormat="1" hidden="1" x14ac:dyDescent="0.25">
      <c r="A247" s="46" t="s">
        <v>143</v>
      </c>
      <c r="B247" s="172" t="str">
        <f>(IF(H138="Saleable area Loading :","We have considered Saleable area of Commercial as per our Calculation.","We considered Saleable area of Commercial as per Builder area Sheet."))</f>
        <v>We have considered Saleable area of Commercial as per our Calculation.</v>
      </c>
      <c r="C247" s="173"/>
      <c r="D247" s="173"/>
      <c r="E247" s="173"/>
      <c r="F247" s="173"/>
      <c r="G247" s="173"/>
      <c r="H247" s="174"/>
      <c r="T247" s="37"/>
    </row>
    <row r="248" spans="1:20" s="35" customFormat="1" x14ac:dyDescent="0.25">
      <c r="A248" s="46">
        <v>2</v>
      </c>
      <c r="B248" s="110" t="s">
        <v>112</v>
      </c>
      <c r="C248" s="111"/>
      <c r="D248" s="111"/>
      <c r="E248" s="111"/>
      <c r="F248" s="111"/>
      <c r="G248" s="111"/>
      <c r="H248" s="112"/>
      <c r="J248" s="89">
        <v>45512</v>
      </c>
      <c r="K248" s="35" t="s">
        <v>330</v>
      </c>
      <c r="T248" s="37"/>
    </row>
    <row r="249" spans="1:20" s="35" customFormat="1" ht="33.75" hidden="1" customHeight="1" x14ac:dyDescent="0.25">
      <c r="A249" s="46" t="s">
        <v>143</v>
      </c>
      <c r="B249" s="110" t="s">
        <v>113</v>
      </c>
      <c r="C249" s="111"/>
      <c r="D249" s="111"/>
      <c r="E249" s="111"/>
      <c r="F249" s="111"/>
      <c r="G249" s="111"/>
      <c r="H249" s="112"/>
      <c r="T249" s="37"/>
    </row>
    <row r="250" spans="1:20" s="35" customFormat="1" hidden="1" x14ac:dyDescent="0.25">
      <c r="A250" s="46" t="s">
        <v>143</v>
      </c>
      <c r="B250" s="110" t="s">
        <v>142</v>
      </c>
      <c r="C250" s="111"/>
      <c r="D250" s="111"/>
      <c r="E250" s="111"/>
      <c r="F250" s="111"/>
      <c r="G250" s="111"/>
      <c r="H250" s="112"/>
    </row>
    <row r="251" spans="1:20" s="35" customFormat="1" x14ac:dyDescent="0.25">
      <c r="A251" s="46">
        <v>3</v>
      </c>
      <c r="B251" s="110" t="s">
        <v>114</v>
      </c>
      <c r="C251" s="111"/>
      <c r="D251" s="111"/>
      <c r="E251" s="111"/>
      <c r="F251" s="111"/>
      <c r="G251" s="111"/>
      <c r="H251" s="112"/>
    </row>
    <row r="252" spans="1:20" s="35" customFormat="1" ht="31.5" customHeight="1" x14ac:dyDescent="0.25">
      <c r="A252" s="46">
        <v>4</v>
      </c>
      <c r="B252" s="110" t="s">
        <v>144</v>
      </c>
      <c r="C252" s="111"/>
      <c r="D252" s="111"/>
      <c r="E252" s="111"/>
      <c r="F252" s="111"/>
      <c r="G252" s="111"/>
      <c r="H252" s="112"/>
      <c r="I252" s="35" t="s">
        <v>348</v>
      </c>
    </row>
    <row r="253" spans="1:20" s="90" customFormat="1" x14ac:dyDescent="0.25">
      <c r="A253" s="91">
        <v>5</v>
      </c>
      <c r="B253" s="110" t="s">
        <v>115</v>
      </c>
      <c r="C253" s="111"/>
      <c r="D253" s="111"/>
      <c r="E253" s="111"/>
      <c r="F253" s="111"/>
      <c r="G253" s="111"/>
      <c r="H253" s="112"/>
    </row>
    <row r="254" spans="1:20" s="35" customFormat="1" ht="33" customHeight="1" x14ac:dyDescent="0.25">
      <c r="A254" s="46">
        <v>6</v>
      </c>
      <c r="B254" s="110" t="s">
        <v>344</v>
      </c>
      <c r="C254" s="111"/>
      <c r="D254" s="111"/>
      <c r="E254" s="111"/>
      <c r="F254" s="111"/>
      <c r="G254" s="111"/>
      <c r="H254" s="112"/>
    </row>
    <row r="255" spans="1:20" s="94" customFormat="1" ht="15.75" customHeight="1" x14ac:dyDescent="0.25">
      <c r="A255" s="92">
        <v>7</v>
      </c>
      <c r="B255" s="93" t="s">
        <v>331</v>
      </c>
      <c r="C255" s="102" t="s">
        <v>332</v>
      </c>
      <c r="D255" s="102"/>
      <c r="E255" s="102"/>
      <c r="F255" s="102" t="s">
        <v>333</v>
      </c>
      <c r="G255" s="102"/>
      <c r="H255" s="102"/>
    </row>
    <row r="256" spans="1:20" s="94" customFormat="1" ht="30.75" customHeight="1" x14ac:dyDescent="0.25">
      <c r="A256" s="92" t="s">
        <v>143</v>
      </c>
      <c r="B256" s="95">
        <v>45733</v>
      </c>
      <c r="C256" s="103" t="s">
        <v>334</v>
      </c>
      <c r="D256" s="103"/>
      <c r="E256" s="103"/>
      <c r="F256" s="104" t="s">
        <v>335</v>
      </c>
      <c r="G256" s="103"/>
      <c r="H256" s="103"/>
    </row>
    <row r="257" spans="1:20" x14ac:dyDescent="0.25">
      <c r="A257" s="135" t="s">
        <v>56</v>
      </c>
      <c r="B257" s="135"/>
      <c r="C257" s="135"/>
      <c r="D257" s="135"/>
      <c r="E257" s="135"/>
      <c r="F257" s="135"/>
      <c r="G257" s="135"/>
      <c r="H257" s="135"/>
      <c r="T257" s="35"/>
    </row>
    <row r="258" spans="1:20" x14ac:dyDescent="0.25">
      <c r="A258" s="117" t="s">
        <v>57</v>
      </c>
      <c r="B258" s="117"/>
      <c r="C258" s="117"/>
      <c r="D258" s="117"/>
      <c r="E258" s="117"/>
      <c r="F258" s="117"/>
      <c r="G258" s="117"/>
      <c r="H258" s="117"/>
      <c r="T258" s="35"/>
    </row>
    <row r="259" spans="1:20" ht="15.75" customHeight="1" x14ac:dyDescent="0.25">
      <c r="A259" s="156" t="s">
        <v>58</v>
      </c>
      <c r="B259" s="156"/>
      <c r="C259" s="156"/>
      <c r="D259" s="156"/>
      <c r="E259" s="156"/>
      <c r="F259" s="156"/>
      <c r="G259" s="156"/>
      <c r="H259" s="156"/>
      <c r="T259" s="35"/>
    </row>
    <row r="260" spans="1:20" x14ac:dyDescent="0.25">
      <c r="A260" s="117" t="s">
        <v>59</v>
      </c>
      <c r="B260" s="117"/>
      <c r="C260" s="117"/>
      <c r="D260" s="117"/>
      <c r="E260" s="117"/>
      <c r="F260" s="117"/>
      <c r="G260" s="117"/>
      <c r="H260" s="117"/>
      <c r="T260" s="35"/>
    </row>
    <row r="261" spans="1:20" x14ac:dyDescent="0.25">
      <c r="A261" s="117" t="s">
        <v>60</v>
      </c>
      <c r="B261" s="117"/>
      <c r="C261" s="117"/>
      <c r="D261" s="117"/>
      <c r="E261" s="117"/>
      <c r="F261" s="117"/>
      <c r="G261" s="117"/>
      <c r="H261" s="117"/>
      <c r="T261" s="35"/>
    </row>
    <row r="262" spans="1:20" hidden="1" x14ac:dyDescent="0.25">
      <c r="A262" s="117" t="s">
        <v>116</v>
      </c>
      <c r="B262" s="117"/>
      <c r="C262" s="117"/>
      <c r="D262" s="117"/>
      <c r="E262" s="117"/>
      <c r="F262" s="117"/>
      <c r="G262" s="117"/>
      <c r="H262" s="117"/>
      <c r="T262" s="35"/>
    </row>
    <row r="263" spans="1:20" ht="33.950000000000003" hidden="1" customHeight="1" x14ac:dyDescent="0.25">
      <c r="A263" s="124" t="s">
        <v>117</v>
      </c>
      <c r="B263" s="124"/>
      <c r="C263" s="124"/>
      <c r="D263" s="124"/>
      <c r="E263" s="124"/>
      <c r="F263" s="124"/>
      <c r="G263" s="124"/>
      <c r="H263" s="124"/>
    </row>
    <row r="264" spans="1:20" x14ac:dyDescent="0.25">
      <c r="A264" s="190" t="s">
        <v>70</v>
      </c>
      <c r="B264" s="190"/>
      <c r="C264" s="190" t="s">
        <v>346</v>
      </c>
      <c r="D264" s="190"/>
      <c r="E264" s="190" t="s">
        <v>96</v>
      </c>
      <c r="F264" s="190"/>
      <c r="G264" s="190" t="s">
        <v>345</v>
      </c>
      <c r="H264" s="190"/>
    </row>
    <row r="265" spans="1:20" x14ac:dyDescent="0.25">
      <c r="A265" s="189" t="s">
        <v>71</v>
      </c>
      <c r="B265" s="189"/>
      <c r="C265" s="189"/>
      <c r="D265" s="189"/>
      <c r="E265" s="189"/>
      <c r="F265" s="189"/>
      <c r="G265" s="189"/>
      <c r="H265" s="189"/>
    </row>
    <row r="266" spans="1:20" x14ac:dyDescent="0.25">
      <c r="A266" s="189"/>
      <c r="B266" s="189"/>
      <c r="C266" s="189"/>
      <c r="D266" s="189"/>
      <c r="E266" s="189"/>
      <c r="F266" s="189"/>
      <c r="G266" s="189"/>
      <c r="H266" s="189"/>
    </row>
    <row r="267" spans="1:20" x14ac:dyDescent="0.25">
      <c r="A267" s="189"/>
      <c r="B267" s="189"/>
      <c r="C267" s="189"/>
      <c r="D267" s="189"/>
      <c r="E267" s="189"/>
      <c r="F267" s="189"/>
      <c r="G267" s="189"/>
      <c r="H267" s="189"/>
    </row>
    <row r="268" spans="1:20" x14ac:dyDescent="0.25">
      <c r="A268" s="189"/>
      <c r="B268" s="189"/>
      <c r="C268" s="189"/>
      <c r="D268" s="189"/>
      <c r="E268" s="189"/>
      <c r="F268" s="189"/>
      <c r="G268" s="189"/>
      <c r="H268" s="189"/>
    </row>
    <row r="269" spans="1:20" x14ac:dyDescent="0.25">
      <c r="A269" s="38" t="s">
        <v>61</v>
      </c>
      <c r="B269" s="39"/>
      <c r="C269" s="39"/>
      <c r="D269" s="38" t="str">
        <f>E9</f>
        <v>Godrej Golf Side Estate</v>
      </c>
      <c r="F269" s="39"/>
      <c r="G269" s="39"/>
      <c r="H269" s="39"/>
    </row>
    <row r="270" spans="1:20" x14ac:dyDescent="0.25">
      <c r="A270" s="39"/>
      <c r="B270" s="39"/>
      <c r="C270" s="39"/>
      <c r="D270" s="39"/>
      <c r="E270" s="39"/>
      <c r="F270" s="39"/>
      <c r="G270" s="39"/>
      <c r="H270" s="39"/>
    </row>
    <row r="271" spans="1:20" x14ac:dyDescent="0.25">
      <c r="A271" s="39"/>
      <c r="B271" s="39"/>
      <c r="C271" s="39"/>
      <c r="D271" s="39"/>
      <c r="E271" s="39"/>
      <c r="F271" s="39"/>
      <c r="G271" s="39"/>
      <c r="H271" s="39"/>
    </row>
    <row r="272" spans="1:20" ht="15" customHeight="1" x14ac:dyDescent="0.25"/>
    <row r="313" spans="1:1" x14ac:dyDescent="0.25">
      <c r="A313" s="41" t="s">
        <v>343</v>
      </c>
    </row>
    <row r="357" spans="1:1" x14ac:dyDescent="0.25">
      <c r="A357" s="41" t="s">
        <v>151</v>
      </c>
    </row>
    <row r="401" spans="1:1" x14ac:dyDescent="0.25">
      <c r="A401" s="41" t="s">
        <v>62</v>
      </c>
    </row>
  </sheetData>
  <mergeCells count="501">
    <mergeCell ref="I11:L11"/>
    <mergeCell ref="B253:H253"/>
    <mergeCell ref="G236:H236"/>
    <mergeCell ref="L236:M236"/>
    <mergeCell ref="G237:H237"/>
    <mergeCell ref="L237:M237"/>
    <mergeCell ref="G238:H238"/>
    <mergeCell ref="L238:M238"/>
    <mergeCell ref="I245:M245"/>
    <mergeCell ref="G239:H239"/>
    <mergeCell ref="L239:M239"/>
    <mergeCell ref="G240:H240"/>
    <mergeCell ref="L240:M240"/>
    <mergeCell ref="G241:H241"/>
    <mergeCell ref="L241:M241"/>
    <mergeCell ref="G242:H242"/>
    <mergeCell ref="L242:M242"/>
    <mergeCell ref="G243:H243"/>
    <mergeCell ref="L243:M243"/>
    <mergeCell ref="G231:H231"/>
    <mergeCell ref="L231:M231"/>
    <mergeCell ref="G232:H232"/>
    <mergeCell ref="L232:M232"/>
    <mergeCell ref="G233:H233"/>
    <mergeCell ref="L233:M233"/>
    <mergeCell ref="L234:M234"/>
    <mergeCell ref="G235:H235"/>
    <mergeCell ref="L235:M235"/>
    <mergeCell ref="G226:H226"/>
    <mergeCell ref="L226:M226"/>
    <mergeCell ref="G227:H227"/>
    <mergeCell ref="L227:M227"/>
    <mergeCell ref="G228:H228"/>
    <mergeCell ref="L228:M228"/>
    <mergeCell ref="L229:M229"/>
    <mergeCell ref="G230:H230"/>
    <mergeCell ref="L230:M230"/>
    <mergeCell ref="G221:H221"/>
    <mergeCell ref="L221:M221"/>
    <mergeCell ref="G222:H222"/>
    <mergeCell ref="L222:M222"/>
    <mergeCell ref="G223:H223"/>
    <mergeCell ref="L223:M223"/>
    <mergeCell ref="L224:M224"/>
    <mergeCell ref="G225:H225"/>
    <mergeCell ref="L225:M225"/>
    <mergeCell ref="G216:H216"/>
    <mergeCell ref="L216:M216"/>
    <mergeCell ref="G217:H217"/>
    <mergeCell ref="L217:M217"/>
    <mergeCell ref="G218:H218"/>
    <mergeCell ref="L218:M218"/>
    <mergeCell ref="L219:M219"/>
    <mergeCell ref="G220:H220"/>
    <mergeCell ref="L220:M220"/>
    <mergeCell ref="G211:H211"/>
    <mergeCell ref="L211:M211"/>
    <mergeCell ref="G212:H212"/>
    <mergeCell ref="L212:M212"/>
    <mergeCell ref="G213:H213"/>
    <mergeCell ref="L213:M213"/>
    <mergeCell ref="L214:M214"/>
    <mergeCell ref="G215:H215"/>
    <mergeCell ref="L215:M215"/>
    <mergeCell ref="G206:H206"/>
    <mergeCell ref="L206:M206"/>
    <mergeCell ref="G207:H207"/>
    <mergeCell ref="L207:M207"/>
    <mergeCell ref="G208:H208"/>
    <mergeCell ref="L208:M208"/>
    <mergeCell ref="L209:M209"/>
    <mergeCell ref="G210:H210"/>
    <mergeCell ref="L210:M210"/>
    <mergeCell ref="G201:H201"/>
    <mergeCell ref="L201:M201"/>
    <mergeCell ref="G202:H202"/>
    <mergeCell ref="L202:M202"/>
    <mergeCell ref="G203:H203"/>
    <mergeCell ref="L203:M203"/>
    <mergeCell ref="L204:M204"/>
    <mergeCell ref="G205:H205"/>
    <mergeCell ref="L205:M205"/>
    <mergeCell ref="G196:H196"/>
    <mergeCell ref="L196:M196"/>
    <mergeCell ref="G197:H197"/>
    <mergeCell ref="L197:M197"/>
    <mergeCell ref="G198:H198"/>
    <mergeCell ref="L198:M198"/>
    <mergeCell ref="L199:M199"/>
    <mergeCell ref="G200:H200"/>
    <mergeCell ref="L200:M200"/>
    <mergeCell ref="G191:H191"/>
    <mergeCell ref="L191:M191"/>
    <mergeCell ref="G192:H192"/>
    <mergeCell ref="L192:M192"/>
    <mergeCell ref="G193:H193"/>
    <mergeCell ref="L193:M193"/>
    <mergeCell ref="L194:M194"/>
    <mergeCell ref="G195:H195"/>
    <mergeCell ref="L195:M195"/>
    <mergeCell ref="L186:M186"/>
    <mergeCell ref="G187:H187"/>
    <mergeCell ref="L187:M187"/>
    <mergeCell ref="G188:H188"/>
    <mergeCell ref="L188:M188"/>
    <mergeCell ref="G184:H184"/>
    <mergeCell ref="L189:M189"/>
    <mergeCell ref="G190:H190"/>
    <mergeCell ref="L190:M190"/>
    <mergeCell ref="A107:B107"/>
    <mergeCell ref="A134:B134"/>
    <mergeCell ref="E134:F134"/>
    <mergeCell ref="C105:H105"/>
    <mergeCell ref="A106:B106"/>
    <mergeCell ref="A127:E127"/>
    <mergeCell ref="G134:H134"/>
    <mergeCell ref="L184:M184"/>
    <mergeCell ref="G185:H185"/>
    <mergeCell ref="L185:M185"/>
    <mergeCell ref="G182:H182"/>
    <mergeCell ref="L182:M182"/>
    <mergeCell ref="G183:H183"/>
    <mergeCell ref="L183:M183"/>
    <mergeCell ref="G176:H176"/>
    <mergeCell ref="L176:M176"/>
    <mergeCell ref="G177:H177"/>
    <mergeCell ref="L177:M177"/>
    <mergeCell ref="G178:H178"/>
    <mergeCell ref="L178:M178"/>
    <mergeCell ref="E133:F133"/>
    <mergeCell ref="G133:H133"/>
    <mergeCell ref="L152:M152"/>
    <mergeCell ref="F119:H119"/>
    <mergeCell ref="A40:B40"/>
    <mergeCell ref="C40:H40"/>
    <mergeCell ref="F138:F139"/>
    <mergeCell ref="B138:B139"/>
    <mergeCell ref="A138:A139"/>
    <mergeCell ref="L151:M151"/>
    <mergeCell ref="L148:M148"/>
    <mergeCell ref="G135:H135"/>
    <mergeCell ref="L149:M149"/>
    <mergeCell ref="L150:M150"/>
    <mergeCell ref="C55:H55"/>
    <mergeCell ref="A78:B78"/>
    <mergeCell ref="A49:B49"/>
    <mergeCell ref="C49:H49"/>
    <mergeCell ref="A108:B108"/>
    <mergeCell ref="A109:B109"/>
    <mergeCell ref="G93:H102"/>
    <mergeCell ref="A94:B94"/>
    <mergeCell ref="A95:B95"/>
    <mergeCell ref="A83:B83"/>
    <mergeCell ref="A102:B102"/>
    <mergeCell ref="A119:E119"/>
    <mergeCell ref="D138:D139"/>
    <mergeCell ref="A77:B77"/>
    <mergeCell ref="A39:B39"/>
    <mergeCell ref="C39:H39"/>
    <mergeCell ref="A46:D46"/>
    <mergeCell ref="L144:M144"/>
    <mergeCell ref="L143:M143"/>
    <mergeCell ref="L142:M142"/>
    <mergeCell ref="L141:M141"/>
    <mergeCell ref="A86:B86"/>
    <mergeCell ref="C132:D132"/>
    <mergeCell ref="E132:F132"/>
    <mergeCell ref="G132:H132"/>
    <mergeCell ref="A118:E118"/>
    <mergeCell ref="A103:B103"/>
    <mergeCell ref="C103:H103"/>
    <mergeCell ref="A140:H140"/>
    <mergeCell ref="E138:E139"/>
    <mergeCell ref="A93:B93"/>
    <mergeCell ref="A47:D47"/>
    <mergeCell ref="A48:H48"/>
    <mergeCell ref="A133:B133"/>
    <mergeCell ref="C133:D133"/>
    <mergeCell ref="A64:C64"/>
    <mergeCell ref="A85:B85"/>
    <mergeCell ref="C91:H91"/>
    <mergeCell ref="A45:D4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6:B96"/>
    <mergeCell ref="E47:H47"/>
    <mergeCell ref="C57:H57"/>
    <mergeCell ref="C59:H59"/>
    <mergeCell ref="A91:B91"/>
    <mergeCell ref="F37:H37"/>
    <mergeCell ref="E27:H27"/>
    <mergeCell ref="A29:D29"/>
    <mergeCell ref="E29:H29"/>
    <mergeCell ref="A70:C70"/>
    <mergeCell ref="D70:H70"/>
    <mergeCell ref="C77:H77"/>
    <mergeCell ref="A80:B80"/>
    <mergeCell ref="A82:B82"/>
    <mergeCell ref="E78:F78"/>
    <mergeCell ref="A71:C71"/>
    <mergeCell ref="D71:H71"/>
    <mergeCell ref="A74:C74"/>
    <mergeCell ref="D74:H74"/>
    <mergeCell ref="A72:C72"/>
    <mergeCell ref="D73:H73"/>
    <mergeCell ref="A79:B79"/>
    <mergeCell ref="G78:H78"/>
    <mergeCell ref="A81:B81"/>
    <mergeCell ref="D64:H64"/>
    <mergeCell ref="A75:B75"/>
    <mergeCell ref="C75:H75"/>
    <mergeCell ref="D67:H67"/>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65:H268"/>
    <mergeCell ref="A264:B264"/>
    <mergeCell ref="E264:F264"/>
    <mergeCell ref="C264:D264"/>
    <mergeCell ref="G264:H264"/>
    <mergeCell ref="A128:E128"/>
    <mergeCell ref="F128:H128"/>
    <mergeCell ref="A129:E129"/>
    <mergeCell ref="F129:H129"/>
    <mergeCell ref="A260:H260"/>
    <mergeCell ref="A130:H130"/>
    <mergeCell ref="A263:H263"/>
    <mergeCell ref="A261:H261"/>
    <mergeCell ref="A257:H257"/>
    <mergeCell ref="G131:H131"/>
    <mergeCell ref="C138:C139"/>
    <mergeCell ref="A258:H258"/>
    <mergeCell ref="B250:H250"/>
    <mergeCell ref="G138:G139"/>
    <mergeCell ref="B252:H252"/>
    <mergeCell ref="G179:H179"/>
    <mergeCell ref="G146:H146"/>
    <mergeCell ref="G148:H148"/>
    <mergeCell ref="G149:H149"/>
    <mergeCell ref="A92:B92"/>
    <mergeCell ref="E92:F92"/>
    <mergeCell ref="G92:H92"/>
    <mergeCell ref="A123:E123"/>
    <mergeCell ref="F123:H123"/>
    <mergeCell ref="A125:E125"/>
    <mergeCell ref="F120:H120"/>
    <mergeCell ref="A124:E124"/>
    <mergeCell ref="A110:B110"/>
    <mergeCell ref="A111:B111"/>
    <mergeCell ref="E93:F102"/>
    <mergeCell ref="A100:B100"/>
    <mergeCell ref="A101:B101"/>
    <mergeCell ref="E106:F106"/>
    <mergeCell ref="E107:F116"/>
    <mergeCell ref="A121:E121"/>
    <mergeCell ref="A112:B112"/>
    <mergeCell ref="A114:B114"/>
    <mergeCell ref="A115:B115"/>
    <mergeCell ref="A120:E120"/>
    <mergeCell ref="A117:E117"/>
    <mergeCell ref="F121:H121"/>
    <mergeCell ref="G106:H106"/>
    <mergeCell ref="A105:B105"/>
    <mergeCell ref="B247:H247"/>
    <mergeCell ref="B245:H245"/>
    <mergeCell ref="B246:H246"/>
    <mergeCell ref="B248:H248"/>
    <mergeCell ref="B249:H249"/>
    <mergeCell ref="A244:H244"/>
    <mergeCell ref="F117:H117"/>
    <mergeCell ref="F122:H122"/>
    <mergeCell ref="A144:B144"/>
    <mergeCell ref="A143:B143"/>
    <mergeCell ref="A145:H145"/>
    <mergeCell ref="E131:F131"/>
    <mergeCell ref="A136:H136"/>
    <mergeCell ref="G189:H189"/>
    <mergeCell ref="G194:H194"/>
    <mergeCell ref="G199:H199"/>
    <mergeCell ref="G204:H204"/>
    <mergeCell ref="G209:H209"/>
    <mergeCell ref="G214:H214"/>
    <mergeCell ref="G219:H219"/>
    <mergeCell ref="G224:H224"/>
    <mergeCell ref="G229:H229"/>
    <mergeCell ref="G234:H234"/>
    <mergeCell ref="G186:H186"/>
    <mergeCell ref="A65:C67"/>
    <mergeCell ref="D65:H65"/>
    <mergeCell ref="D66:H66"/>
    <mergeCell ref="C51:E51"/>
    <mergeCell ref="A262:H262"/>
    <mergeCell ref="A259:H259"/>
    <mergeCell ref="A97:B97"/>
    <mergeCell ref="A98:B98"/>
    <mergeCell ref="A99:B99"/>
    <mergeCell ref="A113:B113"/>
    <mergeCell ref="F118:H118"/>
    <mergeCell ref="A116:B116"/>
    <mergeCell ref="F124:H124"/>
    <mergeCell ref="C134:D134"/>
    <mergeCell ref="A147:H147"/>
    <mergeCell ref="A141:B141"/>
    <mergeCell ref="A135:B135"/>
    <mergeCell ref="C135:D135"/>
    <mergeCell ref="E135:F135"/>
    <mergeCell ref="B254:H254"/>
    <mergeCell ref="C89:H89"/>
    <mergeCell ref="A84:B84"/>
    <mergeCell ref="D63:H63"/>
    <mergeCell ref="A122:E122"/>
    <mergeCell ref="C53:E53"/>
    <mergeCell ref="G53:H53"/>
    <mergeCell ref="G50:H50"/>
    <mergeCell ref="G52:H52"/>
    <mergeCell ref="A51:B51"/>
    <mergeCell ref="A61:H61"/>
    <mergeCell ref="A62:C62"/>
    <mergeCell ref="G51:H51"/>
    <mergeCell ref="A52:B52"/>
    <mergeCell ref="A53:B53"/>
    <mergeCell ref="G60:H60"/>
    <mergeCell ref="A54:B55"/>
    <mergeCell ref="C54:E54"/>
    <mergeCell ref="G54:H54"/>
    <mergeCell ref="A56:B57"/>
    <mergeCell ref="C56:E56"/>
    <mergeCell ref="G56:H56"/>
    <mergeCell ref="A58:B59"/>
    <mergeCell ref="C58:E58"/>
    <mergeCell ref="G58:H58"/>
    <mergeCell ref="C52:E52"/>
    <mergeCell ref="G150:H150"/>
    <mergeCell ref="G151:H151"/>
    <mergeCell ref="G152:H152"/>
    <mergeCell ref="G153:H153"/>
    <mergeCell ref="L153:M153"/>
    <mergeCell ref="I15:P15"/>
    <mergeCell ref="F127:H127"/>
    <mergeCell ref="F125:H125"/>
    <mergeCell ref="A137:H137"/>
    <mergeCell ref="A126:E126"/>
    <mergeCell ref="A142:B142"/>
    <mergeCell ref="A60:B60"/>
    <mergeCell ref="C60:E60"/>
    <mergeCell ref="D62:H62"/>
    <mergeCell ref="F126:H126"/>
    <mergeCell ref="C131:D131"/>
    <mergeCell ref="D72:H72"/>
    <mergeCell ref="A73:C73"/>
    <mergeCell ref="E43:H43"/>
    <mergeCell ref="A43:D43"/>
    <mergeCell ref="A89:B89"/>
    <mergeCell ref="A63:C63"/>
    <mergeCell ref="A50:B50"/>
    <mergeCell ref="C50:E50"/>
    <mergeCell ref="G154:H154"/>
    <mergeCell ref="L154:M154"/>
    <mergeCell ref="G155:H155"/>
    <mergeCell ref="L155:M155"/>
    <mergeCell ref="G156:H156"/>
    <mergeCell ref="L156:M156"/>
    <mergeCell ref="G157:H157"/>
    <mergeCell ref="L157:M157"/>
    <mergeCell ref="G158:H158"/>
    <mergeCell ref="L158:M158"/>
    <mergeCell ref="G159:H159"/>
    <mergeCell ref="L159:M159"/>
    <mergeCell ref="G160:H160"/>
    <mergeCell ref="L160:M160"/>
    <mergeCell ref="G161:H161"/>
    <mergeCell ref="L161:M161"/>
    <mergeCell ref="G162:H162"/>
    <mergeCell ref="L162:M162"/>
    <mergeCell ref="G163:H163"/>
    <mergeCell ref="L163:M163"/>
    <mergeCell ref="G164:H164"/>
    <mergeCell ref="L164:M164"/>
    <mergeCell ref="G165:H165"/>
    <mergeCell ref="L165:M165"/>
    <mergeCell ref="G166:H166"/>
    <mergeCell ref="L166:M166"/>
    <mergeCell ref="G167:H167"/>
    <mergeCell ref="L167:M167"/>
    <mergeCell ref="G168:H168"/>
    <mergeCell ref="L168:M168"/>
    <mergeCell ref="C255:E255"/>
    <mergeCell ref="F255:H255"/>
    <mergeCell ref="C256:E256"/>
    <mergeCell ref="F256:H256"/>
    <mergeCell ref="G174:H174"/>
    <mergeCell ref="L174:M174"/>
    <mergeCell ref="G175:H175"/>
    <mergeCell ref="L175:M175"/>
    <mergeCell ref="G169:H169"/>
    <mergeCell ref="L169:M169"/>
    <mergeCell ref="G170:H170"/>
    <mergeCell ref="L170:M170"/>
    <mergeCell ref="G171:H171"/>
    <mergeCell ref="L171:M171"/>
    <mergeCell ref="G172:H172"/>
    <mergeCell ref="L172:M172"/>
    <mergeCell ref="G173:H173"/>
    <mergeCell ref="L173:M173"/>
    <mergeCell ref="B251:H251"/>
    <mergeCell ref="L179:M179"/>
    <mergeCell ref="G180:H180"/>
    <mergeCell ref="L180:M180"/>
    <mergeCell ref="G181:H181"/>
    <mergeCell ref="L181:M181"/>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38:E139">
      <formula1>"Attached Loft area,Attached Otla area,Attached Mezzanine area"</formula1>
    </dataValidation>
    <dataValidation type="list" allowBlank="1" showInputMessage="1" showErrorMessage="1" sqref="G264:H264">
      <formula1>"Gaurav Panchal,Kunal Kadam,Pranita Mhatre,Shruti Fule,Pooja Kawale,Neha Dhokale,Shruti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38:B139">
      <formula1>"Shop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H13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 type="list" allowBlank="1" showInputMessage="1" showErrorMessage="1" sqref="H138">
      <formula1>"Saleable area Loading :,Builder Saleable Area"</formula1>
    </dataValidation>
    <dataValidation type="list" allowBlank="1" showInputMessage="1" showErrorMessage="1" sqref="D138:D139">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1" fitToHeight="0" orientation="portrait" r:id="rId2"/>
  <headerFooter>
    <oddHeader>&amp;C&amp;G</oddHeader>
    <oddFooter>&amp;L&amp;"Times New Roman,Bold"&amp;12Ref No: &amp;F&amp;C&amp;G&amp;R&amp;"Times New Roman,Bold"&amp;12&amp;P</oddFooter>
  </headerFooter>
  <rowBreaks count="4" manualBreakCount="4">
    <brk id="268" max="16383" man="1"/>
    <brk id="312" max="16383" man="1"/>
    <brk id="356" max="16383" man="1"/>
    <brk id="40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4" t="s">
        <v>97</v>
      </c>
      <c r="C3" s="254"/>
      <c r="D3" s="254"/>
      <c r="E3" s="254"/>
      <c r="F3" s="254"/>
      <c r="G3" s="254"/>
      <c r="H3" s="254"/>
    </row>
    <row r="4" spans="1:9" x14ac:dyDescent="0.25">
      <c r="A4" s="2"/>
      <c r="B4" s="3" t="s">
        <v>98</v>
      </c>
      <c r="C4" s="3" t="s">
        <v>99</v>
      </c>
      <c r="D4" s="3" t="s">
        <v>64</v>
      </c>
      <c r="E4" s="3" t="s">
        <v>100</v>
      </c>
      <c r="F4" s="3" t="s">
        <v>106</v>
      </c>
      <c r="G4" s="3" t="s">
        <v>107</v>
      </c>
      <c r="H4" s="3" t="s">
        <v>101</v>
      </c>
    </row>
    <row r="5" spans="1:9" ht="15" customHeight="1" x14ac:dyDescent="0.25">
      <c r="A5" s="2"/>
      <c r="B5" s="5" t="s">
        <v>102</v>
      </c>
      <c r="C5" s="6"/>
      <c r="D5" s="5"/>
      <c r="E5" s="5"/>
      <c r="F5" s="7">
        <f>E5*1.6</f>
        <v>0</v>
      </c>
      <c r="G5" s="7" t="e">
        <f>H5/F5</f>
        <v>#DIV/0!</v>
      </c>
      <c r="H5" s="8"/>
    </row>
    <row r="6" spans="1:9" x14ac:dyDescent="0.25">
      <c r="A6" s="2"/>
      <c r="B6" s="5" t="s">
        <v>102</v>
      </c>
      <c r="C6" s="9"/>
      <c r="D6" s="5"/>
      <c r="E6" s="5"/>
      <c r="F6" s="7">
        <f t="shared" ref="F6:F11" si="0">E6*1.6</f>
        <v>0</v>
      </c>
      <c r="G6" s="7" t="e">
        <f t="shared" ref="G6:G11" si="1">H6/F6</f>
        <v>#DIV/0!</v>
      </c>
      <c r="H6" s="8"/>
    </row>
    <row r="7" spans="1:9" ht="15" customHeight="1" x14ac:dyDescent="0.25">
      <c r="A7" s="2"/>
      <c r="B7" s="5" t="s">
        <v>102</v>
      </c>
      <c r="C7" s="6"/>
      <c r="D7" s="5"/>
      <c r="E7" s="5"/>
      <c r="F7" s="7">
        <f t="shared" si="0"/>
        <v>0</v>
      </c>
      <c r="G7" s="7" t="e">
        <f t="shared" si="1"/>
        <v>#DIV/0!</v>
      </c>
      <c r="H7" s="8"/>
    </row>
    <row r="8" spans="1:9" x14ac:dyDescent="0.25">
      <c r="A8" s="2"/>
      <c r="B8" s="5" t="s">
        <v>102</v>
      </c>
      <c r="C8" s="9"/>
      <c r="D8" s="5"/>
      <c r="E8" s="5"/>
      <c r="F8" s="7">
        <f t="shared" si="0"/>
        <v>0</v>
      </c>
      <c r="G8" s="7" t="e">
        <f t="shared" si="1"/>
        <v>#DIV/0!</v>
      </c>
      <c r="H8" s="8"/>
    </row>
    <row r="9" spans="1:9" ht="15" customHeight="1" x14ac:dyDescent="0.25">
      <c r="A9" s="2"/>
      <c r="B9" s="5" t="s">
        <v>102</v>
      </c>
      <c r="C9" s="9"/>
      <c r="D9" s="5"/>
      <c r="E9" s="5"/>
      <c r="F9" s="7">
        <f t="shared" si="0"/>
        <v>0</v>
      </c>
      <c r="G9" s="7" t="e">
        <f t="shared" si="1"/>
        <v>#DIV/0!</v>
      </c>
      <c r="H9" s="8"/>
    </row>
    <row r="10" spans="1:9" ht="15" customHeight="1" x14ac:dyDescent="0.25">
      <c r="A10" s="2"/>
      <c r="B10" s="5" t="s">
        <v>103</v>
      </c>
      <c r="C10" s="6"/>
      <c r="D10" s="5"/>
      <c r="E10" s="5"/>
      <c r="F10" s="7">
        <f t="shared" si="0"/>
        <v>0</v>
      </c>
      <c r="G10" s="7" t="e">
        <f t="shared" si="1"/>
        <v>#DIV/0!</v>
      </c>
      <c r="H10" s="8"/>
    </row>
    <row r="11" spans="1:9" ht="15" customHeight="1" x14ac:dyDescent="0.25">
      <c r="A11" s="2"/>
      <c r="B11" s="5" t="s">
        <v>103</v>
      </c>
      <c r="C11" s="6"/>
      <c r="D11" s="5"/>
      <c r="E11" s="5"/>
      <c r="F11" s="7">
        <f t="shared" si="0"/>
        <v>0</v>
      </c>
      <c r="G11" s="7" t="e">
        <f t="shared" si="1"/>
        <v>#DIV/0!</v>
      </c>
      <c r="H11" s="8"/>
    </row>
    <row r="12" spans="1:9" ht="15" customHeight="1" x14ac:dyDescent="0.25">
      <c r="A12" s="2"/>
      <c r="B12" s="10" t="s">
        <v>104</v>
      </c>
      <c r="C12" s="5"/>
      <c r="D12" s="5"/>
      <c r="E12" s="5"/>
      <c r="F12" s="5"/>
      <c r="G12" s="11" t="e">
        <f>AVERAGE(G5:G11)</f>
        <v>#DIV/0!</v>
      </c>
      <c r="H12" s="5"/>
    </row>
    <row r="13" spans="1:9" ht="15" customHeight="1" x14ac:dyDescent="0.25">
      <c r="B13" s="10" t="s">
        <v>105</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5"/>
      <c r="C4" s="55" t="s">
        <v>11</v>
      </c>
      <c r="D4" s="56" t="s">
        <v>164</v>
      </c>
      <c r="E4" s="56" t="s">
        <v>174</v>
      </c>
      <c r="F4" s="56" t="s">
        <v>161</v>
      </c>
      <c r="G4" s="56" t="s">
        <v>179</v>
      </c>
      <c r="H4" s="56" t="s">
        <v>197</v>
      </c>
      <c r="J4" t="s">
        <v>179</v>
      </c>
      <c r="K4" t="s">
        <v>195</v>
      </c>
    </row>
    <row r="5" spans="2:11" x14ac:dyDescent="0.25">
      <c r="B5" s="55"/>
      <c r="C5" s="55"/>
      <c r="D5" s="56" t="s">
        <v>165</v>
      </c>
      <c r="E5" s="56" t="s">
        <v>172</v>
      </c>
      <c r="F5" s="56" t="s">
        <v>194</v>
      </c>
      <c r="G5" s="56" t="s">
        <v>180</v>
      </c>
      <c r="H5" s="56" t="s">
        <v>198</v>
      </c>
    </row>
    <row r="6" spans="2:11" x14ac:dyDescent="0.25">
      <c r="B6" s="55"/>
      <c r="C6" s="55"/>
      <c r="D6" s="56" t="s">
        <v>166</v>
      </c>
      <c r="E6" s="56" t="s">
        <v>173</v>
      </c>
      <c r="F6" s="56" t="s">
        <v>195</v>
      </c>
      <c r="G6" s="56" t="s">
        <v>181</v>
      </c>
      <c r="H6" s="56" t="s">
        <v>211</v>
      </c>
    </row>
    <row r="7" spans="2:11" x14ac:dyDescent="0.25">
      <c r="B7" s="55"/>
      <c r="C7" s="55"/>
      <c r="D7" s="56" t="s">
        <v>167</v>
      </c>
      <c r="E7" s="56" t="s">
        <v>175</v>
      </c>
      <c r="F7" s="56" t="s">
        <v>196</v>
      </c>
      <c r="G7" s="56" t="s">
        <v>182</v>
      </c>
      <c r="H7" s="56" t="s">
        <v>199</v>
      </c>
    </row>
    <row r="8" spans="2:11" x14ac:dyDescent="0.25">
      <c r="B8" s="55"/>
      <c r="C8" s="55"/>
      <c r="D8" s="56" t="s">
        <v>168</v>
      </c>
      <c r="E8" s="56" t="s">
        <v>176</v>
      </c>
      <c r="F8" s="56"/>
      <c r="G8" s="56" t="s">
        <v>183</v>
      </c>
      <c r="H8" s="56" t="s">
        <v>200</v>
      </c>
    </row>
    <row r="9" spans="2:11" x14ac:dyDescent="0.25">
      <c r="B9" s="55"/>
      <c r="C9" s="55"/>
      <c r="D9" s="56" t="s">
        <v>169</v>
      </c>
      <c r="E9" s="56" t="s">
        <v>174</v>
      </c>
      <c r="F9" s="56"/>
      <c r="G9" s="56" t="s">
        <v>184</v>
      </c>
      <c r="H9" s="56" t="s">
        <v>201</v>
      </c>
    </row>
    <row r="10" spans="2:11" x14ac:dyDescent="0.25">
      <c r="B10" s="55"/>
      <c r="C10" s="55"/>
      <c r="D10" s="56" t="s">
        <v>170</v>
      </c>
      <c r="E10" s="56" t="s">
        <v>177</v>
      </c>
      <c r="F10" s="56"/>
      <c r="G10" s="56" t="s">
        <v>185</v>
      </c>
      <c r="H10" s="56" t="s">
        <v>202</v>
      </c>
    </row>
    <row r="11" spans="2:11" x14ac:dyDescent="0.25">
      <c r="B11" s="55"/>
      <c r="C11" s="55"/>
      <c r="D11" s="56" t="s">
        <v>171</v>
      </c>
      <c r="E11" s="56" t="s">
        <v>178</v>
      </c>
      <c r="F11" s="56"/>
      <c r="G11" s="56" t="s">
        <v>186</v>
      </c>
      <c r="H11" s="56" t="s">
        <v>203</v>
      </c>
    </row>
    <row r="12" spans="2:11" x14ac:dyDescent="0.25">
      <c r="B12" s="55"/>
      <c r="C12" s="55"/>
      <c r="D12" s="56"/>
      <c r="E12" s="56"/>
      <c r="F12" s="56"/>
      <c r="G12" s="56" t="s">
        <v>187</v>
      </c>
      <c r="H12" s="56" t="s">
        <v>204</v>
      </c>
    </row>
    <row r="13" spans="2:11" x14ac:dyDescent="0.25">
      <c r="B13" s="55"/>
      <c r="C13" s="55"/>
      <c r="D13" s="56"/>
      <c r="E13" s="56"/>
      <c r="F13" s="56"/>
      <c r="G13" s="56" t="s">
        <v>188</v>
      </c>
      <c r="H13" s="56" t="s">
        <v>205</v>
      </c>
    </row>
    <row r="14" spans="2:11" x14ac:dyDescent="0.25">
      <c r="B14" s="55"/>
      <c r="C14" s="55"/>
      <c r="D14" s="56"/>
      <c r="E14" s="56"/>
      <c r="F14" s="56"/>
      <c r="G14" s="56" t="s">
        <v>189</v>
      </c>
      <c r="H14" s="56" t="s">
        <v>206</v>
      </c>
    </row>
    <row r="15" spans="2:11" x14ac:dyDescent="0.25">
      <c r="B15" s="55"/>
      <c r="C15" s="55"/>
      <c r="D15" s="56"/>
      <c r="E15" s="56"/>
      <c r="F15" s="56"/>
      <c r="G15" s="56" t="s">
        <v>190</v>
      </c>
      <c r="H15" s="56" t="s">
        <v>207</v>
      </c>
    </row>
    <row r="16" spans="2:11" x14ac:dyDescent="0.25">
      <c r="B16" s="55"/>
      <c r="C16" s="55"/>
      <c r="D16" s="56"/>
      <c r="E16" s="56"/>
      <c r="F16" s="56"/>
      <c r="G16" s="56" t="s">
        <v>191</v>
      </c>
      <c r="H16" s="56" t="s">
        <v>208</v>
      </c>
    </row>
    <row r="17" spans="2:8" x14ac:dyDescent="0.25">
      <c r="B17" s="55"/>
      <c r="C17" s="55"/>
      <c r="D17" s="56"/>
      <c r="E17" s="56"/>
      <c r="F17" s="56"/>
      <c r="G17" s="56" t="s">
        <v>192</v>
      </c>
      <c r="H17" s="56" t="s">
        <v>209</v>
      </c>
    </row>
    <row r="18" spans="2:8" x14ac:dyDescent="0.25">
      <c r="B18" s="55"/>
      <c r="C18" s="55"/>
      <c r="D18" s="56"/>
      <c r="E18" s="56"/>
      <c r="F18" s="56"/>
      <c r="G18" s="56" t="s">
        <v>193</v>
      </c>
      <c r="H18" s="56" t="s">
        <v>210</v>
      </c>
    </row>
    <row r="24" spans="2:8" x14ac:dyDescent="0.25">
      <c r="C24" t="s">
        <v>158</v>
      </c>
    </row>
    <row r="25" spans="2:8" x14ac:dyDescent="0.25">
      <c r="C25" t="s">
        <v>212</v>
      </c>
    </row>
    <row r="26" spans="2:8" x14ac:dyDescent="0.25">
      <c r="C26" t="s">
        <v>213</v>
      </c>
    </row>
    <row r="27" spans="2:8" x14ac:dyDescent="0.25">
      <c r="C27" t="s">
        <v>214</v>
      </c>
    </row>
    <row r="28" spans="2:8" x14ac:dyDescent="0.25">
      <c r="C28" t="s">
        <v>215</v>
      </c>
    </row>
    <row r="29" spans="2:8" x14ac:dyDescent="0.25">
      <c r="C29" t="s">
        <v>216</v>
      </c>
    </row>
    <row r="30" spans="2:8" x14ac:dyDescent="0.25">
      <c r="C30" t="s">
        <v>158</v>
      </c>
    </row>
    <row r="33" spans="3:11" x14ac:dyDescent="0.25">
      <c r="J33">
        <v>1</v>
      </c>
      <c r="K33">
        <v>2</v>
      </c>
    </row>
    <row r="34" spans="3:11" x14ac:dyDescent="0.25">
      <c r="C34" s="59" t="s">
        <v>221</v>
      </c>
      <c r="D34" s="56" t="s">
        <v>219</v>
      </c>
      <c r="E34" s="56" t="s">
        <v>224</v>
      </c>
      <c r="F34" s="56" t="s">
        <v>222</v>
      </c>
      <c r="G34" s="56" t="s">
        <v>223</v>
      </c>
      <c r="H34" s="56" t="s">
        <v>225</v>
      </c>
      <c r="J34" t="s">
        <v>179</v>
      </c>
      <c r="K34" t="s">
        <v>195</v>
      </c>
    </row>
    <row r="35" spans="3:11" x14ac:dyDescent="0.25">
      <c r="C35" s="55" t="s">
        <v>220</v>
      </c>
      <c r="D35" s="56" t="s">
        <v>159</v>
      </c>
      <c r="E35" s="56" t="s">
        <v>229</v>
      </c>
      <c r="F35" s="56" t="s">
        <v>231</v>
      </c>
      <c r="G35" s="56" t="s">
        <v>233</v>
      </c>
      <c r="H35" s="56"/>
    </row>
    <row r="36" spans="3:11" x14ac:dyDescent="0.25">
      <c r="C36" s="55"/>
      <c r="D36" s="56" t="s">
        <v>226</v>
      </c>
      <c r="E36" s="56" t="s">
        <v>230</v>
      </c>
      <c r="F36" s="56" t="s">
        <v>232</v>
      </c>
      <c r="G36" s="56" t="s">
        <v>234</v>
      </c>
      <c r="H36" s="56"/>
    </row>
    <row r="37" spans="3:11" x14ac:dyDescent="0.25">
      <c r="C37" s="55"/>
      <c r="D37" s="56" t="s">
        <v>227</v>
      </c>
      <c r="E37" s="56"/>
      <c r="F37" s="56"/>
      <c r="G37" s="56" t="s">
        <v>235</v>
      </c>
      <c r="H37" s="56"/>
    </row>
    <row r="38" spans="3:11" x14ac:dyDescent="0.25">
      <c r="C38" s="55"/>
      <c r="D38" s="56" t="s">
        <v>228</v>
      </c>
      <c r="E38" s="56"/>
      <c r="F38" s="56"/>
      <c r="G38" s="56" t="s">
        <v>235</v>
      </c>
      <c r="H38" s="56"/>
    </row>
    <row r="39" spans="3:11" x14ac:dyDescent="0.25">
      <c r="C39" s="55"/>
      <c r="D39" s="56"/>
      <c r="E39" s="56"/>
      <c r="F39" s="56"/>
      <c r="G39" s="56" t="s">
        <v>236</v>
      </c>
      <c r="H39" s="56"/>
    </row>
    <row r="40" spans="3:11" x14ac:dyDescent="0.25">
      <c r="C40" s="55"/>
      <c r="D40" s="56"/>
      <c r="E40" s="56"/>
      <c r="F40" s="56"/>
      <c r="G40" s="56" t="s">
        <v>237</v>
      </c>
      <c r="H40" s="56"/>
    </row>
    <row r="41" spans="3:11" x14ac:dyDescent="0.25">
      <c r="C41" s="55"/>
      <c r="D41" s="56"/>
      <c r="E41" s="56"/>
      <c r="F41" s="56"/>
      <c r="G41" s="56"/>
      <c r="H41" s="56"/>
    </row>
    <row r="43" spans="3:11" x14ac:dyDescent="0.25">
      <c r="C43" t="s">
        <v>238</v>
      </c>
    </row>
    <row r="44" spans="3:11" x14ac:dyDescent="0.25">
      <c r="C44" t="s">
        <v>161</v>
      </c>
      <c r="D44" t="s">
        <v>239</v>
      </c>
    </row>
    <row r="45" spans="3:11" x14ac:dyDescent="0.25">
      <c r="D45" t="s">
        <v>240</v>
      </c>
    </row>
    <row r="46" spans="3:11" x14ac:dyDescent="0.25">
      <c r="D46" t="s">
        <v>241</v>
      </c>
    </row>
    <row r="47" spans="3:11" x14ac:dyDescent="0.25">
      <c r="D47" t="s">
        <v>242</v>
      </c>
    </row>
    <row r="48" spans="3:11" x14ac:dyDescent="0.25">
      <c r="D48" t="s">
        <v>243</v>
      </c>
    </row>
    <row r="49" spans="3:4" x14ac:dyDescent="0.25">
      <c r="C49" t="s">
        <v>164</v>
      </c>
      <c r="D49" t="s">
        <v>244</v>
      </c>
    </row>
    <row r="50" spans="3:4" x14ac:dyDescent="0.25">
      <c r="D50" t="s">
        <v>245</v>
      </c>
    </row>
    <row r="51" spans="3:4" x14ac:dyDescent="0.25">
      <c r="D51" t="s">
        <v>246</v>
      </c>
    </row>
    <row r="52" spans="3:4" x14ac:dyDescent="0.25">
      <c r="D52" t="s">
        <v>249</v>
      </c>
    </row>
    <row r="53" spans="3:4" x14ac:dyDescent="0.25">
      <c r="D53" t="s">
        <v>247</v>
      </c>
    </row>
    <row r="54" spans="3:4" x14ac:dyDescent="0.25">
      <c r="D54" t="s">
        <v>248</v>
      </c>
    </row>
    <row r="55" spans="3:4" x14ac:dyDescent="0.25">
      <c r="D55" t="s">
        <v>250</v>
      </c>
    </row>
    <row r="56" spans="3:4" x14ac:dyDescent="0.25">
      <c r="D56" t="s">
        <v>251</v>
      </c>
    </row>
    <row r="57" spans="3:4" x14ac:dyDescent="0.25">
      <c r="D57" t="s">
        <v>252</v>
      </c>
    </row>
    <row r="58" spans="3:4" x14ac:dyDescent="0.25">
      <c r="D58" t="s">
        <v>254</v>
      </c>
    </row>
    <row r="59" spans="3:4" x14ac:dyDescent="0.25">
      <c r="D59" t="s">
        <v>263</v>
      </c>
    </row>
    <row r="60" spans="3:4" x14ac:dyDescent="0.25">
      <c r="C60" t="s">
        <v>179</v>
      </c>
      <c r="D60" t="s">
        <v>255</v>
      </c>
    </row>
    <row r="61" spans="3:4" x14ac:dyDescent="0.25">
      <c r="D61" t="s">
        <v>253</v>
      </c>
    </row>
    <row r="62" spans="3:4" x14ac:dyDescent="0.25">
      <c r="D62" t="s">
        <v>243</v>
      </c>
    </row>
    <row r="63" spans="3:4" x14ac:dyDescent="0.25">
      <c r="D63" t="s">
        <v>256</v>
      </c>
    </row>
    <row r="64" spans="3:4" x14ac:dyDescent="0.25">
      <c r="D64" t="s">
        <v>257</v>
      </c>
    </row>
    <row r="65" spans="3:4" x14ac:dyDescent="0.25">
      <c r="D65" t="s">
        <v>258</v>
      </c>
    </row>
    <row r="66" spans="3:4" x14ac:dyDescent="0.25">
      <c r="D66" t="s">
        <v>259</v>
      </c>
    </row>
    <row r="67" spans="3:4" x14ac:dyDescent="0.25">
      <c r="C67" t="s">
        <v>174</v>
      </c>
      <c r="D67" t="s">
        <v>260</v>
      </c>
    </row>
    <row r="68" spans="3:4" x14ac:dyDescent="0.25">
      <c r="D68" t="s">
        <v>261</v>
      </c>
    </row>
    <row r="69" spans="3:4" x14ac:dyDescent="0.25">
      <c r="D69" t="s">
        <v>262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5" x14ac:dyDescent="0.25"/>
  <cols>
    <col min="2" max="2" width="3" bestFit="1" customWidth="1"/>
    <col min="3" max="3" width="130" customWidth="1"/>
  </cols>
  <sheetData>
    <row r="2" spans="2:3" ht="15" customHeight="1" x14ac:dyDescent="0.25">
      <c r="B2" s="60">
        <v>1</v>
      </c>
      <c r="C2" s="63" t="s">
        <v>269</v>
      </c>
    </row>
    <row r="3" spans="2:3" x14ac:dyDescent="0.25">
      <c r="B3" s="60">
        <v>2</v>
      </c>
      <c r="C3" s="61" t="s">
        <v>270</v>
      </c>
    </row>
    <row r="4" spans="2:3" x14ac:dyDescent="0.25">
      <c r="B4" s="60">
        <v>3</v>
      </c>
      <c r="C4" s="62" t="s">
        <v>271</v>
      </c>
    </row>
    <row r="5" spans="2:3" ht="30" x14ac:dyDescent="0.25">
      <c r="B5" s="60">
        <v>4</v>
      </c>
      <c r="C5" s="61" t="s">
        <v>272</v>
      </c>
    </row>
    <row r="6" spans="2:3" x14ac:dyDescent="0.25">
      <c r="B6" s="60">
        <v>5</v>
      </c>
      <c r="C6" s="62" t="s">
        <v>273</v>
      </c>
    </row>
    <row r="7" spans="2:3" ht="30" x14ac:dyDescent="0.25">
      <c r="B7" s="60">
        <v>6</v>
      </c>
      <c r="C7" s="61" t="s">
        <v>274</v>
      </c>
    </row>
    <row r="8" spans="2:3" ht="90" x14ac:dyDescent="0.25">
      <c r="B8" s="60">
        <v>7</v>
      </c>
      <c r="C8" s="61" t="s">
        <v>275</v>
      </c>
    </row>
    <row r="9" spans="2:3" x14ac:dyDescent="0.25">
      <c r="B9" s="60">
        <v>8</v>
      </c>
      <c r="C9" s="62" t="s">
        <v>276</v>
      </c>
    </row>
    <row r="10" spans="2:3" x14ac:dyDescent="0.25">
      <c r="B10" s="60">
        <v>9</v>
      </c>
      <c r="C10" s="62" t="s">
        <v>277</v>
      </c>
    </row>
    <row r="11" spans="2:3" x14ac:dyDescent="0.25">
      <c r="B11" s="60">
        <v>10</v>
      </c>
      <c r="C11" s="62" t="s">
        <v>278</v>
      </c>
    </row>
    <row r="12" spans="2:3" x14ac:dyDescent="0.25">
      <c r="B12" s="60">
        <v>11</v>
      </c>
      <c r="C12" s="62" t="s">
        <v>279</v>
      </c>
    </row>
    <row r="13" spans="2:3" x14ac:dyDescent="0.25">
      <c r="B13" s="60">
        <v>12</v>
      </c>
      <c r="C13" s="62" t="s">
        <v>280</v>
      </c>
    </row>
    <row r="14" spans="2:3" x14ac:dyDescent="0.25">
      <c r="B14" s="60">
        <v>13</v>
      </c>
      <c r="C14" s="62" t="s">
        <v>281</v>
      </c>
    </row>
    <row r="15" spans="2:3" x14ac:dyDescent="0.25">
      <c r="B15" s="60">
        <v>14</v>
      </c>
      <c r="C15" s="62" t="s">
        <v>271</v>
      </c>
    </row>
    <row r="16" spans="2:3" x14ac:dyDescent="0.25">
      <c r="B16" s="60">
        <v>15</v>
      </c>
      <c r="C16" s="62" t="s">
        <v>284</v>
      </c>
    </row>
    <row r="17" spans="2:3" ht="31.5" customHeight="1" x14ac:dyDescent="0.25">
      <c r="B17" s="70">
        <v>16</v>
      </c>
      <c r="C17" s="72" t="s">
        <v>285</v>
      </c>
    </row>
    <row r="18" spans="2:3" x14ac:dyDescent="0.25">
      <c r="B18" s="71">
        <v>17</v>
      </c>
      <c r="C18" s="72" t="s">
        <v>286</v>
      </c>
    </row>
    <row r="19" spans="2:3" x14ac:dyDescent="0.25">
      <c r="B19" s="70">
        <v>18</v>
      </c>
      <c r="C19" s="60" t="s">
        <v>287</v>
      </c>
    </row>
    <row r="20" spans="2:3" x14ac:dyDescent="0.25">
      <c r="B20" s="71">
        <v>19</v>
      </c>
      <c r="C20" s="60"/>
    </row>
    <row r="21" spans="2:3" x14ac:dyDescent="0.25">
      <c r="B21" s="73">
        <v>20</v>
      </c>
      <c r="C21" s="60"/>
    </row>
    <row r="22" spans="2:3" x14ac:dyDescent="0.25">
      <c r="B22" s="60"/>
      <c r="C22" s="60"/>
    </row>
    <row r="23" spans="2:3" x14ac:dyDescent="0.25">
      <c r="B23" s="60"/>
      <c r="C23" s="60"/>
    </row>
    <row r="24" spans="2:3" x14ac:dyDescent="0.25">
      <c r="B24" s="60"/>
      <c r="C24" s="60"/>
    </row>
    <row r="25" spans="2:3" x14ac:dyDescent="0.25">
      <c r="B25" s="60"/>
      <c r="C25" s="60"/>
    </row>
    <row r="26" spans="2:3" x14ac:dyDescent="0.25">
      <c r="B26" s="60"/>
      <c r="C26" s="60"/>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2025-08-21T05:43:46Z</cp:lastPrinted>
  <dcterms:created xsi:type="dcterms:W3CDTF">2019-07-16T09:29:46Z</dcterms:created>
  <dcterms:modified xsi:type="dcterms:W3CDTF">2025-08-21T05:45:16Z</dcterms:modified>
</cp:coreProperties>
</file>